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BRUNO.SILVA\Downloads\"/>
    </mc:Choice>
  </mc:AlternateContent>
  <xr:revisionPtr revIDLastSave="0" documentId="13_ncr:1_{1F250983-C0F4-4D57-ABA9-2A520967F031}" xr6:coauthVersionLast="47" xr6:coauthVersionMax="47" xr10:uidLastSave="{00000000-0000-0000-0000-000000000000}"/>
  <bookViews>
    <workbookView xWindow="15" yWindow="-16320" windowWidth="29040" windowHeight="15840" xr2:uid="{00000000-000D-0000-FFFF-FFFF00000000}"/>
  </bookViews>
  <sheets>
    <sheet name="Planilha1" sheetId="18" r:id="rId1"/>
    <sheet name="Clientes Novos" sheetId="1" r:id="rId2"/>
    <sheet name="BTG" sheetId="2" r:id="rId3"/>
    <sheet name="Guide" sheetId="3" r:id="rId4"/>
    <sheet name="Ágora" sheetId="4" r:id="rId5"/>
    <sheet name="Genial" sheetId="5" r:id="rId6"/>
    <sheet name="Órama" sheetId="6" r:id="rId7"/>
    <sheet name="Pershing" sheetId="7" r:id="rId8"/>
    <sheet name="Interactive Brokers" sheetId="8" r:id="rId9"/>
    <sheet name="Avenue" sheetId="9" r:id="rId10"/>
    <sheet name="XP Arquivo" sheetId="10" r:id="rId11"/>
    <sheet name="PL TOTAL D0" sheetId="11" r:id="rId12"/>
    <sheet name="Termo de distrato" sheetId="12" r:id="rId13"/>
    <sheet name="Análise PL" sheetId="13" r:id="rId14"/>
    <sheet name="Dados" sheetId="14" state="hidden" r:id="rId15"/>
    <sheet name="BTG2" sheetId="15" state="hidden" r:id="rId16"/>
    <sheet name="Cadastro de assessores" sheetId="16" state="hidden" r:id="rId17"/>
    <sheet name="Saídas" sheetId="17" state="hidden" r:id="rId18"/>
  </sheets>
  <definedNames>
    <definedName name="_xlnm._FilterDatabase" localSheetId="2" hidden="1">BTG!$A$1:$BA$864</definedName>
    <definedName name="_xlnm._FilterDatabase" localSheetId="5" hidden="1">Genial!$A$1:$CK$31</definedName>
    <definedName name="Z_00E34851_6D10_466B_B70C_0B21589C11D6_.wvu.FilterData" localSheetId="2" hidden="1">BTG!$A$1:$AO$871</definedName>
    <definedName name="Z_02DB027B_88D5_4067_9DF3_1E71C48C0F90_.wvu.FilterData" localSheetId="4" hidden="1">Ágora!$K$2:$K$26</definedName>
    <definedName name="Z_02DB027B_88D5_4067_9DF3_1E71C48C0F90_.wvu.FilterData" localSheetId="2" hidden="1">BTG!$K$2:$K$871</definedName>
    <definedName name="Z_02DB027B_88D5_4067_9DF3_1E71C48C0F90_.wvu.FilterData" localSheetId="3" hidden="1">Guide!$K$2:$K$403</definedName>
    <definedName name="Z_0B4EBBF4_749A_4B87_9D1E_3A1829A1B462_.wvu.FilterData" localSheetId="2" hidden="1">BTG!$A$2:$AQ$862</definedName>
    <definedName name="Z_0C8CE539_F9BE_4908_B262_B6E702076E6F_.wvu.FilterData" localSheetId="2" hidden="1">BTG!$A$2:$AS$862</definedName>
    <definedName name="Z_0FF3049F_31F6_40EE_8B94_98781F25FC5B_.wvu.FilterData" localSheetId="2" hidden="1">BTG!$A$1:$AO$871</definedName>
    <definedName name="Z_0FF7BE7B_59E6_4B98_8328_2F8D1FEC51AF_.wvu.FilterData" localSheetId="2" hidden="1">BTG!$A$1:$AT$862</definedName>
    <definedName name="Z_10CC955F_CF83_44D2_A593_38FFA91206BF_.wvu.FilterData" localSheetId="2" hidden="1">BTG!$A$1:$AR$862</definedName>
    <definedName name="Z_12AA7277_456D_451B_A499_389B87C6D872_.wvu.FilterData" localSheetId="2" hidden="1">BTG!$B$2:$AM$866</definedName>
    <definedName name="Z_12AA7277_456D_451B_A499_389B87C6D872_.wvu.FilterData" localSheetId="1" hidden="1">'Clientes Novos'!$A$1:$P$1</definedName>
    <definedName name="Z_12AA7277_456D_451B_A499_389B87C6D872_.wvu.FilterData" localSheetId="3" hidden="1">Guide!$K$2:$K$403</definedName>
    <definedName name="Z_1310835A_36BE_4F17_BAD3_AC11A5621FFD_.wvu.FilterData" localSheetId="2" hidden="1">BTG!$A$1:$AT$862</definedName>
    <definedName name="Z_14088F7B_BBEE_4F0D_AAD4_350484FAD177_.wvu.FilterData" localSheetId="2" hidden="1">BTG!$A$2:$AR$862</definedName>
    <definedName name="Z_14FDAB6E_4950_4297_AFB6_3D0254510B44_.wvu.FilterData" localSheetId="4" hidden="1">Ágora!$D$2:$AF$26</definedName>
    <definedName name="Z_14FDAB6E_4950_4297_AFB6_3D0254510B44_.wvu.FilterData" localSheetId="2" hidden="1">BTG!$D$2:$AK$871</definedName>
    <definedName name="Z_14FDAB6E_4950_4297_AFB6_3D0254510B44_.wvu.FilterData" localSheetId="3" hidden="1">Guide!$A$2:$CA$395</definedName>
    <definedName name="Z_15827669_B1AF_4ADA_B298_B87572DA3A5A_.wvu.FilterData" localSheetId="2" hidden="1">BTG!$A$2:$AR$862</definedName>
    <definedName name="Z_15A9AB4A_7CDD_457A_9D26_0CDDF224CDB8_.wvu.FilterData" localSheetId="2" hidden="1">BTG!$A$1:$AQ$862</definedName>
    <definedName name="Z_1690DE4E_F726_4612_9469_601C6561985D_.wvu.FilterData" localSheetId="4" hidden="1">Ágora!$K$2:$K$26</definedName>
    <definedName name="Z_1690DE4E_F726_4612_9469_601C6561985D_.wvu.FilterData" localSheetId="2" hidden="1">BTG!$K$2:$K$871</definedName>
    <definedName name="Z_1690DE4E_F726_4612_9469_601C6561985D_.wvu.FilterData" localSheetId="3" hidden="1">Guide!$B$2:$P$403</definedName>
    <definedName name="Z_187F2E37_1D08_401F_B6CA_29F69C34600B_.wvu.FilterData" localSheetId="4" hidden="1">Ágora!$B$2:$AF$16</definedName>
    <definedName name="Z_187F2E37_1D08_401F_B6CA_29F69C34600B_.wvu.FilterData" localSheetId="2" hidden="1">BTG!$B$2:$AK$866</definedName>
    <definedName name="Z_187F2E37_1D08_401F_B6CA_29F69C34600B_.wvu.FilterData" localSheetId="3" hidden="1">Guide!$A$1:$CC$395</definedName>
    <definedName name="Z_18BFDA86_90C9_43E5_9671_B80AFF35F44F_.wvu.FilterData" localSheetId="4" hidden="1">Ágora!$B$2:$AF$26</definedName>
    <definedName name="Z_18BFDA86_90C9_43E5_9671_B80AFF35F44F_.wvu.FilterData" localSheetId="2" hidden="1">BTG!$B$2:$AK$871</definedName>
    <definedName name="Z_19154EA7_7505_430F_8B0E_30E9DC5BCE10_.wvu.FilterData" localSheetId="2" hidden="1">BTG!$A$1:$AN$866</definedName>
    <definedName name="Z_19F79A77_F05F_43B9_88BE_32F735A84DA3_.wvu.FilterData" localSheetId="2" hidden="1">BTG!$A$2:$AT$862</definedName>
    <definedName name="Z_1B5B7370_FC19_475F_8306_B7882B20A8EE_.wvu.FilterData" localSheetId="4" hidden="1">Ágora!$AE$2:$AE$26</definedName>
    <definedName name="Z_1B5B7370_FC19_475F_8306_B7882B20A8EE_.wvu.FilterData" localSheetId="2" hidden="1">BTG!$AJ$2:$AJ$871</definedName>
    <definedName name="Z_1B5B7370_FC19_475F_8306_B7882B20A8EE_.wvu.FilterData" localSheetId="3" hidden="1">Guide!$A$2:$CB$395</definedName>
    <definedName name="Z_1C817462_83A1_43F0_BF7C_966B2B856F7F_.wvu.FilterData" localSheetId="4" hidden="1">Ágora!$D$2:$F$26</definedName>
    <definedName name="Z_1C817462_83A1_43F0_BF7C_966B2B856F7F_.wvu.FilterData" localSheetId="2" hidden="1">BTG!$D$2:$F$871</definedName>
    <definedName name="Z_26704F7C_C74F_45EC_98C2_61DDB4F67DCC_.wvu.FilterData" localSheetId="4" hidden="1">Ágora!$D$2:$F$26</definedName>
    <definedName name="Z_26704F7C_C74F_45EC_98C2_61DDB4F67DCC_.wvu.FilterData" localSheetId="2" hidden="1">BTG!$D$2:$F$871</definedName>
    <definedName name="Z_281F539C_5A74_43FC_A88C_47A75714580E_.wvu.FilterData" localSheetId="2" hidden="1">BTG!$A$1:$AQ$862</definedName>
    <definedName name="Z_2C5C3EE9_78DF_4FFB_A79A_75E3071C5D00_.wvu.FilterData" localSheetId="4" hidden="1">Ágora!$B$2:$AG$15</definedName>
    <definedName name="Z_2C5C3EE9_78DF_4FFB_A79A_75E3071C5D00_.wvu.FilterData" localSheetId="2" hidden="1">BTG!$B$2:$AL$866</definedName>
    <definedName name="Z_2E1416A6_9DDF_4D62_8611_D2C31DEDB1C6_.wvu.FilterData" localSheetId="2" hidden="1">BTG!$A$1:$AQ$871</definedName>
    <definedName name="Z_2F5B4967_5DBD_46DD_B005_7E9FE69A6F8D_.wvu.FilterData" localSheetId="2" hidden="1">BTG!$A$1:$AO$871</definedName>
    <definedName name="Z_2FCABD4C_1224_414F_A616_D681368D7A4F_.wvu.FilterData" localSheetId="4" hidden="1">Ágora!$K$2:$K$26</definedName>
    <definedName name="Z_2FCABD4C_1224_414F_A616_D681368D7A4F_.wvu.FilterData" localSheetId="2" hidden="1">BTG!$K$2:$K$871</definedName>
    <definedName name="Z_2FCABD4C_1224_414F_A616_D681368D7A4F_.wvu.FilterData" localSheetId="3" hidden="1">Guide!$B$2:$BU$395</definedName>
    <definedName name="Z_2FF61B21_4B07_496A_9823_45752FDDEC31_.wvu.FilterData" localSheetId="4" hidden="1">Ágora!$B$2:$AG$15</definedName>
    <definedName name="Z_2FF61B21_4B07_496A_9823_45752FDDEC31_.wvu.FilterData" localSheetId="2" hidden="1">BTG!$B$2:$AL$866</definedName>
    <definedName name="Z_2FF8F613_A7E1_45DF_8A10_A57931A18845_.wvu.FilterData" localSheetId="4" hidden="1">Ágora!$B$2:$AF$16</definedName>
    <definedName name="Z_2FF8F613_A7E1_45DF_8A10_A57931A18845_.wvu.FilterData" localSheetId="2" hidden="1">BTG!$B$2:$AK$866</definedName>
    <definedName name="Z_2FF8F613_A7E1_45DF_8A10_A57931A18845_.wvu.FilterData" localSheetId="3" hidden="1">Guide!$K$2:$K$403</definedName>
    <definedName name="Z_31BAD605_5612_4733_8F02_7FA30239EFFB_.wvu.FilterData" localSheetId="4" hidden="1">Ágora!$B$2:$AH$15</definedName>
    <definedName name="Z_31BAD605_5612_4733_8F02_7FA30239EFFB_.wvu.FilterData" localSheetId="2" hidden="1">BTG!$B$2:$AM$866</definedName>
    <definedName name="Z_31BAD605_5612_4733_8F02_7FA30239EFFB_.wvu.FilterData" localSheetId="1" hidden="1">'Clientes Novos'!$A$1:$P$1</definedName>
    <definedName name="Z_31BAD605_5612_4733_8F02_7FA30239EFFB_.wvu.FilterData" localSheetId="5" hidden="1">Genial!$A$1:$BZ$40</definedName>
    <definedName name="Z_31BAD605_5612_4733_8F02_7FA30239EFFB_.wvu.FilterData" localSheetId="3" hidden="1">Guide!$L$2:$L$403</definedName>
    <definedName name="Z_31BAD605_5612_4733_8F02_7FA30239EFFB_.wvu.FilterData" localSheetId="8" hidden="1">'Interactive Brokers'!$B$2:$W$5</definedName>
    <definedName name="Z_31BAD605_5612_4733_8F02_7FA30239EFFB_.wvu.FilterData" localSheetId="7" hidden="1">Pershing!$C$2:$AG$24</definedName>
    <definedName name="Z_31BAD605_5612_4733_8F02_7FA30239EFFB_.wvu.FilterData" localSheetId="17" hidden="1">Saídas!$A$2:$K$798</definedName>
    <definedName name="Z_31BAD605_5612_4733_8F02_7FA30239EFFB_.wvu.FilterData" localSheetId="10" hidden="1">'XP Arquivo'!$C$1:$BN$543</definedName>
    <definedName name="Z_31F6E55E_A299_4188_850B_48204652322C_.wvu.FilterData" localSheetId="2" hidden="1">BTG!$A$1:$AR$862</definedName>
    <definedName name="Z_3236FA0F_5BED_4A7B_A23F_EACF6040CF7B_.wvu.FilterData" localSheetId="2" hidden="1">BTG!$A$1:$AR$862</definedName>
    <definedName name="Z_33F6ADEF_2E38_429C_80FB_024724DFBF41_.wvu.FilterData" localSheetId="4" hidden="1">Ágora!$B$2:$AG$15</definedName>
    <definedName name="Z_33F6ADEF_2E38_429C_80FB_024724DFBF41_.wvu.FilterData" localSheetId="2" hidden="1">BTG!$B$2:$AL$866</definedName>
    <definedName name="Z_36522B2C_2FE1_46A8_A7B9_DE88F890D0AD_.wvu.FilterData" localSheetId="2" hidden="1">BTG!$A$1:$AR$862</definedName>
    <definedName name="Z_36A6B0CA_EE31_4FBF_8D64_D076CD8CC124_.wvu.FilterData" localSheetId="4" hidden="1">Ágora!$B$2:$AG$15</definedName>
    <definedName name="Z_36A6B0CA_EE31_4FBF_8D64_D076CD8CC124_.wvu.FilterData" localSheetId="2" hidden="1">BTG!$B$2:$AL$866</definedName>
    <definedName name="Z_37E2DCA0_870F_45B5_8ADA_2998F27F6F0D_.wvu.FilterData" localSheetId="4" hidden="1">Ágora!$B$2:$AF$16</definedName>
    <definedName name="Z_37E2DCA0_870F_45B5_8ADA_2998F27F6F0D_.wvu.FilterData" localSheetId="2" hidden="1">BTG!$B$2:$AK$866</definedName>
    <definedName name="Z_37E2DCA0_870F_45B5_8ADA_2998F27F6F0D_.wvu.FilterData" localSheetId="3" hidden="1">Guide!$B$2:$BQ$395</definedName>
    <definedName name="Z_3891FFA7_CC39_4DED_9D26_53E6E189E0AA_.wvu.FilterData" localSheetId="2" hidden="1">BTG!$D$2:$E$864</definedName>
    <definedName name="Z_394E12A5_8D56_4ACA_A54C_71EAAF9DEA9B_.wvu.FilterData" localSheetId="4" hidden="1">Ágora!$B$2:$AG$15</definedName>
    <definedName name="Z_394E12A5_8D56_4ACA_A54C_71EAAF9DEA9B_.wvu.FilterData" localSheetId="2" hidden="1">BTG!$B$2:$AL$866</definedName>
    <definedName name="Z_3C1919D2_3766_49CD_BCB3_6FC578924078_.wvu.FilterData" localSheetId="4" hidden="1">Ágora!$B$2:$AG$15</definedName>
    <definedName name="Z_3C1919D2_3766_49CD_BCB3_6FC578924078_.wvu.FilterData" localSheetId="2" hidden="1">BTG!$B$2:$AL$866</definedName>
    <definedName name="Z_3CEB32DC_FC34_404B_9B1D_F4349E9B14A2_.wvu.FilterData" localSheetId="4" hidden="1">Ágora!$B$2:$AD$16</definedName>
    <definedName name="Z_3CEB32DC_FC34_404B_9B1D_F4349E9B14A2_.wvu.FilterData" localSheetId="2" hidden="1">BTG!$B$2:$AI$866</definedName>
    <definedName name="Z_3CEB32DC_FC34_404B_9B1D_F4349E9B14A2_.wvu.FilterData" localSheetId="3" hidden="1">Guide!$K$2:$P$403</definedName>
    <definedName name="Z_3D734A4F_D464_4994_84FD_80EDF2D2AAA1_.wvu.FilterData" localSheetId="4" hidden="1">Ágora!$B$2:$AG$15</definedName>
    <definedName name="Z_3D734A4F_D464_4994_84FD_80EDF2D2AAA1_.wvu.FilterData" localSheetId="2" hidden="1">BTG!$B$2:$AL$866</definedName>
    <definedName name="Z_3DDF7DA9_C407_40EA_8349_A8128D23F1DD_.wvu.FilterData" localSheetId="2" hidden="1">BTG!$A$1:$AO$870</definedName>
    <definedName name="Z_3E306471_1334_4489_A062_790487D5CC5D_.wvu.FilterData" localSheetId="4" hidden="1">Ágora!$AG$2:$AG$26</definedName>
    <definedName name="Z_3E306471_1334_4489_A062_790487D5CC5D_.wvu.FilterData" localSheetId="2" hidden="1">BTG!$AL$2:$AL$871</definedName>
    <definedName name="Z_3F9F0405_392A_4E73_96AE_035E57B16111_.wvu.FilterData" localSheetId="2" hidden="1">BTG!$A$1:$AN$866</definedName>
    <definedName name="Z_40B5BC73_B246_446C_A406_0BA25F2CEFB4_.wvu.FilterData" localSheetId="2" hidden="1">BTG!$A$1:$AR$862</definedName>
    <definedName name="Z_41819020_BF88_4272_BD63_29F4CC0F6276_.wvu.FilterData" localSheetId="2" hidden="1">BTG!$A$1:$AN$866</definedName>
    <definedName name="Z_42EBA6C3_EA37_466D_8DA1_D3E0E4E432C2_.wvu.FilterData" localSheetId="4" hidden="1">Ágora!$F$2:$F$26</definedName>
    <definedName name="Z_42EBA6C3_EA37_466D_8DA1_D3E0E4E432C2_.wvu.FilterData" localSheetId="2" hidden="1">BTG!$F$2:$F$871</definedName>
    <definedName name="Z_465AA09F_DCCE_4A6C_9357_B7D8D3EE1D55_.wvu.FilterData" localSheetId="2" hidden="1">BTG!$A$1:$AT$866</definedName>
    <definedName name="Z_476AFC24_5531_429C_A073_D286CD41620D_.wvu.FilterData" localSheetId="2" hidden="1">BTG!$A$1:$AR$862</definedName>
    <definedName name="Z_4875A4E1_7CBA_46BB_B747_B252C71E2DAB_.wvu.FilterData" localSheetId="2" hidden="1">BTG!$A$1:$AT$862</definedName>
    <definedName name="Z_49792FEA_CF16_44D8_A830_4C89AED8A6DE_.wvu.FilterData" localSheetId="4" hidden="1">Ágora!$B$2:$AD$16</definedName>
    <definedName name="Z_49792FEA_CF16_44D8_A830_4C89AED8A6DE_.wvu.FilterData" localSheetId="2" hidden="1">BTG!$B$2:$AI$866</definedName>
    <definedName name="Z_49792FEA_CF16_44D8_A830_4C89AED8A6DE_.wvu.FilterData" localSheetId="3" hidden="1">Guide!$B$2:$P$403</definedName>
    <definedName name="Z_49B5D05B_3779_40EA_AF9A_F4C0AC90CAB6_.wvu.FilterData" localSheetId="2" hidden="1">BTG!$A$2:$AT$862</definedName>
    <definedName name="Z_4AA370D1_9D82_4650_94D1_B899FD1CF272_.wvu.FilterData" localSheetId="4" hidden="1">Ágora!$Q$2:$Q$26</definedName>
    <definedName name="Z_4AA370D1_9D82_4650_94D1_B899FD1CF272_.wvu.FilterData" localSheetId="2" hidden="1">BTG!$Q$2:$Q$871</definedName>
    <definedName name="Z_4ACE3FD7_7E6D_49A5_BA7A_7BB17F4DBD51_.wvu.FilterData" localSheetId="2" hidden="1">BTG!$A$1:$AN$866</definedName>
    <definedName name="Z_4ACE3FD7_7E6D_49A5_BA7A_7BB17F4DBD51_.wvu.FilterData" localSheetId="3" hidden="1">Guide!$A$1:$CC$395</definedName>
    <definedName name="Z_4B506129_F12F_4933_8B44_715BF967596B_.wvu.FilterData" localSheetId="4" hidden="1">Ágora!$B$2:$AF$16</definedName>
    <definedName name="Z_4B506129_F12F_4933_8B44_715BF967596B_.wvu.FilterData" localSheetId="2" hidden="1">BTG!$B$2:$AK$866</definedName>
    <definedName name="Z_4D027CF9_EB10_4E0D_A919_970A63BCE6FF_.wvu.FilterData" localSheetId="4" hidden="1">Ágora!$AG$2:$AG$26</definedName>
    <definedName name="Z_4D027CF9_EB10_4E0D_A919_970A63BCE6FF_.wvu.FilterData" localSheetId="2" hidden="1">BTG!$AL$2:$AL$871</definedName>
    <definedName name="Z_4D257AC7_7FC0_4C45_95A3_E076280BB1F8_.wvu.FilterData" localSheetId="2" hidden="1">BTG!$A$1:$AN$866</definedName>
    <definedName name="Z_4D257AC7_7FC0_4C45_95A3_E076280BB1F8_.wvu.FilterData" localSheetId="3" hidden="1">Guide!$K$2:$K$403</definedName>
    <definedName name="Z_4DC4A6A4_A2D6_4D5D_9D2E_378E1B8AB498_.wvu.FilterData" localSheetId="4" hidden="1">Ágora!$B$2:$AF$16</definedName>
    <definedName name="Z_4DC4A6A4_A2D6_4D5D_9D2E_378E1B8AB498_.wvu.FilterData" localSheetId="2" hidden="1">BTG!$B$2:$AK$866</definedName>
    <definedName name="Z_4DC4A6A4_A2D6_4D5D_9D2E_378E1B8AB498_.wvu.FilterData" localSheetId="3" hidden="1">Guide!$K$2:$K$403</definedName>
    <definedName name="Z_4FDD5AD3_463A_44A2_BEAA_F784F9C9AB8E_.wvu.FilterData" localSheetId="2" hidden="1">BTG!$A$2:$AQ$862</definedName>
    <definedName name="Z_5018FD2B_7792_4D0D_94F6_99F33A650426_.wvu.FilterData" localSheetId="2" hidden="1">BTG!$A$1:$AT$862</definedName>
    <definedName name="Z_509FB202_72E5_42DF_8581_FB8AAD8F3228_.wvu.FilterData" localSheetId="2" hidden="1">BTG!$A$2:$AS$862</definedName>
    <definedName name="Z_52B8EA4E_D7FD_4600_86D7_B8AEB7679182_.wvu.FilterData" localSheetId="2" hidden="1">BTG!$A$1:$BA$866</definedName>
    <definedName name="Z_56A9FFAE_38AF_46C2_9D87_07B80DF5A8DB_.wvu.FilterData" localSheetId="2" hidden="1">BTG!$A$1:$AS$862</definedName>
    <definedName name="Z_56F1DB6B_A539_48C4_B4F6_4EB9B8604673_.wvu.FilterData" localSheetId="2" hidden="1">BTG!$A$2:$AT$862</definedName>
    <definedName name="Z_575232E1_5EF4_46D9_BCBB_E0A44E0E44C4_.wvu.FilterData" localSheetId="4" hidden="1">Ágora!$B$2:$AG$15</definedName>
    <definedName name="Z_575232E1_5EF4_46D9_BCBB_E0A44E0E44C4_.wvu.FilterData" localSheetId="2" hidden="1">BTG!$B$2:$AL$866</definedName>
    <definedName name="Z_590023CF_253C_4167_AB12_70BB5EEDAB0A_.wvu.FilterData" localSheetId="2" hidden="1">BTG!$J$1:$P$861</definedName>
    <definedName name="Z_5B820ADB_D2D8_4382_861A_63ED9120198B_.wvu.FilterData" localSheetId="2" hidden="1">BTG!$A$1:$AR$862</definedName>
    <definedName name="Z_5C12079A_CE41_4946_B5B8_7C527CC984F1_.wvu.FilterData" localSheetId="2" hidden="1">BTG!$A$2:$AT$862</definedName>
    <definedName name="Z_5DCFC95B_FCE7_43C5_9DD6_DF415E1C24C8_.wvu.FilterData" localSheetId="2" hidden="1">BTG!$A$1:$AR$862</definedName>
    <definedName name="Z_5E868580_8693_4844_A1C7_BEB3B7E251C9_.wvu.FilterData" localSheetId="2" hidden="1">BTG!$AE$2:$AE$871</definedName>
    <definedName name="Z_5E868580_8693_4844_A1C7_BEB3B7E251C9_.wvu.FilterData" localSheetId="3" hidden="1">Guide!$K$2:$K$403</definedName>
    <definedName name="Z_60202238_6872_4955_81A6_A3A4A0E14F7B_.wvu.FilterData" localSheetId="2" hidden="1">BTG!$A$1:$AR$871</definedName>
    <definedName name="Z_640FAB0F_2934_4C3B_BD33_6FD8BEDDCF8A_.wvu.FilterData" localSheetId="4" hidden="1">Ágora!$B$2:$AG$26</definedName>
    <definedName name="Z_640FAB0F_2934_4C3B_BD33_6FD8BEDDCF8A_.wvu.FilterData" localSheetId="2" hidden="1">BTG!$B$2:$AL$871</definedName>
    <definedName name="Z_64E5F6BA_7475_4F33_A780_3812F4FD3ECD_.wvu.FilterData" localSheetId="2" hidden="1">BTG!$A$1:$AO$871</definedName>
    <definedName name="Z_655F01EF_CABD_48B5_8071_3F96E313EE9B_.wvu.FilterData" localSheetId="4" hidden="1">Ágora!$D$2:$F$26</definedName>
    <definedName name="Z_655F01EF_CABD_48B5_8071_3F96E313EE9B_.wvu.FilterData" localSheetId="2" hidden="1">BTG!$D$2:$F$871</definedName>
    <definedName name="Z_65B0B82D_30AD_47A4_90D7_4A167F2F9F67_.wvu.FilterData" localSheetId="2" hidden="1">BTG!$A$1:$AS$862</definedName>
    <definedName name="Z_66441F65_CE3B_49B6_B0AC_59C3CDDB5E42_.wvu.FilterData" localSheetId="2" hidden="1">BTG!$A$1:$AO$871</definedName>
    <definedName name="Z_6B0F1D7B_A8CA_4F80_BBF1_EEC1D73AB5FD_.wvu.FilterData" localSheetId="2" hidden="1">BTG!$A$2:$AR$862</definedName>
    <definedName name="Z_6BD8C679_CB27_4D52_BB94_8BC37DFBBEE8_.wvu.FilterData" localSheetId="2" hidden="1">BTG!$A$1:$AN$866</definedName>
    <definedName name="Z_6D98A759_6E69_4B12_821F_B20048AD2646_.wvu.FilterData" localSheetId="2" hidden="1">BTG!$A$1:$AR$862</definedName>
    <definedName name="Z_76A50631_E853_47C0_97A7_B44DDD6611FA_.wvu.FilterData" localSheetId="4" hidden="1">Ágora!$B$2:$AG$15</definedName>
    <definedName name="Z_76A50631_E853_47C0_97A7_B44DDD6611FA_.wvu.FilterData" localSheetId="2" hidden="1">BTG!$B$2:$AL$866</definedName>
    <definedName name="Z_781F9191_CBD1_41EF_9AE1_CD4B888FAD0C_.wvu.FilterData" localSheetId="4" hidden="1">Ágora!$B$2:$AG$15</definedName>
    <definedName name="Z_781F9191_CBD1_41EF_9AE1_CD4B888FAD0C_.wvu.FilterData" localSheetId="2" hidden="1">BTG!$B$2:$AL$866</definedName>
    <definedName name="Z_784428B3_B63A_40CE_BD93_DE3A100A7773_.wvu.FilterData" localSheetId="4" hidden="1">Ágora!$AF$2:$AF$26</definedName>
    <definedName name="Z_784428B3_B63A_40CE_BD93_DE3A100A7773_.wvu.FilterData" localSheetId="2" hidden="1">BTG!$AK$2:$AK$871</definedName>
    <definedName name="Z_784428B3_B63A_40CE_BD93_DE3A100A7773_.wvu.FilterData" localSheetId="3" hidden="1">Guide!$A$1:$CA$395</definedName>
    <definedName name="Z_789A79FB_FAF2_4AE5_BD36_133FD8E897B3_.wvu.FilterData" localSheetId="2" hidden="1">BTG!$A$1:$AN$866</definedName>
    <definedName name="Z_7B0BEB0B_B983_42F1_97BD_38C11EE79955_.wvu.FilterData" localSheetId="2" hidden="1">BTG!$A$1:$AS$862</definedName>
    <definedName name="Z_7B3F7769_484A_4A42_8036_07ADC3302801_.wvu.FilterData" localSheetId="2" hidden="1">BTG!$A$1:$AS$862</definedName>
    <definedName name="Z_7C1D6EB7_7DBC_48F9_8921_C3BDF508FF02_.wvu.FilterData" localSheetId="2" hidden="1">BTG!$A$1:$AN$866</definedName>
    <definedName name="Z_7C31324E_0FDC_4FF5_83DF_FC5ABA33B59F_.wvu.FilterData" localSheetId="2" hidden="1">BTG!$A$1:$AP$862</definedName>
    <definedName name="Z_7C7A4BB4_DCB9_4182_8741_357D9B800F13_.wvu.FilterData" localSheetId="2" hidden="1">BTG!$A$1:$AQ$862</definedName>
    <definedName name="Z_7DD2A949_67E9_4504_A2B9_EEC4F429F310_.wvu.FilterData" localSheetId="2" hidden="1">BTG!$A$1:$AO$866</definedName>
    <definedName name="Z_8058A662_82B6_4306_B12A_EF8751CB0A4F_.wvu.FilterData" localSheetId="4" hidden="1">Ágora!$B$2:$AD$16</definedName>
    <definedName name="Z_8058A662_82B6_4306_B12A_EF8751CB0A4F_.wvu.FilterData" localSheetId="2" hidden="1">BTG!$B$2:$AI$866</definedName>
    <definedName name="Z_8058A662_82B6_4306_B12A_EF8751CB0A4F_.wvu.FilterData" localSheetId="3" hidden="1">Guide!$B$2:$P$403</definedName>
    <definedName name="Z_8265ADC6_3C9D_4BAC_99AC_B2EB3FC957B1_.wvu.FilterData" localSheetId="2" hidden="1">BTG!$A$2:$AT$862</definedName>
    <definedName name="Z_82ED4851_3DA2_4458_BD2D_989931D72E98_.wvu.FilterData" localSheetId="4" hidden="1">Ágora!$F$2:$AF$26</definedName>
    <definedName name="Z_82ED4851_3DA2_4458_BD2D_989931D72E98_.wvu.FilterData" localSheetId="2" hidden="1">BTG!$F$2:$AK$871</definedName>
    <definedName name="Z_82ED4851_3DA2_4458_BD2D_989931D72E98_.wvu.FilterData" localSheetId="3" hidden="1">Guide!$A$2:$CB$395</definedName>
    <definedName name="Z_8380BBA0_DD8B_4D15_9E68_25A55EF1EE83_.wvu.FilterData" localSheetId="2" hidden="1">BTG!$A$2:$AN$866</definedName>
    <definedName name="Z_8380BBA0_DD8B_4D15_9E68_25A55EF1EE83_.wvu.FilterData" localSheetId="1" hidden="1">'Clientes Novos'!$A$1:$P$1</definedName>
    <definedName name="Z_8380BBA0_DD8B_4D15_9E68_25A55EF1EE83_.wvu.FilterData" localSheetId="3" hidden="1">Guide!$K$2:$K$403</definedName>
    <definedName name="Z_86DDA1FA_1917_4C5E_BBFA_B2B7D5F2B6FB_.wvu.FilterData" localSheetId="2" hidden="1">BTG!$A$1:$AT$862</definedName>
    <definedName name="Z_87DE2AE3_A5F0_4587_9B4E_271A7BB8EB3E_.wvu.FilterData" localSheetId="4" hidden="1">Ágora!$D$2:$K$26</definedName>
    <definedName name="Z_87DE2AE3_A5F0_4587_9B4E_271A7BB8EB3E_.wvu.FilterData" localSheetId="2" hidden="1">BTG!$D$2:$K$871</definedName>
    <definedName name="Z_87DE2AE3_A5F0_4587_9B4E_271A7BB8EB3E_.wvu.FilterData" localSheetId="3" hidden="1">Guide!$A$1:$BY$403</definedName>
    <definedName name="Z_87E4A958_CDC6_4EF1_BDE3_FF72B2C36669_.wvu.FilterData" localSheetId="4" hidden="1">Ágora!$B$2:$AF$16</definedName>
    <definedName name="Z_87E4A958_CDC6_4EF1_BDE3_FF72B2C36669_.wvu.FilterData" localSheetId="2" hidden="1">BTG!$B$2:$AK$866</definedName>
    <definedName name="Z_87E4A958_CDC6_4EF1_BDE3_FF72B2C36669_.wvu.FilterData" localSheetId="3" hidden="1">Guide!$A$2:$BZ$395</definedName>
    <definedName name="Z_8A443CDD_ABC8_44B6_8155_B9F0F51EE59E_.wvu.FilterData" localSheetId="2" hidden="1">BTG!$A$1:$AR$862</definedName>
    <definedName name="Z_8DFCE0B2_11F2_4898_8C34_389FA9CE0D89_.wvu.FilterData" localSheetId="2" hidden="1">BTG!$A$1:$AS$862</definedName>
    <definedName name="Z_8E51D859_3307_453C_A3E9_A6A335A21F47_.wvu.FilterData" localSheetId="4" hidden="1">Ágora!$K$2:$K$26</definedName>
    <definedName name="Z_8E51D859_3307_453C_A3E9_A6A335A21F47_.wvu.FilterData" localSheetId="2" hidden="1">BTG!$K$2:$K$871</definedName>
    <definedName name="Z_8F9D2EE2_2BA6_4218_ABAC_59A49CE16850_.wvu.FilterData" localSheetId="4" hidden="1">Ágora!$F$2:$F$26</definedName>
    <definedName name="Z_8F9D2EE2_2BA6_4218_ABAC_59A49CE16850_.wvu.FilterData" localSheetId="2" hidden="1">BTG!$F$2:$F$871</definedName>
    <definedName name="Z_8F9D2EE2_2BA6_4218_ABAC_59A49CE16850_.wvu.FilterData" localSheetId="3" hidden="1">Guide!$B$2:$BS$403</definedName>
    <definedName name="Z_90BB7BCB_A56E_4BFE_85E7_3D541F30B5EA_.wvu.FilterData" localSheetId="2" hidden="1">BTG!$A$2:$AT$862</definedName>
    <definedName name="Z_91D3587C_2C59_43EF_A783_7D9A580C47C7_.wvu.FilterData" localSheetId="2" hidden="1">BTG!$A$1:$AO$870</definedName>
    <definedName name="Z_91E7A462_D5A1_4210_BCE0_60696957307A_.wvu.FilterData" localSheetId="2" hidden="1">BTG!$A$1:$AT$862</definedName>
    <definedName name="Z_92AFCDE9_DBED_498D_9FC1_F7814E493E29_.wvu.FilterData" localSheetId="4" hidden="1">Ágora!$B$2:$AG$16</definedName>
    <definedName name="Z_92AFCDE9_DBED_498D_9FC1_F7814E493E29_.wvu.FilterData" localSheetId="2" hidden="1">BTG!$B$2:$AL$866</definedName>
    <definedName name="Z_9314C9A5_618C_49A2_B154_291D865D305F_.wvu.FilterData" localSheetId="2" hidden="1">BTG!$A$1:$AQ$862</definedName>
    <definedName name="Z_943B28B3_08AB_4F9A_A682_3601EDDE8855_.wvu.FilterData" localSheetId="4" hidden="1">Ágora!$B$2:$AF$16</definedName>
    <definedName name="Z_943B28B3_08AB_4F9A_A682_3601EDDE8855_.wvu.FilterData" localSheetId="2" hidden="1">BTG!$B$2:$AK$866</definedName>
    <definedName name="Z_94DCB17C_70F1_47DA_B8BB_EA307041BFE5_.wvu.FilterData" localSheetId="2" hidden="1">BTG!$H$1:$I$864</definedName>
    <definedName name="Z_95D3FD1A_2488_4FF8_95B0_57F346C71938_.wvu.FilterData" localSheetId="4" hidden="1">Ágora!$B$2:$AF$26</definedName>
    <definedName name="Z_95D3FD1A_2488_4FF8_95B0_57F346C71938_.wvu.FilterData" localSheetId="2" hidden="1">BTG!$B$2:$AK$871</definedName>
    <definedName name="Z_95D3FD1A_2488_4FF8_95B0_57F346C71938_.wvu.FilterData" localSheetId="3" hidden="1">Guide!$A$1:$BZ$395</definedName>
    <definedName name="Z_969AF11A_79B7_40DA_A547_4C4BEC66A4EF_.wvu.FilterData" localSheetId="2" hidden="1">BTG!$A$2:$AS$862</definedName>
    <definedName name="Z_96CAA17C_4798_4A19_92A9_6A6DB4AB16A3_.wvu.FilterData" localSheetId="2" hidden="1">BTG!$A$1:$AR$862</definedName>
    <definedName name="Z_9705F661_FEE5_40D8_8A21_030D907C6555_.wvu.FilterData" localSheetId="2" hidden="1">BTG!$A$1:$AT$862</definedName>
    <definedName name="Z_9CA858E8_8765_423C_A4B2_89BFDEC286E3_.wvu.FilterData" localSheetId="4" hidden="1">Ágora!$F$2:$F$26</definedName>
    <definedName name="Z_9CA858E8_8765_423C_A4B2_89BFDEC286E3_.wvu.FilterData" localSheetId="2" hidden="1">BTG!$F$2:$F$871</definedName>
    <definedName name="Z_9DF32D71_BC92_44A9_A720_94B989A25251_.wvu.FilterData" localSheetId="2" hidden="1">BTG!$A$2:$AR$862</definedName>
    <definedName name="Z_9E552739_72DD_45E8_8C7B_29F9FBD3645B_.wvu.FilterData" localSheetId="4" hidden="1">Ágora!$B$2:$AD$16</definedName>
    <definedName name="Z_9E552739_72DD_45E8_8C7B_29F9FBD3645B_.wvu.FilterData" localSheetId="2" hidden="1">BTG!$B$2:$AI$866</definedName>
    <definedName name="Z_9E552739_72DD_45E8_8C7B_29F9FBD3645B_.wvu.FilterData" localSheetId="1" hidden="1">'Clientes Novos'!$C$1</definedName>
    <definedName name="Z_9E552739_72DD_45E8_8C7B_29F9FBD3645B_.wvu.FilterData" localSheetId="3" hidden="1">Guide!$B$2:$BP$395</definedName>
    <definedName name="Z_9F23C998_774E_45AD_9AD3_10B117827239_.wvu.FilterData" localSheetId="2" hidden="1">BTG!$A$2:$AR$862</definedName>
    <definedName name="Z_9F5DE3B0_74AE_47FB_B6D9_ACD6877BEF18_.wvu.FilterData" localSheetId="2" hidden="1">BTG!$A$1:$AR$862</definedName>
    <definedName name="Z_A13DEDFA_A216_47FE_81D3_65981B4113EB_.wvu.FilterData" localSheetId="2" hidden="1">BTG!$A$1:$AS$862</definedName>
    <definedName name="Z_A1EFF1DE_3FA0_4210_98FB_193B242B91F7_.wvu.FilterData" localSheetId="4" hidden="1">Ágora!$K$2:$K$26</definedName>
    <definedName name="Z_A1EFF1DE_3FA0_4210_98FB_193B242B91F7_.wvu.FilterData" localSheetId="2" hidden="1">BTG!$K$2:$K$871</definedName>
    <definedName name="Z_A6E7F878_3C35_4797_9AED_F156F9C64D89_.wvu.FilterData" localSheetId="2" hidden="1">BTG!$A$1:$AO$871</definedName>
    <definedName name="Z_A7BEA640_BDD3_4407_AB98_564FD149040A_.wvu.FilterData" localSheetId="2" hidden="1">BTG!$A$1:$AT$862</definedName>
    <definedName name="Z_A84BCDCF_44CE_4E38_99E3_BF349990446C_.wvu.FilterData" localSheetId="4" hidden="1">Ágora!$B$2:$AG$26</definedName>
    <definedName name="Z_A84BCDCF_44CE_4E38_99E3_BF349990446C_.wvu.FilterData" localSheetId="2" hidden="1">BTG!$B$2:$AL$871</definedName>
    <definedName name="Z_A9887CDC_6F11_42B2_AB6A_FEBD00A3638F_.wvu.FilterData" localSheetId="4" hidden="1">Ágora!$B$2:$AD$16</definedName>
    <definedName name="Z_A9887CDC_6F11_42B2_AB6A_FEBD00A3638F_.wvu.FilterData" localSheetId="2" hidden="1">BTG!$B$2:$AI$866</definedName>
    <definedName name="Z_A9887CDC_6F11_42B2_AB6A_FEBD00A3638F_.wvu.FilterData" localSheetId="3" hidden="1">Guide!$K$2:$K$403</definedName>
    <definedName name="Z_A9B28D02_D9FC_423B_AD09_B6949DCE09BF_.wvu.FilterData" localSheetId="2" hidden="1">BTG!$A$1:$AS$862</definedName>
    <definedName name="Z_AD79BEA7_EA3F_49B2_A53A_E02A8AA0EFB3_.wvu.FilterData" localSheetId="2" hidden="1">BTG!$A$1:$AO$866</definedName>
    <definedName name="Z_B012B0CF_ACA6_451F_9B21_9249A650F47F_.wvu.FilterData" localSheetId="2" hidden="1">BTG!$A$1:$AN$866</definedName>
    <definedName name="Z_B14CF0D0_F469_4868_AE67_78AACD856736_.wvu.FilterData" localSheetId="2" hidden="1">BTG!$A$1:$AR$862</definedName>
    <definedName name="Z_B2BFE901_B4B4_4393_861D_055AD1BB086D_.wvu.FilterData" localSheetId="4" hidden="1">Ágora!$B$2:$AD$16</definedName>
    <definedName name="Z_B2BFE901_B4B4_4393_861D_055AD1BB086D_.wvu.FilterData" localSheetId="2" hidden="1">BTG!$B$2:$AI$866</definedName>
    <definedName name="Z_B2BFE901_B4B4_4393_861D_055AD1BB086D_.wvu.FilterData" localSheetId="3" hidden="1">Guide!$K$2:$P$403</definedName>
    <definedName name="Z_B359C7B2_3604_4BAF_9DE3_2EFB33C2CB66_.wvu.FilterData" localSheetId="2" hidden="1">BTG!$AT$8:$AT$859</definedName>
    <definedName name="Z_B72A137F_6618_472B_B31F_A228496BFEFE_.wvu.FilterData" localSheetId="4" hidden="1">Ágora!$B$2:$AD$16</definedName>
    <definedName name="Z_B72A137F_6618_472B_B31F_A228496BFEFE_.wvu.FilterData" localSheetId="2" hidden="1">BTG!$B$2:$AI$866</definedName>
    <definedName name="Z_B72A137F_6618_472B_B31F_A228496BFEFE_.wvu.FilterData" localSheetId="3" hidden="1">Guide!$B$2:$BQ$395</definedName>
    <definedName name="Z_B73B5E05_E231_40D3_9DFB_918E7DA17F41_.wvu.FilterData" localSheetId="2" hidden="1">BTG!$A$1:$AT$862</definedName>
    <definedName name="Z_B767D544_68D2_4C41_8716_DD983915E095_.wvu.FilterData" localSheetId="2" hidden="1">BTG!$A$1:$F$862</definedName>
    <definedName name="Z_B7AC4631_797E_4FBB_AA64_31266CDA1414_.wvu.FilterData" localSheetId="2" hidden="1">BTG!$A$1:$AP$871</definedName>
    <definedName name="Z_BB122FEC_D882_4A79_B38D_55FAF9080ECC_.wvu.FilterData" localSheetId="2" hidden="1">BTG!$A$1:$AQ$862</definedName>
    <definedName name="Z_BB552302_83D7_4E75_9721_4A908E1DD9C4_.wvu.FilterData" localSheetId="4" hidden="1">Ágora!$K$2:$L$26</definedName>
    <definedName name="Z_BB552302_83D7_4E75_9721_4A908E1DD9C4_.wvu.FilterData" localSheetId="2" hidden="1">BTG!$K$2:$L$871</definedName>
    <definedName name="Z_BB552302_83D7_4E75_9721_4A908E1DD9C4_.wvu.FilterData" localSheetId="1" hidden="1">'Clientes Novos'!$A$1:$I$1</definedName>
    <definedName name="Z_BB552302_83D7_4E75_9721_4A908E1DD9C4_.wvu.FilterData" localSheetId="5" hidden="1">Genial!$A$2:$CC$31</definedName>
    <definedName name="Z_BB552302_83D7_4E75_9721_4A908E1DD9C4_.wvu.FilterData" localSheetId="3" hidden="1">Guide!$K$2:$P$241</definedName>
    <definedName name="Z_BB552302_83D7_4E75_9721_4A908E1DD9C4_.wvu.FilterData" localSheetId="10" hidden="1">'XP Arquivo'!$C$1:$BS$543</definedName>
    <definedName name="Z_BBB60758_302D_42F3_99C1_27EE80466B7D_.wvu.FilterData" localSheetId="2" hidden="1">BTG!$AD$2:$AD$871</definedName>
    <definedName name="Z_BBB60758_302D_42F3_99C1_27EE80466B7D_.wvu.FilterData" localSheetId="3" hidden="1">Guide!$K$2:$K$403</definedName>
    <definedName name="Z_BCB31F8C_4FA4_4B80_8A53_7A6957226DD0_.wvu.FilterData" localSheetId="2" hidden="1">BTG!$A$1:$AN$866</definedName>
    <definedName name="Z_BE28687F_7898_466B_BF0D_F26A9F386BF1_.wvu.FilterData" localSheetId="2" hidden="1">BTG!$A$2:$AS$862</definedName>
    <definedName name="Z_C1A2F180_4317_44A0_986D_3164ECF54A28_.wvu.FilterData" localSheetId="4" hidden="1">Ágora!$D$2:$F$26</definedName>
    <definedName name="Z_C1A2F180_4317_44A0_986D_3164ECF54A28_.wvu.FilterData" localSheetId="2" hidden="1">BTG!$D$2:$F$871</definedName>
    <definedName name="Z_C4D034EF_8D0B_4D54_A88B_E9251A702F2B_.wvu.FilterData" localSheetId="4" hidden="1">Ágora!$D$2:$F$26</definedName>
    <definedName name="Z_C4D034EF_8D0B_4D54_A88B_E9251A702F2B_.wvu.FilterData" localSheetId="2" hidden="1">BTG!$D$2:$F$871</definedName>
    <definedName name="Z_C96A395F_B60F_4372_9BC3_59217864722C_.wvu.FilterData" localSheetId="4" hidden="1">Ágora!$K$2:$K$26</definedName>
    <definedName name="Z_C96A395F_B60F_4372_9BC3_59217864722C_.wvu.FilterData" localSheetId="2" hidden="1">BTG!$K$2:$K$871</definedName>
    <definedName name="Z_C9BB4354_BF57_4FC8_86A4_BA3AE8C11941_.wvu.FilterData" localSheetId="4" hidden="1">Ágora!$F$2:$F$26</definedName>
    <definedName name="Z_C9BB4354_BF57_4FC8_86A4_BA3AE8C11941_.wvu.FilterData" localSheetId="2" hidden="1">BTG!$F$2:$F$871</definedName>
    <definedName name="Z_CAC3EAA7_5BC7_4B69_BFEA_4F3765C59590_.wvu.FilterData" localSheetId="2" hidden="1">BTG!$A$1:$AR$862</definedName>
    <definedName name="Z_CB4D2828_18B3_430C_BACC_7DC15410ECCD_.wvu.FilterData" localSheetId="2" hidden="1">BTG!$A$1:$AT$862</definedName>
    <definedName name="Z_CBED1274_3600_418B_97E1_8D8DB2E607C6_.wvu.FilterData" localSheetId="2" hidden="1">BTG!$A$1:$AR$862</definedName>
    <definedName name="Z_CEF3B9C0_3AB1_4C47_89BF_0B13E82C22F5_.wvu.FilterData" localSheetId="2" hidden="1">BTG!$A$1:$BA$866</definedName>
    <definedName name="Z_CF0FC935_5051_4007_948E_1E430D4E5BAD_.wvu.FilterData" localSheetId="2" hidden="1">BTG!$A$1:$AN$866</definedName>
    <definedName name="Z_D29B7F3D_93C1_40B7_B650_971358D6E2A8_.wvu.FilterData" localSheetId="4" hidden="1">Ágora!$E$2:$F$26</definedName>
    <definedName name="Z_D29B7F3D_93C1_40B7_B650_971358D6E2A8_.wvu.FilterData" localSheetId="2" hidden="1">BTG!$E$2:$F$871</definedName>
    <definedName name="Z_D780AA3F_0B02_4BF5_935A_8516BD852644_.wvu.FilterData" localSheetId="4" hidden="1">Ágora!$B$2:$AG$15</definedName>
    <definedName name="Z_D780AA3F_0B02_4BF5_935A_8516BD852644_.wvu.FilterData" localSheetId="2" hidden="1">BTG!$B$2:$AL$866</definedName>
    <definedName name="Z_DA07D26C_8134_4098_9060_4124AE59455C_.wvu.FilterData" localSheetId="2" hidden="1">BTG!$A$1:$AN$866</definedName>
    <definedName name="Z_DA07D26C_8134_4098_9060_4124AE59455C_.wvu.FilterData" localSheetId="3" hidden="1">Guide!$B$2:$BP$395</definedName>
    <definedName name="Z_DA1DD12B_B65C_4A90_B1E2_8ABE762F9B33_.wvu.FilterData" localSheetId="4" hidden="1">Ágora!$D$2:$AF$26</definedName>
    <definedName name="Z_DA1DD12B_B65C_4A90_B1E2_8ABE762F9B33_.wvu.FilterData" localSheetId="2" hidden="1">BTG!$D$2:$AK$871</definedName>
    <definedName name="Z_DA1DD12B_B65C_4A90_B1E2_8ABE762F9B33_.wvu.FilterData" localSheetId="3" hidden="1">Guide!$A$1:$CC$395</definedName>
    <definedName name="Z_DB74581B_83E5_4A49_9B3E_048B49B7E78E_.wvu.FilterData" localSheetId="2" hidden="1">BTG!$A$1:$AT$866</definedName>
    <definedName name="Z_DD2516C9_4059_43FC_B8FF_97537EC484A1_.wvu.FilterData" localSheetId="2" hidden="1">BTG!$A$2:$AS$862</definedName>
    <definedName name="Z_DE3704E6_33FF_462A_BAB5_B85F8E3F029B_.wvu.FilterData" localSheetId="2" hidden="1">BTG!$A$1:$AR$862</definedName>
    <definedName name="Z_DF2F8F63_1896_4A3C_8BF8_BAF22324C0AA_.wvu.FilterData" localSheetId="2" hidden="1">BTG!$A$1:$AR$862</definedName>
    <definedName name="Z_DFA16F80_BC21_4DA7_9200_885F0DD26557_.wvu.FilterData" localSheetId="2" hidden="1">BTG!$A$1:$AN$871</definedName>
    <definedName name="Z_E18A2C6A_994E_4AA9_8E92_1F0A7462C416_.wvu.FilterData" localSheetId="2" hidden="1">BTG!$A$1:$AQ$862</definedName>
    <definedName name="Z_E6296B3E_8CFB_480B_B156_C1A3E9CD09B6_.wvu.FilterData" localSheetId="2" hidden="1">BTG!$A$2:$AS$862</definedName>
    <definedName name="Z_E77E0D1B_6AF3_42A0_997E_781E1A6E2A5C_.wvu.FilterData" localSheetId="2" hidden="1">BTG!$A$1:$AR$862</definedName>
    <definedName name="Z_E7D11049_6687_4F58_A08C_074C2C8E7C58_.wvu.FilterData" localSheetId="2" hidden="1">BTG!$A$1:$AS$862</definedName>
    <definedName name="Z_E85EF604_B4E4_46A4_BD8E_A25442CE7DFC_.wvu.FilterData" localSheetId="4" hidden="1">Ágora!$M$2:$M$26</definedName>
    <definedName name="Z_E85EF604_B4E4_46A4_BD8E_A25442CE7DFC_.wvu.FilterData" localSheetId="2" hidden="1">BTG!$M$2:$M$871</definedName>
    <definedName name="Z_E95DA332_0B7A_4F89_8F65_41E7B3C2DC67_.wvu.FilterData" localSheetId="2" hidden="1">BTG!$A$1:$AN$866</definedName>
    <definedName name="Z_EA70FF54_3AC9_42A0_9E22_8B7FD551F1D5_.wvu.FilterData" localSheetId="2" hidden="1">BTG!$A$1:$AO$862</definedName>
    <definedName name="Z_EAD43875_4E45_49D9_A7B0_C9250FAB6020_.wvu.FilterData" localSheetId="2" hidden="1">BTG!$A$1:$AT$862</definedName>
    <definedName name="Z_EB0AF947_149A_4058_8FD1_4C2DFC03BAE3_.wvu.FilterData" localSheetId="2" hidden="1">BTG!$A$1:$AQ$862</definedName>
    <definedName name="Z_EBE52BB3_ADA4_4867_A0CA_E6D14134699D_.wvu.FilterData" localSheetId="2" hidden="1">BTG!$A$2:$AP$862</definedName>
    <definedName name="Z_ED1070BE_D844_4B37_B23D_CEFF997DFBD9_.wvu.FilterData" localSheetId="4" hidden="1">Ágora!$F$2:$F$26</definedName>
    <definedName name="Z_ED1070BE_D844_4B37_B23D_CEFF997DFBD9_.wvu.FilterData" localSheetId="2" hidden="1">BTG!$F$2:$F$871</definedName>
    <definedName name="Z_ED1070BE_D844_4B37_B23D_CEFF997DFBD9_.wvu.FilterData" localSheetId="3" hidden="1">Guide!$A$2:$BZ$395</definedName>
    <definedName name="Z_EDB94D84_D432_47A2_A87C_542D0176903E_.wvu.FilterData" localSheetId="4" hidden="1">Ágora!$M$2:$O$26</definedName>
    <definedName name="Z_EDB94D84_D432_47A2_A87C_542D0176903E_.wvu.FilterData" localSheetId="2" hidden="1">BTG!$M$2:$O$871</definedName>
    <definedName name="Z_F03EB8AB_8665_4A14_B965_CEDB21F28C49_.wvu.FilterData" localSheetId="2" hidden="1">BTG!$A$2:$AT$862</definedName>
    <definedName name="Z_F162B7F2_7CDB_42F5_A429_682BF4DE88D6_.wvu.FilterData" localSheetId="2" hidden="1">BTG!$A$2:$AN$866</definedName>
    <definedName name="Z_F36EA7F2_B690_40B4_9BBC_B7B68A122081_.wvu.FilterData" localSheetId="2" hidden="1">BTG!$A$2:$AS$862</definedName>
    <definedName name="Z_F493BEFD_7C46_47E1_B095_5B5A31D66205_.wvu.FilterData" localSheetId="2" hidden="1">BTG!$A$1:$AN$866</definedName>
    <definedName name="Z_F599E123_4B2C_4FC2_8B97_2E165BA8D0FE_.wvu.FilterData" localSheetId="4" hidden="1">Ágora!$B$2:$Q$15</definedName>
    <definedName name="Z_F599E123_4B2C_4FC2_8B97_2E165BA8D0FE_.wvu.FilterData" localSheetId="2" hidden="1">BTG!$B$2:$Q$866</definedName>
    <definedName name="Z_F5C89102_EBEF_481F_B5BB_D8BECF305B9F_.wvu.FilterData" localSheetId="2" hidden="1">BTG!$A$1:$AN$866</definedName>
    <definedName name="Z_F6E5FCDB_B8CB_4BE9_95F1_F7D06B1C07C7_.wvu.FilterData" localSheetId="2" hidden="1">BTG!$A$2:$AT$862</definedName>
    <definedName name="Z_FA344799_C027_418F_BEA1_82C5C82A4E24_.wvu.FilterData" localSheetId="4" hidden="1">Ágora!$F$2:$F$26</definedName>
    <definedName name="Z_FA344799_C027_418F_BEA1_82C5C82A4E24_.wvu.FilterData" localSheetId="2" hidden="1">BTG!$F$2:$F$871</definedName>
    <definedName name="Z_FA344799_C027_418F_BEA1_82C5C82A4E24_.wvu.FilterData" localSheetId="3" hidden="1">Guide!$A$1:$CA$395</definedName>
    <definedName name="Z_FC98CAF0_9F48_42E3_A761_FB59321A7810_.wvu.FilterData" localSheetId="2" hidden="1">BTG!$A$1:$AR$862</definedName>
    <definedName name="Z_FE505A74_F1C9_44BD_A4CA_44A1F0D7F85E_.wvu.FilterData" localSheetId="4" hidden="1">Ágora!$F$2:$M$26</definedName>
    <definedName name="Z_FE505A74_F1C9_44BD_A4CA_44A1F0D7F85E_.wvu.FilterData" localSheetId="2" hidden="1">BTG!$F$2:$M$871</definedName>
    <definedName name="Z_FED3AFF5_95F7_435E_BE96_CF348CF9100A_.wvu.FilterData" localSheetId="2" hidden="1">BTG!$A$1:$AN$866</definedName>
    <definedName name="Z_FED3AFF5_95F7_435E_BE96_CF348CF9100A_.wvu.FilterData" localSheetId="3" hidden="1">Guide!$B$2:$BQ$395</definedName>
    <definedName name="Z_FF54D59C_B38D_483E_922B_6B491E7CC269_.wvu.FilterData" localSheetId="2" hidden="1">BTG!$A$1:$AR$862</definedName>
  </definedNames>
  <calcPr calcId="191029"/>
  <customWorkbookViews>
    <customWorkbookView name="Filtro 171" guid="{CB4D2828-18B3-430C-BACC-7DC15410ECCD}" maximized="1" windowWidth="0" windowHeight="0" activeSheetId="0"/>
    <customWorkbookView name="Filtro 170" guid="{91E7A462-D5A1-4210-BCE0-60696957307A}" maximized="1" windowWidth="0" windowHeight="0" activeSheetId="0"/>
    <customWorkbookView name="Filtro 175" guid="{465AA09F-DCCE-4A6C-9357-B7D8D3EE1D55}" maximized="1" windowWidth="0" windowHeight="0" activeSheetId="0"/>
    <customWorkbookView name="Filtro 174" guid="{DB74581B-83E5-4A49-9B3E-048B49B7E78E}" maximized="1" windowWidth="0" windowHeight="0" activeSheetId="0"/>
    <customWorkbookView name="Filtro 173" guid="{1310835A-36BE-4F17-BAD3-AC11A5621FFD}" maximized="1" windowWidth="0" windowHeight="0" activeSheetId="0"/>
    <customWorkbookView name="Filtro 172" guid="{5018FD2B-7792-4D0D-94F6-99F33A650426}" maximized="1" windowWidth="0" windowHeight="0" activeSheetId="0"/>
    <customWorkbookView name="Filtro 178" guid="{52B8EA4E-D7FD-4600-86D7-B8AEB7679182}" maximized="1" windowWidth="0" windowHeight="0" activeSheetId="0"/>
    <customWorkbookView name="Filtro 177" guid="{94DCB17C-70F1-47DA-B8BB-EA307041BFE5}" maximized="1" windowWidth="0" windowHeight="0" activeSheetId="0"/>
    <customWorkbookView name="Filtro 176" guid="{CEF3B9C0-3AB1-4C47-89BF-0B13E82C22F5}" maximized="1" windowWidth="0" windowHeight="0" activeSheetId="0"/>
    <customWorkbookView name="Filtro 41" guid="{E85EF604-B4E4-46A4-BD8E-A25442CE7DFC}" maximized="1" windowWidth="0" windowHeight="0" activeSheetId="0"/>
    <customWorkbookView name="Filtro 40" guid="{4B506129-F12F-4933-8B44-715BF967596B}" maximized="1" windowWidth="0" windowHeight="0" activeSheetId="0"/>
    <customWorkbookView name="Filtro 43" guid="{26704F7C-C74F-45EC-98C2-61DDB4F67DCC}" maximized="1" windowWidth="0" windowHeight="0" activeSheetId="0"/>
    <customWorkbookView name="Filtro 42" guid="{655F01EF-CABD-48B5-8071-3F96E313EE9B}" maximized="1" windowWidth="0" windowHeight="0" activeSheetId="0"/>
    <customWorkbookView name="Filtro 45" guid="{D29B7F3D-93C1-40B7-B650-971358D6E2A8}" maximized="1" windowWidth="0" windowHeight="0" activeSheetId="0"/>
    <customWorkbookView name="Filtro 44" guid="{C9BB4354-BF57-4FC8-86A4-BA3AE8C11941}" maximized="1" windowWidth="0" windowHeight="0" activeSheetId="0"/>
    <customWorkbookView name="Filtro 47" guid="{3E306471-1334-4489-A062-790487D5CC5D}" maximized="1" windowWidth="0" windowHeight="0" activeSheetId="0"/>
    <customWorkbookView name="Filtro 46" guid="{C1A2F180-4317-44A0-986D-3164ECF54A28}" maximized="1" windowWidth="0" windowHeight="0" activeSheetId="0"/>
    <customWorkbookView name="Filtro 49" guid="{FE505A74-F1C9-44BD-A4CA-44A1F0D7F85E}" maximized="1" windowWidth="0" windowHeight="0" activeSheetId="0"/>
    <customWorkbookView name="Filtro 48" guid="{A84BCDCF-44CE-4E38-99E3-BF349990446C}" maximized="1" windowWidth="0" windowHeight="0" activeSheetId="0"/>
    <customWorkbookView name="Filtro 3" guid="{12AA7277-456D-451B-A499-389B87C6D872}" maximized="1" windowWidth="0" windowHeight="0" activeSheetId="0"/>
    <customWorkbookView name="Filtro 2" guid="{BB552302-83D7-4E75-9721-4A908E1DD9C4}" maximized="1" windowWidth="0" windowHeight="0" activeSheetId="0"/>
    <customWorkbookView name="Filtro 1" guid="{31BAD605-5612-4733-8F02-7FA30239EFFB}" maximized="1" windowWidth="0" windowHeight="0" activeSheetId="0"/>
    <customWorkbookView name="Filtro 7" guid="{8058A662-82B6-4306-B12A-EF8751CB0A4F}" maximized="1" windowWidth="0" windowHeight="0" activeSheetId="0"/>
    <customWorkbookView name="Filtro 6" guid="{DA07D26C-8134-4098-9060-4124AE59455C}" maximized="1" windowWidth="0" windowHeight="0" activeSheetId="0"/>
    <customWorkbookView name="Filtro 5" guid="{8380BBA0-DD8B-4D15-9E68-25A55EF1EE83}" maximized="1" windowWidth="0" windowHeight="0" activeSheetId="0"/>
    <customWorkbookView name="Filtro 4" guid="{9E552739-72DD-45E8-8C7B-29F9FBD3645B}" maximized="1" windowWidth="0" windowHeight="0" activeSheetId="0"/>
    <customWorkbookView name="Filtro 102" guid="{2E1416A6-9DDF-4D62-8611-D2C31DEDB1C6}" maximized="1" windowWidth="0" windowHeight="0" activeSheetId="0"/>
    <customWorkbookView name="Filtro 101" guid="{EB0AF947-149A-4058-8FD1-4C2DFC03BAE3}" maximized="1" windowWidth="0" windowHeight="0" activeSheetId="0"/>
    <customWorkbookView name="Filtro 100" guid="{EBE52BB3-ADA4-4867-A0CA-E6D14134699D}" maximized="1" windowWidth="0" windowHeight="0" activeSheetId="0"/>
    <customWorkbookView name="Filtro 106" guid="{BB122FEC-D882-4A79-B38D-55FAF9080ECC}" maximized="1" windowWidth="0" windowHeight="0" activeSheetId="0"/>
    <customWorkbookView name="Filtro 105" guid="{281F539C-5A74-43FC-A88C-47A75714580E}" maximized="1" windowWidth="0" windowHeight="0" activeSheetId="0"/>
    <customWorkbookView name="Filtro 104" guid="{15A9AB4A-7CDD-457A-9D26-0CDDF224CDB8}" maximized="1" windowWidth="0" windowHeight="0" activeSheetId="0"/>
    <customWorkbookView name="Filtro 103" guid="{E18A2C6A-994E-4AA9-8E92-1F0A7462C416}" maximized="1" windowWidth="0" windowHeight="0" activeSheetId="0"/>
    <customWorkbookView name="Filtro 30" guid="{FA344799-C027-418F-BEA1-82C5C82A4E24}" maximized="1" windowWidth="0" windowHeight="0" activeSheetId="0"/>
    <customWorkbookView name="Filtro 32" guid="{1B5B7370-FC19-475F-8306-B7882B20A8EE}" maximized="1" windowWidth="0" windowHeight="0" activeSheetId="0"/>
    <customWorkbookView name="Filtro 31" guid="{82ED4851-3DA2-4458-BD2D-989931D72E98}" maximized="1" windowWidth="0" windowHeight="0" activeSheetId="0"/>
    <customWorkbookView name="Filtro 34" guid="{187F2E37-1D08-401F-B6CA-29F69C34600B}" maximized="1" windowWidth="0" windowHeight="0" activeSheetId="0"/>
    <customWorkbookView name="Filtro 33" guid="{DA1DD12B-B65C-4A90-B1E2-8ABE762F9B33}" maximized="1" windowWidth="0" windowHeight="0" activeSheetId="0"/>
    <customWorkbookView name="Filtro 36" guid="{C4D034EF-8D0B-4D54-A88B-E9251A702F2B}" maximized="1" windowWidth="0" windowHeight="0" activeSheetId="0"/>
    <customWorkbookView name="Filtro 35" guid="{4ACE3FD7-7E6D-49A5-BA7A-7BB17F4DBD51}" maximized="1" windowWidth="0" windowHeight="0" activeSheetId="0"/>
    <customWorkbookView name="Filtro 38" guid="{18BFDA86-90C9-43E5-9671-B80AFF35F44F}" maximized="1" windowWidth="0" windowHeight="0" activeSheetId="0"/>
    <customWorkbookView name="Filtro 37" guid="{1C817462-83A1-43F0-BF7C-966B2B856F7F}" maximized="1" windowWidth="0" windowHeight="0" activeSheetId="0"/>
    <customWorkbookView name="Filtro 39" guid="{943B28B3-08AB-4F9A-A682-3601EDDE8855}" maximized="1" windowWidth="0" windowHeight="0" activeSheetId="0"/>
    <customWorkbookView name="Filtro 19" guid="{37E2DCA0-870F-45B5-8ADA-2998F27F6F0D}" maximized="1" windowWidth="0" windowHeight="0" activeSheetId="0"/>
    <customWorkbookView name="Filtro 153" guid="{E6296B3E-8CFB-480B-B156-C1A3E9CD09B6}" maximized="1" windowWidth="0" windowHeight="0" activeSheetId="0"/>
    <customWorkbookView name="Filtro 152" guid="{B767D544-68D2-4C41-8716-DD983915E095}" maximized="1" windowWidth="0" windowHeight="0" activeSheetId="0"/>
    <customWorkbookView name="Filtro 151" guid="{0C8CE539-F9BE-4908-B262-B6E702076E6F}" maximized="1" windowWidth="0" windowHeight="0" activeSheetId="0"/>
    <customWorkbookView name="Filtro 150" guid="{A9B28D02-D9FC-423B-AD09-B6949DCE09BF}" maximized="1" windowWidth="0" windowHeight="0" activeSheetId="0"/>
    <customWorkbookView name="Filtro 157" guid="{B73B5E05-E231-40D3-9DFB-918E7DA17F41}" maximized="1" windowWidth="0" windowHeight="0" activeSheetId="0"/>
    <customWorkbookView name="Filtro 156" guid="{F6E5FCDB-B8CB-4BE9-95F1-F7D06B1C07C7}" maximized="1" windowWidth="0" windowHeight="0" activeSheetId="0"/>
    <customWorkbookView name="Filtro 155" guid="{49B5D05B-3779-40EA-AF9A-F4C0AC90CAB6}" maximized="1" windowWidth="0" windowHeight="0" activeSheetId="0"/>
    <customWorkbookView name="Filtro 154" guid="{9705F661-FEE5-40D8-8A21-030D907C6555}" maximized="1" windowWidth="0" windowHeight="0" activeSheetId="0"/>
    <customWorkbookView name="Filtro 159" guid="{0FF7BE7B-59E6-4B98-8328-2F8D1FEC51AF}" maximized="1" windowWidth="0" windowHeight="0" activeSheetId="0"/>
    <customWorkbookView name="Filtro 158" guid="{EAD43875-4E45-49D9-A7B0-C9250FAB6020}" maximized="1" windowWidth="0" windowHeight="0" activeSheetId="0"/>
    <customWorkbookView name="Filtro 21" guid="{87DE2AE3-A5F0-4587-9B4E-271A7BB8EB3E}" maximized="1" windowWidth="0" windowHeight="0" activeSheetId="0"/>
    <customWorkbookView name="Filtro 20" guid="{2FCABD4C-1224-414F-A616-D681368D7A4F}" maximized="1" windowWidth="0" windowHeight="0" activeSheetId="0"/>
    <customWorkbookView name="Filtro 23" guid="{5E868580-8693-4844-A1C7-BEB3B7E251C9}" maximized="1" windowWidth="0" windowHeight="0" activeSheetId="0"/>
    <customWorkbookView name="Filtro 22" guid="{8F9D2EE2-2BA6-4218-ABAC-59A49CE16850}" maximized="1" windowWidth="0" windowHeight="0" activeSheetId="0"/>
    <customWorkbookView name="Filtro 25" guid="{95D3FD1A-2488-4FF8-95B0-57F346C71938}" maximized="1" windowWidth="0" windowHeight="0" activeSheetId="0"/>
    <customWorkbookView name="Filtro 9" guid="{A9887CDC-6F11-42B2-AB6A-FEBD00A3638F}" maximized="1" windowWidth="0" windowHeight="0" activeSheetId="0"/>
    <customWorkbookView name="Filtro 24" guid="{BBB60758-302D-42F3-99C1-27EE80466B7D}" maximized="1" windowWidth="0" windowHeight="0" activeSheetId="0"/>
    <customWorkbookView name="Filtro 8" guid="{FED3AFF5-95F7-435E-BE96-CF348CF9100A}" maximized="1" windowWidth="0" windowHeight="0" activeSheetId="0"/>
    <customWorkbookView name="Filtro 27" guid="{87E4A958-CDC6-4EF1-BDE3-FF72B2C36669}" maximized="1" windowWidth="0" windowHeight="0" activeSheetId="0"/>
    <customWorkbookView name="Filtro 26" guid="{ED1070BE-D844-4B37-B23D-CEFF997DFBD9}" maximized="1" windowWidth="0" windowHeight="0" activeSheetId="0"/>
    <customWorkbookView name="Filtro 29" guid="{14FDAB6E-4950-4297-AFB6-3D0254510B44}" maximized="1" windowWidth="0" windowHeight="0" activeSheetId="0"/>
    <customWorkbookView name="Filtro 28" guid="{784428B3-B63A-40CE-BD93-DE3A100A7773}" maximized="1" windowWidth="0" windowHeight="0" activeSheetId="0"/>
    <customWorkbookView name="Filtro 160" guid="{B359C7B2-3604-4BAF-9DE3-2EFB33C2CB66}" maximized="1" windowWidth="0" windowHeight="0" activeSheetId="0"/>
    <customWorkbookView name="Filtro 164" guid="{86DDA1FA-1917-4C5E-BBFA-B2B7D5F2B6FB}" maximized="1" windowWidth="0" windowHeight="0" activeSheetId="0"/>
    <customWorkbookView name="Filtro 163" guid="{90BB7BCB-A56E-4BFE-85E7-3D541F30B5EA}" maximized="1" windowWidth="0" windowHeight="0" activeSheetId="0"/>
    <customWorkbookView name="Filtro 162" guid="{19F79A77-F05F-43B9-88BE-32F735A84DA3}" maximized="1" windowWidth="0" windowHeight="0" activeSheetId="0"/>
    <customWorkbookView name="Filtro 161" guid="{5C12079A-CE41-4946-B5B8-7C527CC984F1}" maximized="1" windowWidth="0" windowHeight="0" activeSheetId="0"/>
    <customWorkbookView name="Filtro 168" guid="{F03EB8AB-8665-4A14-B965-CEDB21F28C49}" maximized="1" windowWidth="0" windowHeight="0" activeSheetId="0"/>
    <customWorkbookView name="Filtro 167" guid="{56F1DB6B-A539-48C4-B4F6-4EB9B8604673}" maximized="1" windowWidth="0" windowHeight="0" activeSheetId="0"/>
    <customWorkbookView name="Filtro 166" guid="{A7BEA640-BDD3-4407-AB98-564FD149040A}" maximized="1" windowWidth="0" windowHeight="0" activeSheetId="0"/>
    <customWorkbookView name="Filtro 165" guid="{8265ADC6-3C9D-4BAC-99AC-B2EB3FC957B1}" maximized="1" windowWidth="0" windowHeight="0" activeSheetId="0"/>
    <customWorkbookView name="Filtro 90" guid="{91D3587C-2C59-43EF-A783-7D9A580C47C7}" maximized="1" windowWidth="0" windowHeight="0" activeSheetId="0"/>
    <customWorkbookView name="Filtro 169" guid="{4875A4E1-7CBA-46BB-B747-B252C71E2DAB}" maximized="1" windowWidth="0" windowHeight="0" activeSheetId="0"/>
    <customWorkbookView name="Filtro 92" guid="{2F5B4967-5DBD-46DD-B005-7E9FE69A6F8D}" maximized="1" windowWidth="0" windowHeight="0" activeSheetId="0"/>
    <customWorkbookView name="Filtro 91" guid="{66441F65-CE3B-49B6-B0AC-59C3CDDB5E42}" maximized="1" windowWidth="0" windowHeight="0" activeSheetId="0"/>
    <customWorkbookView name="Filtro 94" guid="{EA70FF54-3AC9-42A0-9E22-8B7FD551F1D5}" maximized="1" windowWidth="0" windowHeight="0" activeSheetId="0"/>
    <customWorkbookView name="Filtro 93" guid="{64E5F6BA-7475-4F33-A780-3812F4FD3ECD}" maximized="1" windowWidth="0" windowHeight="0" activeSheetId="0"/>
    <customWorkbookView name="Filtro 96" guid="{A6E7F878-3C35-4797-9AED-F156F9C64D89}" maximized="1" windowWidth="0" windowHeight="0" activeSheetId="0"/>
    <customWorkbookView name="Filtro 95" guid="{0FF3049F-31F6-40EE-8B94-98781F25FC5B}" maximized="1" windowWidth="0" windowHeight="0" activeSheetId="0"/>
    <customWorkbookView name="Filtro 10" guid="{1690DE4E-F726-4612-9469-601C6561985D}" maximized="1" windowWidth="0" windowHeight="0" activeSheetId="0"/>
    <customWorkbookView name="Filtro 98" guid="{B7AC4631-797E-4FBB-AA64-31266CDA1414}" maximized="1" windowWidth="0" windowHeight="0" activeSheetId="0"/>
    <customWorkbookView name="Filtro 97" guid="{00E34851-6D10-466B-B70C-0B21589C11D6}" maximized="1" windowWidth="0" windowHeight="0" activeSheetId="0"/>
    <customWorkbookView name="Filtro 12" guid="{B2BFE901-B4B4-4393-861D-055AD1BB086D}" maximized="1" windowWidth="0" windowHeight="0" activeSheetId="0"/>
    <customWorkbookView name="Filtro 11" guid="{49792FEA-CF16-44D8-A830-4C89AED8A6DE}" maximized="1" windowWidth="0" windowHeight="0" activeSheetId="0"/>
    <customWorkbookView name="Filtro 99" guid="{7C31324E-0FDC-4FF5-83DF-FC5ABA33B59F}" maximized="1" windowWidth="0" windowHeight="0" activeSheetId="0"/>
    <customWorkbookView name="Filtro 14" guid="{B72A137F-6618-472B-B31F-A228496BFEFE}" maximized="1" windowWidth="0" windowHeight="0" activeSheetId="0"/>
    <customWorkbookView name="Filtro 13" guid="{3CEB32DC-FC34-404B-9B1D-F4349E9B14A2}" maximized="1" windowWidth="0" windowHeight="0" activeSheetId="0"/>
    <customWorkbookView name="Filtro 16" guid="{02DB027B-88D5-4067-9DF3-1E71C48C0F90}" maximized="1" windowWidth="0" windowHeight="0" activeSheetId="0"/>
    <customWorkbookView name="Filtro 15" guid="{2FF8F613-A7E1-45DF-8A10-A57931A18845}" maximized="1" windowWidth="0" windowHeight="0" activeSheetId="0"/>
    <customWorkbookView name="Filtro 18" guid="{4D257AC7-7FC0-4C45-95A3-E076280BB1F8}" maximized="1" windowWidth="0" windowHeight="0" activeSheetId="0"/>
    <customWorkbookView name="Filtro 17" guid="{4DC4A6A4-A2D6-4D5D-9D2E-378E1B8AB498}" maximized="1" windowWidth="0" windowHeight="0" activeSheetId="0"/>
    <customWorkbookView name="Filtro 131" guid="{DF2F8F63-1896-4A3C-8BF8-BAF22324C0AA}" maximized="1" windowWidth="0" windowHeight="0" activeSheetId="0"/>
    <customWorkbookView name="Filtro 130" guid="{15827669-B1AF-4ADA-B298-B87572DA3A5A}" maximized="1" windowWidth="0" windowHeight="0" activeSheetId="0"/>
    <customWorkbookView name="Filtro 135" guid="{6D98A759-6E69-4B12-821F-B20048AD2646}" maximized="1" windowWidth="0" windowHeight="0" activeSheetId="0"/>
    <customWorkbookView name="Filtro 134" guid="{8A443CDD-ABC8-44B6-8155-B9F0F51EE59E}" maximized="1" windowWidth="0" windowHeight="0" activeSheetId="0"/>
    <customWorkbookView name="Filtro 133" guid="{476AFC24-5531-429C-A073-D286CD41620D}" maximized="1" windowWidth="0" windowHeight="0" activeSheetId="0"/>
    <customWorkbookView name="Filtro 132" guid="{6B0F1D7B-A8CA-4F80-BBF1-EEC1D73AB5FD}" maximized="1" windowWidth="0" windowHeight="0" activeSheetId="0"/>
    <customWorkbookView name="Filtro 139" guid="{8DFCE0B2-11F2-4898-8C34-389FA9CE0D89}" maximized="1" windowWidth="0" windowHeight="0" activeSheetId="0"/>
    <customWorkbookView name="Filtro 138" guid="{7B3F7769-484A-4A42-8036-07ADC3302801}" maximized="1" windowWidth="0" windowHeight="0" activeSheetId="0"/>
    <customWorkbookView name="Filtro 137" guid="{65B0B82D-30AD-47A4-90D7-4A167F2F9F67}" maximized="1" windowWidth="0" windowHeight="0" activeSheetId="0"/>
    <customWorkbookView name="Filtro 136" guid="{14088F7B-BBEE-4F0D-AAD4-350484FAD177}" maximized="1" windowWidth="0" windowHeight="0" activeSheetId="0"/>
    <customWorkbookView name="Filtro 81" guid="{F5C89102-EBEF-481F-B5BB-D8BECF305B9F}" maximized="1" windowWidth="0" windowHeight="0" activeSheetId="0"/>
    <customWorkbookView name="Filtro 80" guid="{F493BEFD-7C46-47E1-B095-5B5A31D66205}" maximized="1" windowWidth="0" windowHeight="0" activeSheetId="0"/>
    <customWorkbookView name="Filtro 83" guid="{DFA16F80-BC21-4DA7-9200-885F0DD26557}" maximized="1" windowWidth="0" windowHeight="0" activeSheetId="0"/>
    <customWorkbookView name="Filtro 82" guid="{E95DA332-0B7A-4F89-8F65-41E7B3C2DC67}" maximized="1" windowWidth="0" windowHeight="0" activeSheetId="0"/>
    <customWorkbookView name="Filtro 129" guid="{31F6E55E-A299-4188-850B-48204652322C}" maximized="1" windowWidth="0" windowHeight="0" activeSheetId="0"/>
    <customWorkbookView name="Filtro 85" guid="{BCB31F8C-4FA4-4B80-8A53-7A6957226DD0}" maximized="1" windowWidth="0" windowHeight="0" activeSheetId="0"/>
    <customWorkbookView name="Filtro 84" guid="{3F9F0405-392A-4E73-96AE-035E57B16111}" maximized="1" windowWidth="0" windowHeight="0" activeSheetId="0"/>
    <customWorkbookView name="Filtro 87" guid="{7DD2A949-67E9-4504-A2B9-EEC4F429F310}" maximized="1" windowWidth="0" windowHeight="0" activeSheetId="0"/>
    <customWorkbookView name="Filtro 86" guid="{AD79BEA7-EA3F-49B2-A53A-E02A8AA0EFB3}" maximized="1" windowWidth="0" windowHeight="0" activeSheetId="0"/>
    <customWorkbookView name="Filtro 89" guid="{590023CF-253C-4167-AB12-70BB5EEDAB0A}" maximized="1" windowWidth="0" windowHeight="0" activeSheetId="0"/>
    <customWorkbookView name="Filtro 88" guid="{3DDF7DA9-C407-40EA-8349-A8128D23F1DD}" maximized="1" windowWidth="0" windowHeight="0" activeSheetId="0"/>
    <customWorkbookView name="Filtro 142" guid="{F36EA7F2-B690-40B4-9BBC-B7B68A122081}" maximized="1" windowWidth="0" windowHeight="0" activeSheetId="0"/>
    <customWorkbookView name="Filtro 141" guid="{3891FFA7-CC39-4DED-9D26-53E6E189E0AA}" maximized="1" windowWidth="0" windowHeight="0" activeSheetId="0"/>
    <customWorkbookView name="Filtro 140" guid="{A13DEDFA-A216-47FE-81D3-65981B4113EB}" maximized="1" windowWidth="0" windowHeight="0" activeSheetId="0"/>
    <customWorkbookView name="Filtro 146" guid="{969AF11A-79B7-40DA-A547-4C4BEC66A4EF}" maximized="1" windowWidth="0" windowHeight="0" activeSheetId="0"/>
    <customWorkbookView name="Filtro 145" guid="{E7D11049-6687-4F58-A08C-074C2C8E7C58}" maximized="1" windowWidth="0" windowHeight="0" activeSheetId="0"/>
    <customWorkbookView name="Filtro 144" guid="{56A9FFAE-38AF-46C2-9D87-07B80DF5A8DB}" maximized="1" windowWidth="0" windowHeight="0" activeSheetId="0"/>
    <customWorkbookView name="Filtro 143" guid="{509FB202-72E5-42DF-8581-FB8AAD8F3228}" maximized="1" windowWidth="0" windowHeight="0" activeSheetId="0"/>
    <customWorkbookView name="Filtro 149" guid="{DD2516C9-4059-43FC-B8FF-97537EC484A1}" maximized="1" windowWidth="0" windowHeight="0" activeSheetId="0"/>
    <customWorkbookView name="Filtro 148" guid="{BE28687F-7898-466B-BF0D-F26A9F386BF1}" maximized="1" windowWidth="0" windowHeight="0" activeSheetId="0"/>
    <customWorkbookView name="Filtro 147" guid="{7B0BEB0B-B983-42F1-97BD-38C11EE79955}" maximized="1" windowWidth="0" windowHeight="0" activeSheetId="0"/>
    <customWorkbookView name="Filtro 70" guid="{4AA370D1-9D82-4650-94D1-B899FD1CF272}" maximized="1" windowWidth="0" windowHeight="0" activeSheetId="0"/>
    <customWorkbookView name="Filtro 72" guid="{33F6ADEF-2E38-429C-80FB-024724DFBF41}" maximized="1" windowWidth="0" windowHeight="0" activeSheetId="0"/>
    <customWorkbookView name="Filtro 71" guid="{3C1919D2-3766-49CD-BCB3-6FC578924078}" maximized="1" windowWidth="0" windowHeight="0" activeSheetId="0"/>
    <customWorkbookView name="Filtro 74" guid="{2FF61B21-4B07-496A-9823-45752FDDEC31}" maximized="1" windowWidth="0" windowHeight="0" activeSheetId="0"/>
    <customWorkbookView name="Filtro 73" guid="{575232E1-5EF4-46D9-BCBB-E0A44E0E44C4}" maximized="1" windowWidth="0" windowHeight="0" activeSheetId="0"/>
    <customWorkbookView name="Filtro 76" guid="{41819020-BF88-4272-BD63-29F4CC0F6276}" maximized="1" windowWidth="0" windowHeight="0" activeSheetId="0"/>
    <customWorkbookView name="Filtro 75" guid="{CF0FC935-5051-4007-948E-1E430D4E5BAD}" maximized="1" windowWidth="0" windowHeight="0" activeSheetId="0"/>
    <customWorkbookView name="Filtro 78" guid="{F162B7F2-7CDB-42F5-A429-682BF4DE88D6}" maximized="1" windowWidth="0" windowHeight="0" activeSheetId="0"/>
    <customWorkbookView name="Filtro 77" guid="{7C1D6EB7-7DBC-48F9-8921-C3BDF508FF02}" maximized="1" windowWidth="0" windowHeight="0" activeSheetId="0"/>
    <customWorkbookView name="Filtro 79" guid="{B012B0CF-ACA6-451F-9B21-9249A650F47F}" maximized="1" windowWidth="0" windowHeight="0" activeSheetId="0"/>
    <customWorkbookView name="Filtro 113" guid="{9DF32D71-BC92-44A9-A720-94B989A25251}" maximized="1" windowWidth="0" windowHeight="0" activeSheetId="0"/>
    <customWorkbookView name="Filtro 112" guid="{60202238-6872-4955-81A6-A3A4A0E14F7B}" maximized="1" windowWidth="0" windowHeight="0" activeSheetId="0"/>
    <customWorkbookView name="Filtro 111" guid="{9F5DE3B0-74AE-47FB-B6D9-ACD6877BEF18}" maximized="1" windowWidth="0" windowHeight="0" activeSheetId="0"/>
    <customWorkbookView name="Filtro 110" guid="{4FDD5AD3-463A-44A2-BEAA-F784F9C9AB8E}" maximized="1" windowWidth="0" windowHeight="0" activeSheetId="0"/>
    <customWorkbookView name="Filtro 117" guid="{3236FA0F-5BED-4A7B-A23F-EACF6040CF7B}" maximized="1" windowWidth="0" windowHeight="0" activeSheetId="0"/>
    <customWorkbookView name="Filtro 116" guid="{FF54D59C-B38D-483E-922B-6B491E7CC269}" maximized="1" windowWidth="0" windowHeight="0" activeSheetId="0"/>
    <customWorkbookView name="Filtro 115" guid="{B14CF0D0-F469-4868-AE67-78AACD856736}" maximized="1" windowWidth="0" windowHeight="0" activeSheetId="0"/>
    <customWorkbookView name="Filtro 114" guid="{10CC955F-CF83-44D2-A593-38FFA91206BF}" maximized="1" windowWidth="0" windowHeight="0" activeSheetId="0"/>
    <customWorkbookView name="Filtro 109" guid="{9314C9A5-618C-49A2-B154-291D865D305F}" maximized="1" windowWidth="0" windowHeight="0" activeSheetId="0"/>
    <customWorkbookView name="Filtro 61" guid="{76A50631-E853-47C0-97A7-B44DDD6611FA}" maximized="1" windowWidth="0" windowHeight="0" activeSheetId="0"/>
    <customWorkbookView name="Filtro 108" guid="{7C7A4BB4-DCB9-4182-8741-357D9B800F13}" maximized="1" windowWidth="0" windowHeight="0" activeSheetId="0"/>
    <customWorkbookView name="Filtro 60" guid="{394E12A5-8D56-4ACA-A54C-71EAAF9DEA9B}" maximized="1" windowWidth="0" windowHeight="0" activeSheetId="0"/>
    <customWorkbookView name="Filtro 107" guid="{0B4EBBF4-749A-4B87-9D1E-3A1829A1B462}" maximized="1" windowWidth="0" windowHeight="0" activeSheetId="0"/>
    <customWorkbookView name="Filtro 63" guid="{789A79FB-FAF2-4AE5-BD36-133FD8E897B3}" maximized="1" windowWidth="0" windowHeight="0" activeSheetId="0"/>
    <customWorkbookView name="Filtro 62" guid="{6BD8C679-CB27-4D52-BB94-8BC37DFBBEE8}" maximized="1" windowWidth="0" windowHeight="0" activeSheetId="0"/>
    <customWorkbookView name="Filtro 65" guid="{781F9191-CBD1-41EF-9AE1-CD4B888FAD0C}" maximized="1" windowWidth="0" windowHeight="0" activeSheetId="0"/>
    <customWorkbookView name="Filtro 64" guid="{F599E123-4B2C-4FC2-8B97-2E165BA8D0FE}" maximized="1" windowWidth="0" windowHeight="0" activeSheetId="0"/>
    <customWorkbookView name="Filtro 67" guid="{D780AA3F-0B02-4BF5-935A-8516BD852644}" maximized="1" windowWidth="0" windowHeight="0" activeSheetId="0"/>
    <customWorkbookView name="Filtro 66" guid="{3D734A4F-D464-4994-84FD-80EDF2D2AAA1}" maximized="1" windowWidth="0" windowHeight="0" activeSheetId="0"/>
    <customWorkbookView name="Filtro 69" guid="{2C5C3EE9-78DF-4FFB-A79A-75E3071C5D00}" maximized="1" windowWidth="0" windowHeight="0" activeSheetId="0"/>
    <customWorkbookView name="Filtro 68" guid="{36A6B0CA-EE31-4FBF-8D64-D076CD8CC124}" maximized="1" windowWidth="0" windowHeight="0" activeSheetId="0"/>
    <customWorkbookView name="Filtro 120" guid="{FC98CAF0-9F48-42E3-A761-FB59321A7810}" maximized="1" windowWidth="0" windowHeight="0" activeSheetId="0"/>
    <customWorkbookView name="Filtro 124" guid="{CBED1274-3600-418B-97E1-8D8DB2E607C6}" maximized="1" windowWidth="0" windowHeight="0" activeSheetId="0"/>
    <customWorkbookView name="Filtro 123" guid="{5B820ADB-D2D8-4382-861A-63ED9120198B}" maximized="1" windowWidth="0" windowHeight="0" activeSheetId="0"/>
    <customWorkbookView name="Filtro 122" guid="{CAC3EAA7-5BC7-4B69-BFEA-4F3765C59590}" maximized="1" windowWidth="0" windowHeight="0" activeSheetId="0"/>
    <customWorkbookView name="Filtro 121" guid="{DE3704E6-33FF-462A-BAB5-B85F8E3F029B}" maximized="1" windowWidth="0" windowHeight="0" activeSheetId="0"/>
    <customWorkbookView name="Filtro 128" guid="{E77E0D1B-6AF3-42A0-997E-781E1A6E2A5C}" maximized="1" windowWidth="0" windowHeight="0" activeSheetId="0"/>
    <customWorkbookView name="Filtro 127" guid="{5DCFC95B-FCE7-43C5-9DD6-DF415E1C24C8}" maximized="1" windowWidth="0" windowHeight="0" activeSheetId="0"/>
    <customWorkbookView name="Filtro 126" guid="{9F23C998-774E-45AD-9AD3-10B117827239}" maximized="1" windowWidth="0" windowHeight="0" activeSheetId="0"/>
    <customWorkbookView name="Filtro 125" guid="{36522B2C-2FE1-46A8-A7B9-DE88F890D0AD}" maximized="1" windowWidth="0" windowHeight="0" activeSheetId="0"/>
    <customWorkbookView name="Filtro 50" guid="{9CA858E8-8765-423C-A4B2-89BFDEC286E3}" maximized="1" windowWidth="0" windowHeight="0" activeSheetId="0"/>
    <customWorkbookView name="Filtro 119" guid="{40B5BC73-B246-446C-A406-0BA25F2CEFB4}" maximized="1" windowWidth="0" windowHeight="0" activeSheetId="0"/>
    <customWorkbookView name="Filtro 118" guid="{96CAA17C-4798-4A19-92A9-6A6DB4AB16A3}" maximized="1" windowWidth="0" windowHeight="0" activeSheetId="0"/>
    <customWorkbookView name="Filtro 52" guid="{8E51D859-3307-453C-A3E9-A6A335A21F47}" maximized="1" windowWidth="0" windowHeight="0" activeSheetId="0"/>
    <customWorkbookView name="Filtro 51" guid="{92AFCDE9-DBED-498D-9FC1-F7814E493E29}" maximized="1" windowWidth="0" windowHeight="0" activeSheetId="0"/>
    <customWorkbookView name="Filtro 54" guid="{640FAB0F-2934-4C3B-BD33-6FD8BEDDCF8A}" maximized="1" windowWidth="0" windowHeight="0" activeSheetId="0"/>
    <customWorkbookView name="Filtro 53" guid="{4D027CF9-EB10-4E0D-A919-970A63BCE6FF}" maximized="1" windowWidth="0" windowHeight="0" activeSheetId="0"/>
    <customWorkbookView name="Filtro 56" guid="{A1EFF1DE-3FA0-4210-98FB-193B242B91F7}" maximized="1" windowWidth="0" windowHeight="0" activeSheetId="0"/>
    <customWorkbookView name="Filtro 55" guid="{C96A395F-B60F-4372-9BC3-59217864722C}" maximized="1" windowWidth="0" windowHeight="0" activeSheetId="0"/>
    <customWorkbookView name="Filtro 58" guid="{42EBA6C3-EA37-466D-8DA1-D3E0E4E432C2}" maximized="1" windowWidth="0" windowHeight="0" activeSheetId="0"/>
    <customWorkbookView name="Filtro 57" guid="{19154EA7-7505-430F-8B0E-30E9DC5BCE10}" maximized="1" windowWidth="0" windowHeight="0" activeSheetId="0"/>
    <customWorkbookView name="Filtro 59" guid="{EDB94D84-D432-47A2-A87C-542D0176903E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3" i="16" l="1"/>
  <c r="C102" i="16"/>
  <c r="C101" i="16"/>
  <c r="C100" i="16"/>
  <c r="C99" i="16"/>
  <c r="C98" i="16"/>
  <c r="C97" i="16"/>
  <c r="C96" i="16"/>
  <c r="C95" i="16"/>
  <c r="C94" i="16"/>
  <c r="C93" i="16"/>
  <c r="C92" i="16"/>
  <c r="C91" i="16"/>
  <c r="C90" i="16"/>
  <c r="C89" i="16"/>
  <c r="C88" i="16"/>
  <c r="C87" i="16"/>
  <c r="C86" i="16"/>
  <c r="C85" i="16"/>
  <c r="C84" i="16"/>
  <c r="C83" i="16"/>
  <c r="C82" i="16"/>
  <c r="C81" i="16"/>
  <c r="C80" i="16"/>
  <c r="C79" i="16"/>
  <c r="C78" i="16"/>
  <c r="C77" i="16"/>
  <c r="C76" i="16"/>
  <c r="C75" i="16"/>
  <c r="C74" i="16"/>
  <c r="C73" i="16"/>
  <c r="C72" i="16"/>
  <c r="C71" i="16"/>
  <c r="C70" i="16"/>
  <c r="C69" i="16"/>
  <c r="C68" i="16"/>
  <c r="C67" i="16"/>
  <c r="C66" i="16"/>
  <c r="C65" i="16"/>
  <c r="C64" i="16"/>
  <c r="C63" i="16"/>
  <c r="C62" i="16"/>
  <c r="C61" i="16"/>
  <c r="C60" i="16"/>
  <c r="C59" i="16"/>
  <c r="C58" i="16"/>
  <c r="C57" i="16"/>
  <c r="C56" i="16"/>
  <c r="C55" i="16"/>
  <c r="C54" i="16"/>
  <c r="C53" i="16"/>
  <c r="C52" i="16"/>
  <c r="C51" i="16"/>
  <c r="C50" i="16"/>
  <c r="C49" i="16"/>
  <c r="C48" i="16"/>
  <c r="C47" i="16"/>
  <c r="C46" i="16"/>
  <c r="C45" i="16"/>
  <c r="C44" i="16"/>
  <c r="C43" i="16"/>
  <c r="C42" i="16"/>
  <c r="C41" i="16"/>
  <c r="C40" i="16"/>
  <c r="C39" i="16"/>
  <c r="C38" i="16"/>
  <c r="C37" i="16"/>
  <c r="C36" i="16"/>
  <c r="C35" i="16"/>
  <c r="C34" i="16"/>
  <c r="C33" i="16"/>
  <c r="C32" i="16"/>
  <c r="C31" i="16"/>
  <c r="C30" i="16"/>
  <c r="C29" i="16"/>
  <c r="C28" i="16"/>
  <c r="C27" i="16"/>
  <c r="C26" i="16"/>
  <c r="C25" i="16"/>
  <c r="C24" i="16"/>
  <c r="C23" i="16"/>
  <c r="C22" i="16"/>
  <c r="C21" i="16"/>
  <c r="C20" i="16"/>
  <c r="C19" i="16"/>
  <c r="C18" i="16"/>
  <c r="C17" i="16"/>
  <c r="C16" i="16"/>
  <c r="C15" i="16"/>
  <c r="C14" i="16"/>
  <c r="C13" i="16"/>
  <c r="C12" i="16"/>
  <c r="C11" i="16"/>
  <c r="C10" i="16"/>
  <c r="C9" i="16"/>
  <c r="C8" i="16"/>
  <c r="C7" i="16"/>
  <c r="C6" i="16"/>
  <c r="C5" i="16"/>
  <c r="C4" i="16"/>
  <c r="C3" i="16"/>
  <c r="C2" i="16"/>
  <c r="E3" i="15"/>
  <c r="E2" i="15"/>
  <c r="E127" i="14"/>
  <c r="E126" i="14"/>
  <c r="E125" i="14"/>
  <c r="E120" i="14"/>
  <c r="C120" i="14"/>
  <c r="D118" i="14"/>
  <c r="D117" i="14"/>
  <c r="D116" i="14"/>
  <c r="D115" i="14"/>
  <c r="D114" i="14"/>
  <c r="D113" i="14"/>
  <c r="D112" i="14"/>
  <c r="D111" i="14"/>
  <c r="D110" i="14"/>
  <c r="D109" i="14"/>
  <c r="D108" i="14"/>
  <c r="D107" i="14"/>
  <c r="D106" i="14"/>
  <c r="D105" i="14"/>
  <c r="D104" i="14"/>
  <c r="D103" i="14"/>
  <c r="D102" i="14"/>
  <c r="D101" i="14"/>
  <c r="G100" i="14"/>
  <c r="M18" i="14" s="1"/>
  <c r="D100" i="14"/>
  <c r="D99" i="14"/>
  <c r="D98" i="14"/>
  <c r="D97" i="14"/>
  <c r="D96" i="14"/>
  <c r="D95" i="14"/>
  <c r="D94" i="14"/>
  <c r="D93" i="14"/>
  <c r="D92" i="14"/>
  <c r="D91" i="14"/>
  <c r="D89" i="14"/>
  <c r="D88" i="14"/>
  <c r="D87" i="14"/>
  <c r="G86" i="14"/>
  <c r="D86" i="14"/>
  <c r="D85" i="14"/>
  <c r="D83" i="14"/>
  <c r="D82" i="14"/>
  <c r="D81" i="14"/>
  <c r="D80" i="14"/>
  <c r="G78" i="14"/>
  <c r="D78" i="14"/>
  <c r="D77" i="14"/>
  <c r="D76" i="14"/>
  <c r="D75" i="14"/>
  <c r="D74" i="14"/>
  <c r="D73" i="14"/>
  <c r="D72" i="14"/>
  <c r="D71" i="14"/>
  <c r="D70" i="14"/>
  <c r="D69" i="14"/>
  <c r="D68" i="14"/>
  <c r="D67" i="14"/>
  <c r="D66" i="14"/>
  <c r="D65" i="14"/>
  <c r="D64" i="14"/>
  <c r="G63" i="14"/>
  <c r="D63" i="14"/>
  <c r="G62" i="14"/>
  <c r="M4" i="14" s="1"/>
  <c r="D62" i="14"/>
  <c r="D61" i="14"/>
  <c r="D60" i="14"/>
  <c r="D59" i="14"/>
  <c r="D58" i="14"/>
  <c r="G57" i="14"/>
  <c r="D57" i="14"/>
  <c r="D56" i="14"/>
  <c r="D55" i="14"/>
  <c r="D53" i="14"/>
  <c r="D52" i="14"/>
  <c r="G51" i="14"/>
  <c r="G120" i="14" s="1"/>
  <c r="D51" i="14"/>
  <c r="D50" i="14"/>
  <c r="D49" i="14"/>
  <c r="D48" i="14"/>
  <c r="D47" i="14"/>
  <c r="G46" i="14"/>
  <c r="D46" i="14"/>
  <c r="D45" i="14"/>
  <c r="D44" i="14"/>
  <c r="D43" i="14"/>
  <c r="D42" i="14"/>
  <c r="D41" i="14"/>
  <c r="D40" i="14"/>
  <c r="D39" i="14"/>
  <c r="D38" i="14"/>
  <c r="D37" i="14"/>
  <c r="G36" i="14"/>
  <c r="D36" i="14"/>
  <c r="D35" i="14"/>
  <c r="D34" i="14"/>
  <c r="D33" i="14"/>
  <c r="G32" i="14"/>
  <c r="D32" i="14"/>
  <c r="D31" i="14"/>
  <c r="D30" i="14"/>
  <c r="D29" i="14"/>
  <c r="D28" i="14"/>
  <c r="D27" i="14"/>
  <c r="M26" i="14"/>
  <c r="D26" i="14"/>
  <c r="M25" i="14"/>
  <c r="K25" i="14"/>
  <c r="D25" i="14"/>
  <c r="M24" i="14"/>
  <c r="D24" i="14"/>
  <c r="M23" i="14"/>
  <c r="K23" i="14"/>
  <c r="D23" i="14"/>
  <c r="D22" i="14"/>
  <c r="M21" i="14"/>
  <c r="K21" i="14"/>
  <c r="D21" i="14"/>
  <c r="M20" i="14"/>
  <c r="G20" i="14"/>
  <c r="D20" i="14"/>
  <c r="M19" i="14"/>
  <c r="K19" i="14"/>
  <c r="D19" i="14"/>
  <c r="K18" i="14"/>
  <c r="D18" i="14"/>
  <c r="D17" i="14"/>
  <c r="D16" i="14"/>
  <c r="D14" i="14"/>
  <c r="D13" i="14"/>
  <c r="D12" i="14"/>
  <c r="D11" i="14"/>
  <c r="D10" i="14"/>
  <c r="D9" i="14"/>
  <c r="D8" i="14"/>
  <c r="D7" i="14"/>
  <c r="D6" i="14"/>
  <c r="D5" i="14"/>
  <c r="K4" i="14"/>
  <c r="D4" i="14"/>
  <c r="K3" i="14"/>
  <c r="D3" i="14"/>
  <c r="D2" i="14"/>
  <c r="E27" i="13"/>
  <c r="D27" i="13"/>
  <c r="C27" i="13"/>
  <c r="B27" i="13"/>
  <c r="K6" i="13"/>
  <c r="BL552" i="10"/>
  <c r="BK552" i="10"/>
  <c r="BJ552" i="10"/>
  <c r="D548" i="10"/>
  <c r="D547" i="10"/>
  <c r="D546" i="10"/>
  <c r="BR545" i="10"/>
  <c r="BQ545" i="10"/>
  <c r="BP545" i="10"/>
  <c r="BO545" i="10"/>
  <c r="BN545" i="10"/>
  <c r="BM545" i="10"/>
  <c r="BL545" i="10"/>
  <c r="BK545" i="10"/>
  <c r="BJ545" i="10"/>
  <c r="BI545" i="10"/>
  <c r="BH545" i="10"/>
  <c r="BG545" i="10"/>
  <c r="BF545" i="10"/>
  <c r="BE545" i="10"/>
  <c r="BD545" i="10"/>
  <c r="BC545" i="10"/>
  <c r="BB545" i="10"/>
  <c r="BA545" i="10"/>
  <c r="AZ545" i="10"/>
  <c r="AY545" i="10"/>
  <c r="AX545" i="10"/>
  <c r="AW545" i="10"/>
  <c r="AV545" i="10"/>
  <c r="AU545" i="10"/>
  <c r="AT545" i="10"/>
  <c r="AS545" i="10"/>
  <c r="AR545" i="10"/>
  <c r="AQ545" i="10"/>
  <c r="AP545" i="10"/>
  <c r="AO545" i="10"/>
  <c r="AN545" i="10"/>
  <c r="AM545" i="10"/>
  <c r="AL545" i="10"/>
  <c r="AK545" i="10"/>
  <c r="AJ545" i="10"/>
  <c r="AI545" i="10"/>
  <c r="AH545" i="10"/>
  <c r="AG545" i="10"/>
  <c r="AF545" i="10"/>
  <c r="AE545" i="10"/>
  <c r="AD545" i="10"/>
  <c r="AC545" i="10"/>
  <c r="AB545" i="10"/>
  <c r="AA545" i="10"/>
  <c r="Z545" i="10"/>
  <c r="Y545" i="10"/>
  <c r="X545" i="10"/>
  <c r="W545" i="10"/>
  <c r="D545" i="10"/>
  <c r="BS543" i="10" a="1"/>
  <c r="BS543" i="10" s="1"/>
  <c r="S543" i="10"/>
  <c r="H543" i="10"/>
  <c r="BS542" i="10" a="1"/>
  <c r="BS542" i="10" s="1"/>
  <c r="S542" i="10"/>
  <c r="H542" i="10"/>
  <c r="BS541" i="10" a="1"/>
  <c r="BS541" i="10" s="1"/>
  <c r="S541" i="10"/>
  <c r="H541" i="10"/>
  <c r="BS540" i="10" a="1"/>
  <c r="BS540" i="10" s="1"/>
  <c r="H540" i="10"/>
  <c r="BS539" i="10" a="1"/>
  <c r="BS539" i="10" s="1"/>
  <c r="S539" i="10"/>
  <c r="H539" i="10"/>
  <c r="BS538" i="10" a="1"/>
  <c r="BS538" i="10" s="1"/>
  <c r="S538" i="10"/>
  <c r="H538" i="10"/>
  <c r="BS537" i="10" a="1"/>
  <c r="BS537" i="10" s="1"/>
  <c r="S537" i="10"/>
  <c r="H537" i="10"/>
  <c r="BS536" i="10" a="1"/>
  <c r="BS536" i="10" s="1"/>
  <c r="S536" i="10"/>
  <c r="H536" i="10"/>
  <c r="BS535" i="10" a="1"/>
  <c r="BS535" i="10" s="1"/>
  <c r="S535" i="10"/>
  <c r="H535" i="10"/>
  <c r="BS534" i="10" a="1"/>
  <c r="BS534" i="10" s="1"/>
  <c r="H534" i="10"/>
  <c r="BS533" i="10" a="1"/>
  <c r="BS533" i="10"/>
  <c r="S533" i="10"/>
  <c r="H533" i="10"/>
  <c r="BS532" i="10" a="1"/>
  <c r="BS532" i="10"/>
  <c r="S532" i="10"/>
  <c r="H532" i="10"/>
  <c r="BS531" i="10" a="1"/>
  <c r="BS531" i="10"/>
  <c r="S531" i="10"/>
  <c r="H531" i="10"/>
  <c r="BS530" i="10" a="1"/>
  <c r="BS530" i="10"/>
  <c r="S530" i="10"/>
  <c r="H530" i="10"/>
  <c r="BS529" i="10" a="1"/>
  <c r="BS529" i="10"/>
  <c r="S529" i="10"/>
  <c r="H529" i="10"/>
  <c r="BS528" i="10" a="1"/>
  <c r="BS528" i="10"/>
  <c r="S528" i="10"/>
  <c r="H528" i="10"/>
  <c r="BS527" i="10" a="1"/>
  <c r="BS527" i="10"/>
  <c r="S527" i="10"/>
  <c r="H527" i="10"/>
  <c r="BS526" i="10" a="1"/>
  <c r="BS526" i="10"/>
  <c r="S526" i="10"/>
  <c r="H526" i="10"/>
  <c r="BS525" i="10" a="1"/>
  <c r="BS525" i="10"/>
  <c r="S525" i="10"/>
  <c r="H525" i="10"/>
  <c r="BS524" i="10" a="1"/>
  <c r="BS524" i="10"/>
  <c r="S524" i="10"/>
  <c r="H524" i="10"/>
  <c r="BS523" i="10" a="1"/>
  <c r="BS523" i="10"/>
  <c r="S523" i="10"/>
  <c r="H523" i="10"/>
  <c r="BS522" i="10" a="1"/>
  <c r="BS522" i="10"/>
  <c r="S522" i="10"/>
  <c r="H522" i="10"/>
  <c r="BS521" i="10" a="1"/>
  <c r="BS521" i="10"/>
  <c r="S521" i="10"/>
  <c r="H521" i="10"/>
  <c r="BS520" i="10" a="1"/>
  <c r="BS520" i="10"/>
  <c r="S520" i="10"/>
  <c r="H520" i="10"/>
  <c r="BS519" i="10" a="1"/>
  <c r="BS519" i="10"/>
  <c r="S519" i="10"/>
  <c r="H519" i="10"/>
  <c r="BS518" i="10" a="1"/>
  <c r="BS518" i="10"/>
  <c r="S518" i="10"/>
  <c r="H518" i="10"/>
  <c r="BS517" i="10" a="1"/>
  <c r="BS517" i="10"/>
  <c r="S517" i="10"/>
  <c r="H517" i="10"/>
  <c r="BS516" i="10" a="1"/>
  <c r="BS516" i="10"/>
  <c r="S516" i="10"/>
  <c r="H516" i="10"/>
  <c r="BS515" i="10" a="1"/>
  <c r="BS515" i="10"/>
  <c r="H515" i="10"/>
  <c r="BS514" i="10" a="1"/>
  <c r="BS514" i="10"/>
  <c r="S514" i="10"/>
  <c r="H514" i="10"/>
  <c r="BS513" i="10" a="1"/>
  <c r="BS513" i="10"/>
  <c r="S513" i="10"/>
  <c r="H513" i="10"/>
  <c r="BS512" i="10" a="1"/>
  <c r="BS512" i="10"/>
  <c r="S512" i="10"/>
  <c r="H512" i="10"/>
  <c r="BS511" i="10" a="1"/>
  <c r="BS511" i="10"/>
  <c r="S511" i="10"/>
  <c r="H511" i="10"/>
  <c r="BS510" i="10" a="1"/>
  <c r="BS510" i="10"/>
  <c r="S510" i="10"/>
  <c r="H510" i="10"/>
  <c r="BS509" i="10" a="1"/>
  <c r="BS509" i="10"/>
  <c r="S509" i="10"/>
  <c r="H509" i="10"/>
  <c r="BS508" i="10" a="1"/>
  <c r="BS508" i="10"/>
  <c r="S508" i="10"/>
  <c r="H508" i="10"/>
  <c r="BS507" i="10" a="1"/>
  <c r="BS507" i="10"/>
  <c r="S507" i="10"/>
  <c r="H507" i="10"/>
  <c r="BS506" i="10" a="1"/>
  <c r="BS506" i="10"/>
  <c r="H506" i="10"/>
  <c r="BS505" i="10" a="1"/>
  <c r="BS505" i="10" s="1"/>
  <c r="S505" i="10"/>
  <c r="H505" i="10"/>
  <c r="BS504" i="10" a="1"/>
  <c r="BS504" i="10" s="1"/>
  <c r="S504" i="10"/>
  <c r="H504" i="10"/>
  <c r="BS503" i="10" a="1"/>
  <c r="BS503" i="10" s="1"/>
  <c r="BS502" i="10" a="1"/>
  <c r="BS502" i="10" s="1"/>
  <c r="S502" i="10"/>
  <c r="H502" i="10"/>
  <c r="BS501" i="10" a="1"/>
  <c r="BS501" i="10" s="1"/>
  <c r="S501" i="10"/>
  <c r="H501" i="10"/>
  <c r="BS500" i="10" a="1"/>
  <c r="BS500" i="10" s="1"/>
  <c r="S500" i="10"/>
  <c r="H500" i="10"/>
  <c r="BS499" i="10" a="1"/>
  <c r="BS499" i="10" s="1"/>
  <c r="S499" i="10"/>
  <c r="H499" i="10"/>
  <c r="BS498" i="10" a="1"/>
  <c r="BS498" i="10" s="1"/>
  <c r="S498" i="10"/>
  <c r="H498" i="10"/>
  <c r="BS497" i="10" a="1"/>
  <c r="BS497" i="10" s="1"/>
  <c r="S497" i="10"/>
  <c r="H497" i="10"/>
  <c r="BS496" i="10" a="1"/>
  <c r="BS496" i="10" s="1"/>
  <c r="S496" i="10"/>
  <c r="H496" i="10"/>
  <c r="BS495" i="10" a="1"/>
  <c r="BS495" i="10" s="1"/>
  <c r="S495" i="10"/>
  <c r="H495" i="10"/>
  <c r="BS494" i="10" a="1"/>
  <c r="BS494" i="10" s="1"/>
  <c r="S494" i="10"/>
  <c r="H494" i="10"/>
  <c r="BS493" i="10" a="1"/>
  <c r="BS493" i="10" s="1"/>
  <c r="S493" i="10"/>
  <c r="H493" i="10"/>
  <c r="BS492" i="10" a="1"/>
  <c r="BS492" i="10" s="1"/>
  <c r="S492" i="10"/>
  <c r="H492" i="10"/>
  <c r="BS491" i="10" a="1"/>
  <c r="BS491" i="10" s="1"/>
  <c r="S491" i="10"/>
  <c r="H491" i="10"/>
  <c r="BS490" i="10" a="1"/>
  <c r="BS490" i="10" s="1"/>
  <c r="S490" i="10"/>
  <c r="H490" i="10"/>
  <c r="BS489" i="10" a="1"/>
  <c r="BS489" i="10" s="1"/>
  <c r="S489" i="10"/>
  <c r="H489" i="10"/>
  <c r="BS488" i="10" a="1"/>
  <c r="BS488" i="10" s="1"/>
  <c r="S488" i="10"/>
  <c r="H488" i="10"/>
  <c r="BS487" i="10" a="1"/>
  <c r="BS487" i="10" s="1"/>
  <c r="S487" i="10"/>
  <c r="H487" i="10"/>
  <c r="BS486" i="10" a="1"/>
  <c r="BS486" i="10" s="1"/>
  <c r="S486" i="10"/>
  <c r="H486" i="10"/>
  <c r="BS485" i="10" a="1"/>
  <c r="BS485" i="10" s="1"/>
  <c r="H485" i="10"/>
  <c r="BS484" i="10" a="1"/>
  <c r="BS484" i="10"/>
  <c r="H484" i="10"/>
  <c r="BS483" i="10" a="1"/>
  <c r="BS483" i="10" s="1"/>
  <c r="S483" i="10"/>
  <c r="H483" i="10"/>
  <c r="BS482" i="10" a="1"/>
  <c r="BS482" i="10" s="1"/>
  <c r="S482" i="10"/>
  <c r="H482" i="10"/>
  <c r="BS481" i="10" a="1"/>
  <c r="BS481" i="10" s="1"/>
  <c r="S481" i="10"/>
  <c r="H481" i="10"/>
  <c r="BS480" i="10" a="1"/>
  <c r="BS480" i="10" s="1"/>
  <c r="S480" i="10"/>
  <c r="H480" i="10"/>
  <c r="BS479" i="10" a="1"/>
  <c r="BS479" i="10" s="1"/>
  <c r="H479" i="10"/>
  <c r="BS478" i="10" a="1"/>
  <c r="BS478" i="10" s="1"/>
  <c r="S478" i="10"/>
  <c r="H478" i="10"/>
  <c r="BS477" i="10" a="1"/>
  <c r="BS477" i="10" s="1"/>
  <c r="S477" i="10"/>
  <c r="H477" i="10"/>
  <c r="BS476" i="10" a="1"/>
  <c r="BS476" i="10" s="1"/>
  <c r="S476" i="10"/>
  <c r="H476" i="10"/>
  <c r="BS475" i="10" a="1"/>
  <c r="BS475" i="10" s="1"/>
  <c r="S475" i="10"/>
  <c r="H475" i="10"/>
  <c r="BS474" i="10" a="1"/>
  <c r="BS474" i="10" s="1"/>
  <c r="BS473" i="10" a="1"/>
  <c r="BS473" i="10"/>
  <c r="S473" i="10"/>
  <c r="H473" i="10"/>
  <c r="BS472" i="10" a="1"/>
  <c r="BS472" i="10"/>
  <c r="H472" i="10"/>
  <c r="BS471" i="10" a="1"/>
  <c r="BS471" i="10" s="1"/>
  <c r="S471" i="10"/>
  <c r="H471" i="10"/>
  <c r="BS470" i="10" a="1"/>
  <c r="BS470" i="10" s="1"/>
  <c r="H470" i="10"/>
  <c r="BS469" i="10" a="1"/>
  <c r="BS469" i="10" s="1"/>
  <c r="S469" i="10"/>
  <c r="H469" i="10"/>
  <c r="BS468" i="10" a="1"/>
  <c r="BS468" i="10" s="1"/>
  <c r="S468" i="10"/>
  <c r="H468" i="10"/>
  <c r="BS467" i="10" a="1"/>
  <c r="BS467" i="10" s="1"/>
  <c r="S467" i="10"/>
  <c r="H467" i="10"/>
  <c r="BS466" i="10" a="1"/>
  <c r="BS466" i="10" s="1"/>
  <c r="S466" i="10"/>
  <c r="H466" i="10"/>
  <c r="BS465" i="10" a="1"/>
  <c r="BS465" i="10" s="1"/>
  <c r="S465" i="10"/>
  <c r="H465" i="10"/>
  <c r="BS464" i="10" a="1"/>
  <c r="BS464" i="10" s="1"/>
  <c r="S464" i="10"/>
  <c r="H464" i="10"/>
  <c r="BS463" i="10" a="1"/>
  <c r="BS463" i="10" s="1"/>
  <c r="H463" i="10"/>
  <c r="BS462" i="10" a="1"/>
  <c r="BS462" i="10" s="1"/>
  <c r="S462" i="10"/>
  <c r="H462" i="10"/>
  <c r="BS461" i="10" a="1"/>
  <c r="BS461" i="10" s="1"/>
  <c r="S461" i="10"/>
  <c r="H461" i="10"/>
  <c r="BS460" i="10" a="1"/>
  <c r="BS460" i="10" s="1"/>
  <c r="S460" i="10"/>
  <c r="H460" i="10"/>
  <c r="BS459" i="10" a="1"/>
  <c r="BS459" i="10" s="1"/>
  <c r="S459" i="10"/>
  <c r="H459" i="10"/>
  <c r="BS458" i="10" a="1"/>
  <c r="BS458" i="10" s="1"/>
  <c r="S458" i="10"/>
  <c r="H458" i="10"/>
  <c r="BS457" i="10" a="1"/>
  <c r="BS457" i="10" s="1"/>
  <c r="H457" i="10"/>
  <c r="BS456" i="10" a="1"/>
  <c r="BS456" i="10"/>
  <c r="S456" i="10"/>
  <c r="H456" i="10"/>
  <c r="BS455" i="10" a="1"/>
  <c r="BS455" i="10"/>
  <c r="H455" i="10"/>
  <c r="BS454" i="10" a="1"/>
  <c r="BS454" i="10" s="1"/>
  <c r="S454" i="10"/>
  <c r="H454" i="10"/>
  <c r="BS453" i="10" a="1"/>
  <c r="BS453" i="10" s="1"/>
  <c r="S453" i="10"/>
  <c r="H453" i="10"/>
  <c r="BS452" i="10" a="1"/>
  <c r="BS452" i="10"/>
  <c r="S452" i="10"/>
  <c r="H452" i="10"/>
  <c r="BS451" i="10" a="1"/>
  <c r="BS451" i="10"/>
  <c r="S451" i="10"/>
  <c r="H451" i="10"/>
  <c r="BS450" i="10" a="1"/>
  <c r="BS450" i="10"/>
  <c r="S450" i="10"/>
  <c r="H450" i="10"/>
  <c r="BS449" i="10" a="1"/>
  <c r="BS449" i="10"/>
  <c r="S449" i="10"/>
  <c r="H449" i="10"/>
  <c r="BS448" i="10" a="1"/>
  <c r="BS448" i="10"/>
  <c r="S448" i="10"/>
  <c r="H448" i="10"/>
  <c r="BS447" i="10" a="1"/>
  <c r="BS447" i="10"/>
  <c r="S447" i="10"/>
  <c r="H447" i="10"/>
  <c r="BS446" i="10" a="1"/>
  <c r="BS446" i="10"/>
  <c r="BS445" i="10" a="1"/>
  <c r="BS445" i="10" s="1"/>
  <c r="S445" i="10"/>
  <c r="H445" i="10"/>
  <c r="BS444" i="10" a="1"/>
  <c r="BS444" i="10" s="1"/>
  <c r="S444" i="10"/>
  <c r="H444" i="10"/>
  <c r="BS443" i="10" a="1"/>
  <c r="BS443" i="10" s="1"/>
  <c r="S443" i="10"/>
  <c r="H443" i="10"/>
  <c r="BS442" i="10" a="1"/>
  <c r="BS442" i="10" s="1"/>
  <c r="S442" i="10"/>
  <c r="H442" i="10"/>
  <c r="BS441" i="10" a="1"/>
  <c r="BS441" i="10" s="1"/>
  <c r="S441" i="10"/>
  <c r="H441" i="10"/>
  <c r="BS440" i="10" a="1"/>
  <c r="BS440" i="10" s="1"/>
  <c r="S440" i="10"/>
  <c r="H440" i="10"/>
  <c r="BS439" i="10" a="1"/>
  <c r="BS439" i="10" s="1"/>
  <c r="S439" i="10"/>
  <c r="H439" i="10"/>
  <c r="BS438" i="10" a="1"/>
  <c r="BS438" i="10" s="1"/>
  <c r="S438" i="10"/>
  <c r="H438" i="10"/>
  <c r="BS437" i="10" a="1"/>
  <c r="BS437" i="10" s="1"/>
  <c r="H437" i="10"/>
  <c r="BS436" i="10" a="1"/>
  <c r="BS436" i="10" s="1"/>
  <c r="S436" i="10"/>
  <c r="H436" i="10"/>
  <c r="BS435" i="10" a="1"/>
  <c r="BS435" i="10" s="1"/>
  <c r="S435" i="10"/>
  <c r="H435" i="10"/>
  <c r="BS434" i="10" a="1"/>
  <c r="BS434" i="10" s="1"/>
  <c r="S434" i="10"/>
  <c r="H434" i="10"/>
  <c r="BS433" i="10" a="1"/>
  <c r="BS433" i="10" s="1"/>
  <c r="S433" i="10"/>
  <c r="H433" i="10"/>
  <c r="BS432" i="10" a="1"/>
  <c r="BS432" i="10" s="1"/>
  <c r="BS431" i="10" a="1"/>
  <c r="BS431" i="10" s="1"/>
  <c r="BS430" i="10" a="1"/>
  <c r="BS430" i="10" s="1"/>
  <c r="S430" i="10"/>
  <c r="H430" i="10"/>
  <c r="BS429" i="10" a="1"/>
  <c r="BS429" i="10" s="1"/>
  <c r="H429" i="10"/>
  <c r="BS428" i="10" a="1"/>
  <c r="BS428" i="10" s="1"/>
  <c r="S428" i="10"/>
  <c r="H428" i="10"/>
  <c r="BS427" i="10" a="1"/>
  <c r="BS427" i="10" s="1"/>
  <c r="S427" i="10"/>
  <c r="H427" i="10"/>
  <c r="BS426" i="10" a="1"/>
  <c r="BS426" i="10" s="1"/>
  <c r="S426" i="10"/>
  <c r="H426" i="10"/>
  <c r="BS425" i="10" a="1"/>
  <c r="BS425" i="10" s="1"/>
  <c r="S425" i="10"/>
  <c r="H425" i="10"/>
  <c r="BS424" i="10" a="1"/>
  <c r="BS424" i="10" s="1"/>
  <c r="S424" i="10"/>
  <c r="H424" i="10"/>
  <c r="BS423" i="10" a="1"/>
  <c r="BS423" i="10" s="1"/>
  <c r="S423" i="10"/>
  <c r="H423" i="10"/>
  <c r="BS422" i="10" a="1"/>
  <c r="BS422" i="10" s="1"/>
  <c r="S422" i="10"/>
  <c r="H422" i="10"/>
  <c r="BS421" i="10" a="1"/>
  <c r="BS421" i="10" s="1"/>
  <c r="S421" i="10"/>
  <c r="H421" i="10"/>
  <c r="BS420" i="10" a="1"/>
  <c r="BS420" i="10" s="1"/>
  <c r="H420" i="10"/>
  <c r="BS419" i="10" a="1"/>
  <c r="BS419" i="10" s="1"/>
  <c r="S419" i="10"/>
  <c r="H419" i="10"/>
  <c r="BS418" i="10" a="1"/>
  <c r="BS418" i="10" s="1"/>
  <c r="S418" i="10"/>
  <c r="H418" i="10"/>
  <c r="BS417" i="10" a="1"/>
  <c r="BS417" i="10" s="1"/>
  <c r="S417" i="10"/>
  <c r="H417" i="10"/>
  <c r="BS416" i="10" a="1"/>
  <c r="BS416" i="10" s="1"/>
  <c r="S416" i="10"/>
  <c r="H416" i="10"/>
  <c r="BS415" i="10" a="1"/>
  <c r="BS415" i="10" s="1"/>
  <c r="H415" i="10"/>
  <c r="BS414" i="10" a="1"/>
  <c r="BS414" i="10" s="1"/>
  <c r="S414" i="10"/>
  <c r="H414" i="10"/>
  <c r="BS413" i="10" a="1"/>
  <c r="BS413" i="10" s="1"/>
  <c r="S413" i="10"/>
  <c r="H413" i="10"/>
  <c r="BS412" i="10" a="1"/>
  <c r="BS412" i="10" s="1"/>
  <c r="S412" i="10"/>
  <c r="H412" i="10"/>
  <c r="BS411" i="10" a="1"/>
  <c r="BS411" i="10" s="1"/>
  <c r="S411" i="10"/>
  <c r="H411" i="10"/>
  <c r="BS410" i="10" a="1"/>
  <c r="BS410" i="10" s="1"/>
  <c r="S410" i="10"/>
  <c r="H410" i="10"/>
  <c r="BS409" i="10" a="1"/>
  <c r="BS409" i="10" s="1"/>
  <c r="S409" i="10"/>
  <c r="H409" i="10"/>
  <c r="BS408" i="10" a="1"/>
  <c r="BS408" i="10" s="1"/>
  <c r="S408" i="10"/>
  <c r="H408" i="10"/>
  <c r="BS407" i="10" a="1"/>
  <c r="BS407" i="10" s="1"/>
  <c r="S407" i="10"/>
  <c r="H407" i="10"/>
  <c r="BS406" i="10" a="1"/>
  <c r="BS406" i="10" s="1"/>
  <c r="S406" i="10"/>
  <c r="H406" i="10"/>
  <c r="BS405" i="10" a="1"/>
  <c r="BS405" i="10" s="1"/>
  <c r="S405" i="10"/>
  <c r="H405" i="10"/>
  <c r="BS404" i="10" a="1"/>
  <c r="BS404" i="10" s="1"/>
  <c r="S404" i="10"/>
  <c r="H404" i="10"/>
  <c r="BS403" i="10" a="1"/>
  <c r="BS403" i="10" s="1"/>
  <c r="S403" i="10"/>
  <c r="H403" i="10"/>
  <c r="BS402" i="10" a="1"/>
  <c r="BS402" i="10" s="1"/>
  <c r="S402" i="10"/>
  <c r="H402" i="10"/>
  <c r="BS401" i="10" a="1"/>
  <c r="BS401" i="10" s="1"/>
  <c r="S401" i="10"/>
  <c r="H401" i="10"/>
  <c r="BS400" i="10" a="1"/>
  <c r="BS400" i="10" s="1"/>
  <c r="S400" i="10"/>
  <c r="H400" i="10"/>
  <c r="BS399" i="10" a="1"/>
  <c r="BS399" i="10" s="1"/>
  <c r="S399" i="10"/>
  <c r="H399" i="10"/>
  <c r="BS398" i="10" a="1"/>
  <c r="BS398" i="10" s="1"/>
  <c r="H398" i="10"/>
  <c r="BS397" i="10" a="1"/>
  <c r="BS397" i="10" s="1"/>
  <c r="S397" i="10"/>
  <c r="H397" i="10"/>
  <c r="BS396" i="10" a="1"/>
  <c r="BS396" i="10" s="1"/>
  <c r="S396" i="10"/>
  <c r="H396" i="10"/>
  <c r="BS395" i="10" a="1"/>
  <c r="BS395" i="10" s="1"/>
  <c r="S395" i="10"/>
  <c r="H395" i="10"/>
  <c r="BS394" i="10" a="1"/>
  <c r="BS394" i="10" s="1"/>
  <c r="S394" i="10"/>
  <c r="H394" i="10"/>
  <c r="BS393" i="10" a="1"/>
  <c r="BS393" i="10" s="1"/>
  <c r="S393" i="10"/>
  <c r="H393" i="10"/>
  <c r="BS392" i="10" a="1"/>
  <c r="BS392" i="10" s="1"/>
  <c r="S392" i="10"/>
  <c r="H392" i="10"/>
  <c r="BS391" i="10" a="1"/>
  <c r="BS391" i="10" s="1"/>
  <c r="S391" i="10"/>
  <c r="H391" i="10"/>
  <c r="BS390" i="10" a="1"/>
  <c r="BS390" i="10" s="1"/>
  <c r="S390" i="10"/>
  <c r="H390" i="10"/>
  <c r="BS389" i="10" a="1"/>
  <c r="BS389" i="10" s="1"/>
  <c r="S389" i="10"/>
  <c r="H389" i="10"/>
  <c r="BS388" i="10" a="1"/>
  <c r="BS388" i="10" s="1"/>
  <c r="S388" i="10"/>
  <c r="H388" i="10"/>
  <c r="BS387" i="10" a="1"/>
  <c r="BS387" i="10" s="1"/>
  <c r="S387" i="10"/>
  <c r="H387" i="10"/>
  <c r="BS386" i="10" a="1"/>
  <c r="BS386" i="10" s="1"/>
  <c r="BS385" i="10" a="1"/>
  <c r="BS385" i="10" s="1"/>
  <c r="S385" i="10"/>
  <c r="H385" i="10"/>
  <c r="BS384" i="10" a="1"/>
  <c r="BS384" i="10" s="1"/>
  <c r="S384" i="10"/>
  <c r="H384" i="10"/>
  <c r="BS383" i="10" a="1"/>
  <c r="BS383" i="10" s="1"/>
  <c r="S383" i="10"/>
  <c r="H383" i="10"/>
  <c r="BS382" i="10" a="1"/>
  <c r="BS382" i="10" s="1"/>
  <c r="S382" i="10"/>
  <c r="H382" i="10"/>
  <c r="BS381" i="10" a="1"/>
  <c r="BS381" i="10" s="1"/>
  <c r="H381" i="10"/>
  <c r="BS380" i="10" a="1"/>
  <c r="BS380" i="10" s="1"/>
  <c r="BS379" i="10" a="1"/>
  <c r="BS379" i="10" s="1"/>
  <c r="S379" i="10"/>
  <c r="H379" i="10"/>
  <c r="BS378" i="10" a="1"/>
  <c r="BS378" i="10" s="1"/>
  <c r="S378" i="10"/>
  <c r="H378" i="10"/>
  <c r="BS377" i="10" a="1"/>
  <c r="BS377" i="10" s="1"/>
  <c r="S377" i="10"/>
  <c r="H377" i="10"/>
  <c r="BS376" i="10" a="1"/>
  <c r="BS376" i="10" s="1"/>
  <c r="S376" i="10"/>
  <c r="H376" i="10"/>
  <c r="BS375" i="10" a="1"/>
  <c r="BS375" i="10" s="1"/>
  <c r="S375" i="10"/>
  <c r="H375" i="10"/>
  <c r="BS374" i="10" a="1"/>
  <c r="BS374" i="10" s="1"/>
  <c r="S374" i="10"/>
  <c r="H374" i="10"/>
  <c r="BS373" i="10" a="1"/>
  <c r="BS373" i="10" s="1"/>
  <c r="H373" i="10"/>
  <c r="BS372" i="10" a="1"/>
  <c r="BS372" i="10" s="1"/>
  <c r="S372" i="10"/>
  <c r="H372" i="10"/>
  <c r="BS371" i="10" a="1"/>
  <c r="BS371" i="10" s="1"/>
  <c r="S371" i="10"/>
  <c r="H371" i="10"/>
  <c r="BS370" i="10" a="1"/>
  <c r="BS370" i="10" s="1"/>
  <c r="S370" i="10"/>
  <c r="H370" i="10"/>
  <c r="BS369" i="10" a="1"/>
  <c r="BS369" i="10" s="1"/>
  <c r="S369" i="10"/>
  <c r="H369" i="10"/>
  <c r="BS368" i="10" a="1"/>
  <c r="BS368" i="10" s="1"/>
  <c r="S368" i="10"/>
  <c r="H368" i="10"/>
  <c r="BS367" i="10" a="1"/>
  <c r="BS367" i="10" s="1"/>
  <c r="S367" i="10"/>
  <c r="H367" i="10"/>
  <c r="BS366" i="10" a="1"/>
  <c r="BS366" i="10" s="1"/>
  <c r="H366" i="10"/>
  <c r="BS365" i="10" a="1"/>
  <c r="BS365" i="10" s="1"/>
  <c r="H365" i="10"/>
  <c r="BS364" i="10" a="1"/>
  <c r="BS364" i="10" s="1"/>
  <c r="H364" i="10"/>
  <c r="BS363" i="10" a="1"/>
  <c r="BS363" i="10"/>
  <c r="S363" i="10"/>
  <c r="H363" i="10"/>
  <c r="BS362" i="10" a="1"/>
  <c r="BS362" i="10"/>
  <c r="S362" i="10"/>
  <c r="H362" i="10"/>
  <c r="BS361" i="10" a="1"/>
  <c r="BS361" i="10"/>
  <c r="S361" i="10"/>
  <c r="H361" i="10"/>
  <c r="BS360" i="10" a="1"/>
  <c r="BS360" i="10"/>
  <c r="S360" i="10"/>
  <c r="H360" i="10"/>
  <c r="BS359" i="10" a="1"/>
  <c r="BS359" i="10"/>
  <c r="S359" i="10"/>
  <c r="H359" i="10"/>
  <c r="BS358" i="10" a="1"/>
  <c r="BS358" i="10"/>
  <c r="H358" i="10"/>
  <c r="BS357" i="10" a="1"/>
  <c r="BS357" i="10" s="1"/>
  <c r="H357" i="10"/>
  <c r="BS356" i="10" a="1"/>
  <c r="BS356" i="10" s="1"/>
  <c r="S356" i="10"/>
  <c r="H356" i="10"/>
  <c r="BS355" i="10" a="1"/>
  <c r="BS355" i="10" s="1"/>
  <c r="S355" i="10"/>
  <c r="H355" i="10"/>
  <c r="BS354" i="10" a="1"/>
  <c r="BS354" i="10" s="1"/>
  <c r="S354" i="10"/>
  <c r="H354" i="10"/>
  <c r="BS353" i="10" a="1"/>
  <c r="BS353" i="10" s="1"/>
  <c r="S353" i="10"/>
  <c r="H353" i="10"/>
  <c r="BS352" i="10" a="1"/>
  <c r="BS352" i="10" s="1"/>
  <c r="S352" i="10"/>
  <c r="H352" i="10"/>
  <c r="BS351" i="10" a="1"/>
  <c r="BS351" i="10" s="1"/>
  <c r="S351" i="10"/>
  <c r="H351" i="10"/>
  <c r="BS350" i="10" a="1"/>
  <c r="BS350" i="10" s="1"/>
  <c r="S350" i="10"/>
  <c r="H350" i="10"/>
  <c r="BS349" i="10" a="1"/>
  <c r="BS349" i="10" s="1"/>
  <c r="S349" i="10"/>
  <c r="H349" i="10"/>
  <c r="BS348" i="10" a="1"/>
  <c r="BS348" i="10" s="1"/>
  <c r="S348" i="10"/>
  <c r="H348" i="10"/>
  <c r="BS347" i="10" a="1"/>
  <c r="BS347" i="10" s="1"/>
  <c r="S347" i="10"/>
  <c r="H347" i="10"/>
  <c r="BS346" i="10" a="1"/>
  <c r="BS346" i="10" s="1"/>
  <c r="S346" i="10"/>
  <c r="H346" i="10"/>
  <c r="BS345" i="10" a="1"/>
  <c r="BS345" i="10" s="1"/>
  <c r="S345" i="10"/>
  <c r="H345" i="10"/>
  <c r="BS344" i="10" a="1"/>
  <c r="BS344" i="10" s="1"/>
  <c r="S344" i="10"/>
  <c r="H344" i="10"/>
  <c r="BS343" i="10" a="1"/>
  <c r="BS343" i="10" s="1"/>
  <c r="H343" i="10"/>
  <c r="BS342" i="10" a="1"/>
  <c r="BS342" i="10"/>
  <c r="S342" i="10"/>
  <c r="H342" i="10"/>
  <c r="BS341" i="10" a="1"/>
  <c r="BS341" i="10" s="1"/>
  <c r="S341" i="10"/>
  <c r="H341" i="10"/>
  <c r="BS340" i="10" a="1"/>
  <c r="BS340" i="10" s="1"/>
  <c r="S340" i="10"/>
  <c r="H340" i="10"/>
  <c r="BS339" i="10" a="1"/>
  <c r="BS339" i="10" s="1"/>
  <c r="S339" i="10"/>
  <c r="H339" i="10"/>
  <c r="BS338" i="10" a="1"/>
  <c r="BS338" i="10" s="1"/>
  <c r="S338" i="10"/>
  <c r="H338" i="10"/>
  <c r="BS337" i="10" a="1"/>
  <c r="BS337" i="10" s="1"/>
  <c r="S337" i="10"/>
  <c r="H337" i="10"/>
  <c r="BS336" i="10" a="1"/>
  <c r="BS336" i="10" s="1"/>
  <c r="S336" i="10"/>
  <c r="H336" i="10"/>
  <c r="BS335" i="10" a="1"/>
  <c r="BS335" i="10" s="1"/>
  <c r="S335" i="10"/>
  <c r="H335" i="10"/>
  <c r="BS334" i="10" a="1"/>
  <c r="BS334" i="10" s="1"/>
  <c r="S334" i="10"/>
  <c r="H334" i="10"/>
  <c r="BS333" i="10" a="1"/>
  <c r="BS333" i="10" s="1"/>
  <c r="S333" i="10"/>
  <c r="H333" i="10"/>
  <c r="BS332" i="10" a="1"/>
  <c r="BS332" i="10" s="1"/>
  <c r="S332" i="10"/>
  <c r="H332" i="10"/>
  <c r="BS331" i="10" a="1"/>
  <c r="BS331" i="10" s="1"/>
  <c r="S331" i="10"/>
  <c r="H331" i="10"/>
  <c r="BS330" i="10" a="1"/>
  <c r="BS330" i="10" s="1"/>
  <c r="S330" i="10"/>
  <c r="H330" i="10"/>
  <c r="BS329" i="10" a="1"/>
  <c r="BS329" i="10" s="1"/>
  <c r="S329" i="10"/>
  <c r="H329" i="10"/>
  <c r="BS328" i="10" a="1"/>
  <c r="BS328" i="10" s="1"/>
  <c r="S328" i="10"/>
  <c r="H328" i="10"/>
  <c r="BS327" i="10" a="1"/>
  <c r="BS327" i="10" s="1"/>
  <c r="S327" i="10"/>
  <c r="H327" i="10"/>
  <c r="BS326" i="10" a="1"/>
  <c r="BS326" i="10" s="1"/>
  <c r="BS325" i="10" a="1"/>
  <c r="BS325" i="10" s="1"/>
  <c r="S325" i="10"/>
  <c r="H325" i="10"/>
  <c r="BS324" i="10" a="1"/>
  <c r="BS324" i="10" s="1"/>
  <c r="S324" i="10"/>
  <c r="H324" i="10"/>
  <c r="BS323" i="10" a="1"/>
  <c r="BS323" i="10" s="1"/>
  <c r="S323" i="10"/>
  <c r="H323" i="10"/>
  <c r="BS322" i="10" a="1"/>
  <c r="BS322" i="10" s="1"/>
  <c r="S322" i="10"/>
  <c r="H322" i="10"/>
  <c r="BS321" i="10" a="1"/>
  <c r="BS321" i="10" s="1"/>
  <c r="S321" i="10"/>
  <c r="H321" i="10"/>
  <c r="BS320" i="10" a="1"/>
  <c r="BS320" i="10" s="1"/>
  <c r="S320" i="10"/>
  <c r="H320" i="10"/>
  <c r="BS319" i="10" a="1"/>
  <c r="BS319" i="10" s="1"/>
  <c r="S319" i="10"/>
  <c r="H319" i="10"/>
  <c r="BS318" i="10" a="1"/>
  <c r="BS318" i="10" s="1"/>
  <c r="S318" i="10"/>
  <c r="H318" i="10"/>
  <c r="BS317" i="10" a="1"/>
  <c r="BS317" i="10" s="1"/>
  <c r="H317" i="10"/>
  <c r="BS316" i="10" a="1"/>
  <c r="BS316" i="10" s="1"/>
  <c r="S316" i="10"/>
  <c r="H316" i="10"/>
  <c r="BS315" i="10" a="1"/>
  <c r="BS315" i="10" s="1"/>
  <c r="S315" i="10"/>
  <c r="H315" i="10"/>
  <c r="BS314" i="10" a="1"/>
  <c r="BS314" i="10" s="1"/>
  <c r="H314" i="10"/>
  <c r="BS313" i="10" a="1"/>
  <c r="BS313" i="10" s="1"/>
  <c r="S313" i="10"/>
  <c r="H313" i="10"/>
  <c r="BS312" i="10" a="1"/>
  <c r="BS312" i="10" s="1"/>
  <c r="S312" i="10"/>
  <c r="H312" i="10"/>
  <c r="BS311" i="10" a="1"/>
  <c r="BS311" i="10" s="1"/>
  <c r="S311" i="10"/>
  <c r="H311" i="10"/>
  <c r="BS310" i="10" a="1"/>
  <c r="BS310" i="10" s="1"/>
  <c r="S310" i="10"/>
  <c r="H310" i="10"/>
  <c r="BS309" i="10" a="1"/>
  <c r="BS309" i="10" s="1"/>
  <c r="S309" i="10"/>
  <c r="H309" i="10"/>
  <c r="BS308" i="10" a="1"/>
  <c r="BS308" i="10" s="1"/>
  <c r="S308" i="10"/>
  <c r="H308" i="10"/>
  <c r="BS307" i="10" a="1"/>
  <c r="BS307" i="10" s="1"/>
  <c r="S307" i="10"/>
  <c r="H307" i="10"/>
  <c r="BS306" i="10" a="1"/>
  <c r="BS306" i="10" s="1"/>
  <c r="S306" i="10"/>
  <c r="H306" i="10"/>
  <c r="BS305" i="10" a="1"/>
  <c r="BS305" i="10" s="1"/>
  <c r="S305" i="10"/>
  <c r="H305" i="10"/>
  <c r="BS304" i="10" a="1"/>
  <c r="BS304" i="10" s="1"/>
  <c r="S304" i="10"/>
  <c r="H304" i="10"/>
  <c r="BS303" i="10" a="1"/>
  <c r="BS303" i="10" s="1"/>
  <c r="S303" i="10"/>
  <c r="H303" i="10"/>
  <c r="BS302" i="10" a="1"/>
  <c r="BS302" i="10" s="1"/>
  <c r="S302" i="10"/>
  <c r="H302" i="10"/>
  <c r="BS301" i="10" a="1"/>
  <c r="BS301" i="10" s="1"/>
  <c r="S301" i="10"/>
  <c r="H301" i="10"/>
  <c r="BS300" i="10" a="1"/>
  <c r="BS300" i="10" s="1"/>
  <c r="S300" i="10"/>
  <c r="H300" i="10"/>
  <c r="BS299" i="10" a="1"/>
  <c r="BS299" i="10" s="1"/>
  <c r="H299" i="10"/>
  <c r="BS298" i="10" a="1"/>
  <c r="BS298" i="10" s="1"/>
  <c r="H298" i="10"/>
  <c r="BS297" i="10" a="1"/>
  <c r="BS297" i="10" s="1"/>
  <c r="S297" i="10"/>
  <c r="H297" i="10"/>
  <c r="BS296" i="10" a="1"/>
  <c r="BS296" i="10" s="1"/>
  <c r="S296" i="10"/>
  <c r="H296" i="10"/>
  <c r="BS295" i="10" a="1"/>
  <c r="BS295" i="10" s="1"/>
  <c r="S295" i="10"/>
  <c r="H295" i="10"/>
  <c r="BS294" i="10" a="1"/>
  <c r="BS294" i="10" s="1"/>
  <c r="BS293" i="10" a="1"/>
  <c r="BS293" i="10" s="1"/>
  <c r="S293" i="10"/>
  <c r="H293" i="10"/>
  <c r="BS292" i="10" a="1"/>
  <c r="BS292" i="10" s="1"/>
  <c r="S292" i="10"/>
  <c r="H292" i="10"/>
  <c r="BS291" i="10" a="1"/>
  <c r="BS291" i="10" s="1"/>
  <c r="S291" i="10"/>
  <c r="H291" i="10"/>
  <c r="BS290" i="10" a="1"/>
  <c r="BS290" i="10" s="1"/>
  <c r="BS289" i="10" a="1"/>
  <c r="BS289" i="10" s="1"/>
  <c r="S289" i="10"/>
  <c r="H289" i="10"/>
  <c r="BS288" i="10" a="1"/>
  <c r="BS288" i="10" s="1"/>
  <c r="BS287" i="10" a="1"/>
  <c r="BS287" i="10" s="1"/>
  <c r="BS286" i="10" a="1"/>
  <c r="BS286" i="10" s="1"/>
  <c r="S286" i="10"/>
  <c r="H286" i="10"/>
  <c r="BS285" i="10" a="1"/>
  <c r="BS285" i="10" s="1"/>
  <c r="S285" i="10"/>
  <c r="H285" i="10"/>
  <c r="BS284" i="10" a="1"/>
  <c r="BS284" i="10" s="1"/>
  <c r="H284" i="10"/>
  <c r="BS283" i="10" a="1"/>
  <c r="BS283" i="10" s="1"/>
  <c r="S283" i="10"/>
  <c r="H283" i="10"/>
  <c r="BS282" i="10" a="1"/>
  <c r="BS282" i="10" s="1"/>
  <c r="S282" i="10"/>
  <c r="H282" i="10"/>
  <c r="BS281" i="10" a="1"/>
  <c r="BS281" i="10" s="1"/>
  <c r="S281" i="10"/>
  <c r="H281" i="10"/>
  <c r="BS280" i="10" a="1"/>
  <c r="BS280" i="10" s="1"/>
  <c r="S280" i="10"/>
  <c r="H280" i="10"/>
  <c r="BS279" i="10" a="1"/>
  <c r="BS279" i="10" s="1"/>
  <c r="S279" i="10"/>
  <c r="H279" i="10"/>
  <c r="BS278" i="10" a="1"/>
  <c r="BS278" i="10" s="1"/>
  <c r="S278" i="10"/>
  <c r="H278" i="10"/>
  <c r="BS277" i="10" a="1"/>
  <c r="BS277" i="10" s="1"/>
  <c r="S277" i="10"/>
  <c r="H277" i="10"/>
  <c r="BS276" i="10" a="1"/>
  <c r="BS276" i="10" s="1"/>
  <c r="S276" i="10"/>
  <c r="H276" i="10"/>
  <c r="BS275" i="10" a="1"/>
  <c r="BS275" i="10" s="1"/>
  <c r="S275" i="10"/>
  <c r="H275" i="10"/>
  <c r="BS274" i="10" a="1"/>
  <c r="BS274" i="10" s="1"/>
  <c r="S274" i="10"/>
  <c r="H274" i="10"/>
  <c r="BS273" i="10" a="1"/>
  <c r="BS273" i="10" s="1"/>
  <c r="H273" i="10"/>
  <c r="BS272" i="10" a="1"/>
  <c r="BS272" i="10" s="1"/>
  <c r="S272" i="10"/>
  <c r="H272" i="10"/>
  <c r="BS271" i="10" a="1"/>
  <c r="BS271" i="10" s="1"/>
  <c r="S271" i="10"/>
  <c r="H271" i="10"/>
  <c r="BS270" i="10" a="1"/>
  <c r="BS270" i="10" s="1"/>
  <c r="H270" i="10"/>
  <c r="BS269" i="10" a="1"/>
  <c r="BS269" i="10" s="1"/>
  <c r="S269" i="10"/>
  <c r="H269" i="10"/>
  <c r="BS268" i="10" a="1"/>
  <c r="BS268" i="10" s="1"/>
  <c r="S268" i="10"/>
  <c r="H268" i="10"/>
  <c r="BS267" i="10" a="1"/>
  <c r="BS267" i="10" s="1"/>
  <c r="S267" i="10"/>
  <c r="H267" i="10"/>
  <c r="BS266" i="10" a="1"/>
  <c r="BS266" i="10" s="1"/>
  <c r="S266" i="10"/>
  <c r="H266" i="10"/>
  <c r="BS265" i="10" a="1"/>
  <c r="BS265" i="10" s="1"/>
  <c r="S265" i="10"/>
  <c r="H265" i="10"/>
  <c r="BS264" i="10" a="1"/>
  <c r="BS264" i="10" s="1"/>
  <c r="H264" i="10"/>
  <c r="BS263" i="10" a="1"/>
  <c r="BS263" i="10" s="1"/>
  <c r="S263" i="10"/>
  <c r="H263" i="10"/>
  <c r="BS262" i="10" a="1"/>
  <c r="BS262" i="10" s="1"/>
  <c r="S262" i="10"/>
  <c r="H262" i="10"/>
  <c r="BS261" i="10" a="1"/>
  <c r="BS261" i="10" s="1"/>
  <c r="S261" i="10"/>
  <c r="H261" i="10"/>
  <c r="BS260" i="10" a="1"/>
  <c r="BS260" i="10" s="1"/>
  <c r="S260" i="10"/>
  <c r="H260" i="10"/>
  <c r="BS259" i="10" a="1"/>
  <c r="BS259" i="10" s="1"/>
  <c r="S259" i="10"/>
  <c r="H259" i="10"/>
  <c r="BS258" i="10" a="1"/>
  <c r="BS258" i="10" s="1"/>
  <c r="S258" i="10"/>
  <c r="H258" i="10"/>
  <c r="BS257" i="10" a="1"/>
  <c r="BS257" i="10" s="1"/>
  <c r="H257" i="10"/>
  <c r="BS256" i="10" a="1"/>
  <c r="BS256" i="10"/>
  <c r="S256" i="10"/>
  <c r="H256" i="10"/>
  <c r="BS255" i="10" a="1"/>
  <c r="BS255" i="10"/>
  <c r="S255" i="10"/>
  <c r="H255" i="10"/>
  <c r="BS254" i="10" a="1"/>
  <c r="BS254" i="10"/>
  <c r="S254" i="10"/>
  <c r="H254" i="10"/>
  <c r="BS253" i="10" a="1"/>
  <c r="BS253" i="10"/>
  <c r="S253" i="10"/>
  <c r="H253" i="10"/>
  <c r="BS252" i="10" a="1"/>
  <c r="BS252" i="10"/>
  <c r="S252" i="10"/>
  <c r="H252" i="10"/>
  <c r="BS251" i="10" a="1"/>
  <c r="BS251" i="10"/>
  <c r="S251" i="10"/>
  <c r="H251" i="10"/>
  <c r="BS250" i="10" a="1"/>
  <c r="BS250" i="10"/>
  <c r="S250" i="10"/>
  <c r="H250" i="10"/>
  <c r="BS249" i="10" a="1"/>
  <c r="BS249" i="10"/>
  <c r="S249" i="10"/>
  <c r="H249" i="10"/>
  <c r="BS248" i="10" a="1"/>
  <c r="BS248" i="10"/>
  <c r="S248" i="10"/>
  <c r="H248" i="10"/>
  <c r="BS247" i="10" a="1"/>
  <c r="BS247" i="10"/>
  <c r="S247" i="10"/>
  <c r="H247" i="10"/>
  <c r="BS246" i="10" a="1"/>
  <c r="BS246" i="10"/>
  <c r="H246" i="10"/>
  <c r="BS245" i="10" a="1"/>
  <c r="BS245" i="10" s="1"/>
  <c r="S245" i="10"/>
  <c r="H245" i="10"/>
  <c r="BS244" i="10" a="1"/>
  <c r="BS244" i="10" s="1"/>
  <c r="BS243" i="10" a="1"/>
  <c r="BS243" i="10"/>
  <c r="S243" i="10"/>
  <c r="H243" i="10"/>
  <c r="BS242" i="10" a="1"/>
  <c r="BS242" i="10"/>
  <c r="BS241" i="10" a="1"/>
  <c r="BS241" i="10" s="1"/>
  <c r="H241" i="10"/>
  <c r="BS240" i="10" a="1"/>
  <c r="BS240" i="10" s="1"/>
  <c r="S240" i="10"/>
  <c r="H240" i="10"/>
  <c r="BS239" i="10" a="1"/>
  <c r="BS239" i="10" s="1"/>
  <c r="S239" i="10"/>
  <c r="H239" i="10"/>
  <c r="BS238" i="10" a="1"/>
  <c r="BS238" i="10" s="1"/>
  <c r="S238" i="10"/>
  <c r="H238" i="10"/>
  <c r="BS237" i="10" a="1"/>
  <c r="BS237" i="10" s="1"/>
  <c r="H237" i="10"/>
  <c r="BS236" i="10" a="1"/>
  <c r="BS236" i="10" s="1"/>
  <c r="S236" i="10"/>
  <c r="H236" i="10"/>
  <c r="BS235" i="10" a="1"/>
  <c r="BS235" i="10" s="1"/>
  <c r="S235" i="10"/>
  <c r="H235" i="10"/>
  <c r="BS234" i="10" a="1"/>
  <c r="BS234" i="10" s="1"/>
  <c r="S234" i="10"/>
  <c r="H234" i="10"/>
  <c r="BS233" i="10" a="1"/>
  <c r="BS233" i="10" s="1"/>
  <c r="S233" i="10"/>
  <c r="H233" i="10"/>
  <c r="BS232" i="10" a="1"/>
  <c r="BS232" i="10" s="1"/>
  <c r="H232" i="10"/>
  <c r="BS231" i="10" a="1"/>
  <c r="BS231" i="10"/>
  <c r="S231" i="10"/>
  <c r="H231" i="10"/>
  <c r="BS230" i="10" a="1"/>
  <c r="BS230" i="10"/>
  <c r="S230" i="10"/>
  <c r="H230" i="10"/>
  <c r="BS229" i="10" a="1"/>
  <c r="BS229" i="10"/>
  <c r="S229" i="10"/>
  <c r="H229" i="10"/>
  <c r="BS228" i="10" a="1"/>
  <c r="BS228" i="10"/>
  <c r="S228" i="10"/>
  <c r="H228" i="10"/>
  <c r="BS227" i="10" a="1"/>
  <c r="BS227" i="10"/>
  <c r="S227" i="10"/>
  <c r="H227" i="10"/>
  <c r="BS226" i="10" a="1"/>
  <c r="BS226" i="10"/>
  <c r="S226" i="10"/>
  <c r="H226" i="10"/>
  <c r="BS225" i="10" a="1"/>
  <c r="BS225" i="10"/>
  <c r="S225" i="10"/>
  <c r="H225" i="10"/>
  <c r="BS224" i="10" a="1"/>
  <c r="BS224" i="10"/>
  <c r="S224" i="10"/>
  <c r="H224" i="10"/>
  <c r="BS223" i="10" a="1"/>
  <c r="BS223" i="10"/>
  <c r="S223" i="10"/>
  <c r="H223" i="10"/>
  <c r="BS222" i="10" a="1"/>
  <c r="BS222" i="10"/>
  <c r="S222" i="10"/>
  <c r="H222" i="10"/>
  <c r="BS221" i="10" a="1"/>
  <c r="BS221" i="10"/>
  <c r="S221" i="10"/>
  <c r="H221" i="10"/>
  <c r="BS220" i="10" a="1"/>
  <c r="BS220" i="10"/>
  <c r="S220" i="10"/>
  <c r="H220" i="10"/>
  <c r="BS219" i="10" a="1"/>
  <c r="BS219" i="10"/>
  <c r="S219" i="10"/>
  <c r="H219" i="10"/>
  <c r="BS218" i="10" a="1"/>
  <c r="BS218" i="10"/>
  <c r="S218" i="10"/>
  <c r="H218" i="10"/>
  <c r="BS217" i="10" a="1"/>
  <c r="BS217" i="10"/>
  <c r="S217" i="10"/>
  <c r="H217" i="10"/>
  <c r="BS216" i="10" a="1"/>
  <c r="BS216" i="10"/>
  <c r="S216" i="10"/>
  <c r="H216" i="10"/>
  <c r="BS215" i="10" a="1"/>
  <c r="BS215" i="10"/>
  <c r="BS214" i="10" a="1"/>
  <c r="BS214" i="10" s="1"/>
  <c r="S214" i="10"/>
  <c r="H214" i="10"/>
  <c r="BS213" i="10" a="1"/>
  <c r="BS213" i="10" s="1"/>
  <c r="S213" i="10"/>
  <c r="H213" i="10"/>
  <c r="BS212" i="10" a="1"/>
  <c r="BS212" i="10" s="1"/>
  <c r="S212" i="10"/>
  <c r="H212" i="10"/>
  <c r="BS211" i="10" a="1"/>
  <c r="BS211" i="10" s="1"/>
  <c r="BS210" i="10" a="1"/>
  <c r="BS210" i="10"/>
  <c r="S210" i="10"/>
  <c r="H210" i="10"/>
  <c r="BS209" i="10" a="1"/>
  <c r="BS209" i="10"/>
  <c r="S209" i="10"/>
  <c r="H209" i="10"/>
  <c r="BS208" i="10" a="1"/>
  <c r="BS208" i="10"/>
  <c r="S208" i="10"/>
  <c r="H208" i="10"/>
  <c r="BS207" i="10" a="1"/>
  <c r="BS207" i="10"/>
  <c r="S207" i="10"/>
  <c r="H207" i="10"/>
  <c r="BS206" i="10" a="1"/>
  <c r="BS206" i="10"/>
  <c r="S206" i="10"/>
  <c r="H206" i="10"/>
  <c r="BS205" i="10" a="1"/>
  <c r="BS205" i="10"/>
  <c r="S205" i="10"/>
  <c r="H205" i="10"/>
  <c r="BS204" i="10" a="1"/>
  <c r="BS204" i="10"/>
  <c r="S204" i="10"/>
  <c r="H204" i="10"/>
  <c r="BS203" i="10" a="1"/>
  <c r="BS203" i="10"/>
  <c r="S203" i="10"/>
  <c r="H203" i="10"/>
  <c r="BS202" i="10" a="1"/>
  <c r="BS202" i="10"/>
  <c r="S202" i="10"/>
  <c r="H202" i="10"/>
  <c r="BS201" i="10" a="1"/>
  <c r="BS201" i="10"/>
  <c r="H201" i="10"/>
  <c r="BS200" i="10" a="1"/>
  <c r="BS200" i="10" s="1"/>
  <c r="H200" i="10"/>
  <c r="BS199" i="10" a="1"/>
  <c r="BS199" i="10" s="1"/>
  <c r="S199" i="10"/>
  <c r="H199" i="10"/>
  <c r="BS198" i="10" a="1"/>
  <c r="BS198" i="10" s="1"/>
  <c r="S198" i="10"/>
  <c r="H198" i="10"/>
  <c r="BS197" i="10" a="1"/>
  <c r="BS197" i="10" s="1"/>
  <c r="S197" i="10"/>
  <c r="H197" i="10"/>
  <c r="BS196" i="10" a="1"/>
  <c r="BS196" i="10" s="1"/>
  <c r="H196" i="10"/>
  <c r="BS195" i="10" a="1"/>
  <c r="BS195" i="10"/>
  <c r="H195" i="10"/>
  <c r="BS194" i="10" a="1"/>
  <c r="BS194" i="10"/>
  <c r="S194" i="10"/>
  <c r="H194" i="10"/>
  <c r="BS193" i="10" a="1"/>
  <c r="BS193" i="10"/>
  <c r="H193" i="10"/>
  <c r="BS192" i="10" a="1"/>
  <c r="BS192" i="10" s="1"/>
  <c r="S192" i="10"/>
  <c r="H192" i="10"/>
  <c r="BS191" i="10" a="1"/>
  <c r="BS191" i="10" s="1"/>
  <c r="H191" i="10"/>
  <c r="BS190" i="10" a="1"/>
  <c r="BS190" i="10" s="1"/>
  <c r="S190" i="10"/>
  <c r="H190" i="10"/>
  <c r="BS189" i="10" a="1"/>
  <c r="BS189" i="10" s="1"/>
  <c r="H189" i="10"/>
  <c r="BS188" i="10" a="1"/>
  <c r="BS188" i="10"/>
  <c r="S188" i="10"/>
  <c r="H188" i="10"/>
  <c r="BS187" i="10" a="1"/>
  <c r="BS187" i="10"/>
  <c r="S187" i="10"/>
  <c r="H187" i="10"/>
  <c r="BS186" i="10" a="1"/>
  <c r="BS186" i="10"/>
  <c r="S186" i="10"/>
  <c r="H186" i="10"/>
  <c r="BS185" i="10" a="1"/>
  <c r="BS185" i="10"/>
  <c r="S185" i="10"/>
  <c r="H185" i="10"/>
  <c r="BS184" i="10" a="1"/>
  <c r="BS184" i="10"/>
  <c r="S184" i="10"/>
  <c r="H184" i="10"/>
  <c r="BS183" i="10" a="1"/>
  <c r="BS183" i="10"/>
  <c r="H183" i="10"/>
  <c r="BS182" i="10" a="1"/>
  <c r="BS182" i="10"/>
  <c r="S182" i="10"/>
  <c r="H182" i="10"/>
  <c r="BS181" i="10" a="1"/>
  <c r="BS181" i="10"/>
  <c r="H181" i="10"/>
  <c r="BS180" i="10" a="1"/>
  <c r="BS180" i="10" s="1"/>
  <c r="S180" i="10"/>
  <c r="H180" i="10"/>
  <c r="BS179" i="10" a="1"/>
  <c r="BS179" i="10" s="1"/>
  <c r="H179" i="10"/>
  <c r="BS178" i="10" a="1"/>
  <c r="BS178" i="10" s="1"/>
  <c r="S178" i="10"/>
  <c r="H178" i="10"/>
  <c r="BS177" i="10" a="1"/>
  <c r="BS177" i="10" s="1"/>
  <c r="S177" i="10"/>
  <c r="H177" i="10"/>
  <c r="BS176" i="10" a="1"/>
  <c r="BS176" i="10" s="1"/>
  <c r="S176" i="10"/>
  <c r="H176" i="10"/>
  <c r="BS175" i="10" a="1"/>
  <c r="BS175" i="10" s="1"/>
  <c r="S175" i="10"/>
  <c r="H175" i="10"/>
  <c r="BS174" i="10" a="1"/>
  <c r="BS174" i="10" s="1"/>
  <c r="H174" i="10"/>
  <c r="BS173" i="10" a="1"/>
  <c r="BS173" i="10" s="1"/>
  <c r="S173" i="10"/>
  <c r="H173" i="10"/>
  <c r="BS172" i="10" a="1"/>
  <c r="BS172" i="10" s="1"/>
  <c r="S172" i="10"/>
  <c r="H172" i="10"/>
  <c r="BS171" i="10" a="1"/>
  <c r="BS171" i="10" s="1"/>
  <c r="S171" i="10"/>
  <c r="H171" i="10"/>
  <c r="BS170" i="10" a="1"/>
  <c r="BS170" i="10" s="1"/>
  <c r="BS169" i="10" a="1"/>
  <c r="BS169" i="10" s="1"/>
  <c r="S169" i="10"/>
  <c r="H169" i="10"/>
  <c r="BS168" i="10" a="1"/>
  <c r="BS168" i="10" s="1"/>
  <c r="S168" i="10"/>
  <c r="H168" i="10"/>
  <c r="BS167" i="10" a="1"/>
  <c r="BS167" i="10" s="1"/>
  <c r="S167" i="10"/>
  <c r="H167" i="10"/>
  <c r="BS166" i="10" a="1"/>
  <c r="BS166" i="10" s="1"/>
  <c r="S166" i="10"/>
  <c r="H166" i="10"/>
  <c r="BS165" i="10" a="1"/>
  <c r="BS165" i="10" s="1"/>
  <c r="S165" i="10"/>
  <c r="H165" i="10"/>
  <c r="BS164" i="10" a="1"/>
  <c r="BS164" i="10" s="1"/>
  <c r="S164" i="10"/>
  <c r="H164" i="10"/>
  <c r="BS163" i="10" a="1"/>
  <c r="BS163" i="10" s="1"/>
  <c r="S163" i="10"/>
  <c r="H163" i="10"/>
  <c r="BS162" i="10" a="1"/>
  <c r="BS162" i="10" s="1"/>
  <c r="H162" i="10"/>
  <c r="BS161" i="10" a="1"/>
  <c r="BS161" i="10" s="1"/>
  <c r="S161" i="10"/>
  <c r="H161" i="10"/>
  <c r="BS160" i="10" a="1"/>
  <c r="BS160" i="10" s="1"/>
  <c r="S160" i="10"/>
  <c r="H160" i="10"/>
  <c r="BS159" i="10" a="1"/>
  <c r="BS159" i="10" s="1"/>
  <c r="H159" i="10"/>
  <c r="BS158" i="10" a="1"/>
  <c r="BS158" i="10" s="1"/>
  <c r="S158" i="10"/>
  <c r="H158" i="10"/>
  <c r="BS157" i="10" a="1"/>
  <c r="BS157" i="10" s="1"/>
  <c r="S157" i="10"/>
  <c r="H157" i="10"/>
  <c r="BS156" i="10" a="1"/>
  <c r="BS156" i="10" s="1"/>
  <c r="S156" i="10"/>
  <c r="H156" i="10"/>
  <c r="BS155" i="10" a="1"/>
  <c r="BS155" i="10" s="1"/>
  <c r="S155" i="10"/>
  <c r="H155" i="10"/>
  <c r="BS154" i="10" a="1"/>
  <c r="BS154" i="10" s="1"/>
  <c r="S154" i="10"/>
  <c r="H154" i="10"/>
  <c r="BS153" i="10" a="1"/>
  <c r="BS153" i="10" s="1"/>
  <c r="S153" i="10"/>
  <c r="H153" i="10"/>
  <c r="BS152" i="10" a="1"/>
  <c r="BS152" i="10" s="1"/>
  <c r="S152" i="10"/>
  <c r="H152" i="10"/>
  <c r="BS151" i="10" a="1"/>
  <c r="BS151" i="10" s="1"/>
  <c r="S151" i="10"/>
  <c r="H151" i="10"/>
  <c r="BS150" i="10" a="1"/>
  <c r="BS150" i="10" s="1"/>
  <c r="S150" i="10"/>
  <c r="H150" i="10"/>
  <c r="BS149" i="10" a="1"/>
  <c r="BS149" i="10" s="1"/>
  <c r="S149" i="10"/>
  <c r="H149" i="10"/>
  <c r="BS148" i="10" a="1"/>
  <c r="BS148" i="10" s="1"/>
  <c r="S148" i="10"/>
  <c r="H148" i="10"/>
  <c r="BS147" i="10" a="1"/>
  <c r="BS147" i="10" s="1"/>
  <c r="S147" i="10"/>
  <c r="H147" i="10"/>
  <c r="BS146" i="10" a="1"/>
  <c r="BS146" i="10" s="1"/>
  <c r="S146" i="10"/>
  <c r="H146" i="10"/>
  <c r="BS145" i="10" a="1"/>
  <c r="BS145" i="10" s="1"/>
  <c r="S145" i="10"/>
  <c r="H145" i="10"/>
  <c r="BS144" i="10" a="1"/>
  <c r="BS144" i="10" s="1"/>
  <c r="S144" i="10"/>
  <c r="H144" i="10"/>
  <c r="BS143" i="10" a="1"/>
  <c r="BS143" i="10" s="1"/>
  <c r="H143" i="10"/>
  <c r="BS142" i="10" a="1"/>
  <c r="BS142" i="10"/>
  <c r="S142" i="10"/>
  <c r="H142" i="10"/>
  <c r="BS141" i="10" a="1"/>
  <c r="BS141" i="10"/>
  <c r="S141" i="10"/>
  <c r="H141" i="10"/>
  <c r="BS140" i="10" a="1"/>
  <c r="BS140" i="10"/>
  <c r="S140" i="10"/>
  <c r="H140" i="10"/>
  <c r="BS139" i="10" a="1"/>
  <c r="BS139" i="10"/>
  <c r="S139" i="10"/>
  <c r="H139" i="10"/>
  <c r="BS138" i="10" a="1"/>
  <c r="BS138" i="10"/>
  <c r="S138" i="10"/>
  <c r="H138" i="10"/>
  <c r="BS137" i="10" a="1"/>
  <c r="BS137" i="10"/>
  <c r="S137" i="10"/>
  <c r="H137" i="10"/>
  <c r="BS136" i="10" a="1"/>
  <c r="BS136" i="10"/>
  <c r="S136" i="10"/>
  <c r="H136" i="10"/>
  <c r="BS135" i="10" a="1"/>
  <c r="BS135" i="10"/>
  <c r="S135" i="10"/>
  <c r="H135" i="10"/>
  <c r="BS134" i="10" a="1"/>
  <c r="BS134" i="10"/>
  <c r="S134" i="10"/>
  <c r="H134" i="10"/>
  <c r="BS133" i="10" a="1"/>
  <c r="BS133" i="10"/>
  <c r="S133" i="10"/>
  <c r="H133" i="10"/>
  <c r="BS132" i="10" a="1"/>
  <c r="BS132" i="10"/>
  <c r="S132" i="10"/>
  <c r="H132" i="10"/>
  <c r="BS131" i="10" a="1"/>
  <c r="BS131" i="10"/>
  <c r="S131" i="10"/>
  <c r="H131" i="10"/>
  <c r="BS130" i="10" a="1"/>
  <c r="BS130" i="10"/>
  <c r="S130" i="10"/>
  <c r="H130" i="10"/>
  <c r="BS129" i="10" a="1"/>
  <c r="BS129" i="10"/>
  <c r="S129" i="10"/>
  <c r="H129" i="10"/>
  <c r="BS128" i="10" a="1"/>
  <c r="BS128" i="10"/>
  <c r="S128" i="10"/>
  <c r="H128" i="10"/>
  <c r="BS127" i="10" a="1"/>
  <c r="BS127" i="10"/>
  <c r="S127" i="10"/>
  <c r="H127" i="10"/>
  <c r="BS126" i="10" a="1"/>
  <c r="BS126" i="10"/>
  <c r="S126" i="10"/>
  <c r="H126" i="10"/>
  <c r="BS125" i="10" a="1"/>
  <c r="BS125" i="10"/>
  <c r="S125" i="10"/>
  <c r="H125" i="10"/>
  <c r="BS124" i="10" a="1"/>
  <c r="BS124" i="10"/>
  <c r="S124" i="10"/>
  <c r="H124" i="10"/>
  <c r="BS123" i="10" a="1"/>
  <c r="BS123" i="10"/>
  <c r="S123" i="10"/>
  <c r="H123" i="10"/>
  <c r="BS122" i="10" a="1"/>
  <c r="BS122" i="10"/>
  <c r="S122" i="10"/>
  <c r="H122" i="10"/>
  <c r="BS121" i="10" a="1"/>
  <c r="BS121" i="10"/>
  <c r="S121" i="10"/>
  <c r="H121" i="10"/>
  <c r="BS120" i="10" a="1"/>
  <c r="BS120" i="10"/>
  <c r="S120" i="10"/>
  <c r="H120" i="10"/>
  <c r="BS119" i="10" a="1"/>
  <c r="BS119" i="10"/>
  <c r="S119" i="10"/>
  <c r="H119" i="10"/>
  <c r="BS118" i="10" a="1"/>
  <c r="BS118" i="10"/>
  <c r="S118" i="10"/>
  <c r="H118" i="10"/>
  <c r="BS117" i="10" a="1"/>
  <c r="BS117" i="10"/>
  <c r="S117" i="10"/>
  <c r="H117" i="10"/>
  <c r="BS116" i="10" a="1"/>
  <c r="BS116" i="10"/>
  <c r="S116" i="10"/>
  <c r="H116" i="10"/>
  <c r="BS115" i="10" a="1"/>
  <c r="BS115" i="10"/>
  <c r="S115" i="10"/>
  <c r="H115" i="10"/>
  <c r="BS114" i="10" a="1"/>
  <c r="BS114" i="10"/>
  <c r="S114" i="10"/>
  <c r="H114" i="10"/>
  <c r="BS113" i="10" a="1"/>
  <c r="BS113" i="10"/>
  <c r="S113" i="10"/>
  <c r="H113" i="10"/>
  <c r="BS112" i="10" a="1"/>
  <c r="BS112" i="10"/>
  <c r="S112" i="10"/>
  <c r="H112" i="10"/>
  <c r="BS111" i="10" a="1"/>
  <c r="BS111" i="10"/>
  <c r="S111" i="10"/>
  <c r="H111" i="10"/>
  <c r="BS110" i="10" a="1"/>
  <c r="BS110" i="10"/>
  <c r="S110" i="10"/>
  <c r="H110" i="10"/>
  <c r="BS109" i="10" a="1"/>
  <c r="BS109" i="10"/>
  <c r="H109" i="10"/>
  <c r="BS108" i="10" a="1"/>
  <c r="BS108" i="10" s="1"/>
  <c r="S108" i="10"/>
  <c r="H108" i="10"/>
  <c r="BS107" i="10" a="1"/>
  <c r="BS107" i="10" s="1"/>
  <c r="S107" i="10"/>
  <c r="H107" i="10"/>
  <c r="BS106" i="10" a="1"/>
  <c r="BS106" i="10" s="1"/>
  <c r="S106" i="10"/>
  <c r="H106" i="10"/>
  <c r="BS105" i="10" a="1"/>
  <c r="BS105" i="10" s="1"/>
  <c r="S105" i="10"/>
  <c r="H105" i="10"/>
  <c r="BS104" i="10" a="1"/>
  <c r="BS104" i="10" s="1"/>
  <c r="S104" i="10"/>
  <c r="H104" i="10"/>
  <c r="BS103" i="10" a="1"/>
  <c r="BS103" i="10" s="1"/>
  <c r="S103" i="10"/>
  <c r="H103" i="10"/>
  <c r="BS102" i="10" a="1"/>
  <c r="BS102" i="10" s="1"/>
  <c r="S102" i="10"/>
  <c r="H102" i="10"/>
  <c r="BS101" i="10" a="1"/>
  <c r="BS101" i="10" s="1"/>
  <c r="S101" i="10"/>
  <c r="H101" i="10"/>
  <c r="BS100" i="10" a="1"/>
  <c r="BS100" i="10" s="1"/>
  <c r="S100" i="10"/>
  <c r="H100" i="10"/>
  <c r="BS99" i="10" a="1"/>
  <c r="BS99" i="10" s="1"/>
  <c r="S99" i="10"/>
  <c r="H99" i="10"/>
  <c r="BS98" i="10" a="1"/>
  <c r="BS98" i="10" s="1"/>
  <c r="S98" i="10"/>
  <c r="H98" i="10"/>
  <c r="BS97" i="10" a="1"/>
  <c r="BS97" i="10" s="1"/>
  <c r="S97" i="10"/>
  <c r="H97" i="10"/>
  <c r="BS96" i="10" a="1"/>
  <c r="BS96" i="10" s="1"/>
  <c r="S96" i="10"/>
  <c r="H96" i="10"/>
  <c r="BS95" i="10" a="1"/>
  <c r="BS95" i="10" s="1"/>
  <c r="S95" i="10"/>
  <c r="H95" i="10"/>
  <c r="BS94" i="10" a="1"/>
  <c r="BS94" i="10" s="1"/>
  <c r="S94" i="10"/>
  <c r="H94" i="10"/>
  <c r="BS93" i="10" a="1"/>
  <c r="BS93" i="10" s="1"/>
  <c r="S93" i="10"/>
  <c r="H93" i="10"/>
  <c r="BS92" i="10" a="1"/>
  <c r="BS92" i="10" s="1"/>
  <c r="S92" i="10"/>
  <c r="H92" i="10"/>
  <c r="BS91" i="10" a="1"/>
  <c r="BS91" i="10" s="1"/>
  <c r="S91" i="10"/>
  <c r="H91" i="10"/>
  <c r="BS90" i="10" a="1"/>
  <c r="BS90" i="10" s="1"/>
  <c r="H90" i="10"/>
  <c r="BS89" i="10" a="1"/>
  <c r="BS89" i="10"/>
  <c r="S89" i="10"/>
  <c r="H89" i="10"/>
  <c r="BS88" i="10" a="1"/>
  <c r="BS88" i="10"/>
  <c r="H88" i="10"/>
  <c r="BS87" i="10" a="1"/>
  <c r="BS87" i="10" s="1"/>
  <c r="S87" i="10"/>
  <c r="H87" i="10"/>
  <c r="BS86" i="10" a="1"/>
  <c r="BS86" i="10" s="1"/>
  <c r="S86" i="10"/>
  <c r="H86" i="10"/>
  <c r="BS85" i="10" a="1"/>
  <c r="BS85" i="10" s="1"/>
  <c r="S85" i="10"/>
  <c r="H85" i="10"/>
  <c r="BS84" i="10" a="1"/>
  <c r="BS84" i="10" s="1"/>
  <c r="S84" i="10"/>
  <c r="H84" i="10"/>
  <c r="BS83" i="10" a="1"/>
  <c r="BS83" i="10" s="1"/>
  <c r="S83" i="10"/>
  <c r="H83" i="10"/>
  <c r="BS82" i="10" a="1"/>
  <c r="BS82" i="10" s="1"/>
  <c r="S82" i="10"/>
  <c r="H82" i="10"/>
  <c r="BS81" i="10" a="1"/>
  <c r="BS81" i="10" s="1"/>
  <c r="BS80" i="10" a="1"/>
  <c r="BS80" i="10" s="1"/>
  <c r="H80" i="10"/>
  <c r="BS79" i="10" a="1"/>
  <c r="BS79" i="10"/>
  <c r="S79" i="10"/>
  <c r="H79" i="10"/>
  <c r="BS78" i="10" a="1"/>
  <c r="BS78" i="10"/>
  <c r="S78" i="10"/>
  <c r="H78" i="10"/>
  <c r="BS77" i="10" a="1"/>
  <c r="BS77" i="10"/>
  <c r="S77" i="10"/>
  <c r="H77" i="10"/>
  <c r="BS76" i="10" a="1"/>
  <c r="BS76" i="10"/>
  <c r="S76" i="10"/>
  <c r="H76" i="10"/>
  <c r="BS75" i="10" a="1"/>
  <c r="BS75" i="10"/>
  <c r="S75" i="10"/>
  <c r="H75" i="10"/>
  <c r="BS74" i="10" a="1"/>
  <c r="BS74" i="10"/>
  <c r="S74" i="10"/>
  <c r="H74" i="10"/>
  <c r="BS73" i="10" a="1"/>
  <c r="BS73" i="10"/>
  <c r="S73" i="10"/>
  <c r="H73" i="10"/>
  <c r="BS72" i="10" a="1"/>
  <c r="BS72" i="10"/>
  <c r="S72" i="10"/>
  <c r="H72" i="10"/>
  <c r="BS71" i="10" a="1"/>
  <c r="BS71" i="10"/>
  <c r="S71" i="10"/>
  <c r="H71" i="10"/>
  <c r="BS70" i="10" a="1"/>
  <c r="BS70" i="10"/>
  <c r="H70" i="10"/>
  <c r="BS69" i="10" a="1"/>
  <c r="BS69" i="10" s="1"/>
  <c r="BS68" i="10" a="1"/>
  <c r="BS68" i="10" s="1"/>
  <c r="S68" i="10"/>
  <c r="H68" i="10"/>
  <c r="BS67" i="10" a="1"/>
  <c r="BS67" i="10" s="1"/>
  <c r="S67" i="10"/>
  <c r="H67" i="10"/>
  <c r="BS66" i="10" a="1"/>
  <c r="BS66" i="10" s="1"/>
  <c r="S66" i="10"/>
  <c r="H66" i="10"/>
  <c r="BS65" i="10" a="1"/>
  <c r="BS65" i="10" s="1"/>
  <c r="S65" i="10"/>
  <c r="H65" i="10"/>
  <c r="BS64" i="10" a="1"/>
  <c r="BS64" i="10" s="1"/>
  <c r="S64" i="10"/>
  <c r="H64" i="10"/>
  <c r="BS63" i="10" a="1"/>
  <c r="BS63" i="10" s="1"/>
  <c r="S63" i="10"/>
  <c r="H63" i="10"/>
  <c r="BS62" i="10" a="1"/>
  <c r="BS62" i="10" s="1"/>
  <c r="S62" i="10"/>
  <c r="H62" i="10"/>
  <c r="BS61" i="10" a="1"/>
  <c r="BS61" i="10" s="1"/>
  <c r="S61" i="10"/>
  <c r="H61" i="10"/>
  <c r="BS60" i="10" a="1"/>
  <c r="BS60" i="10" s="1"/>
  <c r="S60" i="10"/>
  <c r="H60" i="10"/>
  <c r="BS59" i="10" a="1"/>
  <c r="BS59" i="10" s="1"/>
  <c r="S59" i="10"/>
  <c r="H59" i="10"/>
  <c r="BS58" i="10" a="1"/>
  <c r="BS58" i="10" s="1"/>
  <c r="S58" i="10"/>
  <c r="H58" i="10"/>
  <c r="BS57" i="10" a="1"/>
  <c r="BS57" i="10" s="1"/>
  <c r="S57" i="10"/>
  <c r="H57" i="10"/>
  <c r="BS56" i="10" a="1"/>
  <c r="BS56" i="10" s="1"/>
  <c r="S56" i="10"/>
  <c r="H56" i="10"/>
  <c r="BS55" i="10" a="1"/>
  <c r="BS55" i="10" s="1"/>
  <c r="S55" i="10"/>
  <c r="H55" i="10"/>
  <c r="BS54" i="10" a="1"/>
  <c r="BS54" i="10" s="1"/>
  <c r="S54" i="10"/>
  <c r="H54" i="10"/>
  <c r="BS53" i="10" a="1"/>
  <c r="BS53" i="10" s="1"/>
  <c r="H53" i="10"/>
  <c r="BS52" i="10" a="1"/>
  <c r="BS52" i="10" s="1"/>
  <c r="S52" i="10"/>
  <c r="H52" i="10"/>
  <c r="BS51" i="10" a="1"/>
  <c r="BS51" i="10" s="1"/>
  <c r="S51" i="10"/>
  <c r="H51" i="10"/>
  <c r="BS50" i="10" a="1"/>
  <c r="BS50" i="10" s="1"/>
  <c r="S50" i="10"/>
  <c r="H50" i="10"/>
  <c r="BS49" i="10" a="1"/>
  <c r="BS49" i="10" s="1"/>
  <c r="S49" i="10"/>
  <c r="H49" i="10"/>
  <c r="BS48" i="10" a="1"/>
  <c r="BS48" i="10" s="1"/>
  <c r="S48" i="10"/>
  <c r="H48" i="10"/>
  <c r="BS47" i="10" a="1"/>
  <c r="BS47" i="10" s="1"/>
  <c r="S47" i="10"/>
  <c r="H47" i="10"/>
  <c r="BS46" i="10" a="1"/>
  <c r="BS46" i="10" s="1"/>
  <c r="BS45" i="10" a="1"/>
  <c r="BS45" i="10"/>
  <c r="S45" i="10"/>
  <c r="H45" i="10"/>
  <c r="BS44" i="10" a="1"/>
  <c r="BS44" i="10"/>
  <c r="H44" i="10"/>
  <c r="BS43" i="10" a="1"/>
  <c r="BS43" i="10" s="1"/>
  <c r="S43" i="10"/>
  <c r="H43" i="10"/>
  <c r="BS42" i="10" a="1"/>
  <c r="BS42" i="10" s="1"/>
  <c r="S42" i="10"/>
  <c r="H42" i="10"/>
  <c r="BS41" i="10" a="1"/>
  <c r="BS41" i="10" s="1"/>
  <c r="S41" i="10"/>
  <c r="H41" i="10"/>
  <c r="BS40" i="10" a="1"/>
  <c r="BS40" i="10" s="1"/>
  <c r="S40" i="10"/>
  <c r="H40" i="10"/>
  <c r="BS39" i="10" a="1"/>
  <c r="BS39" i="10" s="1"/>
  <c r="S39" i="10"/>
  <c r="H39" i="10"/>
  <c r="BS38" i="10" a="1"/>
  <c r="BS38" i="10" s="1"/>
  <c r="H38" i="10"/>
  <c r="BS37" i="10" a="1"/>
  <c r="BS37" i="10"/>
  <c r="S37" i="10"/>
  <c r="H37" i="10"/>
  <c r="BS36" i="10" a="1"/>
  <c r="BS36" i="10"/>
  <c r="S36" i="10"/>
  <c r="H36" i="10"/>
  <c r="BS35" i="10" a="1"/>
  <c r="BS35" i="10"/>
  <c r="BS34" i="10" a="1"/>
  <c r="BS34" i="10" s="1"/>
  <c r="H34" i="10"/>
  <c r="BS33" i="10" a="1"/>
  <c r="BS33" i="10" s="1"/>
  <c r="S33" i="10"/>
  <c r="H33" i="10"/>
  <c r="BS32" i="10" a="1"/>
  <c r="BS32" i="10" s="1"/>
  <c r="S32" i="10"/>
  <c r="H32" i="10"/>
  <c r="BS31" i="10" a="1"/>
  <c r="BS31" i="10" s="1"/>
  <c r="S31" i="10"/>
  <c r="H31" i="10"/>
  <c r="BS30" i="10" a="1"/>
  <c r="BS30" i="10" s="1"/>
  <c r="S30" i="10"/>
  <c r="H30" i="10"/>
  <c r="BS29" i="10" a="1"/>
  <c r="BS29" i="10" s="1"/>
  <c r="S29" i="10"/>
  <c r="H29" i="10"/>
  <c r="BS28" i="10" a="1"/>
  <c r="BS28" i="10" s="1"/>
  <c r="S28" i="10"/>
  <c r="H28" i="10"/>
  <c r="BS27" i="10" a="1"/>
  <c r="BS27" i="10" s="1"/>
  <c r="S27" i="10"/>
  <c r="H27" i="10"/>
  <c r="BS26" i="10" a="1"/>
  <c r="BS26" i="10" s="1"/>
  <c r="S26" i="10"/>
  <c r="H26" i="10"/>
  <c r="BS25" i="10" a="1"/>
  <c r="BS25" i="10" s="1"/>
  <c r="S25" i="10"/>
  <c r="H25" i="10"/>
  <c r="BS24" i="10" a="1"/>
  <c r="BS24" i="10" s="1"/>
  <c r="S24" i="10"/>
  <c r="H24" i="10"/>
  <c r="BS23" i="10" a="1"/>
  <c r="BS23" i="10" s="1"/>
  <c r="S23" i="10"/>
  <c r="H23" i="10"/>
  <c r="BS22" i="10" a="1"/>
  <c r="BS22" i="10" s="1"/>
  <c r="S22" i="10"/>
  <c r="H22" i="10"/>
  <c r="BS21" i="10" a="1"/>
  <c r="BS21" i="10" s="1"/>
  <c r="S21" i="10"/>
  <c r="H21" i="10"/>
  <c r="BS20" i="10" a="1"/>
  <c r="BS20" i="10"/>
  <c r="S20" i="10"/>
  <c r="H20" i="10"/>
  <c r="BS19" i="10" a="1"/>
  <c r="BS19" i="10"/>
  <c r="S19" i="10"/>
  <c r="H19" i="10"/>
  <c r="BS18" i="10" a="1"/>
  <c r="BS18" i="10"/>
  <c r="H18" i="10"/>
  <c r="BS17" i="10" a="1"/>
  <c r="BS17" i="10" s="1"/>
  <c r="S17" i="10"/>
  <c r="H17" i="10"/>
  <c r="BS16" i="10" a="1"/>
  <c r="BS16" i="10" s="1"/>
  <c r="S16" i="10"/>
  <c r="H16" i="10"/>
  <c r="BS15" i="10" a="1"/>
  <c r="BS15" i="10" s="1"/>
  <c r="S15" i="10"/>
  <c r="H15" i="10"/>
  <c r="BS14" i="10" a="1"/>
  <c r="BS14" i="10" s="1"/>
  <c r="S14" i="10"/>
  <c r="H14" i="10"/>
  <c r="BS13" i="10" a="1"/>
  <c r="BS13" i="10" s="1"/>
  <c r="H13" i="10"/>
  <c r="BS12" i="10" a="1"/>
  <c r="BS12" i="10" s="1"/>
  <c r="S12" i="10"/>
  <c r="H12" i="10"/>
  <c r="BS11" i="10" a="1"/>
  <c r="BS11" i="10" s="1"/>
  <c r="S11" i="10"/>
  <c r="H11" i="10"/>
  <c r="BS10" i="10" a="1"/>
  <c r="BS10" i="10" s="1"/>
  <c r="S10" i="10"/>
  <c r="H10" i="10"/>
  <c r="BS9" i="10" a="1"/>
  <c r="BS9" i="10" s="1"/>
  <c r="H9" i="10"/>
  <c r="BS8" i="10" a="1"/>
  <c r="BS8" i="10"/>
  <c r="H8" i="10"/>
  <c r="BS7" i="10" a="1"/>
  <c r="BS7" i="10"/>
  <c r="S7" i="10"/>
  <c r="H7" i="10"/>
  <c r="BS6" i="10" a="1"/>
  <c r="BS6" i="10"/>
  <c r="S6" i="10"/>
  <c r="H6" i="10"/>
  <c r="BS5" i="10" a="1"/>
  <c r="BS5" i="10"/>
  <c r="S5" i="10"/>
  <c r="H5" i="10"/>
  <c r="BS4" i="10" a="1"/>
  <c r="BS4" i="10"/>
  <c r="S4" i="10"/>
  <c r="H4" i="10"/>
  <c r="BS3" i="10" a="1"/>
  <c r="BS3" i="10"/>
  <c r="S3" i="10"/>
  <c r="H3" i="10"/>
  <c r="BS2" i="10" a="1"/>
  <c r="BS2" i="10"/>
  <c r="BS545" i="10" s="1"/>
  <c r="S2" i="10"/>
  <c r="H2" i="10"/>
  <c r="C11" i="9"/>
  <c r="C10" i="9"/>
  <c r="C9" i="9"/>
  <c r="AE8" i="9"/>
  <c r="AD8" i="9"/>
  <c r="AC8" i="9"/>
  <c r="AB8" i="9"/>
  <c r="AA8" i="9"/>
  <c r="Z8" i="9"/>
  <c r="Y8" i="9"/>
  <c r="X8" i="9"/>
  <c r="C8" i="9"/>
  <c r="K6" i="9"/>
  <c r="K5" i="9"/>
  <c r="K4" i="9"/>
  <c r="K3" i="9"/>
  <c r="C11" i="8"/>
  <c r="C10" i="8"/>
  <c r="C9" i="8"/>
  <c r="Y8" i="8"/>
  <c r="J14" i="13" s="1"/>
  <c r="X8" i="8"/>
  <c r="I14" i="13" s="1"/>
  <c r="W8" i="8"/>
  <c r="H14" i="13" s="1"/>
  <c r="C8" i="8"/>
  <c r="T4" i="8"/>
  <c r="T3" i="8"/>
  <c r="J3" i="8"/>
  <c r="D29" i="7"/>
  <c r="D28" i="7"/>
  <c r="D27" i="7"/>
  <c r="AT26" i="7"/>
  <c r="J13" i="13" s="1"/>
  <c r="AS26" i="7"/>
  <c r="I13" i="13" s="1"/>
  <c r="I15" i="13" s="1"/>
  <c r="AR26" i="7"/>
  <c r="H13" i="13" s="1"/>
  <c r="H15" i="13" s="1"/>
  <c r="AQ26" i="7"/>
  <c r="G13" i="13" s="1"/>
  <c r="G15" i="13" s="1"/>
  <c r="AP26" i="7"/>
  <c r="F13" i="13" s="1"/>
  <c r="F15" i="13" s="1"/>
  <c r="AO26" i="7"/>
  <c r="E13" i="13" s="1"/>
  <c r="E15" i="13" s="1"/>
  <c r="AN26" i="7"/>
  <c r="D13" i="13" s="1"/>
  <c r="D15" i="13" s="1"/>
  <c r="AM26" i="7"/>
  <c r="C13" i="13" s="1"/>
  <c r="C15" i="13" s="1"/>
  <c r="AL26" i="7"/>
  <c r="B13" i="13" s="1"/>
  <c r="B15" i="13" s="1"/>
  <c r="AK26" i="7"/>
  <c r="AJ26" i="7"/>
  <c r="AI26" i="7"/>
  <c r="AH26" i="7"/>
  <c r="AG26" i="7"/>
  <c r="AF26" i="7"/>
  <c r="AE26" i="7"/>
  <c r="AD26" i="7"/>
  <c r="AC26" i="7"/>
  <c r="AB26" i="7"/>
  <c r="AA26" i="7"/>
  <c r="Z26" i="7"/>
  <c r="D26" i="7"/>
  <c r="N24" i="7"/>
  <c r="N23" i="7"/>
  <c r="N22" i="7"/>
  <c r="N21" i="7"/>
  <c r="N20" i="7"/>
  <c r="N19" i="7"/>
  <c r="N18" i="7"/>
  <c r="N17" i="7"/>
  <c r="N16" i="7"/>
  <c r="N15" i="7"/>
  <c r="N14" i="7"/>
  <c r="N13" i="7"/>
  <c r="N12" i="7"/>
  <c r="N11" i="7"/>
  <c r="N10" i="7"/>
  <c r="N9" i="7"/>
  <c r="N8" i="7"/>
  <c r="N7" i="7"/>
  <c r="N6" i="7"/>
  <c r="N5" i="7"/>
  <c r="N4" i="7"/>
  <c r="N3" i="7"/>
  <c r="C9" i="6"/>
  <c r="C8" i="6"/>
  <c r="C7" i="6"/>
  <c r="AP6" i="6"/>
  <c r="H7" i="13" s="1"/>
  <c r="AO6" i="6"/>
  <c r="G7" i="13" s="1"/>
  <c r="AN6" i="6"/>
  <c r="F7" i="13" s="1"/>
  <c r="AM6" i="6"/>
  <c r="E7" i="13" s="1"/>
  <c r="AL6" i="6"/>
  <c r="D7" i="13" s="1"/>
  <c r="AK6" i="6"/>
  <c r="C7" i="13" s="1"/>
  <c r="AJ6" i="6"/>
  <c r="B7" i="13" s="1"/>
  <c r="AI6" i="6"/>
  <c r="AH6" i="6"/>
  <c r="AG6" i="6"/>
  <c r="AF6" i="6"/>
  <c r="AE6" i="6"/>
  <c r="AD6" i="6"/>
  <c r="AC6" i="6"/>
  <c r="AB6" i="6"/>
  <c r="AA6" i="6"/>
  <c r="Z6" i="6"/>
  <c r="C6" i="6"/>
  <c r="V4" i="6"/>
  <c r="J4" i="6"/>
  <c r="G4" i="6" a="1"/>
  <c r="G4" i="6"/>
  <c r="V3" i="6"/>
  <c r="J3" i="6"/>
  <c r="G3" i="6" a="1"/>
  <c r="G3" i="6"/>
  <c r="C36" i="5"/>
  <c r="C35" i="5"/>
  <c r="CK34" i="5"/>
  <c r="J6" i="13" s="1"/>
  <c r="CJ34" i="5"/>
  <c r="I6" i="13" s="1"/>
  <c r="CI34" i="5"/>
  <c r="H6" i="13" s="1"/>
  <c r="CH34" i="5"/>
  <c r="G6" i="13" s="1"/>
  <c r="CG34" i="5"/>
  <c r="F6" i="13" s="1"/>
  <c r="CF34" i="5"/>
  <c r="E6" i="13" s="1"/>
  <c r="CE34" i="5"/>
  <c r="D6" i="13" s="1"/>
  <c r="CD34" i="5"/>
  <c r="C6" i="13" s="1"/>
  <c r="CC34" i="5"/>
  <c r="B6" i="13" s="1"/>
  <c r="CB34" i="5"/>
  <c r="CA34" i="5"/>
  <c r="BZ34" i="5"/>
  <c r="BY34" i="5"/>
  <c r="BX34" i="5"/>
  <c r="BW34" i="5"/>
  <c r="BV34" i="5"/>
  <c r="BU34" i="5"/>
  <c r="BT34" i="5"/>
  <c r="BS34" i="5"/>
  <c r="BR34" i="5"/>
  <c r="BQ34" i="5"/>
  <c r="BP34" i="5"/>
  <c r="BO34" i="5"/>
  <c r="BN34" i="5"/>
  <c r="BM34" i="5"/>
  <c r="BL34" i="5"/>
  <c r="BK34" i="5"/>
  <c r="BJ34" i="5"/>
  <c r="BI34" i="5"/>
  <c r="BH34" i="5"/>
  <c r="BG34" i="5"/>
  <c r="BF34" i="5"/>
  <c r="BE34" i="5"/>
  <c r="BD34" i="5"/>
  <c r="BC34" i="5"/>
  <c r="BB34" i="5"/>
  <c r="BA34" i="5"/>
  <c r="AZ34" i="5"/>
  <c r="AY34" i="5"/>
  <c r="AX34" i="5"/>
  <c r="AW34" i="5"/>
  <c r="AV34" i="5"/>
  <c r="AU34" i="5"/>
  <c r="AT34" i="5"/>
  <c r="AS34" i="5"/>
  <c r="AR34" i="5"/>
  <c r="AQ34" i="5"/>
  <c r="AP34" i="5"/>
  <c r="AO34" i="5"/>
  <c r="AN34" i="5"/>
  <c r="AM34" i="5"/>
  <c r="AL34" i="5"/>
  <c r="AK34" i="5"/>
  <c r="AJ34" i="5"/>
  <c r="AI34" i="5"/>
  <c r="AH34" i="5"/>
  <c r="AG34" i="5"/>
  <c r="AF34" i="5"/>
  <c r="AE34" i="5"/>
  <c r="AD34" i="5"/>
  <c r="AC34" i="5"/>
  <c r="C34" i="5"/>
  <c r="C33" i="5"/>
  <c r="V31" i="5"/>
  <c r="J31" i="5"/>
  <c r="V30" i="5"/>
  <c r="J30" i="5"/>
  <c r="V29" i="5"/>
  <c r="J29" i="5"/>
  <c r="V28" i="5"/>
  <c r="J28" i="5"/>
  <c r="V27" i="5"/>
  <c r="J27" i="5"/>
  <c r="V26" i="5"/>
  <c r="J26" i="5"/>
  <c r="V25" i="5"/>
  <c r="J25" i="5"/>
  <c r="V24" i="5"/>
  <c r="J24" i="5"/>
  <c r="V23" i="5"/>
  <c r="J23" i="5"/>
  <c r="V22" i="5"/>
  <c r="J22" i="5"/>
  <c r="V21" i="5"/>
  <c r="J21" i="5"/>
  <c r="V20" i="5"/>
  <c r="J20" i="5"/>
  <c r="V19" i="5"/>
  <c r="J19" i="5"/>
  <c r="V18" i="5"/>
  <c r="J18" i="5"/>
  <c r="V17" i="5"/>
  <c r="J17" i="5"/>
  <c r="V16" i="5"/>
  <c r="J16" i="5"/>
  <c r="V15" i="5"/>
  <c r="J15" i="5"/>
  <c r="V14" i="5"/>
  <c r="J14" i="5"/>
  <c r="V13" i="5"/>
  <c r="J13" i="5"/>
  <c r="V12" i="5"/>
  <c r="J12" i="5"/>
  <c r="V11" i="5"/>
  <c r="J11" i="5"/>
  <c r="V10" i="5"/>
  <c r="J10" i="5"/>
  <c r="V9" i="5"/>
  <c r="J9" i="5"/>
  <c r="V8" i="5"/>
  <c r="J8" i="5"/>
  <c r="V7" i="5"/>
  <c r="J7" i="5"/>
  <c r="V6" i="5"/>
  <c r="J6" i="5"/>
  <c r="V5" i="5"/>
  <c r="J5" i="5"/>
  <c r="V4" i="5"/>
  <c r="J4" i="5"/>
  <c r="V3" i="5"/>
  <c r="J3" i="5"/>
  <c r="C20" i="4"/>
  <c r="C19" i="4"/>
  <c r="C18" i="4"/>
  <c r="AV17" i="4"/>
  <c r="K4" i="13" s="1"/>
  <c r="AU17" i="4"/>
  <c r="J4" i="13" s="1"/>
  <c r="AT17" i="4"/>
  <c r="I4" i="13" s="1"/>
  <c r="AS17" i="4"/>
  <c r="H4" i="13" s="1"/>
  <c r="AR17" i="4"/>
  <c r="G4" i="13" s="1"/>
  <c r="AQ17" i="4"/>
  <c r="F4" i="13" s="1"/>
  <c r="AP17" i="4"/>
  <c r="E4" i="13" s="1"/>
  <c r="AO17" i="4"/>
  <c r="D4" i="13" s="1"/>
  <c r="AN17" i="4"/>
  <c r="C4" i="13" s="1"/>
  <c r="AM17" i="4"/>
  <c r="B4" i="13" s="1"/>
  <c r="AL17" i="4"/>
  <c r="AK17" i="4"/>
  <c r="AJ17" i="4"/>
  <c r="AI17" i="4"/>
  <c r="AH17" i="4"/>
  <c r="AG17" i="4"/>
  <c r="AF17" i="4"/>
  <c r="AE17" i="4"/>
  <c r="AD17" i="4"/>
  <c r="AC17" i="4"/>
  <c r="C17" i="4"/>
  <c r="AW15" i="4" a="1"/>
  <c r="AW15" i="4"/>
  <c r="V15" i="4"/>
  <c r="J15" i="4"/>
  <c r="AW14" i="4" a="1"/>
  <c r="AW14" i="4"/>
  <c r="V14" i="4"/>
  <c r="J14" i="4"/>
  <c r="AW13" i="4" a="1"/>
  <c r="AW13" i="4"/>
  <c r="V13" i="4"/>
  <c r="J13" i="4"/>
  <c r="AW12" i="4" a="1"/>
  <c r="AW12" i="4"/>
  <c r="V12" i="4"/>
  <c r="J12" i="4"/>
  <c r="AW11" i="4" a="1"/>
  <c r="AW11" i="4"/>
  <c r="V11" i="4"/>
  <c r="J11" i="4"/>
  <c r="AW10" i="4" a="1"/>
  <c r="AW10" i="4"/>
  <c r="V10" i="4"/>
  <c r="J10" i="4"/>
  <c r="AW9" i="4" a="1"/>
  <c r="AW9" i="4"/>
  <c r="V9" i="4"/>
  <c r="J9" i="4"/>
  <c r="AW8" i="4" a="1"/>
  <c r="AW8" i="4"/>
  <c r="V8" i="4"/>
  <c r="J8" i="4"/>
  <c r="AW7" i="4" a="1"/>
  <c r="AW7" i="4"/>
  <c r="V7" i="4"/>
  <c r="J7" i="4"/>
  <c r="AW6" i="4" a="1"/>
  <c r="AW6" i="4"/>
  <c r="V6" i="4"/>
  <c r="J6" i="4"/>
  <c r="AW5" i="4" a="1"/>
  <c r="AW5" i="4"/>
  <c r="V5" i="4"/>
  <c r="J5" i="4"/>
  <c r="AW4" i="4" a="1"/>
  <c r="AW4" i="4"/>
  <c r="V4" i="4"/>
  <c r="J4" i="4"/>
  <c r="AW3" i="4" a="1"/>
  <c r="AW3" i="4"/>
  <c r="AW17" i="4" s="1"/>
  <c r="V3" i="4"/>
  <c r="J3" i="4"/>
  <c r="C400" i="3"/>
  <c r="C399" i="3"/>
  <c r="C398" i="3"/>
  <c r="CI397" i="3"/>
  <c r="J5" i="13" s="1"/>
  <c r="CH397" i="3"/>
  <c r="I5" i="13" s="1"/>
  <c r="CG397" i="3"/>
  <c r="H5" i="13" s="1"/>
  <c r="CF397" i="3"/>
  <c r="G5" i="13" s="1"/>
  <c r="CE397" i="3"/>
  <c r="F5" i="13" s="1"/>
  <c r="CD397" i="3"/>
  <c r="E5" i="13" s="1"/>
  <c r="CC397" i="3"/>
  <c r="D5" i="13" s="1"/>
  <c r="CB397" i="3"/>
  <c r="C5" i="13" s="1"/>
  <c r="CA397" i="3"/>
  <c r="B5" i="13" s="1"/>
  <c r="BZ397" i="3"/>
  <c r="BY397" i="3"/>
  <c r="BX397" i="3"/>
  <c r="BW397" i="3"/>
  <c r="BV397" i="3"/>
  <c r="BU397" i="3"/>
  <c r="BT397" i="3"/>
  <c r="BS397" i="3"/>
  <c r="BR397" i="3"/>
  <c r="BQ397" i="3"/>
  <c r="BP397" i="3"/>
  <c r="BO397" i="3"/>
  <c r="BN397" i="3"/>
  <c r="BM397" i="3"/>
  <c r="BL397" i="3"/>
  <c r="BK397" i="3"/>
  <c r="BJ397" i="3"/>
  <c r="BI397" i="3"/>
  <c r="BH397" i="3"/>
  <c r="BG397" i="3"/>
  <c r="BF397" i="3"/>
  <c r="BE397" i="3"/>
  <c r="BD397" i="3"/>
  <c r="BC397" i="3"/>
  <c r="BB397" i="3"/>
  <c r="BA397" i="3"/>
  <c r="AZ397" i="3"/>
  <c r="AY397" i="3"/>
  <c r="AX397" i="3"/>
  <c r="AW397" i="3"/>
  <c r="AV397" i="3"/>
  <c r="AU397" i="3"/>
  <c r="AT397" i="3"/>
  <c r="AS397" i="3"/>
  <c r="AR397" i="3"/>
  <c r="AQ397" i="3"/>
  <c r="AP397" i="3"/>
  <c r="AO397" i="3"/>
  <c r="AN397" i="3"/>
  <c r="AM397" i="3"/>
  <c r="AL397" i="3"/>
  <c r="AK397" i="3"/>
  <c r="AJ397" i="3"/>
  <c r="AI397" i="3"/>
  <c r="AH397" i="3"/>
  <c r="AG397" i="3"/>
  <c r="AF397" i="3"/>
  <c r="AE397" i="3"/>
  <c r="AD397" i="3"/>
  <c r="AC397" i="3"/>
  <c r="C397" i="3"/>
  <c r="CJ395" i="3" a="1"/>
  <c r="CJ395" i="3"/>
  <c r="G395" i="3" s="1"/>
  <c r="V395" i="3"/>
  <c r="J395" i="3"/>
  <c r="CJ394" i="3" a="1"/>
  <c r="CJ394" i="3" s="1"/>
  <c r="G394" i="3" s="1"/>
  <c r="V394" i="3"/>
  <c r="J394" i="3"/>
  <c r="CJ393" i="3" a="1"/>
  <c r="CJ393" i="3" s="1"/>
  <c r="G393" i="3" s="1"/>
  <c r="V393" i="3"/>
  <c r="J393" i="3"/>
  <c r="CJ392" i="3" a="1"/>
  <c r="CJ392" i="3" s="1"/>
  <c r="V392" i="3"/>
  <c r="J392" i="3"/>
  <c r="G392" i="3"/>
  <c r="CJ391" i="3" a="1"/>
  <c r="CJ391" i="3" s="1"/>
  <c r="G391" i="3" s="1"/>
  <c r="V391" i="3"/>
  <c r="J391" i="3"/>
  <c r="CJ390" i="3" a="1"/>
  <c r="CJ390" i="3" s="1"/>
  <c r="G390" i="3" s="1"/>
  <c r="V390" i="3"/>
  <c r="J390" i="3"/>
  <c r="CJ389" i="3" a="1"/>
  <c r="CJ389" i="3" s="1"/>
  <c r="G389" i="3" s="1"/>
  <c r="V389" i="3"/>
  <c r="J389" i="3"/>
  <c r="CJ388" i="3" a="1"/>
  <c r="CJ388" i="3" s="1"/>
  <c r="G388" i="3" s="1"/>
  <c r="V388" i="3"/>
  <c r="J388" i="3"/>
  <c r="CJ387" i="3" a="1"/>
  <c r="CJ387" i="3" s="1"/>
  <c r="G387" i="3" s="1"/>
  <c r="V387" i="3"/>
  <c r="J387" i="3"/>
  <c r="CJ386" i="3" a="1"/>
  <c r="CJ386" i="3" s="1"/>
  <c r="G386" i="3" s="1"/>
  <c r="V386" i="3"/>
  <c r="J386" i="3"/>
  <c r="CJ385" i="3" a="1"/>
  <c r="CJ385" i="3"/>
  <c r="G385" i="3" s="1"/>
  <c r="V385" i="3"/>
  <c r="J385" i="3"/>
  <c r="CJ384" i="3" a="1"/>
  <c r="CJ384" i="3" s="1"/>
  <c r="G384" i="3" s="1"/>
  <c r="V384" i="3"/>
  <c r="J384" i="3"/>
  <c r="CJ383" i="3" a="1"/>
  <c r="CJ383" i="3" s="1"/>
  <c r="G383" i="3" s="1"/>
  <c r="V383" i="3"/>
  <c r="J383" i="3"/>
  <c r="CJ382" i="3" a="1"/>
  <c r="CJ382" i="3" s="1"/>
  <c r="V382" i="3"/>
  <c r="J382" i="3"/>
  <c r="G382" i="3"/>
  <c r="CJ381" i="3" a="1"/>
  <c r="CJ381" i="3" s="1"/>
  <c r="G381" i="3" s="1"/>
  <c r="V381" i="3"/>
  <c r="J381" i="3"/>
  <c r="CJ380" i="3" a="1"/>
  <c r="CJ380" i="3" s="1"/>
  <c r="G380" i="3" s="1"/>
  <c r="V380" i="3"/>
  <c r="J380" i="3"/>
  <c r="CJ379" i="3" a="1"/>
  <c r="CJ379" i="3" s="1"/>
  <c r="G379" i="3" s="1"/>
  <c r="V379" i="3"/>
  <c r="J379" i="3"/>
  <c r="CJ378" i="3" a="1"/>
  <c r="CJ378" i="3" s="1"/>
  <c r="G378" i="3" s="1"/>
  <c r="V378" i="3"/>
  <c r="J378" i="3"/>
  <c r="CJ377" i="3" a="1"/>
  <c r="CJ377" i="3" s="1"/>
  <c r="G377" i="3" s="1"/>
  <c r="V377" i="3"/>
  <c r="J377" i="3"/>
  <c r="CJ376" i="3" a="1"/>
  <c r="CJ376" i="3" s="1"/>
  <c r="G376" i="3" s="1"/>
  <c r="V376" i="3"/>
  <c r="J376" i="3"/>
  <c r="CJ375" i="3" a="1"/>
  <c r="CJ375" i="3" s="1"/>
  <c r="G375" i="3" s="1"/>
  <c r="V375" i="3"/>
  <c r="J375" i="3"/>
  <c r="CJ374" i="3" a="1"/>
  <c r="CJ374" i="3" s="1"/>
  <c r="G374" i="3" s="1"/>
  <c r="V374" i="3"/>
  <c r="J374" i="3"/>
  <c r="CJ373" i="3" a="1"/>
  <c r="CJ373" i="3"/>
  <c r="G373" i="3" s="1"/>
  <c r="V373" i="3"/>
  <c r="J373" i="3"/>
  <c r="CJ372" i="3" a="1"/>
  <c r="CJ372" i="3"/>
  <c r="G372" i="3" s="1"/>
  <c r="V372" i="3"/>
  <c r="J372" i="3"/>
  <c r="CJ371" i="3" a="1"/>
  <c r="CJ371" i="3"/>
  <c r="G371" i="3" s="1"/>
  <c r="V371" i="3"/>
  <c r="J371" i="3"/>
  <c r="CJ370" i="3" a="1"/>
  <c r="CJ370" i="3" s="1"/>
  <c r="G370" i="3" s="1"/>
  <c r="V370" i="3"/>
  <c r="J370" i="3"/>
  <c r="CJ369" i="3" a="1"/>
  <c r="CJ369" i="3"/>
  <c r="G369" i="3" s="1"/>
  <c r="V369" i="3"/>
  <c r="J369" i="3"/>
  <c r="CJ368" i="3" a="1"/>
  <c r="CJ368" i="3" s="1"/>
  <c r="G368" i="3" s="1"/>
  <c r="V368" i="3"/>
  <c r="J368" i="3"/>
  <c r="CJ367" i="3" a="1"/>
  <c r="CJ367" i="3" s="1"/>
  <c r="G367" i="3" s="1"/>
  <c r="V367" i="3"/>
  <c r="J367" i="3"/>
  <c r="CJ366" i="3" a="1"/>
  <c r="CJ366" i="3" s="1"/>
  <c r="G366" i="3" s="1"/>
  <c r="V366" i="3"/>
  <c r="J366" i="3"/>
  <c r="CJ365" i="3" a="1"/>
  <c r="CJ365" i="3" s="1"/>
  <c r="G365" i="3" s="1"/>
  <c r="V365" i="3"/>
  <c r="J365" i="3"/>
  <c r="CJ364" i="3" a="1"/>
  <c r="CJ364" i="3" s="1"/>
  <c r="G364" i="3" s="1"/>
  <c r="V364" i="3"/>
  <c r="J364" i="3"/>
  <c r="CJ363" i="3" a="1"/>
  <c r="CJ363" i="3" s="1"/>
  <c r="G363" i="3" s="1"/>
  <c r="V363" i="3"/>
  <c r="J363" i="3"/>
  <c r="CJ362" i="3" a="1"/>
  <c r="CJ362" i="3" s="1"/>
  <c r="G362" i="3" s="1"/>
  <c r="V362" i="3"/>
  <c r="J362" i="3"/>
  <c r="CJ361" i="3" a="1"/>
  <c r="CJ361" i="3"/>
  <c r="G361" i="3" s="1"/>
  <c r="V361" i="3"/>
  <c r="J361" i="3"/>
  <c r="CJ360" i="3" a="1"/>
  <c r="CJ360" i="3" s="1"/>
  <c r="G360" i="3" s="1"/>
  <c r="V360" i="3"/>
  <c r="J360" i="3"/>
  <c r="CJ359" i="3" a="1"/>
  <c r="CJ359" i="3" s="1"/>
  <c r="G359" i="3" s="1"/>
  <c r="V359" i="3"/>
  <c r="J359" i="3"/>
  <c r="CJ358" i="3" a="1"/>
  <c r="CJ358" i="3" s="1"/>
  <c r="V358" i="3"/>
  <c r="J358" i="3"/>
  <c r="G358" i="3"/>
  <c r="CJ357" i="3" a="1"/>
  <c r="CJ357" i="3"/>
  <c r="G357" i="3" s="1"/>
  <c r="V357" i="3"/>
  <c r="J357" i="3"/>
  <c r="CJ356" i="3" a="1"/>
  <c r="CJ356" i="3"/>
  <c r="G356" i="3" s="1"/>
  <c r="V356" i="3"/>
  <c r="J356" i="3"/>
  <c r="CJ355" i="3" a="1"/>
  <c r="CJ355" i="3"/>
  <c r="G355" i="3" s="1"/>
  <c r="V355" i="3"/>
  <c r="J355" i="3"/>
  <c r="CJ354" i="3" a="1"/>
  <c r="CJ354" i="3" s="1"/>
  <c r="G354" i="3" s="1"/>
  <c r="V354" i="3"/>
  <c r="J354" i="3"/>
  <c r="CJ353" i="3" a="1"/>
  <c r="CJ353" i="3" s="1"/>
  <c r="G353" i="3" s="1"/>
  <c r="V353" i="3"/>
  <c r="J353" i="3"/>
  <c r="CJ352" i="3" a="1"/>
  <c r="CJ352" i="3" s="1"/>
  <c r="G352" i="3" s="1"/>
  <c r="V352" i="3"/>
  <c r="J352" i="3"/>
  <c r="CJ351" i="3" a="1"/>
  <c r="CJ351" i="3" s="1"/>
  <c r="G351" i="3" s="1"/>
  <c r="V351" i="3"/>
  <c r="J351" i="3"/>
  <c r="CJ350" i="3" a="1"/>
  <c r="CJ350" i="3" s="1"/>
  <c r="G350" i="3" s="1"/>
  <c r="V350" i="3"/>
  <c r="J350" i="3"/>
  <c r="CJ349" i="3" a="1"/>
  <c r="CJ349" i="3"/>
  <c r="G349" i="3" s="1"/>
  <c r="V349" i="3"/>
  <c r="J349" i="3"/>
  <c r="CJ348" i="3" a="1"/>
  <c r="CJ348" i="3"/>
  <c r="G348" i="3" s="1"/>
  <c r="V348" i="3"/>
  <c r="J348" i="3"/>
  <c r="CJ347" i="3" a="1"/>
  <c r="CJ347" i="3"/>
  <c r="G347" i="3" s="1"/>
  <c r="V347" i="3"/>
  <c r="J347" i="3"/>
  <c r="CJ346" i="3" a="1"/>
  <c r="CJ346" i="3" s="1"/>
  <c r="G346" i="3" s="1"/>
  <c r="V346" i="3"/>
  <c r="J346" i="3"/>
  <c r="CJ345" i="3" a="1"/>
  <c r="CJ345" i="3"/>
  <c r="G345" i="3" s="1"/>
  <c r="V345" i="3"/>
  <c r="J345" i="3"/>
  <c r="CJ344" i="3" a="1"/>
  <c r="CJ344" i="3" s="1"/>
  <c r="V344" i="3"/>
  <c r="J344" i="3"/>
  <c r="G344" i="3"/>
  <c r="CJ343" i="3" a="1"/>
  <c r="CJ343" i="3" s="1"/>
  <c r="G343" i="3" s="1"/>
  <c r="V343" i="3"/>
  <c r="J343" i="3"/>
  <c r="CJ342" i="3" a="1"/>
  <c r="CJ342" i="3" s="1"/>
  <c r="V342" i="3"/>
  <c r="J342" i="3"/>
  <c r="G342" i="3"/>
  <c r="CJ341" i="3" a="1"/>
  <c r="CJ341" i="3" s="1"/>
  <c r="G341" i="3" s="1"/>
  <c r="V341" i="3"/>
  <c r="J341" i="3"/>
  <c r="CJ340" i="3" a="1"/>
  <c r="CJ340" i="3" s="1"/>
  <c r="G340" i="3" s="1"/>
  <c r="V340" i="3"/>
  <c r="J340" i="3"/>
  <c r="CJ339" i="3" a="1"/>
  <c r="CJ339" i="3" s="1"/>
  <c r="G339" i="3" s="1"/>
  <c r="V339" i="3"/>
  <c r="J339" i="3"/>
  <c r="CJ338" i="3" a="1"/>
  <c r="CJ338" i="3" s="1"/>
  <c r="G338" i="3" s="1"/>
  <c r="V338" i="3"/>
  <c r="J338" i="3"/>
  <c r="CJ337" i="3" a="1"/>
  <c r="CJ337" i="3" s="1"/>
  <c r="G337" i="3" s="1"/>
  <c r="V337" i="3"/>
  <c r="J337" i="3"/>
  <c r="CJ336" i="3" a="1"/>
  <c r="CJ336" i="3" s="1"/>
  <c r="G336" i="3" s="1"/>
  <c r="V336" i="3"/>
  <c r="J336" i="3"/>
  <c r="CJ335" i="3" a="1"/>
  <c r="CJ335" i="3" s="1"/>
  <c r="G335" i="3" s="1"/>
  <c r="V335" i="3"/>
  <c r="J335" i="3"/>
  <c r="CJ334" i="3" a="1"/>
  <c r="CJ334" i="3" s="1"/>
  <c r="V334" i="3"/>
  <c r="J334" i="3"/>
  <c r="G334" i="3"/>
  <c r="CJ333" i="3" a="1"/>
  <c r="CJ333" i="3"/>
  <c r="G333" i="3" s="1"/>
  <c r="V333" i="3"/>
  <c r="J333" i="3"/>
  <c r="CJ332" i="3" a="1"/>
  <c r="CJ332" i="3"/>
  <c r="G332" i="3" s="1"/>
  <c r="V332" i="3"/>
  <c r="J332" i="3"/>
  <c r="CJ331" i="3" a="1"/>
  <c r="CJ331" i="3"/>
  <c r="G331" i="3" s="1"/>
  <c r="V331" i="3"/>
  <c r="J331" i="3"/>
  <c r="CJ330" i="3" a="1"/>
  <c r="CJ330" i="3" s="1"/>
  <c r="G330" i="3" s="1"/>
  <c r="V330" i="3"/>
  <c r="J330" i="3"/>
  <c r="CJ329" i="3" a="1"/>
  <c r="CJ329" i="3" s="1"/>
  <c r="G329" i="3" s="1"/>
  <c r="V329" i="3"/>
  <c r="J329" i="3"/>
  <c r="CJ328" i="3" a="1"/>
  <c r="CJ328" i="3" s="1"/>
  <c r="V328" i="3"/>
  <c r="J328" i="3"/>
  <c r="G328" i="3"/>
  <c r="CJ327" i="3" a="1"/>
  <c r="CJ327" i="3" s="1"/>
  <c r="G327" i="3" s="1"/>
  <c r="V327" i="3"/>
  <c r="J327" i="3"/>
  <c r="CJ326" i="3" a="1"/>
  <c r="CJ326" i="3" s="1"/>
  <c r="G326" i="3" s="1"/>
  <c r="V326" i="3"/>
  <c r="J326" i="3"/>
  <c r="CJ325" i="3" a="1"/>
  <c r="CJ325" i="3" s="1"/>
  <c r="G325" i="3" s="1"/>
  <c r="V325" i="3"/>
  <c r="J325" i="3"/>
  <c r="CJ324" i="3" a="1"/>
  <c r="CJ324" i="3" s="1"/>
  <c r="G324" i="3" s="1"/>
  <c r="V324" i="3"/>
  <c r="J324" i="3"/>
  <c r="CJ323" i="3" a="1"/>
  <c r="CJ323" i="3" s="1"/>
  <c r="G323" i="3" s="1"/>
  <c r="V323" i="3"/>
  <c r="J323" i="3"/>
  <c r="CJ322" i="3" a="1"/>
  <c r="CJ322" i="3" s="1"/>
  <c r="G322" i="3" s="1"/>
  <c r="V322" i="3"/>
  <c r="J322" i="3"/>
  <c r="CJ321" i="3" a="1"/>
  <c r="CJ321" i="3"/>
  <c r="G321" i="3" s="1"/>
  <c r="V321" i="3"/>
  <c r="J321" i="3"/>
  <c r="CJ320" i="3" a="1"/>
  <c r="CJ320" i="3" s="1"/>
  <c r="G320" i="3" s="1"/>
  <c r="V320" i="3"/>
  <c r="J320" i="3"/>
  <c r="CJ319" i="3" a="1"/>
  <c r="CJ319" i="3" s="1"/>
  <c r="G319" i="3" s="1"/>
  <c r="V319" i="3"/>
  <c r="J319" i="3"/>
  <c r="CJ318" i="3" a="1"/>
  <c r="CJ318" i="3" s="1"/>
  <c r="V318" i="3"/>
  <c r="J318" i="3"/>
  <c r="G318" i="3"/>
  <c r="CJ317" i="3" a="1"/>
  <c r="CJ317" i="3" s="1"/>
  <c r="G317" i="3" s="1"/>
  <c r="V317" i="3"/>
  <c r="J317" i="3"/>
  <c r="CJ316" i="3" a="1"/>
  <c r="CJ316" i="3" s="1"/>
  <c r="G316" i="3" s="1"/>
  <c r="V316" i="3"/>
  <c r="J316" i="3"/>
  <c r="CJ315" i="3" a="1"/>
  <c r="CJ315" i="3" s="1"/>
  <c r="G315" i="3" s="1"/>
  <c r="V315" i="3"/>
  <c r="J315" i="3"/>
  <c r="CJ314" i="3" a="1"/>
  <c r="CJ314" i="3" s="1"/>
  <c r="G314" i="3" s="1"/>
  <c r="V314" i="3"/>
  <c r="J314" i="3"/>
  <c r="CJ313" i="3" a="1"/>
  <c r="CJ313" i="3" s="1"/>
  <c r="G313" i="3" s="1"/>
  <c r="V313" i="3"/>
  <c r="J313" i="3"/>
  <c r="CJ312" i="3" a="1"/>
  <c r="CJ312" i="3" s="1"/>
  <c r="G312" i="3" s="1"/>
  <c r="V312" i="3"/>
  <c r="J312" i="3"/>
  <c r="CJ311" i="3" a="1"/>
  <c r="CJ311" i="3" s="1"/>
  <c r="G311" i="3" s="1"/>
  <c r="V311" i="3"/>
  <c r="J311" i="3"/>
  <c r="CJ310" i="3" a="1"/>
  <c r="CJ310" i="3" s="1"/>
  <c r="G310" i="3" s="1"/>
  <c r="V310" i="3"/>
  <c r="J310" i="3"/>
  <c r="CJ309" i="3" a="1"/>
  <c r="CJ309" i="3"/>
  <c r="G309" i="3" s="1"/>
  <c r="V309" i="3"/>
  <c r="J309" i="3"/>
  <c r="CJ308" i="3" a="1"/>
  <c r="CJ308" i="3"/>
  <c r="G308" i="3" s="1"/>
  <c r="V308" i="3"/>
  <c r="J308" i="3"/>
  <c r="CJ307" i="3" a="1"/>
  <c r="CJ307" i="3"/>
  <c r="G307" i="3" s="1"/>
  <c r="V307" i="3"/>
  <c r="J307" i="3"/>
  <c r="CJ306" i="3" a="1"/>
  <c r="CJ306" i="3" s="1"/>
  <c r="G306" i="3" s="1"/>
  <c r="V306" i="3"/>
  <c r="J306" i="3"/>
  <c r="CJ305" i="3" a="1"/>
  <c r="CJ305" i="3"/>
  <c r="G305" i="3" s="1"/>
  <c r="V305" i="3"/>
  <c r="J305" i="3"/>
  <c r="CJ304" i="3" a="1"/>
  <c r="CJ304" i="3" s="1"/>
  <c r="G304" i="3" s="1"/>
  <c r="V304" i="3"/>
  <c r="J304" i="3"/>
  <c r="CJ303" i="3" a="1"/>
  <c r="CJ303" i="3" s="1"/>
  <c r="G303" i="3" s="1"/>
  <c r="V303" i="3"/>
  <c r="J303" i="3"/>
  <c r="CJ302" i="3" a="1"/>
  <c r="CJ302" i="3" s="1"/>
  <c r="G302" i="3" s="1"/>
  <c r="V302" i="3"/>
  <c r="J302" i="3"/>
  <c r="CJ301" i="3" a="1"/>
  <c r="CJ301" i="3" s="1"/>
  <c r="G301" i="3" s="1"/>
  <c r="V301" i="3"/>
  <c r="J301" i="3"/>
  <c r="CJ300" i="3" a="1"/>
  <c r="CJ300" i="3" s="1"/>
  <c r="G300" i="3" s="1"/>
  <c r="V300" i="3"/>
  <c r="J300" i="3"/>
  <c r="CJ299" i="3" a="1"/>
  <c r="CJ299" i="3" s="1"/>
  <c r="G299" i="3" s="1"/>
  <c r="V299" i="3"/>
  <c r="J299" i="3"/>
  <c r="CJ298" i="3" a="1"/>
  <c r="CJ298" i="3" s="1"/>
  <c r="G298" i="3" s="1"/>
  <c r="V298" i="3"/>
  <c r="J298" i="3"/>
  <c r="CJ297" i="3" a="1"/>
  <c r="CJ297" i="3"/>
  <c r="G297" i="3" s="1"/>
  <c r="V297" i="3"/>
  <c r="J297" i="3"/>
  <c r="CJ296" i="3" a="1"/>
  <c r="CJ296" i="3" s="1"/>
  <c r="G296" i="3" s="1"/>
  <c r="V296" i="3"/>
  <c r="J296" i="3"/>
  <c r="CJ295" i="3" a="1"/>
  <c r="CJ295" i="3" s="1"/>
  <c r="G295" i="3" s="1"/>
  <c r="V295" i="3"/>
  <c r="J295" i="3"/>
  <c r="CJ294" i="3" a="1"/>
  <c r="CJ294" i="3" s="1"/>
  <c r="V294" i="3"/>
  <c r="J294" i="3"/>
  <c r="G294" i="3"/>
  <c r="CJ293" i="3" a="1"/>
  <c r="CJ293" i="3"/>
  <c r="G293" i="3" s="1"/>
  <c r="V293" i="3"/>
  <c r="J293" i="3"/>
  <c r="CJ292" i="3" a="1"/>
  <c r="CJ292" i="3"/>
  <c r="G292" i="3" s="1"/>
  <c r="V292" i="3"/>
  <c r="J292" i="3"/>
  <c r="CJ291" i="3" a="1"/>
  <c r="CJ291" i="3"/>
  <c r="G291" i="3" s="1"/>
  <c r="V291" i="3"/>
  <c r="J291" i="3"/>
  <c r="CJ290" i="3" a="1"/>
  <c r="CJ290" i="3" s="1"/>
  <c r="G290" i="3" s="1"/>
  <c r="V290" i="3"/>
  <c r="J290" i="3"/>
  <c r="CJ289" i="3" a="1"/>
  <c r="CJ289" i="3" s="1"/>
  <c r="G289" i="3" s="1"/>
  <c r="V289" i="3"/>
  <c r="J289" i="3"/>
  <c r="CJ288" i="3" a="1"/>
  <c r="CJ288" i="3" s="1"/>
  <c r="G288" i="3" s="1"/>
  <c r="V288" i="3"/>
  <c r="J288" i="3"/>
  <c r="CJ287" i="3" a="1"/>
  <c r="CJ287" i="3" s="1"/>
  <c r="G287" i="3" s="1"/>
  <c r="V287" i="3"/>
  <c r="J287" i="3"/>
  <c r="CJ286" i="3" a="1"/>
  <c r="CJ286" i="3" s="1"/>
  <c r="G286" i="3" s="1"/>
  <c r="V286" i="3"/>
  <c r="J286" i="3"/>
  <c r="CJ285" i="3" a="1"/>
  <c r="CJ285" i="3"/>
  <c r="G285" i="3" s="1"/>
  <c r="V285" i="3"/>
  <c r="J285" i="3"/>
  <c r="CJ284" i="3" a="1"/>
  <c r="CJ284" i="3"/>
  <c r="G284" i="3" s="1"/>
  <c r="V284" i="3"/>
  <c r="J284" i="3"/>
  <c r="CJ283" i="3" a="1"/>
  <c r="CJ283" i="3"/>
  <c r="G283" i="3" s="1"/>
  <c r="V283" i="3"/>
  <c r="J283" i="3"/>
  <c r="CJ282" i="3" a="1"/>
  <c r="CJ282" i="3" s="1"/>
  <c r="G282" i="3" s="1"/>
  <c r="V282" i="3"/>
  <c r="J282" i="3"/>
  <c r="CJ281" i="3" a="1"/>
  <c r="CJ281" i="3"/>
  <c r="G281" i="3" s="1"/>
  <c r="V281" i="3"/>
  <c r="J281" i="3"/>
  <c r="CJ280" i="3" a="1"/>
  <c r="CJ280" i="3" s="1"/>
  <c r="V280" i="3"/>
  <c r="J280" i="3"/>
  <c r="G280" i="3"/>
  <c r="CJ279" i="3" a="1"/>
  <c r="CJ279" i="3" s="1"/>
  <c r="G279" i="3" s="1"/>
  <c r="V279" i="3"/>
  <c r="J279" i="3"/>
  <c r="CJ278" i="3" a="1"/>
  <c r="CJ278" i="3" s="1"/>
  <c r="V278" i="3"/>
  <c r="J278" i="3"/>
  <c r="G278" i="3"/>
  <c r="CJ277" i="3" a="1"/>
  <c r="CJ277" i="3" s="1"/>
  <c r="G277" i="3" s="1"/>
  <c r="V277" i="3"/>
  <c r="J277" i="3"/>
  <c r="CJ276" i="3" a="1"/>
  <c r="CJ276" i="3" s="1"/>
  <c r="G276" i="3" s="1"/>
  <c r="V276" i="3"/>
  <c r="J276" i="3"/>
  <c r="CJ275" i="3" a="1"/>
  <c r="CJ275" i="3" s="1"/>
  <c r="G275" i="3" s="1"/>
  <c r="V275" i="3"/>
  <c r="J275" i="3"/>
  <c r="CJ274" i="3" a="1"/>
  <c r="CJ274" i="3" s="1"/>
  <c r="G274" i="3" s="1"/>
  <c r="V274" i="3"/>
  <c r="J274" i="3"/>
  <c r="CJ273" i="3" a="1"/>
  <c r="CJ273" i="3" s="1"/>
  <c r="G273" i="3" s="1"/>
  <c r="V273" i="3"/>
  <c r="J273" i="3"/>
  <c r="CJ272" i="3" a="1"/>
  <c r="CJ272" i="3" s="1"/>
  <c r="G272" i="3" s="1"/>
  <c r="V272" i="3"/>
  <c r="J272" i="3"/>
  <c r="CJ271" i="3" a="1"/>
  <c r="CJ271" i="3" s="1"/>
  <c r="G271" i="3" s="1"/>
  <c r="V271" i="3"/>
  <c r="J271" i="3"/>
  <c r="CJ270" i="3" a="1"/>
  <c r="CJ270" i="3" s="1"/>
  <c r="V270" i="3"/>
  <c r="J270" i="3"/>
  <c r="G270" i="3"/>
  <c r="CJ269" i="3" a="1"/>
  <c r="CJ269" i="3"/>
  <c r="G269" i="3" s="1"/>
  <c r="V269" i="3"/>
  <c r="J269" i="3"/>
  <c r="CJ268" i="3" a="1"/>
  <c r="CJ268" i="3"/>
  <c r="G268" i="3" s="1"/>
  <c r="V268" i="3"/>
  <c r="J268" i="3"/>
  <c r="CJ267" i="3" a="1"/>
  <c r="CJ267" i="3"/>
  <c r="G267" i="3" s="1"/>
  <c r="V267" i="3"/>
  <c r="J267" i="3"/>
  <c r="CJ266" i="3" a="1"/>
  <c r="CJ266" i="3" s="1"/>
  <c r="G266" i="3" s="1"/>
  <c r="V266" i="3"/>
  <c r="J266" i="3"/>
  <c r="CJ265" i="3" a="1"/>
  <c r="CJ265" i="3" s="1"/>
  <c r="G265" i="3" s="1"/>
  <c r="V265" i="3"/>
  <c r="J265" i="3"/>
  <c r="CJ264" i="3" a="1"/>
  <c r="CJ264" i="3" s="1"/>
  <c r="V264" i="3"/>
  <c r="J264" i="3"/>
  <c r="G264" i="3"/>
  <c r="CJ263" i="3" a="1"/>
  <c r="CJ263" i="3" s="1"/>
  <c r="G263" i="3" s="1"/>
  <c r="V263" i="3"/>
  <c r="J263" i="3"/>
  <c r="CJ262" i="3" a="1"/>
  <c r="CJ262" i="3" s="1"/>
  <c r="G262" i="3" s="1"/>
  <c r="V262" i="3"/>
  <c r="J262" i="3"/>
  <c r="CJ261" i="3" a="1"/>
  <c r="CJ261" i="3" s="1"/>
  <c r="G261" i="3" s="1"/>
  <c r="V261" i="3"/>
  <c r="J261" i="3"/>
  <c r="CJ260" i="3" a="1"/>
  <c r="CJ260" i="3" s="1"/>
  <c r="G260" i="3" s="1"/>
  <c r="V260" i="3"/>
  <c r="J260" i="3"/>
  <c r="CJ259" i="3" a="1"/>
  <c r="CJ259" i="3" s="1"/>
  <c r="G259" i="3" s="1"/>
  <c r="V259" i="3"/>
  <c r="J259" i="3"/>
  <c r="CJ258" i="3" a="1"/>
  <c r="CJ258" i="3" s="1"/>
  <c r="G258" i="3" s="1"/>
  <c r="V258" i="3"/>
  <c r="J258" i="3"/>
  <c r="CJ257" i="3" a="1"/>
  <c r="CJ257" i="3"/>
  <c r="G257" i="3" s="1"/>
  <c r="V257" i="3"/>
  <c r="J257" i="3"/>
  <c r="CJ256" i="3" a="1"/>
  <c r="CJ256" i="3" s="1"/>
  <c r="G256" i="3" s="1"/>
  <c r="V256" i="3"/>
  <c r="J256" i="3"/>
  <c r="CJ255" i="3" a="1"/>
  <c r="CJ255" i="3" s="1"/>
  <c r="G255" i="3" s="1"/>
  <c r="V255" i="3"/>
  <c r="J255" i="3"/>
  <c r="CJ254" i="3" a="1"/>
  <c r="CJ254" i="3" s="1"/>
  <c r="V254" i="3"/>
  <c r="J254" i="3"/>
  <c r="G254" i="3"/>
  <c r="CJ253" i="3" a="1"/>
  <c r="CJ253" i="3" s="1"/>
  <c r="G253" i="3" s="1"/>
  <c r="V253" i="3"/>
  <c r="J253" i="3"/>
  <c r="CJ252" i="3" a="1"/>
  <c r="CJ252" i="3" s="1"/>
  <c r="G252" i="3" s="1"/>
  <c r="V252" i="3"/>
  <c r="J252" i="3"/>
  <c r="CJ251" i="3" a="1"/>
  <c r="CJ251" i="3" s="1"/>
  <c r="G251" i="3" s="1"/>
  <c r="V251" i="3"/>
  <c r="J251" i="3"/>
  <c r="CJ250" i="3" a="1"/>
  <c r="CJ250" i="3" s="1"/>
  <c r="G250" i="3" s="1"/>
  <c r="V250" i="3"/>
  <c r="J250" i="3"/>
  <c r="CJ249" i="3" a="1"/>
  <c r="CJ249" i="3" s="1"/>
  <c r="G249" i="3" s="1"/>
  <c r="V249" i="3"/>
  <c r="J249" i="3"/>
  <c r="CJ248" i="3" a="1"/>
  <c r="CJ248" i="3" s="1"/>
  <c r="V248" i="3"/>
  <c r="J248" i="3"/>
  <c r="G248" i="3"/>
  <c r="CJ247" i="3" a="1"/>
  <c r="CJ247" i="3" s="1"/>
  <c r="G247" i="3" s="1"/>
  <c r="V247" i="3"/>
  <c r="J247" i="3"/>
  <c r="CJ246" i="3" a="1"/>
  <c r="CJ246" i="3" s="1"/>
  <c r="G246" i="3" s="1"/>
  <c r="V246" i="3"/>
  <c r="J246" i="3"/>
  <c r="CJ245" i="3" a="1"/>
  <c r="CJ245" i="3"/>
  <c r="G245" i="3" s="1"/>
  <c r="V245" i="3"/>
  <c r="J245" i="3"/>
  <c r="CJ244" i="3" a="1"/>
  <c r="CJ244" i="3"/>
  <c r="G244" i="3" s="1"/>
  <c r="V244" i="3"/>
  <c r="J244" i="3"/>
  <c r="CJ243" i="3" a="1"/>
  <c r="CJ243" i="3"/>
  <c r="G243" i="3" s="1"/>
  <c r="V243" i="3"/>
  <c r="J243" i="3"/>
  <c r="CJ242" i="3" a="1"/>
  <c r="CJ242" i="3" s="1"/>
  <c r="G242" i="3" s="1"/>
  <c r="V242" i="3"/>
  <c r="J242" i="3"/>
  <c r="CJ241" i="3" a="1"/>
  <c r="CJ241" i="3"/>
  <c r="G241" i="3" s="1"/>
  <c r="V241" i="3"/>
  <c r="J241" i="3"/>
  <c r="CJ240" i="3" a="1"/>
  <c r="CJ240" i="3" s="1"/>
  <c r="G240" i="3" s="1"/>
  <c r="V240" i="3"/>
  <c r="J240" i="3"/>
  <c r="CJ239" i="3" a="1"/>
  <c r="CJ239" i="3" s="1"/>
  <c r="G239" i="3" s="1"/>
  <c r="V239" i="3"/>
  <c r="J239" i="3"/>
  <c r="CJ238" i="3" a="1"/>
  <c r="CJ238" i="3" s="1"/>
  <c r="G238" i="3" s="1"/>
  <c r="V238" i="3"/>
  <c r="J238" i="3"/>
  <c r="CJ237" i="3" a="1"/>
  <c r="CJ237" i="3" s="1"/>
  <c r="G237" i="3" s="1"/>
  <c r="V237" i="3"/>
  <c r="J237" i="3"/>
  <c r="CJ236" i="3" a="1"/>
  <c r="CJ236" i="3" s="1"/>
  <c r="G236" i="3" s="1"/>
  <c r="V236" i="3"/>
  <c r="J236" i="3"/>
  <c r="CJ235" i="3" a="1"/>
  <c r="CJ235" i="3" s="1"/>
  <c r="G235" i="3" s="1"/>
  <c r="V235" i="3"/>
  <c r="J235" i="3"/>
  <c r="CJ234" i="3" a="1"/>
  <c r="CJ234" i="3" s="1"/>
  <c r="G234" i="3" s="1"/>
  <c r="V234" i="3"/>
  <c r="J234" i="3"/>
  <c r="CJ233" i="3" a="1"/>
  <c r="CJ233" i="3"/>
  <c r="G233" i="3" s="1"/>
  <c r="V233" i="3"/>
  <c r="J233" i="3"/>
  <c r="CJ232" i="3" a="1"/>
  <c r="CJ232" i="3" s="1"/>
  <c r="G232" i="3" s="1"/>
  <c r="V232" i="3"/>
  <c r="J232" i="3"/>
  <c r="CJ231" i="3" a="1"/>
  <c r="CJ231" i="3" s="1"/>
  <c r="G231" i="3" s="1"/>
  <c r="V231" i="3"/>
  <c r="J231" i="3"/>
  <c r="CJ230" i="3" a="1"/>
  <c r="CJ230" i="3" s="1"/>
  <c r="V230" i="3"/>
  <c r="J230" i="3"/>
  <c r="G230" i="3"/>
  <c r="CJ229" i="3" a="1"/>
  <c r="CJ229" i="3"/>
  <c r="G229" i="3" s="1"/>
  <c r="V229" i="3"/>
  <c r="J229" i="3"/>
  <c r="CJ228" i="3" a="1"/>
  <c r="CJ228" i="3"/>
  <c r="G228" i="3" s="1"/>
  <c r="V228" i="3"/>
  <c r="J228" i="3"/>
  <c r="CJ227" i="3" a="1"/>
  <c r="CJ227" i="3"/>
  <c r="G227" i="3" s="1"/>
  <c r="V227" i="3"/>
  <c r="J227" i="3"/>
  <c r="CJ226" i="3" a="1"/>
  <c r="CJ226" i="3" s="1"/>
  <c r="G226" i="3" s="1"/>
  <c r="V226" i="3"/>
  <c r="J226" i="3"/>
  <c r="CJ225" i="3" a="1"/>
  <c r="CJ225" i="3" s="1"/>
  <c r="G225" i="3" s="1"/>
  <c r="V225" i="3"/>
  <c r="J225" i="3"/>
  <c r="CJ224" i="3" a="1"/>
  <c r="CJ224" i="3" s="1"/>
  <c r="G224" i="3" s="1"/>
  <c r="V224" i="3"/>
  <c r="J224" i="3"/>
  <c r="CJ223" i="3" a="1"/>
  <c r="CJ223" i="3" s="1"/>
  <c r="G223" i="3" s="1"/>
  <c r="V223" i="3"/>
  <c r="J223" i="3"/>
  <c r="CJ222" i="3" a="1"/>
  <c r="CJ222" i="3" s="1"/>
  <c r="G222" i="3" s="1"/>
  <c r="V222" i="3"/>
  <c r="J222" i="3"/>
  <c r="CJ221" i="3" a="1"/>
  <c r="CJ221" i="3" s="1"/>
  <c r="G221" i="3" s="1"/>
  <c r="V221" i="3"/>
  <c r="J221" i="3"/>
  <c r="CJ220" i="3" a="1"/>
  <c r="CJ220" i="3" s="1"/>
  <c r="G220" i="3" s="1"/>
  <c r="V220" i="3"/>
  <c r="J220" i="3"/>
  <c r="CJ219" i="3" a="1"/>
  <c r="CJ219" i="3" s="1"/>
  <c r="G219" i="3" s="1"/>
  <c r="V219" i="3"/>
  <c r="J219" i="3"/>
  <c r="CJ218" i="3" a="1"/>
  <c r="CJ218" i="3" s="1"/>
  <c r="G218" i="3" s="1"/>
  <c r="V218" i="3"/>
  <c r="J218" i="3"/>
  <c r="CJ217" i="3" a="1"/>
  <c r="CJ217" i="3"/>
  <c r="G217" i="3" s="1"/>
  <c r="V217" i="3"/>
  <c r="J217" i="3"/>
  <c r="CJ216" i="3" a="1"/>
  <c r="CJ216" i="3" s="1"/>
  <c r="V216" i="3"/>
  <c r="J216" i="3"/>
  <c r="G216" i="3"/>
  <c r="CJ215" i="3" a="1"/>
  <c r="CJ215" i="3" s="1"/>
  <c r="G215" i="3" s="1"/>
  <c r="V215" i="3"/>
  <c r="J215" i="3"/>
  <c r="CJ214" i="3" a="1"/>
  <c r="CJ214" i="3" s="1"/>
  <c r="V214" i="3"/>
  <c r="J214" i="3"/>
  <c r="G214" i="3"/>
  <c r="CJ213" i="3" a="1"/>
  <c r="CJ213" i="3" s="1"/>
  <c r="G213" i="3" s="1"/>
  <c r="V213" i="3"/>
  <c r="J213" i="3"/>
  <c r="CJ212" i="3" a="1"/>
  <c r="CJ212" i="3" s="1"/>
  <c r="G212" i="3" s="1"/>
  <c r="V212" i="3"/>
  <c r="J212" i="3"/>
  <c r="CJ211" i="3" a="1"/>
  <c r="CJ211" i="3" s="1"/>
  <c r="G211" i="3" s="1"/>
  <c r="V211" i="3"/>
  <c r="J211" i="3"/>
  <c r="CJ210" i="3" a="1"/>
  <c r="CJ210" i="3" s="1"/>
  <c r="G210" i="3" s="1"/>
  <c r="V210" i="3"/>
  <c r="J210" i="3"/>
  <c r="CJ209" i="3" a="1"/>
  <c r="CJ209" i="3"/>
  <c r="G209" i="3" s="1"/>
  <c r="V209" i="3"/>
  <c r="J209" i="3"/>
  <c r="CJ208" i="3" a="1"/>
  <c r="CJ208" i="3" s="1"/>
  <c r="G208" i="3" s="1"/>
  <c r="V208" i="3"/>
  <c r="J208" i="3"/>
  <c r="CJ207" i="3" a="1"/>
  <c r="CJ207" i="3" s="1"/>
  <c r="G207" i="3" s="1"/>
  <c r="V207" i="3"/>
  <c r="J207" i="3"/>
  <c r="CJ206" i="3" a="1"/>
  <c r="CJ206" i="3" s="1"/>
  <c r="V206" i="3"/>
  <c r="J206" i="3"/>
  <c r="G206" i="3"/>
  <c r="CJ205" i="3" a="1"/>
  <c r="CJ205" i="3" s="1"/>
  <c r="G205" i="3" s="1"/>
  <c r="V205" i="3"/>
  <c r="J205" i="3"/>
  <c r="CJ204" i="3" a="1"/>
  <c r="CJ204" i="3" s="1"/>
  <c r="G204" i="3" s="1"/>
  <c r="V204" i="3"/>
  <c r="J204" i="3"/>
  <c r="CJ203" i="3" a="1"/>
  <c r="CJ203" i="3" s="1"/>
  <c r="G203" i="3" s="1"/>
  <c r="V203" i="3"/>
  <c r="J203" i="3"/>
  <c r="CJ202" i="3" a="1"/>
  <c r="CJ202" i="3" s="1"/>
  <c r="G202" i="3" s="1"/>
  <c r="V202" i="3"/>
  <c r="J202" i="3"/>
  <c r="CJ201" i="3" a="1"/>
  <c r="CJ201" i="3" s="1"/>
  <c r="G201" i="3" s="1"/>
  <c r="V201" i="3"/>
  <c r="J201" i="3"/>
  <c r="CJ200" i="3" a="1"/>
  <c r="CJ200" i="3" s="1"/>
  <c r="G200" i="3" s="1"/>
  <c r="V200" i="3"/>
  <c r="J200" i="3"/>
  <c r="CJ199" i="3" a="1"/>
  <c r="CJ199" i="3" s="1"/>
  <c r="G199" i="3" s="1"/>
  <c r="V199" i="3"/>
  <c r="J199" i="3"/>
  <c r="CJ198" i="3" a="1"/>
  <c r="CJ198" i="3" s="1"/>
  <c r="G198" i="3" s="1"/>
  <c r="V198" i="3"/>
  <c r="J198" i="3"/>
  <c r="CJ197" i="3" a="1"/>
  <c r="CJ197" i="3"/>
  <c r="G197" i="3" s="1"/>
  <c r="V197" i="3"/>
  <c r="J197" i="3"/>
  <c r="CJ196" i="3" a="1"/>
  <c r="CJ196" i="3"/>
  <c r="G196" i="3" s="1"/>
  <c r="V196" i="3"/>
  <c r="J196" i="3"/>
  <c r="CJ195" i="3" a="1"/>
  <c r="CJ195" i="3"/>
  <c r="G195" i="3" s="1"/>
  <c r="V195" i="3"/>
  <c r="J195" i="3"/>
  <c r="CJ194" i="3" a="1"/>
  <c r="CJ194" i="3" s="1"/>
  <c r="G194" i="3" s="1"/>
  <c r="V194" i="3"/>
  <c r="J194" i="3"/>
  <c r="CJ193" i="3" a="1"/>
  <c r="CJ193" i="3"/>
  <c r="G193" i="3" s="1"/>
  <c r="V193" i="3"/>
  <c r="J193" i="3"/>
  <c r="CJ192" i="3" a="1"/>
  <c r="CJ192" i="3" s="1"/>
  <c r="G192" i="3" s="1"/>
  <c r="V192" i="3"/>
  <c r="J192" i="3"/>
  <c r="CJ191" i="3" a="1"/>
  <c r="CJ191" i="3" s="1"/>
  <c r="G191" i="3" s="1"/>
  <c r="V191" i="3"/>
  <c r="J191" i="3"/>
  <c r="CJ190" i="3" a="1"/>
  <c r="CJ190" i="3" s="1"/>
  <c r="G190" i="3" s="1"/>
  <c r="V190" i="3"/>
  <c r="J190" i="3"/>
  <c r="CJ189" i="3" a="1"/>
  <c r="CJ189" i="3" s="1"/>
  <c r="G189" i="3" s="1"/>
  <c r="V189" i="3"/>
  <c r="J189" i="3"/>
  <c r="CJ188" i="3" a="1"/>
  <c r="CJ188" i="3" s="1"/>
  <c r="G188" i="3" s="1"/>
  <c r="V188" i="3"/>
  <c r="J188" i="3"/>
  <c r="CJ187" i="3" a="1"/>
  <c r="CJ187" i="3" s="1"/>
  <c r="G187" i="3" s="1"/>
  <c r="V187" i="3"/>
  <c r="J187" i="3"/>
  <c r="CJ186" i="3" a="1"/>
  <c r="CJ186" i="3" s="1"/>
  <c r="G186" i="3" s="1"/>
  <c r="V186" i="3"/>
  <c r="J186" i="3"/>
  <c r="CJ185" i="3" a="1"/>
  <c r="CJ185" i="3"/>
  <c r="G185" i="3" s="1"/>
  <c r="V185" i="3"/>
  <c r="J185" i="3"/>
  <c r="CJ184" i="3" a="1"/>
  <c r="CJ184" i="3" s="1"/>
  <c r="G184" i="3" s="1"/>
  <c r="V184" i="3"/>
  <c r="J184" i="3"/>
  <c r="CJ183" i="3" a="1"/>
  <c r="CJ183" i="3" s="1"/>
  <c r="G183" i="3" s="1"/>
  <c r="V183" i="3"/>
  <c r="J183" i="3"/>
  <c r="CJ182" i="3" a="1"/>
  <c r="CJ182" i="3" s="1"/>
  <c r="V182" i="3"/>
  <c r="J182" i="3"/>
  <c r="G182" i="3"/>
  <c r="CJ181" i="3" a="1"/>
  <c r="CJ181" i="3"/>
  <c r="G181" i="3" s="1"/>
  <c r="V181" i="3"/>
  <c r="J181" i="3"/>
  <c r="CJ180" i="3" a="1"/>
  <c r="CJ180" i="3"/>
  <c r="G180" i="3" s="1"/>
  <c r="V180" i="3"/>
  <c r="J180" i="3"/>
  <c r="CJ179" i="3" a="1"/>
  <c r="CJ179" i="3"/>
  <c r="G179" i="3" s="1"/>
  <c r="V179" i="3"/>
  <c r="J179" i="3"/>
  <c r="CJ178" i="3" a="1"/>
  <c r="CJ178" i="3" s="1"/>
  <c r="G178" i="3" s="1"/>
  <c r="V178" i="3"/>
  <c r="J178" i="3"/>
  <c r="CJ177" i="3" a="1"/>
  <c r="CJ177" i="3" s="1"/>
  <c r="G177" i="3" s="1"/>
  <c r="V177" i="3"/>
  <c r="J177" i="3"/>
  <c r="CJ176" i="3" a="1"/>
  <c r="CJ176" i="3" s="1"/>
  <c r="G176" i="3" s="1"/>
  <c r="V176" i="3"/>
  <c r="J176" i="3"/>
  <c r="CJ175" i="3" a="1"/>
  <c r="CJ175" i="3" s="1"/>
  <c r="G175" i="3" s="1"/>
  <c r="V175" i="3"/>
  <c r="J175" i="3"/>
  <c r="CJ174" i="3" a="1"/>
  <c r="CJ174" i="3" s="1"/>
  <c r="G174" i="3" s="1"/>
  <c r="V174" i="3"/>
  <c r="J174" i="3"/>
  <c r="CJ173" i="3" a="1"/>
  <c r="CJ173" i="3"/>
  <c r="G173" i="3" s="1"/>
  <c r="V173" i="3"/>
  <c r="J173" i="3"/>
  <c r="CJ172" i="3" a="1"/>
  <c r="CJ172" i="3"/>
  <c r="G172" i="3" s="1"/>
  <c r="V172" i="3"/>
  <c r="J172" i="3"/>
  <c r="CJ171" i="3" a="1"/>
  <c r="CJ171" i="3"/>
  <c r="G171" i="3" s="1"/>
  <c r="V171" i="3"/>
  <c r="J171" i="3"/>
  <c r="CJ170" i="3" a="1"/>
  <c r="CJ170" i="3" s="1"/>
  <c r="G170" i="3" s="1"/>
  <c r="V170" i="3"/>
  <c r="J170" i="3"/>
  <c r="CJ169" i="3" a="1"/>
  <c r="CJ169" i="3"/>
  <c r="G169" i="3" s="1"/>
  <c r="V169" i="3"/>
  <c r="J169" i="3"/>
  <c r="CJ168" i="3" a="1"/>
  <c r="CJ168" i="3" s="1"/>
  <c r="V168" i="3"/>
  <c r="J168" i="3"/>
  <c r="G168" i="3"/>
  <c r="CJ167" i="3" a="1"/>
  <c r="CJ167" i="3" s="1"/>
  <c r="G167" i="3" s="1"/>
  <c r="V167" i="3"/>
  <c r="J167" i="3"/>
  <c r="CJ166" i="3" a="1"/>
  <c r="CJ166" i="3" s="1"/>
  <c r="V166" i="3"/>
  <c r="J166" i="3"/>
  <c r="G166" i="3"/>
  <c r="CJ165" i="3" a="1"/>
  <c r="CJ165" i="3" s="1"/>
  <c r="G165" i="3" s="1"/>
  <c r="V165" i="3"/>
  <c r="J165" i="3"/>
  <c r="CJ164" i="3" a="1"/>
  <c r="CJ164" i="3" s="1"/>
  <c r="G164" i="3" s="1"/>
  <c r="V164" i="3"/>
  <c r="J164" i="3"/>
  <c r="CJ163" i="3" a="1"/>
  <c r="CJ163" i="3" s="1"/>
  <c r="G163" i="3" s="1"/>
  <c r="V163" i="3"/>
  <c r="J163" i="3"/>
  <c r="CJ162" i="3" a="1"/>
  <c r="CJ162" i="3" s="1"/>
  <c r="G162" i="3" s="1"/>
  <c r="V162" i="3"/>
  <c r="J162" i="3"/>
  <c r="CJ161" i="3" a="1"/>
  <c r="CJ161" i="3" s="1"/>
  <c r="G161" i="3" s="1"/>
  <c r="V161" i="3"/>
  <c r="J161" i="3"/>
  <c r="CJ160" i="3" a="1"/>
  <c r="CJ160" i="3" s="1"/>
  <c r="G160" i="3" s="1"/>
  <c r="V160" i="3"/>
  <c r="J160" i="3"/>
  <c r="CJ159" i="3" a="1"/>
  <c r="CJ159" i="3" s="1"/>
  <c r="G159" i="3" s="1"/>
  <c r="V159" i="3"/>
  <c r="J159" i="3"/>
  <c r="CJ158" i="3" a="1"/>
  <c r="CJ158" i="3" s="1"/>
  <c r="V158" i="3"/>
  <c r="J158" i="3"/>
  <c r="G158" i="3"/>
  <c r="CJ157" i="3" a="1"/>
  <c r="CJ157" i="3"/>
  <c r="G157" i="3" s="1"/>
  <c r="V157" i="3"/>
  <c r="J157" i="3"/>
  <c r="CJ156" i="3" a="1"/>
  <c r="CJ156" i="3"/>
  <c r="G156" i="3" s="1"/>
  <c r="V156" i="3"/>
  <c r="J156" i="3"/>
  <c r="CJ155" i="3" a="1"/>
  <c r="CJ155" i="3"/>
  <c r="G155" i="3" s="1"/>
  <c r="V155" i="3"/>
  <c r="J155" i="3"/>
  <c r="CJ154" i="3" a="1"/>
  <c r="CJ154" i="3" s="1"/>
  <c r="G154" i="3" s="1"/>
  <c r="V154" i="3"/>
  <c r="J154" i="3"/>
  <c r="CJ153" i="3" a="1"/>
  <c r="CJ153" i="3" s="1"/>
  <c r="G153" i="3" s="1"/>
  <c r="V153" i="3"/>
  <c r="J153" i="3"/>
  <c r="CJ152" i="3" a="1"/>
  <c r="CJ152" i="3" s="1"/>
  <c r="V152" i="3"/>
  <c r="J152" i="3"/>
  <c r="G152" i="3"/>
  <c r="CJ151" i="3" a="1"/>
  <c r="CJ151" i="3" s="1"/>
  <c r="G151" i="3" s="1"/>
  <c r="V151" i="3"/>
  <c r="J151" i="3"/>
  <c r="CJ150" i="3" a="1"/>
  <c r="CJ150" i="3" s="1"/>
  <c r="G150" i="3" s="1"/>
  <c r="V150" i="3"/>
  <c r="J150" i="3"/>
  <c r="CJ149" i="3" a="1"/>
  <c r="CJ149" i="3" s="1"/>
  <c r="G149" i="3" s="1"/>
  <c r="V149" i="3"/>
  <c r="J149" i="3"/>
  <c r="CJ148" i="3" a="1"/>
  <c r="CJ148" i="3" s="1"/>
  <c r="G148" i="3" s="1"/>
  <c r="V148" i="3"/>
  <c r="J148" i="3"/>
  <c r="CJ147" i="3" a="1"/>
  <c r="CJ147" i="3" s="1"/>
  <c r="G147" i="3" s="1"/>
  <c r="V147" i="3"/>
  <c r="J147" i="3"/>
  <c r="CJ146" i="3" a="1"/>
  <c r="CJ146" i="3" s="1"/>
  <c r="G146" i="3" s="1"/>
  <c r="V146" i="3"/>
  <c r="J146" i="3"/>
  <c r="CJ145" i="3" a="1"/>
  <c r="CJ145" i="3"/>
  <c r="G145" i="3" s="1"/>
  <c r="V145" i="3"/>
  <c r="J145" i="3"/>
  <c r="CJ144" i="3" a="1"/>
  <c r="CJ144" i="3" s="1"/>
  <c r="G144" i="3" s="1"/>
  <c r="V144" i="3"/>
  <c r="J144" i="3"/>
  <c r="CJ143" i="3" a="1"/>
  <c r="CJ143" i="3" s="1"/>
  <c r="G143" i="3" s="1"/>
  <c r="V143" i="3"/>
  <c r="J143" i="3"/>
  <c r="CJ142" i="3" a="1"/>
  <c r="CJ142" i="3" s="1"/>
  <c r="V142" i="3"/>
  <c r="J142" i="3"/>
  <c r="G142" i="3"/>
  <c r="CJ141" i="3" a="1"/>
  <c r="CJ141" i="3" s="1"/>
  <c r="G141" i="3" s="1"/>
  <c r="V141" i="3"/>
  <c r="J141" i="3"/>
  <c r="CJ140" i="3" a="1"/>
  <c r="CJ140" i="3" s="1"/>
  <c r="G140" i="3" s="1"/>
  <c r="V140" i="3"/>
  <c r="J140" i="3"/>
  <c r="CJ139" i="3" a="1"/>
  <c r="CJ139" i="3" s="1"/>
  <c r="G139" i="3" s="1"/>
  <c r="V139" i="3"/>
  <c r="J139" i="3"/>
  <c r="CJ138" i="3" a="1"/>
  <c r="CJ138" i="3" s="1"/>
  <c r="G138" i="3" s="1"/>
  <c r="V138" i="3"/>
  <c r="J138" i="3"/>
  <c r="CJ137" i="3" a="1"/>
  <c r="CJ137" i="3" s="1"/>
  <c r="G137" i="3" s="1"/>
  <c r="V137" i="3"/>
  <c r="J137" i="3"/>
  <c r="CJ136" i="3" a="1"/>
  <c r="CJ136" i="3" s="1"/>
  <c r="G136" i="3" s="1"/>
  <c r="V136" i="3"/>
  <c r="J136" i="3"/>
  <c r="CJ135" i="3" a="1"/>
  <c r="CJ135" i="3" s="1"/>
  <c r="G135" i="3" s="1"/>
  <c r="V135" i="3"/>
  <c r="J135" i="3"/>
  <c r="CJ134" i="3" a="1"/>
  <c r="CJ134" i="3" s="1"/>
  <c r="G134" i="3" s="1"/>
  <c r="V134" i="3"/>
  <c r="J134" i="3"/>
  <c r="CJ133" i="3" a="1"/>
  <c r="CJ133" i="3"/>
  <c r="G133" i="3" s="1"/>
  <c r="V133" i="3"/>
  <c r="J133" i="3"/>
  <c r="CJ132" i="3" a="1"/>
  <c r="CJ132" i="3"/>
  <c r="G132" i="3" s="1"/>
  <c r="V132" i="3"/>
  <c r="J132" i="3"/>
  <c r="CJ131" i="3" a="1"/>
  <c r="CJ131" i="3"/>
  <c r="G131" i="3" s="1"/>
  <c r="V131" i="3"/>
  <c r="J131" i="3"/>
  <c r="CJ130" i="3" a="1"/>
  <c r="CJ130" i="3" s="1"/>
  <c r="G130" i="3" s="1"/>
  <c r="V130" i="3"/>
  <c r="J130" i="3"/>
  <c r="CJ129" i="3" a="1"/>
  <c r="CJ129" i="3"/>
  <c r="G129" i="3" s="1"/>
  <c r="V129" i="3"/>
  <c r="J129" i="3"/>
  <c r="CJ128" i="3" a="1"/>
  <c r="CJ128" i="3" s="1"/>
  <c r="G128" i="3" s="1"/>
  <c r="V128" i="3"/>
  <c r="J128" i="3"/>
  <c r="CJ127" i="3" a="1"/>
  <c r="CJ127" i="3" s="1"/>
  <c r="G127" i="3" s="1"/>
  <c r="V127" i="3"/>
  <c r="J127" i="3"/>
  <c r="CJ126" i="3" a="1"/>
  <c r="CJ126" i="3" s="1"/>
  <c r="G126" i="3" s="1"/>
  <c r="V126" i="3"/>
  <c r="J126" i="3"/>
  <c r="CJ125" i="3" a="1"/>
  <c r="CJ125" i="3" s="1"/>
  <c r="G125" i="3" s="1"/>
  <c r="V125" i="3"/>
  <c r="J125" i="3"/>
  <c r="CJ124" i="3" a="1"/>
  <c r="CJ124" i="3" s="1"/>
  <c r="G124" i="3" s="1"/>
  <c r="V124" i="3"/>
  <c r="J124" i="3"/>
  <c r="CJ123" i="3" a="1"/>
  <c r="CJ123" i="3" s="1"/>
  <c r="G123" i="3" s="1"/>
  <c r="V123" i="3"/>
  <c r="J123" i="3"/>
  <c r="CJ122" i="3" a="1"/>
  <c r="CJ122" i="3" s="1"/>
  <c r="G122" i="3" s="1"/>
  <c r="V122" i="3"/>
  <c r="J122" i="3"/>
  <c r="CJ121" i="3" a="1"/>
  <c r="CJ121" i="3"/>
  <c r="G121" i="3" s="1"/>
  <c r="V121" i="3"/>
  <c r="J121" i="3"/>
  <c r="CJ120" i="3" a="1"/>
  <c r="CJ120" i="3" s="1"/>
  <c r="G120" i="3" s="1"/>
  <c r="V120" i="3"/>
  <c r="J120" i="3"/>
  <c r="CJ119" i="3" a="1"/>
  <c r="CJ119" i="3" s="1"/>
  <c r="G119" i="3" s="1"/>
  <c r="V119" i="3"/>
  <c r="J119" i="3"/>
  <c r="CJ118" i="3" a="1"/>
  <c r="CJ118" i="3" s="1"/>
  <c r="V118" i="3"/>
  <c r="J118" i="3"/>
  <c r="G118" i="3"/>
  <c r="CJ117" i="3" a="1"/>
  <c r="CJ117" i="3"/>
  <c r="G117" i="3" s="1"/>
  <c r="V117" i="3"/>
  <c r="J117" i="3"/>
  <c r="CJ116" i="3" a="1"/>
  <c r="CJ116" i="3"/>
  <c r="G116" i="3" s="1"/>
  <c r="V116" i="3"/>
  <c r="J116" i="3"/>
  <c r="CJ115" i="3" a="1"/>
  <c r="CJ115" i="3"/>
  <c r="G115" i="3" s="1"/>
  <c r="V115" i="3"/>
  <c r="J115" i="3"/>
  <c r="CJ114" i="3" a="1"/>
  <c r="CJ114" i="3" s="1"/>
  <c r="G114" i="3" s="1"/>
  <c r="V114" i="3"/>
  <c r="J114" i="3"/>
  <c r="CJ113" i="3" a="1"/>
  <c r="CJ113" i="3" s="1"/>
  <c r="G113" i="3" s="1"/>
  <c r="V113" i="3"/>
  <c r="J113" i="3"/>
  <c r="CJ112" i="3" a="1"/>
  <c r="CJ112" i="3" s="1"/>
  <c r="G112" i="3" s="1"/>
  <c r="V112" i="3"/>
  <c r="J112" i="3"/>
  <c r="CJ111" i="3" a="1"/>
  <c r="CJ111" i="3" s="1"/>
  <c r="G111" i="3" s="1"/>
  <c r="V111" i="3"/>
  <c r="J111" i="3"/>
  <c r="CJ110" i="3" a="1"/>
  <c r="CJ110" i="3" s="1"/>
  <c r="G110" i="3" s="1"/>
  <c r="V110" i="3"/>
  <c r="J110" i="3"/>
  <c r="CJ109" i="3" a="1"/>
  <c r="CJ109" i="3"/>
  <c r="G109" i="3" s="1"/>
  <c r="V109" i="3"/>
  <c r="J109" i="3"/>
  <c r="CJ108" i="3" a="1"/>
  <c r="CJ108" i="3"/>
  <c r="G108" i="3" s="1"/>
  <c r="V108" i="3"/>
  <c r="J108" i="3"/>
  <c r="CJ107" i="3" a="1"/>
  <c r="CJ107" i="3"/>
  <c r="G107" i="3" s="1"/>
  <c r="V107" i="3"/>
  <c r="J107" i="3"/>
  <c r="CJ106" i="3" a="1"/>
  <c r="CJ106" i="3" s="1"/>
  <c r="G106" i="3" s="1"/>
  <c r="V106" i="3"/>
  <c r="J106" i="3"/>
  <c r="CJ105" i="3" a="1"/>
  <c r="CJ105" i="3"/>
  <c r="G105" i="3" s="1"/>
  <c r="V105" i="3"/>
  <c r="J105" i="3"/>
  <c r="CJ104" i="3" a="1"/>
  <c r="CJ104" i="3" s="1"/>
  <c r="V104" i="3"/>
  <c r="J104" i="3"/>
  <c r="G104" i="3"/>
  <c r="CJ103" i="3" a="1"/>
  <c r="CJ103" i="3" s="1"/>
  <c r="G103" i="3" s="1"/>
  <c r="V103" i="3"/>
  <c r="J103" i="3"/>
  <c r="CJ102" i="3" a="1"/>
  <c r="CJ102" i="3" s="1"/>
  <c r="V102" i="3"/>
  <c r="J102" i="3"/>
  <c r="G102" i="3"/>
  <c r="CJ101" i="3" a="1"/>
  <c r="CJ101" i="3" s="1"/>
  <c r="G101" i="3" s="1"/>
  <c r="V101" i="3"/>
  <c r="J101" i="3"/>
  <c r="CJ100" i="3" a="1"/>
  <c r="CJ100" i="3" s="1"/>
  <c r="G100" i="3" s="1"/>
  <c r="V100" i="3"/>
  <c r="J100" i="3"/>
  <c r="CJ99" i="3" a="1"/>
  <c r="CJ99" i="3" s="1"/>
  <c r="G99" i="3" s="1"/>
  <c r="V99" i="3"/>
  <c r="J99" i="3"/>
  <c r="CJ98" i="3" a="1"/>
  <c r="CJ98" i="3" s="1"/>
  <c r="G98" i="3" s="1"/>
  <c r="V98" i="3"/>
  <c r="J98" i="3"/>
  <c r="CJ97" i="3" a="1"/>
  <c r="CJ97" i="3" s="1"/>
  <c r="G97" i="3" s="1"/>
  <c r="V97" i="3"/>
  <c r="J97" i="3"/>
  <c r="CJ96" i="3" a="1"/>
  <c r="CJ96" i="3" s="1"/>
  <c r="G96" i="3" s="1"/>
  <c r="V96" i="3"/>
  <c r="J96" i="3"/>
  <c r="CJ95" i="3" a="1"/>
  <c r="CJ95" i="3" s="1"/>
  <c r="G95" i="3" s="1"/>
  <c r="V95" i="3"/>
  <c r="J95" i="3"/>
  <c r="CJ94" i="3" a="1"/>
  <c r="CJ94" i="3" s="1"/>
  <c r="V94" i="3"/>
  <c r="J94" i="3"/>
  <c r="G94" i="3"/>
  <c r="CJ93" i="3" a="1"/>
  <c r="CJ93" i="3"/>
  <c r="G93" i="3" s="1"/>
  <c r="V93" i="3"/>
  <c r="J93" i="3"/>
  <c r="CJ92" i="3" a="1"/>
  <c r="CJ92" i="3"/>
  <c r="G92" i="3" s="1"/>
  <c r="V92" i="3"/>
  <c r="J92" i="3"/>
  <c r="CJ91" i="3" a="1"/>
  <c r="CJ91" i="3"/>
  <c r="G91" i="3" s="1"/>
  <c r="V91" i="3"/>
  <c r="J91" i="3"/>
  <c r="CJ90" i="3" a="1"/>
  <c r="CJ90" i="3" s="1"/>
  <c r="G90" i="3" s="1"/>
  <c r="V90" i="3"/>
  <c r="J90" i="3"/>
  <c r="CJ89" i="3" a="1"/>
  <c r="CJ89" i="3" s="1"/>
  <c r="G89" i="3" s="1"/>
  <c r="V89" i="3"/>
  <c r="J89" i="3"/>
  <c r="CJ88" i="3" a="1"/>
  <c r="CJ88" i="3" s="1"/>
  <c r="V88" i="3"/>
  <c r="J88" i="3"/>
  <c r="G88" i="3"/>
  <c r="CJ87" i="3" a="1"/>
  <c r="CJ87" i="3" s="1"/>
  <c r="G87" i="3" s="1"/>
  <c r="V87" i="3"/>
  <c r="J87" i="3"/>
  <c r="CJ86" i="3" a="1"/>
  <c r="CJ86" i="3" s="1"/>
  <c r="G86" i="3" s="1"/>
  <c r="V86" i="3"/>
  <c r="J86" i="3"/>
  <c r="CJ85" i="3" a="1"/>
  <c r="CJ85" i="3" s="1"/>
  <c r="G85" i="3" s="1"/>
  <c r="V85" i="3"/>
  <c r="J85" i="3"/>
  <c r="CJ84" i="3" a="1"/>
  <c r="CJ84" i="3" s="1"/>
  <c r="G84" i="3" s="1"/>
  <c r="V84" i="3"/>
  <c r="J84" i="3"/>
  <c r="CJ83" i="3" a="1"/>
  <c r="CJ83" i="3" s="1"/>
  <c r="G83" i="3" s="1"/>
  <c r="V83" i="3"/>
  <c r="J83" i="3"/>
  <c r="CJ82" i="3" a="1"/>
  <c r="CJ82" i="3" s="1"/>
  <c r="G82" i="3" s="1"/>
  <c r="V82" i="3"/>
  <c r="J82" i="3"/>
  <c r="CJ81" i="3" a="1"/>
  <c r="CJ81" i="3"/>
  <c r="G81" i="3" s="1"/>
  <c r="V81" i="3"/>
  <c r="J81" i="3"/>
  <c r="CJ80" i="3" a="1"/>
  <c r="CJ80" i="3" s="1"/>
  <c r="G80" i="3" s="1"/>
  <c r="V80" i="3"/>
  <c r="J80" i="3"/>
  <c r="CJ79" i="3" a="1"/>
  <c r="CJ79" i="3" s="1"/>
  <c r="G79" i="3" s="1"/>
  <c r="V79" i="3"/>
  <c r="J79" i="3"/>
  <c r="CJ78" i="3" a="1"/>
  <c r="CJ78" i="3" s="1"/>
  <c r="V78" i="3"/>
  <c r="J78" i="3"/>
  <c r="G78" i="3"/>
  <c r="CJ77" i="3" a="1"/>
  <c r="CJ77" i="3" s="1"/>
  <c r="G77" i="3" s="1"/>
  <c r="V77" i="3"/>
  <c r="J77" i="3"/>
  <c r="CJ76" i="3" a="1"/>
  <c r="CJ76" i="3" s="1"/>
  <c r="G76" i="3" s="1"/>
  <c r="V76" i="3"/>
  <c r="J76" i="3"/>
  <c r="CJ75" i="3" a="1"/>
  <c r="CJ75" i="3" s="1"/>
  <c r="G75" i="3" s="1"/>
  <c r="V75" i="3"/>
  <c r="J75" i="3"/>
  <c r="CJ74" i="3" a="1"/>
  <c r="CJ74" i="3" s="1"/>
  <c r="G74" i="3" s="1"/>
  <c r="V74" i="3"/>
  <c r="J74" i="3"/>
  <c r="CJ73" i="3" a="1"/>
  <c r="CJ73" i="3" s="1"/>
  <c r="G73" i="3" s="1"/>
  <c r="V73" i="3"/>
  <c r="J73" i="3"/>
  <c r="CJ72" i="3" a="1"/>
  <c r="CJ72" i="3" s="1"/>
  <c r="G72" i="3" s="1"/>
  <c r="V72" i="3"/>
  <c r="J72" i="3"/>
  <c r="CJ71" i="3" a="1"/>
  <c r="CJ71" i="3" s="1"/>
  <c r="G71" i="3" s="1"/>
  <c r="V71" i="3"/>
  <c r="J71" i="3"/>
  <c r="CJ70" i="3" a="1"/>
  <c r="CJ70" i="3"/>
  <c r="G70" i="3" s="1"/>
  <c r="V70" i="3"/>
  <c r="J70" i="3"/>
  <c r="CJ69" i="3" a="1"/>
  <c r="CJ69" i="3"/>
  <c r="G69" i="3" s="1"/>
  <c r="V69" i="3"/>
  <c r="J69" i="3"/>
  <c r="CJ68" i="3" a="1"/>
  <c r="CJ68" i="3" s="1"/>
  <c r="G68" i="3" s="1"/>
  <c r="V68" i="3"/>
  <c r="J68" i="3"/>
  <c r="CJ67" i="3" a="1"/>
  <c r="CJ67" i="3" s="1"/>
  <c r="G67" i="3" s="1"/>
  <c r="V67" i="3"/>
  <c r="J67" i="3"/>
  <c r="CJ66" i="3" a="1"/>
  <c r="CJ66" i="3"/>
  <c r="G66" i="3" s="1"/>
  <c r="V66" i="3"/>
  <c r="J66" i="3"/>
  <c r="CJ65" i="3" a="1"/>
  <c r="CJ65" i="3"/>
  <c r="G65" i="3" s="1"/>
  <c r="V65" i="3"/>
  <c r="J65" i="3"/>
  <c r="CJ64" i="3" a="1"/>
  <c r="CJ64" i="3" s="1"/>
  <c r="G64" i="3" s="1"/>
  <c r="V64" i="3"/>
  <c r="J64" i="3"/>
  <c r="CJ63" i="3" a="1"/>
  <c r="CJ63" i="3" s="1"/>
  <c r="G63" i="3" s="1"/>
  <c r="V63" i="3"/>
  <c r="J63" i="3"/>
  <c r="CJ62" i="3" a="1"/>
  <c r="CJ62" i="3" s="1"/>
  <c r="G62" i="3" s="1"/>
  <c r="V62" i="3"/>
  <c r="J62" i="3"/>
  <c r="CJ61" i="3" a="1"/>
  <c r="CJ61" i="3" s="1"/>
  <c r="G61" i="3" s="1"/>
  <c r="V61" i="3"/>
  <c r="J61" i="3"/>
  <c r="CJ60" i="3" a="1"/>
  <c r="CJ60" i="3" s="1"/>
  <c r="G60" i="3" s="1"/>
  <c r="V60" i="3"/>
  <c r="J60" i="3"/>
  <c r="CJ59" i="3" a="1"/>
  <c r="CJ59" i="3" s="1"/>
  <c r="G59" i="3" s="1"/>
  <c r="V59" i="3"/>
  <c r="J59" i="3"/>
  <c r="CJ58" i="3" a="1"/>
  <c r="CJ58" i="3"/>
  <c r="G58" i="3" s="1"/>
  <c r="V58" i="3"/>
  <c r="J58" i="3"/>
  <c r="CJ57" i="3" a="1"/>
  <c r="CJ57" i="3"/>
  <c r="G57" i="3" s="1"/>
  <c r="V57" i="3"/>
  <c r="J57" i="3"/>
  <c r="CJ56" i="3" a="1"/>
  <c r="CJ56" i="3" s="1"/>
  <c r="V56" i="3"/>
  <c r="J56" i="3"/>
  <c r="G56" i="3"/>
  <c r="CJ55" i="3" a="1"/>
  <c r="CJ55" i="3" s="1"/>
  <c r="G55" i="3" s="1"/>
  <c r="V55" i="3"/>
  <c r="J55" i="3"/>
  <c r="CJ54" i="3" a="1"/>
  <c r="CJ54" i="3" s="1"/>
  <c r="G54" i="3" s="1"/>
  <c r="V54" i="3"/>
  <c r="J54" i="3"/>
  <c r="CJ53" i="3" a="1"/>
  <c r="CJ53" i="3" s="1"/>
  <c r="G53" i="3" s="1"/>
  <c r="V53" i="3"/>
  <c r="J53" i="3"/>
  <c r="CJ52" i="3" a="1"/>
  <c r="CJ52" i="3" s="1"/>
  <c r="V52" i="3"/>
  <c r="J52" i="3"/>
  <c r="G52" i="3"/>
  <c r="CJ51" i="3" a="1"/>
  <c r="CJ51" i="3" s="1"/>
  <c r="G51" i="3" s="1"/>
  <c r="V51" i="3"/>
  <c r="J51" i="3"/>
  <c r="CJ50" i="3" a="1"/>
  <c r="CJ50" i="3" s="1"/>
  <c r="G50" i="3" s="1"/>
  <c r="V50" i="3"/>
  <c r="J50" i="3"/>
  <c r="CJ49" i="3" a="1"/>
  <c r="CJ49" i="3" s="1"/>
  <c r="G49" i="3" s="1"/>
  <c r="V49" i="3"/>
  <c r="J49" i="3"/>
  <c r="CJ48" i="3" a="1"/>
  <c r="CJ48" i="3" s="1"/>
  <c r="G48" i="3" s="1"/>
  <c r="V48" i="3"/>
  <c r="J48" i="3"/>
  <c r="CJ47" i="3" a="1"/>
  <c r="CJ47" i="3" s="1"/>
  <c r="G47" i="3" s="1"/>
  <c r="V47" i="3"/>
  <c r="J47" i="3"/>
  <c r="CJ46" i="3" a="1"/>
  <c r="CJ46" i="3"/>
  <c r="G46" i="3" s="1"/>
  <c r="V46" i="3"/>
  <c r="J46" i="3"/>
  <c r="CJ45" i="3" a="1"/>
  <c r="CJ45" i="3"/>
  <c r="G45" i="3" s="1"/>
  <c r="V45" i="3"/>
  <c r="J45" i="3"/>
  <c r="CJ44" i="3" a="1"/>
  <c r="CJ44" i="3" s="1"/>
  <c r="G44" i="3" s="1"/>
  <c r="V44" i="3"/>
  <c r="J44" i="3"/>
  <c r="CJ43" i="3" a="1"/>
  <c r="CJ43" i="3" s="1"/>
  <c r="G43" i="3" s="1"/>
  <c r="V43" i="3"/>
  <c r="J43" i="3"/>
  <c r="CJ42" i="3" a="1"/>
  <c r="CJ42" i="3" s="1"/>
  <c r="G42" i="3" s="1"/>
  <c r="V42" i="3"/>
  <c r="J42" i="3"/>
  <c r="CJ41" i="3" a="1"/>
  <c r="CJ41" i="3" s="1"/>
  <c r="G41" i="3" s="1"/>
  <c r="V41" i="3"/>
  <c r="J41" i="3"/>
  <c r="CJ40" i="3" a="1"/>
  <c r="CJ40" i="3" s="1"/>
  <c r="G40" i="3" s="1"/>
  <c r="V40" i="3"/>
  <c r="J40" i="3"/>
  <c r="CJ39" i="3" a="1"/>
  <c r="CJ39" i="3" s="1"/>
  <c r="G39" i="3" s="1"/>
  <c r="V39" i="3"/>
  <c r="J39" i="3"/>
  <c r="CJ38" i="3" a="1"/>
  <c r="CJ38" i="3"/>
  <c r="G38" i="3" s="1"/>
  <c r="V38" i="3"/>
  <c r="J38" i="3"/>
  <c r="CJ37" i="3" a="1"/>
  <c r="CJ37" i="3"/>
  <c r="G37" i="3" s="1"/>
  <c r="V37" i="3"/>
  <c r="J37" i="3"/>
  <c r="CJ36" i="3" a="1"/>
  <c r="CJ36" i="3" s="1"/>
  <c r="G36" i="3" s="1"/>
  <c r="V36" i="3"/>
  <c r="J36" i="3"/>
  <c r="CJ35" i="3" a="1"/>
  <c r="CJ35" i="3" s="1"/>
  <c r="G35" i="3" s="1"/>
  <c r="V35" i="3"/>
  <c r="J35" i="3"/>
  <c r="CJ34" i="3" a="1"/>
  <c r="CJ34" i="3"/>
  <c r="G34" i="3" s="1"/>
  <c r="V34" i="3"/>
  <c r="J34" i="3"/>
  <c r="CJ33" i="3" a="1"/>
  <c r="CJ33" i="3"/>
  <c r="G33" i="3" s="1"/>
  <c r="V33" i="3"/>
  <c r="J33" i="3"/>
  <c r="CJ32" i="3" a="1"/>
  <c r="CJ32" i="3" s="1"/>
  <c r="G32" i="3" s="1"/>
  <c r="V32" i="3"/>
  <c r="J32" i="3"/>
  <c r="CJ31" i="3" a="1"/>
  <c r="CJ31" i="3" s="1"/>
  <c r="G31" i="3" s="1"/>
  <c r="V31" i="3"/>
  <c r="J31" i="3"/>
  <c r="CJ30" i="3" a="1"/>
  <c r="CJ30" i="3" s="1"/>
  <c r="G30" i="3" s="1"/>
  <c r="V30" i="3"/>
  <c r="J30" i="3"/>
  <c r="CJ29" i="3" a="1"/>
  <c r="CJ29" i="3" s="1"/>
  <c r="G29" i="3" s="1"/>
  <c r="V29" i="3"/>
  <c r="J29" i="3"/>
  <c r="CJ28" i="3" a="1"/>
  <c r="CJ28" i="3" s="1"/>
  <c r="G28" i="3" s="1"/>
  <c r="V28" i="3"/>
  <c r="J28" i="3"/>
  <c r="CJ27" i="3" a="1"/>
  <c r="CJ27" i="3" s="1"/>
  <c r="G27" i="3" s="1"/>
  <c r="V27" i="3"/>
  <c r="J27" i="3"/>
  <c r="CJ26" i="3" a="1"/>
  <c r="CJ26" i="3"/>
  <c r="G26" i="3" s="1"/>
  <c r="V26" i="3"/>
  <c r="J26" i="3"/>
  <c r="CJ25" i="3" a="1"/>
  <c r="CJ25" i="3"/>
  <c r="G25" i="3" s="1"/>
  <c r="V25" i="3"/>
  <c r="J25" i="3"/>
  <c r="CJ24" i="3" a="1"/>
  <c r="CJ24" i="3" s="1"/>
  <c r="V24" i="3"/>
  <c r="J24" i="3"/>
  <c r="G24" i="3"/>
  <c r="CJ23" i="3" a="1"/>
  <c r="CJ23" i="3" s="1"/>
  <c r="G23" i="3" s="1"/>
  <c r="V23" i="3"/>
  <c r="J23" i="3"/>
  <c r="CJ22" i="3" a="1"/>
  <c r="CJ22" i="3" s="1"/>
  <c r="G22" i="3" s="1"/>
  <c r="V22" i="3"/>
  <c r="J22" i="3"/>
  <c r="CJ21" i="3" a="1"/>
  <c r="CJ21" i="3" s="1"/>
  <c r="G21" i="3" s="1"/>
  <c r="V21" i="3"/>
  <c r="J21" i="3"/>
  <c r="CJ20" i="3" a="1"/>
  <c r="CJ20" i="3" s="1"/>
  <c r="V20" i="3"/>
  <c r="J20" i="3"/>
  <c r="G20" i="3"/>
  <c r="CJ19" i="3" a="1"/>
  <c r="CJ19" i="3" s="1"/>
  <c r="G19" i="3" s="1"/>
  <c r="V19" i="3"/>
  <c r="J19" i="3"/>
  <c r="CJ18" i="3" a="1"/>
  <c r="CJ18" i="3" s="1"/>
  <c r="G18" i="3" s="1"/>
  <c r="V18" i="3"/>
  <c r="J18" i="3"/>
  <c r="CJ17" i="3" a="1"/>
  <c r="CJ17" i="3" s="1"/>
  <c r="G17" i="3" s="1"/>
  <c r="V17" i="3"/>
  <c r="J17" i="3"/>
  <c r="CJ16" i="3" a="1"/>
  <c r="CJ16" i="3" s="1"/>
  <c r="G16" i="3" s="1"/>
  <c r="V16" i="3"/>
  <c r="J16" i="3"/>
  <c r="CJ15" i="3" a="1"/>
  <c r="CJ15" i="3" s="1"/>
  <c r="G15" i="3" s="1"/>
  <c r="V15" i="3"/>
  <c r="J15" i="3"/>
  <c r="CJ14" i="3" a="1"/>
  <c r="CJ14" i="3"/>
  <c r="G14" i="3" s="1"/>
  <c r="V14" i="3"/>
  <c r="J14" i="3"/>
  <c r="CJ13" i="3" a="1"/>
  <c r="CJ13" i="3"/>
  <c r="G13" i="3" s="1"/>
  <c r="V13" i="3"/>
  <c r="J13" i="3"/>
  <c r="CJ12" i="3" a="1"/>
  <c r="CJ12" i="3" s="1"/>
  <c r="G12" i="3" s="1"/>
  <c r="V12" i="3"/>
  <c r="J12" i="3"/>
  <c r="CJ11" i="3" a="1"/>
  <c r="CJ11" i="3" s="1"/>
  <c r="G11" i="3" s="1"/>
  <c r="V11" i="3"/>
  <c r="J11" i="3"/>
  <c r="CJ10" i="3" a="1"/>
  <c r="CJ10" i="3" s="1"/>
  <c r="G10" i="3" s="1"/>
  <c r="V10" i="3"/>
  <c r="J10" i="3"/>
  <c r="CJ9" i="3" a="1"/>
  <c r="CJ9" i="3" s="1"/>
  <c r="G9" i="3" s="1"/>
  <c r="V9" i="3"/>
  <c r="J9" i="3"/>
  <c r="CJ8" i="3" a="1"/>
  <c r="CJ8" i="3" s="1"/>
  <c r="G8" i="3" s="1"/>
  <c r="V8" i="3"/>
  <c r="J8" i="3"/>
  <c r="CJ7" i="3" a="1"/>
  <c r="CJ7" i="3" s="1"/>
  <c r="G7" i="3" s="1"/>
  <c r="V7" i="3"/>
  <c r="J7" i="3"/>
  <c r="CJ6" i="3" a="1"/>
  <c r="CJ6" i="3"/>
  <c r="G6" i="3" s="1"/>
  <c r="V6" i="3"/>
  <c r="J6" i="3"/>
  <c r="CJ5" i="3" a="1"/>
  <c r="CJ5" i="3"/>
  <c r="G5" i="3" s="1"/>
  <c r="V5" i="3"/>
  <c r="J5" i="3"/>
  <c r="CJ4" i="3" a="1"/>
  <c r="CJ4" i="3" s="1"/>
  <c r="G4" i="3" s="1"/>
  <c r="V4" i="3"/>
  <c r="J4" i="3"/>
  <c r="CJ3" i="3" a="1"/>
  <c r="CJ3" i="3" s="1"/>
  <c r="V3" i="3"/>
  <c r="J3" i="3"/>
  <c r="C870" i="2"/>
  <c r="C869" i="2"/>
  <c r="C868" i="2"/>
  <c r="AZ867" i="2"/>
  <c r="J3" i="13" s="1"/>
  <c r="J8" i="13" s="1"/>
  <c r="AY867" i="2"/>
  <c r="I3" i="13" s="1"/>
  <c r="AX867" i="2"/>
  <c r="H3" i="13" s="1"/>
  <c r="H8" i="13" s="1"/>
  <c r="AW867" i="2"/>
  <c r="G3" i="13" s="1"/>
  <c r="G8" i="13" s="1"/>
  <c r="AV867" i="2"/>
  <c r="F3" i="13" s="1"/>
  <c r="F8" i="13" s="1"/>
  <c r="AU867" i="2"/>
  <c r="E3" i="13" s="1"/>
  <c r="AT867" i="2"/>
  <c r="D3" i="13" s="1"/>
  <c r="D8" i="13" s="1"/>
  <c r="AS867" i="2"/>
  <c r="C3" i="13" s="1"/>
  <c r="C8" i="13" s="1"/>
  <c r="AR867" i="2"/>
  <c r="B3" i="13" s="1"/>
  <c r="AQ867" i="2"/>
  <c r="AP867" i="2"/>
  <c r="AO867" i="2"/>
  <c r="AN867" i="2"/>
  <c r="AM867" i="2"/>
  <c r="AL867" i="2"/>
  <c r="AK867" i="2"/>
  <c r="AJ867" i="2"/>
  <c r="AI867" i="2"/>
  <c r="AH867" i="2"/>
  <c r="AG867" i="2"/>
  <c r="AF867" i="2"/>
  <c r="AE867" i="2"/>
  <c r="AD867" i="2"/>
  <c r="AC867" i="2"/>
  <c r="C867" i="2"/>
  <c r="BA864" i="2" a="1"/>
  <c r="BA864" i="2"/>
  <c r="G864" i="2" s="1"/>
  <c r="V864" i="2"/>
  <c r="J864" i="2"/>
  <c r="BA863" i="2" a="1"/>
  <c r="BA863" i="2" s="1"/>
  <c r="G863" i="2" s="1"/>
  <c r="V863" i="2"/>
  <c r="J863" i="2"/>
  <c r="BA862" i="2" a="1"/>
  <c r="BA862" i="2" s="1"/>
  <c r="G862" i="2" s="1"/>
  <c r="V862" i="2"/>
  <c r="J862" i="2"/>
  <c r="BA861" i="2" a="1"/>
  <c r="BA861" i="2" s="1"/>
  <c r="G861" i="2" s="1"/>
  <c r="V861" i="2"/>
  <c r="J861" i="2"/>
  <c r="BA860" i="2" a="1"/>
  <c r="BA860" i="2" s="1"/>
  <c r="G860" i="2" s="1"/>
  <c r="V860" i="2"/>
  <c r="J860" i="2"/>
  <c r="BA859" i="2" a="1"/>
  <c r="BA859" i="2" s="1"/>
  <c r="G859" i="2" s="1"/>
  <c r="V859" i="2"/>
  <c r="J859" i="2"/>
  <c r="BA858" i="2" a="1"/>
  <c r="BA858" i="2"/>
  <c r="G858" i="2" s="1"/>
  <c r="V858" i="2"/>
  <c r="J858" i="2"/>
  <c r="BA857" i="2" a="1"/>
  <c r="BA857" i="2" s="1"/>
  <c r="G857" i="2" s="1"/>
  <c r="V857" i="2"/>
  <c r="BA856" i="2" a="1"/>
  <c r="BA856" i="2" s="1"/>
  <c r="G856" i="2" s="1"/>
  <c r="V856" i="2"/>
  <c r="J856" i="2"/>
  <c r="BA855" i="2" a="1"/>
  <c r="BA855" i="2" s="1"/>
  <c r="G855" i="2" s="1"/>
  <c r="V855" i="2"/>
  <c r="J855" i="2"/>
  <c r="BA854" i="2" a="1"/>
  <c r="BA854" i="2" s="1"/>
  <c r="G854" i="2" s="1"/>
  <c r="V854" i="2"/>
  <c r="J854" i="2"/>
  <c r="BA853" i="2" a="1"/>
  <c r="BA853" i="2"/>
  <c r="G853" i="2" s="1"/>
  <c r="V853" i="2"/>
  <c r="J853" i="2"/>
  <c r="BA852" i="2" a="1"/>
  <c r="BA852" i="2" s="1"/>
  <c r="G852" i="2" s="1"/>
  <c r="V852" i="2"/>
  <c r="J852" i="2"/>
  <c r="BA851" i="2" a="1"/>
  <c r="BA851" i="2"/>
  <c r="G851" i="2" s="1"/>
  <c r="V851" i="2"/>
  <c r="J851" i="2"/>
  <c r="BA850" i="2" a="1"/>
  <c r="BA850" i="2" s="1"/>
  <c r="G850" i="2" s="1"/>
  <c r="V850" i="2"/>
  <c r="J850" i="2"/>
  <c r="BA849" i="2" a="1"/>
  <c r="BA849" i="2" s="1"/>
  <c r="G849" i="2" s="1"/>
  <c r="V849" i="2"/>
  <c r="J849" i="2"/>
  <c r="BA848" i="2" a="1"/>
  <c r="BA848" i="2" s="1"/>
  <c r="G848" i="2" s="1"/>
  <c r="V848" i="2"/>
  <c r="J848" i="2"/>
  <c r="BA847" i="2" a="1"/>
  <c r="BA847" i="2" s="1"/>
  <c r="G847" i="2" s="1"/>
  <c r="V847" i="2"/>
  <c r="J847" i="2"/>
  <c r="BA846" i="2" a="1"/>
  <c r="BA846" i="2" s="1"/>
  <c r="G846" i="2" s="1"/>
  <c r="V846" i="2"/>
  <c r="J846" i="2"/>
  <c r="BA845" i="2" a="1"/>
  <c r="BA845" i="2" s="1"/>
  <c r="G845" i="2" s="1"/>
  <c r="V845" i="2"/>
  <c r="J845" i="2"/>
  <c r="BA844" i="2" a="1"/>
  <c r="BA844" i="2" s="1"/>
  <c r="G844" i="2" s="1"/>
  <c r="V844" i="2"/>
  <c r="J844" i="2"/>
  <c r="BA843" i="2" a="1"/>
  <c r="BA843" i="2"/>
  <c r="G843" i="2" s="1"/>
  <c r="V843" i="2"/>
  <c r="J843" i="2"/>
  <c r="BA842" i="2" a="1"/>
  <c r="BA842" i="2" s="1"/>
  <c r="G842" i="2" s="1"/>
  <c r="V842" i="2"/>
  <c r="J842" i="2"/>
  <c r="BA841" i="2" a="1"/>
  <c r="BA841" i="2"/>
  <c r="G841" i="2" s="1"/>
  <c r="V841" i="2"/>
  <c r="J841" i="2"/>
  <c r="BA840" i="2" a="1"/>
  <c r="BA840" i="2" s="1"/>
  <c r="G840" i="2" s="1"/>
  <c r="V840" i="2"/>
  <c r="BA839" i="2" a="1"/>
  <c r="BA839" i="2" s="1"/>
  <c r="G839" i="2" s="1"/>
  <c r="V839" i="2"/>
  <c r="J839" i="2"/>
  <c r="BA838" i="2" a="1"/>
  <c r="BA838" i="2" s="1"/>
  <c r="G838" i="2" s="1"/>
  <c r="V838" i="2"/>
  <c r="J838" i="2"/>
  <c r="BA837" i="2" a="1"/>
  <c r="BA837" i="2" s="1"/>
  <c r="G837" i="2" s="1"/>
  <c r="V837" i="2"/>
  <c r="J837" i="2"/>
  <c r="BA836" i="2" a="1"/>
  <c r="BA836" i="2" s="1"/>
  <c r="G836" i="2" s="1"/>
  <c r="V836" i="2"/>
  <c r="J836" i="2"/>
  <c r="BA835" i="2" a="1"/>
  <c r="BA835" i="2" s="1"/>
  <c r="G835" i="2" s="1"/>
  <c r="V835" i="2"/>
  <c r="J835" i="2"/>
  <c r="BA834" i="2" a="1"/>
  <c r="BA834" i="2"/>
  <c r="G834" i="2" s="1"/>
  <c r="V834" i="2"/>
  <c r="J834" i="2"/>
  <c r="BA833" i="2" a="1"/>
  <c r="BA833" i="2" s="1"/>
  <c r="G833" i="2" s="1"/>
  <c r="V833" i="2"/>
  <c r="J833" i="2"/>
  <c r="BA832" i="2" a="1"/>
  <c r="BA832" i="2"/>
  <c r="G832" i="2" s="1"/>
  <c r="V832" i="2"/>
  <c r="J832" i="2"/>
  <c r="BA831" i="2" a="1"/>
  <c r="BA831" i="2" s="1"/>
  <c r="G831" i="2" s="1"/>
  <c r="V831" i="2"/>
  <c r="J831" i="2"/>
  <c r="BA830" i="2" a="1"/>
  <c r="BA830" i="2"/>
  <c r="G830" i="2" s="1"/>
  <c r="V830" i="2"/>
  <c r="J830" i="2"/>
  <c r="BA829" i="2" a="1"/>
  <c r="BA829" i="2" s="1"/>
  <c r="G829" i="2" s="1"/>
  <c r="V829" i="2"/>
  <c r="J829" i="2"/>
  <c r="BA828" i="2" a="1"/>
  <c r="BA828" i="2" s="1"/>
  <c r="G828" i="2" s="1"/>
  <c r="V828" i="2"/>
  <c r="J828" i="2"/>
  <c r="BA827" i="2" a="1"/>
  <c r="BA827" i="2" s="1"/>
  <c r="G827" i="2" s="1"/>
  <c r="V827" i="2"/>
  <c r="J827" i="2"/>
  <c r="BA826" i="2" a="1"/>
  <c r="BA826" i="2" s="1"/>
  <c r="G826" i="2" s="1"/>
  <c r="V826" i="2"/>
  <c r="J826" i="2"/>
  <c r="BA825" i="2" a="1"/>
  <c r="BA825" i="2" s="1"/>
  <c r="G825" i="2" s="1"/>
  <c r="V825" i="2"/>
  <c r="J825" i="2"/>
  <c r="BA824" i="2" a="1"/>
  <c r="BA824" i="2"/>
  <c r="G824" i="2" s="1"/>
  <c r="V824" i="2"/>
  <c r="J824" i="2"/>
  <c r="BA823" i="2" a="1"/>
  <c r="BA823" i="2" s="1"/>
  <c r="G823" i="2" s="1"/>
  <c r="V823" i="2"/>
  <c r="J823" i="2"/>
  <c r="BA822" i="2" a="1"/>
  <c r="BA822" i="2"/>
  <c r="G822" i="2" s="1"/>
  <c r="V822" i="2"/>
  <c r="J822" i="2"/>
  <c r="BA821" i="2" a="1"/>
  <c r="BA821" i="2" s="1"/>
  <c r="G821" i="2" s="1"/>
  <c r="V821" i="2"/>
  <c r="J821" i="2"/>
  <c r="BA820" i="2" a="1"/>
  <c r="BA820" i="2" s="1"/>
  <c r="G820" i="2" s="1"/>
  <c r="V820" i="2"/>
  <c r="J820" i="2"/>
  <c r="BA819" i="2" a="1"/>
  <c r="BA819" i="2" s="1"/>
  <c r="G819" i="2" s="1"/>
  <c r="V819" i="2"/>
  <c r="J819" i="2"/>
  <c r="BA818" i="2" a="1"/>
  <c r="BA818" i="2" s="1"/>
  <c r="G818" i="2" s="1"/>
  <c r="V818" i="2"/>
  <c r="J818" i="2"/>
  <c r="BA817" i="2" a="1"/>
  <c r="BA817" i="2" s="1"/>
  <c r="G817" i="2" s="1"/>
  <c r="V817" i="2"/>
  <c r="J817" i="2"/>
  <c r="BA816" i="2" a="1"/>
  <c r="BA816" i="2"/>
  <c r="G816" i="2" s="1"/>
  <c r="V816" i="2"/>
  <c r="J816" i="2"/>
  <c r="BA815" i="2" a="1"/>
  <c r="BA815" i="2" s="1"/>
  <c r="G815" i="2" s="1"/>
  <c r="V815" i="2"/>
  <c r="J815" i="2"/>
  <c r="BA814" i="2" a="1"/>
  <c r="BA814" i="2"/>
  <c r="G814" i="2" s="1"/>
  <c r="V814" i="2"/>
  <c r="J814" i="2"/>
  <c r="BA813" i="2" a="1"/>
  <c r="BA813" i="2" s="1"/>
  <c r="G813" i="2" s="1"/>
  <c r="V813" i="2"/>
  <c r="J813" i="2"/>
  <c r="BA812" i="2" a="1"/>
  <c r="BA812" i="2" s="1"/>
  <c r="G812" i="2" s="1"/>
  <c r="V812" i="2"/>
  <c r="J812" i="2"/>
  <c r="BA811" i="2" a="1"/>
  <c r="BA811" i="2" s="1"/>
  <c r="G811" i="2" s="1"/>
  <c r="V811" i="2"/>
  <c r="J811" i="2"/>
  <c r="BA810" i="2" a="1"/>
  <c r="BA810" i="2" s="1"/>
  <c r="G810" i="2" s="1"/>
  <c r="V810" i="2"/>
  <c r="J810" i="2"/>
  <c r="BA809" i="2" a="1"/>
  <c r="BA809" i="2" s="1"/>
  <c r="G809" i="2" s="1"/>
  <c r="V809" i="2"/>
  <c r="J809" i="2"/>
  <c r="BA808" i="2" a="1"/>
  <c r="BA808" i="2"/>
  <c r="G808" i="2" s="1"/>
  <c r="V808" i="2"/>
  <c r="J808" i="2"/>
  <c r="BA807" i="2" a="1"/>
  <c r="BA807" i="2" s="1"/>
  <c r="G807" i="2" s="1"/>
  <c r="V807" i="2"/>
  <c r="J807" i="2"/>
  <c r="BA806" i="2" a="1"/>
  <c r="BA806" i="2"/>
  <c r="G806" i="2" s="1"/>
  <c r="V806" i="2"/>
  <c r="J806" i="2"/>
  <c r="BA805" i="2" a="1"/>
  <c r="BA805" i="2" s="1"/>
  <c r="G805" i="2" s="1"/>
  <c r="V805" i="2"/>
  <c r="J805" i="2"/>
  <c r="BA804" i="2" a="1"/>
  <c r="BA804" i="2" s="1"/>
  <c r="G804" i="2" s="1"/>
  <c r="V804" i="2"/>
  <c r="J804" i="2"/>
  <c r="BA803" i="2" a="1"/>
  <c r="BA803" i="2" s="1"/>
  <c r="G803" i="2" s="1"/>
  <c r="V803" i="2"/>
  <c r="J803" i="2"/>
  <c r="BA802" i="2" a="1"/>
  <c r="BA802" i="2" s="1"/>
  <c r="G802" i="2" s="1"/>
  <c r="V802" i="2"/>
  <c r="J802" i="2"/>
  <c r="BA801" i="2" a="1"/>
  <c r="BA801" i="2" s="1"/>
  <c r="G801" i="2" s="1"/>
  <c r="V801" i="2"/>
  <c r="J801" i="2"/>
  <c r="BA800" i="2" a="1"/>
  <c r="BA800" i="2"/>
  <c r="G800" i="2" s="1"/>
  <c r="V800" i="2"/>
  <c r="J800" i="2"/>
  <c r="BA799" i="2" a="1"/>
  <c r="BA799" i="2" s="1"/>
  <c r="G799" i="2" s="1"/>
  <c r="V799" i="2"/>
  <c r="J799" i="2"/>
  <c r="BA798" i="2" a="1"/>
  <c r="BA798" i="2"/>
  <c r="G798" i="2" s="1"/>
  <c r="V798" i="2"/>
  <c r="J798" i="2"/>
  <c r="BA797" i="2" a="1"/>
  <c r="BA797" i="2" s="1"/>
  <c r="G797" i="2" s="1"/>
  <c r="V797" i="2"/>
  <c r="J797" i="2"/>
  <c r="BA796" i="2" a="1"/>
  <c r="BA796" i="2" s="1"/>
  <c r="G796" i="2" s="1"/>
  <c r="V796" i="2"/>
  <c r="J796" i="2"/>
  <c r="BA795" i="2" a="1"/>
  <c r="BA795" i="2" s="1"/>
  <c r="G795" i="2" s="1"/>
  <c r="V795" i="2"/>
  <c r="J795" i="2"/>
  <c r="BA794" i="2" a="1"/>
  <c r="BA794" i="2" s="1"/>
  <c r="G794" i="2" s="1"/>
  <c r="V794" i="2"/>
  <c r="J794" i="2"/>
  <c r="BA793" i="2" a="1"/>
  <c r="BA793" i="2" s="1"/>
  <c r="G793" i="2" s="1"/>
  <c r="V793" i="2"/>
  <c r="J793" i="2"/>
  <c r="BA792" i="2" a="1"/>
  <c r="BA792" i="2"/>
  <c r="G792" i="2" s="1"/>
  <c r="V792" i="2"/>
  <c r="J792" i="2"/>
  <c r="BA791" i="2" a="1"/>
  <c r="BA791" i="2" s="1"/>
  <c r="G791" i="2" s="1"/>
  <c r="V791" i="2"/>
  <c r="J791" i="2"/>
  <c r="BA790" i="2" a="1"/>
  <c r="BA790" i="2"/>
  <c r="G790" i="2" s="1"/>
  <c r="V790" i="2"/>
  <c r="J790" i="2"/>
  <c r="BA789" i="2" a="1"/>
  <c r="BA789" i="2" s="1"/>
  <c r="G789" i="2" s="1"/>
  <c r="V789" i="2"/>
  <c r="J789" i="2"/>
  <c r="BA788" i="2" a="1"/>
  <c r="BA788" i="2" s="1"/>
  <c r="G788" i="2" s="1"/>
  <c r="V788" i="2"/>
  <c r="J788" i="2"/>
  <c r="BA787" i="2" a="1"/>
  <c r="BA787" i="2" s="1"/>
  <c r="G787" i="2" s="1"/>
  <c r="V787" i="2"/>
  <c r="J787" i="2"/>
  <c r="BA786" i="2" a="1"/>
  <c r="BA786" i="2" s="1"/>
  <c r="G786" i="2" s="1"/>
  <c r="V786" i="2"/>
  <c r="J786" i="2"/>
  <c r="BA785" i="2" a="1"/>
  <c r="BA785" i="2" s="1"/>
  <c r="G785" i="2" s="1"/>
  <c r="V785" i="2"/>
  <c r="J785" i="2"/>
  <c r="BA784" i="2" a="1"/>
  <c r="BA784" i="2"/>
  <c r="G784" i="2" s="1"/>
  <c r="V784" i="2"/>
  <c r="J784" i="2"/>
  <c r="BA783" i="2" a="1"/>
  <c r="BA783" i="2"/>
  <c r="G783" i="2" s="1"/>
  <c r="V783" i="2"/>
  <c r="J783" i="2"/>
  <c r="BA782" i="2" a="1"/>
  <c r="BA782" i="2"/>
  <c r="G782" i="2" s="1"/>
  <c r="V782" i="2"/>
  <c r="J782" i="2"/>
  <c r="BA781" i="2" a="1"/>
  <c r="BA781" i="2" s="1"/>
  <c r="G781" i="2" s="1"/>
  <c r="V781" i="2"/>
  <c r="J781" i="2"/>
  <c r="BA780" i="2" a="1"/>
  <c r="BA780" i="2"/>
  <c r="G780" i="2" s="1"/>
  <c r="V780" i="2"/>
  <c r="J780" i="2"/>
  <c r="BA779" i="2" a="1"/>
  <c r="BA779" i="2" s="1"/>
  <c r="V779" i="2"/>
  <c r="J779" i="2"/>
  <c r="G779" i="2"/>
  <c r="BA778" i="2" a="1"/>
  <c r="BA778" i="2" s="1"/>
  <c r="G778" i="2" s="1"/>
  <c r="V778" i="2"/>
  <c r="J778" i="2"/>
  <c r="BA777" i="2" a="1"/>
  <c r="BA777" i="2" s="1"/>
  <c r="V777" i="2"/>
  <c r="J777" i="2"/>
  <c r="G777" i="2"/>
  <c r="BA776" i="2" a="1"/>
  <c r="BA776" i="2" s="1"/>
  <c r="G776" i="2" s="1"/>
  <c r="V776" i="2"/>
  <c r="J776" i="2"/>
  <c r="BA775" i="2" a="1"/>
  <c r="BA775" i="2" s="1"/>
  <c r="G775" i="2" s="1"/>
  <c r="V775" i="2"/>
  <c r="J775" i="2"/>
  <c r="BA774" i="2" a="1"/>
  <c r="BA774" i="2" s="1"/>
  <c r="G774" i="2" s="1"/>
  <c r="V774" i="2"/>
  <c r="J774" i="2"/>
  <c r="BA773" i="2" a="1"/>
  <c r="BA773" i="2" s="1"/>
  <c r="G773" i="2" s="1"/>
  <c r="V773" i="2"/>
  <c r="J773" i="2"/>
  <c r="BA772" i="2" a="1"/>
  <c r="BA772" i="2" s="1"/>
  <c r="G772" i="2" s="1"/>
  <c r="V772" i="2"/>
  <c r="J772" i="2"/>
  <c r="BA771" i="2" a="1"/>
  <c r="BA771" i="2" s="1"/>
  <c r="G771" i="2" s="1"/>
  <c r="V771" i="2"/>
  <c r="J771" i="2"/>
  <c r="BA770" i="2" a="1"/>
  <c r="BA770" i="2" s="1"/>
  <c r="G770" i="2" s="1"/>
  <c r="V770" i="2"/>
  <c r="J770" i="2"/>
  <c r="BA769" i="2" a="1"/>
  <c r="BA769" i="2" s="1"/>
  <c r="V769" i="2"/>
  <c r="J769" i="2"/>
  <c r="G769" i="2"/>
  <c r="BA768" i="2" a="1"/>
  <c r="BA768" i="2"/>
  <c r="G768" i="2" s="1"/>
  <c r="V768" i="2"/>
  <c r="J768" i="2"/>
  <c r="BA767" i="2" a="1"/>
  <c r="BA767" i="2"/>
  <c r="G767" i="2" s="1"/>
  <c r="V767" i="2"/>
  <c r="J767" i="2"/>
  <c r="BA766" i="2" a="1"/>
  <c r="BA766" i="2" s="1"/>
  <c r="G766" i="2" s="1"/>
  <c r="V766" i="2"/>
  <c r="J766" i="2"/>
  <c r="BA765" i="2" a="1"/>
  <c r="BA765" i="2" s="1"/>
  <c r="G765" i="2" s="1"/>
  <c r="V765" i="2"/>
  <c r="J765" i="2"/>
  <c r="BA764" i="2" a="1"/>
  <c r="BA764" i="2" s="1"/>
  <c r="G764" i="2" s="1"/>
  <c r="V764" i="2"/>
  <c r="J764" i="2"/>
  <c r="BA763" i="2" a="1"/>
  <c r="BA763" i="2" s="1"/>
  <c r="G763" i="2" s="1"/>
  <c r="V763" i="2"/>
  <c r="J763" i="2"/>
  <c r="BA762" i="2" a="1"/>
  <c r="BA762" i="2" s="1"/>
  <c r="G762" i="2" s="1"/>
  <c r="V762" i="2"/>
  <c r="J762" i="2"/>
  <c r="BA761" i="2" a="1"/>
  <c r="BA761" i="2" s="1"/>
  <c r="G761" i="2" s="1"/>
  <c r="V761" i="2"/>
  <c r="BA760" i="2" a="1"/>
  <c r="BA760" i="2" s="1"/>
  <c r="G760" i="2" s="1"/>
  <c r="V760" i="2"/>
  <c r="J760" i="2"/>
  <c r="BA759" i="2" a="1"/>
  <c r="BA759" i="2"/>
  <c r="G759" i="2" s="1"/>
  <c r="V759" i="2"/>
  <c r="J759" i="2"/>
  <c r="BA758" i="2" a="1"/>
  <c r="BA758" i="2"/>
  <c r="G758" i="2" s="1"/>
  <c r="V758" i="2"/>
  <c r="J758" i="2"/>
  <c r="BA757" i="2" a="1"/>
  <c r="BA757" i="2" s="1"/>
  <c r="G757" i="2" s="1"/>
  <c r="V757" i="2"/>
  <c r="J757" i="2"/>
  <c r="BA756" i="2" a="1"/>
  <c r="BA756" i="2" s="1"/>
  <c r="G756" i="2" s="1"/>
  <c r="V756" i="2"/>
  <c r="J756" i="2"/>
  <c r="BA755" i="2" a="1"/>
  <c r="BA755" i="2" s="1"/>
  <c r="G755" i="2" s="1"/>
  <c r="V755" i="2"/>
  <c r="J755" i="2"/>
  <c r="BA754" i="2" a="1"/>
  <c r="BA754" i="2" s="1"/>
  <c r="G754" i="2" s="1"/>
  <c r="V754" i="2"/>
  <c r="J754" i="2"/>
  <c r="BA753" i="2" a="1"/>
  <c r="BA753" i="2" s="1"/>
  <c r="G753" i="2" s="1"/>
  <c r="V753" i="2"/>
  <c r="J753" i="2"/>
  <c r="BA752" i="2" a="1"/>
  <c r="BA752" i="2" s="1"/>
  <c r="G752" i="2" s="1"/>
  <c r="V752" i="2"/>
  <c r="J752" i="2"/>
  <c r="BA751" i="2" a="1"/>
  <c r="BA751" i="2"/>
  <c r="G751" i="2" s="1"/>
  <c r="V751" i="2"/>
  <c r="J751" i="2"/>
  <c r="BA750" i="2" a="1"/>
  <c r="BA750" i="2"/>
  <c r="G750" i="2" s="1"/>
  <c r="V750" i="2"/>
  <c r="J750" i="2"/>
  <c r="BA749" i="2" a="1"/>
  <c r="BA749" i="2" s="1"/>
  <c r="G749" i="2" s="1"/>
  <c r="V749" i="2"/>
  <c r="J749" i="2"/>
  <c r="BA748" i="2" a="1"/>
  <c r="BA748" i="2" s="1"/>
  <c r="G748" i="2" s="1"/>
  <c r="V748" i="2"/>
  <c r="J748" i="2"/>
  <c r="BA747" i="2" a="1"/>
  <c r="BA747" i="2"/>
  <c r="G747" i="2" s="1"/>
  <c r="V747" i="2"/>
  <c r="J747" i="2"/>
  <c r="BA746" i="2" a="1"/>
  <c r="BA746" i="2"/>
  <c r="G746" i="2" s="1"/>
  <c r="V746" i="2"/>
  <c r="J746" i="2"/>
  <c r="BA745" i="2" a="1"/>
  <c r="BA745" i="2" s="1"/>
  <c r="G745" i="2" s="1"/>
  <c r="V745" i="2"/>
  <c r="J745" i="2"/>
  <c r="BA744" i="2" a="1"/>
  <c r="BA744" i="2" s="1"/>
  <c r="G744" i="2" s="1"/>
  <c r="V744" i="2"/>
  <c r="J744" i="2"/>
  <c r="BA743" i="2" a="1"/>
  <c r="BA743" i="2"/>
  <c r="G743" i="2" s="1"/>
  <c r="V743" i="2"/>
  <c r="J743" i="2"/>
  <c r="BA742" i="2" a="1"/>
  <c r="BA742" i="2"/>
  <c r="G742" i="2" s="1"/>
  <c r="V742" i="2"/>
  <c r="J742" i="2"/>
  <c r="BA741" i="2" a="1"/>
  <c r="BA741" i="2" s="1"/>
  <c r="G741" i="2" s="1"/>
  <c r="V741" i="2"/>
  <c r="J741" i="2"/>
  <c r="BA740" i="2" a="1"/>
  <c r="BA740" i="2" s="1"/>
  <c r="G740" i="2" s="1"/>
  <c r="V740" i="2"/>
  <c r="J740" i="2"/>
  <c r="BA739" i="2" a="1"/>
  <c r="BA739" i="2" s="1"/>
  <c r="G739" i="2" s="1"/>
  <c r="V739" i="2"/>
  <c r="J739" i="2"/>
  <c r="BA738" i="2" a="1"/>
  <c r="BA738" i="2" s="1"/>
  <c r="G738" i="2" s="1"/>
  <c r="V738" i="2"/>
  <c r="J738" i="2"/>
  <c r="BA737" i="2" a="1"/>
  <c r="BA737" i="2" s="1"/>
  <c r="G737" i="2" s="1"/>
  <c r="V737" i="2"/>
  <c r="J737" i="2"/>
  <c r="BA736" i="2" a="1"/>
  <c r="BA736" i="2" s="1"/>
  <c r="G736" i="2" s="1"/>
  <c r="V736" i="2"/>
  <c r="J736" i="2"/>
  <c r="BA735" i="2" a="1"/>
  <c r="BA735" i="2"/>
  <c r="G735" i="2" s="1"/>
  <c r="V735" i="2"/>
  <c r="J735" i="2"/>
  <c r="BA734" i="2" a="1"/>
  <c r="BA734" i="2"/>
  <c r="G734" i="2" s="1"/>
  <c r="V734" i="2"/>
  <c r="J734" i="2"/>
  <c r="BA733" i="2" a="1"/>
  <c r="BA733" i="2" s="1"/>
  <c r="G733" i="2" s="1"/>
  <c r="V733" i="2"/>
  <c r="J733" i="2"/>
  <c r="BA732" i="2" a="1"/>
  <c r="BA732" i="2" s="1"/>
  <c r="G732" i="2" s="1"/>
  <c r="V732" i="2"/>
  <c r="J732" i="2"/>
  <c r="BA731" i="2" a="1"/>
  <c r="BA731" i="2"/>
  <c r="G731" i="2" s="1"/>
  <c r="V731" i="2"/>
  <c r="J731" i="2"/>
  <c r="BA730" i="2" a="1"/>
  <c r="BA730" i="2"/>
  <c r="G730" i="2" s="1"/>
  <c r="V730" i="2"/>
  <c r="J730" i="2"/>
  <c r="BA729" i="2" a="1"/>
  <c r="BA729" i="2" s="1"/>
  <c r="G729" i="2" s="1"/>
  <c r="V729" i="2"/>
  <c r="J729" i="2"/>
  <c r="BA728" i="2" a="1"/>
  <c r="BA728" i="2" s="1"/>
  <c r="G728" i="2" s="1"/>
  <c r="V728" i="2"/>
  <c r="J728" i="2"/>
  <c r="BA727" i="2" a="1"/>
  <c r="BA727" i="2" s="1"/>
  <c r="G727" i="2" s="1"/>
  <c r="V727" i="2"/>
  <c r="J727" i="2"/>
  <c r="BA726" i="2" a="1"/>
  <c r="BA726" i="2" s="1"/>
  <c r="G726" i="2" s="1"/>
  <c r="V726" i="2"/>
  <c r="J726" i="2"/>
  <c r="BA725" i="2" a="1"/>
  <c r="BA725" i="2" s="1"/>
  <c r="G725" i="2" s="1"/>
  <c r="V725" i="2"/>
  <c r="J725" i="2"/>
  <c r="BA724" i="2" a="1"/>
  <c r="BA724" i="2" s="1"/>
  <c r="G724" i="2" s="1"/>
  <c r="V724" i="2"/>
  <c r="BA723" i="2" a="1"/>
  <c r="BA723" i="2" s="1"/>
  <c r="G723" i="2" s="1"/>
  <c r="V723" i="2"/>
  <c r="J723" i="2"/>
  <c r="BA722" i="2" a="1"/>
  <c r="BA722" i="2" s="1"/>
  <c r="G722" i="2" s="1"/>
  <c r="V722" i="2"/>
  <c r="J722" i="2"/>
  <c r="BA721" i="2" a="1"/>
  <c r="BA721" i="2" s="1"/>
  <c r="G721" i="2" s="1"/>
  <c r="V721" i="2"/>
  <c r="J721" i="2"/>
  <c r="BA720" i="2" a="1"/>
  <c r="BA720" i="2" s="1"/>
  <c r="G720" i="2" s="1"/>
  <c r="V720" i="2"/>
  <c r="J720" i="2"/>
  <c r="BA719" i="2" a="1"/>
  <c r="BA719" i="2" s="1"/>
  <c r="G719" i="2" s="1"/>
  <c r="V719" i="2"/>
  <c r="J719" i="2"/>
  <c r="BA718" i="2" a="1"/>
  <c r="BA718" i="2"/>
  <c r="G718" i="2" s="1"/>
  <c r="V718" i="2"/>
  <c r="J718" i="2"/>
  <c r="BA717" i="2" a="1"/>
  <c r="BA717" i="2"/>
  <c r="G717" i="2" s="1"/>
  <c r="V717" i="2"/>
  <c r="J717" i="2"/>
  <c r="BA716" i="2" a="1"/>
  <c r="BA716" i="2" s="1"/>
  <c r="G716" i="2" s="1"/>
  <c r="V716" i="2"/>
  <c r="J716" i="2"/>
  <c r="BA715" i="2" a="1"/>
  <c r="BA715" i="2" s="1"/>
  <c r="G715" i="2" s="1"/>
  <c r="V715" i="2"/>
  <c r="J715" i="2"/>
  <c r="BA714" i="2" a="1"/>
  <c r="BA714" i="2" s="1"/>
  <c r="G714" i="2" s="1"/>
  <c r="V714" i="2"/>
  <c r="J714" i="2"/>
  <c r="BA713" i="2" a="1"/>
  <c r="BA713" i="2" s="1"/>
  <c r="G713" i="2" s="1"/>
  <c r="V713" i="2"/>
  <c r="J713" i="2"/>
  <c r="BA712" i="2" a="1"/>
  <c r="BA712" i="2" s="1"/>
  <c r="G712" i="2" s="1"/>
  <c r="V712" i="2"/>
  <c r="J712" i="2"/>
  <c r="BA711" i="2" a="1"/>
  <c r="BA711" i="2" s="1"/>
  <c r="G711" i="2" s="1"/>
  <c r="V711" i="2"/>
  <c r="J711" i="2"/>
  <c r="BA710" i="2" a="1"/>
  <c r="BA710" i="2"/>
  <c r="G710" i="2" s="1"/>
  <c r="V710" i="2"/>
  <c r="J710" i="2"/>
  <c r="BA709" i="2" a="1"/>
  <c r="BA709" i="2"/>
  <c r="G709" i="2" s="1"/>
  <c r="V709" i="2"/>
  <c r="J709" i="2"/>
  <c r="BA708" i="2" a="1"/>
  <c r="BA708" i="2" s="1"/>
  <c r="G708" i="2" s="1"/>
  <c r="V708" i="2"/>
  <c r="J708" i="2"/>
  <c r="BA707" i="2" a="1"/>
  <c r="BA707" i="2" s="1"/>
  <c r="G707" i="2" s="1"/>
  <c r="V707" i="2"/>
  <c r="J707" i="2"/>
  <c r="BA706" i="2" a="1"/>
  <c r="BA706" i="2" s="1"/>
  <c r="G706" i="2" s="1"/>
  <c r="V706" i="2"/>
  <c r="J706" i="2"/>
  <c r="BA705" i="2" a="1"/>
  <c r="BA705" i="2" s="1"/>
  <c r="G705" i="2" s="1"/>
  <c r="V705" i="2"/>
  <c r="J705" i="2"/>
  <c r="BA704" i="2" a="1"/>
  <c r="BA704" i="2" s="1"/>
  <c r="V704" i="2"/>
  <c r="J704" i="2"/>
  <c r="G704" i="2"/>
  <c r="BA703" i="2" a="1"/>
  <c r="BA703" i="2" s="1"/>
  <c r="G703" i="2" s="1"/>
  <c r="V703" i="2"/>
  <c r="J703" i="2"/>
  <c r="BA702" i="2" a="1"/>
  <c r="BA702" i="2" s="1"/>
  <c r="G702" i="2" s="1"/>
  <c r="V702" i="2"/>
  <c r="J702" i="2"/>
  <c r="BA701" i="2" a="1"/>
  <c r="BA701" i="2" s="1"/>
  <c r="G701" i="2" s="1"/>
  <c r="V701" i="2"/>
  <c r="J701" i="2"/>
  <c r="BA700" i="2" a="1"/>
  <c r="BA700" i="2" s="1"/>
  <c r="G700" i="2" s="1"/>
  <c r="V700" i="2"/>
  <c r="J700" i="2"/>
  <c r="BA699" i="2" a="1"/>
  <c r="BA699" i="2" s="1"/>
  <c r="G699" i="2" s="1"/>
  <c r="V699" i="2"/>
  <c r="J699" i="2"/>
  <c r="BA698" i="2" a="1"/>
  <c r="BA698" i="2"/>
  <c r="G698" i="2" s="1"/>
  <c r="V698" i="2"/>
  <c r="J698" i="2"/>
  <c r="BA697" i="2" a="1"/>
  <c r="BA697" i="2"/>
  <c r="G697" i="2" s="1"/>
  <c r="V697" i="2"/>
  <c r="J697" i="2"/>
  <c r="BA696" i="2" a="1"/>
  <c r="BA696" i="2" s="1"/>
  <c r="G696" i="2" s="1"/>
  <c r="V696" i="2"/>
  <c r="J696" i="2"/>
  <c r="BA695" i="2" a="1"/>
  <c r="BA695" i="2" s="1"/>
  <c r="G695" i="2" s="1"/>
  <c r="V695" i="2"/>
  <c r="J695" i="2"/>
  <c r="BA694" i="2" a="1"/>
  <c r="BA694" i="2" s="1"/>
  <c r="G694" i="2" s="1"/>
  <c r="V694" i="2"/>
  <c r="J694" i="2"/>
  <c r="BA693" i="2" a="1"/>
  <c r="BA693" i="2" s="1"/>
  <c r="G693" i="2" s="1"/>
  <c r="V693" i="2"/>
  <c r="J693" i="2"/>
  <c r="BA692" i="2" a="1"/>
  <c r="BA692" i="2" s="1"/>
  <c r="G692" i="2" s="1"/>
  <c r="V692" i="2"/>
  <c r="J692" i="2"/>
  <c r="BA691" i="2" a="1"/>
  <c r="BA691" i="2" s="1"/>
  <c r="G691" i="2" s="1"/>
  <c r="V691" i="2"/>
  <c r="J691" i="2"/>
  <c r="BA690" i="2" a="1"/>
  <c r="BA690" i="2"/>
  <c r="G690" i="2" s="1"/>
  <c r="V690" i="2"/>
  <c r="J690" i="2"/>
  <c r="BA689" i="2" a="1"/>
  <c r="BA689" i="2"/>
  <c r="G689" i="2" s="1"/>
  <c r="V689" i="2"/>
  <c r="J689" i="2"/>
  <c r="BA688" i="2" a="1"/>
  <c r="BA688" i="2" s="1"/>
  <c r="G688" i="2" s="1"/>
  <c r="V688" i="2"/>
  <c r="J688" i="2"/>
  <c r="BA687" i="2" a="1"/>
  <c r="BA687" i="2" s="1"/>
  <c r="G687" i="2" s="1"/>
  <c r="V687" i="2"/>
  <c r="J687" i="2"/>
  <c r="BA686" i="2" a="1"/>
  <c r="BA686" i="2"/>
  <c r="G686" i="2" s="1"/>
  <c r="V686" i="2"/>
  <c r="J686" i="2"/>
  <c r="BA685" i="2" a="1"/>
  <c r="BA685" i="2"/>
  <c r="G685" i="2" s="1"/>
  <c r="V685" i="2"/>
  <c r="J685" i="2"/>
  <c r="BA684" i="2" a="1"/>
  <c r="BA684" i="2" s="1"/>
  <c r="G684" i="2" s="1"/>
  <c r="V684" i="2"/>
  <c r="J684" i="2"/>
  <c r="BA683" i="2" a="1"/>
  <c r="BA683" i="2" s="1"/>
  <c r="G683" i="2" s="1"/>
  <c r="V683" i="2"/>
  <c r="J683" i="2"/>
  <c r="BA682" i="2" a="1"/>
  <c r="BA682" i="2"/>
  <c r="G682" i="2" s="1"/>
  <c r="V682" i="2"/>
  <c r="J682" i="2"/>
  <c r="BA681" i="2" a="1"/>
  <c r="BA681" i="2"/>
  <c r="G681" i="2" s="1"/>
  <c r="V681" i="2"/>
  <c r="J681" i="2"/>
  <c r="BA680" i="2" a="1"/>
  <c r="BA680" i="2" s="1"/>
  <c r="G680" i="2" s="1"/>
  <c r="V680" i="2"/>
  <c r="J680" i="2"/>
  <c r="BA679" i="2" a="1"/>
  <c r="BA679" i="2" s="1"/>
  <c r="G679" i="2" s="1"/>
  <c r="V679" i="2"/>
  <c r="J679" i="2"/>
  <c r="BA678" i="2" a="1"/>
  <c r="BA678" i="2" s="1"/>
  <c r="G678" i="2" s="1"/>
  <c r="V678" i="2"/>
  <c r="J678" i="2"/>
  <c r="BA677" i="2" a="1"/>
  <c r="BA677" i="2" s="1"/>
  <c r="G677" i="2" s="1"/>
  <c r="V677" i="2"/>
  <c r="J677" i="2"/>
  <c r="BA676" i="2" a="1"/>
  <c r="BA676" i="2" s="1"/>
  <c r="G676" i="2" s="1"/>
  <c r="V676" i="2"/>
  <c r="J676" i="2"/>
  <c r="BA675" i="2" a="1"/>
  <c r="BA675" i="2" s="1"/>
  <c r="G675" i="2" s="1"/>
  <c r="V675" i="2"/>
  <c r="J675" i="2"/>
  <c r="BA674" i="2" a="1"/>
  <c r="BA674" i="2"/>
  <c r="G674" i="2" s="1"/>
  <c r="V674" i="2"/>
  <c r="J674" i="2"/>
  <c r="BA673" i="2" a="1"/>
  <c r="BA673" i="2"/>
  <c r="G673" i="2" s="1"/>
  <c r="V673" i="2"/>
  <c r="J673" i="2"/>
  <c r="BA672" i="2" a="1"/>
  <c r="BA672" i="2" s="1"/>
  <c r="G672" i="2" s="1"/>
  <c r="V672" i="2"/>
  <c r="J672" i="2"/>
  <c r="BA671" i="2" a="1"/>
  <c r="BA671" i="2" s="1"/>
  <c r="G671" i="2" s="1"/>
  <c r="V671" i="2"/>
  <c r="J671" i="2"/>
  <c r="BA670" i="2" a="1"/>
  <c r="BA670" i="2"/>
  <c r="G670" i="2" s="1"/>
  <c r="V670" i="2"/>
  <c r="J670" i="2"/>
  <c r="BA669" i="2" a="1"/>
  <c r="BA669" i="2"/>
  <c r="G669" i="2" s="1"/>
  <c r="V669" i="2"/>
  <c r="J669" i="2"/>
  <c r="BA668" i="2" a="1"/>
  <c r="BA668" i="2" s="1"/>
  <c r="G668" i="2" s="1"/>
  <c r="V668" i="2"/>
  <c r="J668" i="2"/>
  <c r="BA667" i="2" a="1"/>
  <c r="BA667" i="2" s="1"/>
  <c r="G667" i="2" s="1"/>
  <c r="V667" i="2"/>
  <c r="J667" i="2"/>
  <c r="BA666" i="2" a="1"/>
  <c r="BA666" i="2" s="1"/>
  <c r="G666" i="2" s="1"/>
  <c r="V666" i="2"/>
  <c r="J666" i="2"/>
  <c r="BA665" i="2" a="1"/>
  <c r="BA665" i="2" s="1"/>
  <c r="G665" i="2" s="1"/>
  <c r="V665" i="2"/>
  <c r="J665" i="2"/>
  <c r="BA664" i="2" a="1"/>
  <c r="BA664" i="2" s="1"/>
  <c r="G664" i="2" s="1"/>
  <c r="V664" i="2"/>
  <c r="J664" i="2"/>
  <c r="BA663" i="2" a="1"/>
  <c r="BA663" i="2" s="1"/>
  <c r="G663" i="2" s="1"/>
  <c r="V663" i="2"/>
  <c r="J663" i="2"/>
  <c r="BA662" i="2" a="1"/>
  <c r="BA662" i="2"/>
  <c r="G662" i="2" s="1"/>
  <c r="V662" i="2"/>
  <c r="J662" i="2"/>
  <c r="BA661" i="2" a="1"/>
  <c r="BA661" i="2"/>
  <c r="G661" i="2" s="1"/>
  <c r="V661" i="2"/>
  <c r="J661" i="2"/>
  <c r="BA660" i="2" a="1"/>
  <c r="BA660" i="2" s="1"/>
  <c r="G660" i="2" s="1"/>
  <c r="V660" i="2"/>
  <c r="BA659" i="2" a="1"/>
  <c r="BA659" i="2" s="1"/>
  <c r="G659" i="2" s="1"/>
  <c r="V659" i="2"/>
  <c r="BA658" i="2" a="1"/>
  <c r="BA658" i="2" s="1"/>
  <c r="G658" i="2" s="1"/>
  <c r="V658" i="2"/>
  <c r="J658" i="2"/>
  <c r="BA657" i="2" a="1"/>
  <c r="BA657" i="2" s="1"/>
  <c r="G657" i="2" s="1"/>
  <c r="V657" i="2"/>
  <c r="J657" i="2"/>
  <c r="BA656" i="2" a="1"/>
  <c r="BA656" i="2" s="1"/>
  <c r="G656" i="2" s="1"/>
  <c r="V656" i="2"/>
  <c r="J656" i="2"/>
  <c r="BA655" i="2" a="1"/>
  <c r="BA655" i="2" s="1"/>
  <c r="G655" i="2" s="1"/>
  <c r="V655" i="2"/>
  <c r="J655" i="2"/>
  <c r="BA654" i="2" a="1"/>
  <c r="BA654" i="2" s="1"/>
  <c r="G654" i="2" s="1"/>
  <c r="V654" i="2"/>
  <c r="J654" i="2"/>
  <c r="BA653" i="2" a="1"/>
  <c r="BA653" i="2" s="1"/>
  <c r="G653" i="2" s="1"/>
  <c r="V653" i="2"/>
  <c r="J653" i="2"/>
  <c r="BA652" i="2" a="1"/>
  <c r="BA652" i="2"/>
  <c r="G652" i="2" s="1"/>
  <c r="V652" i="2"/>
  <c r="J652" i="2"/>
  <c r="BA651" i="2" a="1"/>
  <c r="BA651" i="2"/>
  <c r="G651" i="2" s="1"/>
  <c r="V651" i="2"/>
  <c r="J651" i="2"/>
  <c r="BA650" i="2" a="1"/>
  <c r="BA650" i="2" s="1"/>
  <c r="G650" i="2" s="1"/>
  <c r="V650" i="2"/>
  <c r="J650" i="2"/>
  <c r="BA649" i="2" a="1"/>
  <c r="BA649" i="2" s="1"/>
  <c r="G649" i="2" s="1"/>
  <c r="V649" i="2"/>
  <c r="J649" i="2"/>
  <c r="BA648" i="2" a="1"/>
  <c r="BA648" i="2"/>
  <c r="G648" i="2" s="1"/>
  <c r="V648" i="2"/>
  <c r="J648" i="2"/>
  <c r="BA647" i="2" a="1"/>
  <c r="BA647" i="2"/>
  <c r="G647" i="2" s="1"/>
  <c r="V647" i="2"/>
  <c r="J647" i="2"/>
  <c r="BA646" i="2" a="1"/>
  <c r="BA646" i="2" s="1"/>
  <c r="G646" i="2" s="1"/>
  <c r="V646" i="2"/>
  <c r="J646" i="2"/>
  <c r="BA645" i="2" a="1"/>
  <c r="BA645" i="2" s="1"/>
  <c r="G645" i="2" s="1"/>
  <c r="V645" i="2"/>
  <c r="J645" i="2"/>
  <c r="BA644" i="2" a="1"/>
  <c r="BA644" i="2"/>
  <c r="G644" i="2" s="1"/>
  <c r="V644" i="2"/>
  <c r="J644" i="2"/>
  <c r="BA643" i="2" a="1"/>
  <c r="BA643" i="2"/>
  <c r="G643" i="2" s="1"/>
  <c r="V643" i="2"/>
  <c r="J643" i="2"/>
  <c r="BA642" i="2" a="1"/>
  <c r="BA642" i="2" s="1"/>
  <c r="G642" i="2" s="1"/>
  <c r="V642" i="2"/>
  <c r="J642" i="2"/>
  <c r="BA641" i="2" a="1"/>
  <c r="BA641" i="2" s="1"/>
  <c r="G641" i="2" s="1"/>
  <c r="V641" i="2"/>
  <c r="J641" i="2"/>
  <c r="BA640" i="2" a="1"/>
  <c r="BA640" i="2" s="1"/>
  <c r="G640" i="2" s="1"/>
  <c r="V640" i="2"/>
  <c r="J640" i="2"/>
  <c r="BA639" i="2" a="1"/>
  <c r="BA639" i="2" s="1"/>
  <c r="G639" i="2" s="1"/>
  <c r="V639" i="2"/>
  <c r="J639" i="2"/>
  <c r="BA638" i="2" a="1"/>
  <c r="BA638" i="2" s="1"/>
  <c r="V638" i="2"/>
  <c r="J638" i="2"/>
  <c r="G638" i="2"/>
  <c r="BA637" i="2" a="1"/>
  <c r="BA637" i="2" s="1"/>
  <c r="G637" i="2" s="1"/>
  <c r="V637" i="2"/>
  <c r="J637" i="2"/>
  <c r="BA636" i="2" a="1"/>
  <c r="BA636" i="2" s="1"/>
  <c r="G636" i="2" s="1"/>
  <c r="V636" i="2"/>
  <c r="J636" i="2"/>
  <c r="BA635" i="2" a="1"/>
  <c r="BA635" i="2" s="1"/>
  <c r="G635" i="2" s="1"/>
  <c r="V635" i="2"/>
  <c r="J635" i="2"/>
  <c r="BA634" i="2" a="1"/>
  <c r="BA634" i="2" s="1"/>
  <c r="G634" i="2" s="1"/>
  <c r="V634" i="2"/>
  <c r="J634" i="2"/>
  <c r="BA633" i="2" a="1"/>
  <c r="BA633" i="2" s="1"/>
  <c r="G633" i="2" s="1"/>
  <c r="V633" i="2"/>
  <c r="J633" i="2"/>
  <c r="BA632" i="2" a="1"/>
  <c r="BA632" i="2"/>
  <c r="G632" i="2" s="1"/>
  <c r="V632" i="2"/>
  <c r="J632" i="2"/>
  <c r="BA631" i="2" a="1"/>
  <c r="BA631" i="2"/>
  <c r="G631" i="2" s="1"/>
  <c r="V631" i="2"/>
  <c r="J631" i="2"/>
  <c r="BA630" i="2" a="1"/>
  <c r="BA630" i="2" s="1"/>
  <c r="G630" i="2" s="1"/>
  <c r="V630" i="2"/>
  <c r="J630" i="2"/>
  <c r="BA629" i="2" a="1"/>
  <c r="BA629" i="2" s="1"/>
  <c r="G629" i="2" s="1"/>
  <c r="V629" i="2"/>
  <c r="J629" i="2"/>
  <c r="BA628" i="2" a="1"/>
  <c r="BA628" i="2" s="1"/>
  <c r="G628" i="2" s="1"/>
  <c r="V628" i="2"/>
  <c r="J628" i="2"/>
  <c r="BA627" i="2" a="1"/>
  <c r="BA627" i="2" s="1"/>
  <c r="G627" i="2" s="1"/>
  <c r="V627" i="2"/>
  <c r="J627" i="2"/>
  <c r="BA626" i="2" a="1"/>
  <c r="BA626" i="2" s="1"/>
  <c r="G626" i="2" s="1"/>
  <c r="V626" i="2"/>
  <c r="J626" i="2"/>
  <c r="BA625" i="2" a="1"/>
  <c r="BA625" i="2" s="1"/>
  <c r="G625" i="2" s="1"/>
  <c r="V625" i="2"/>
  <c r="J625" i="2"/>
  <c r="BA624" i="2" a="1"/>
  <c r="BA624" i="2"/>
  <c r="G624" i="2" s="1"/>
  <c r="V624" i="2"/>
  <c r="J624" i="2"/>
  <c r="BA623" i="2" a="1"/>
  <c r="BA623" i="2"/>
  <c r="G623" i="2" s="1"/>
  <c r="V623" i="2"/>
  <c r="J623" i="2"/>
  <c r="BA622" i="2" a="1"/>
  <c r="BA622" i="2" s="1"/>
  <c r="G622" i="2" s="1"/>
  <c r="V622" i="2"/>
  <c r="J622" i="2"/>
  <c r="BA621" i="2" a="1"/>
  <c r="BA621" i="2" s="1"/>
  <c r="G621" i="2" s="1"/>
  <c r="V621" i="2"/>
  <c r="J621" i="2"/>
  <c r="BA620" i="2" a="1"/>
  <c r="BA620" i="2"/>
  <c r="G620" i="2" s="1"/>
  <c r="V620" i="2"/>
  <c r="J620" i="2"/>
  <c r="BA619" i="2" a="1"/>
  <c r="BA619" i="2"/>
  <c r="G619" i="2" s="1"/>
  <c r="V619" i="2"/>
  <c r="J619" i="2"/>
  <c r="BA618" i="2" a="1"/>
  <c r="BA618" i="2" s="1"/>
  <c r="G618" i="2" s="1"/>
  <c r="V618" i="2"/>
  <c r="J618" i="2"/>
  <c r="BA617" i="2" a="1"/>
  <c r="BA617" i="2" s="1"/>
  <c r="G617" i="2" s="1"/>
  <c r="V617" i="2"/>
  <c r="J617" i="2"/>
  <c r="BA616" i="2" a="1"/>
  <c r="BA616" i="2"/>
  <c r="G616" i="2" s="1"/>
  <c r="V616" i="2"/>
  <c r="J616" i="2"/>
  <c r="BA615" i="2" a="1"/>
  <c r="BA615" i="2"/>
  <c r="G615" i="2" s="1"/>
  <c r="V615" i="2"/>
  <c r="J615" i="2"/>
  <c r="BA614" i="2" a="1"/>
  <c r="BA614" i="2" s="1"/>
  <c r="G614" i="2" s="1"/>
  <c r="V614" i="2"/>
  <c r="J614" i="2"/>
  <c r="BA613" i="2" a="1"/>
  <c r="BA613" i="2" s="1"/>
  <c r="G613" i="2" s="1"/>
  <c r="V613" i="2"/>
  <c r="J613" i="2"/>
  <c r="BA612" i="2" a="1"/>
  <c r="BA612" i="2"/>
  <c r="G612" i="2" s="1"/>
  <c r="V612" i="2"/>
  <c r="J612" i="2"/>
  <c r="BA611" i="2" a="1"/>
  <c r="BA611" i="2"/>
  <c r="G611" i="2" s="1"/>
  <c r="V611" i="2"/>
  <c r="J611" i="2"/>
  <c r="BA610" i="2" a="1"/>
  <c r="BA610" i="2" s="1"/>
  <c r="G610" i="2" s="1"/>
  <c r="V610" i="2"/>
  <c r="J610" i="2"/>
  <c r="BA609" i="2" a="1"/>
  <c r="BA609" i="2" s="1"/>
  <c r="G609" i="2" s="1"/>
  <c r="V609" i="2"/>
  <c r="J609" i="2"/>
  <c r="BA608" i="2" a="1"/>
  <c r="BA608" i="2"/>
  <c r="G608" i="2" s="1"/>
  <c r="V608" i="2"/>
  <c r="J608" i="2"/>
  <c r="BA607" i="2" a="1"/>
  <c r="BA607" i="2"/>
  <c r="G607" i="2" s="1"/>
  <c r="V607" i="2"/>
  <c r="J607" i="2"/>
  <c r="BA606" i="2" a="1"/>
  <c r="BA606" i="2" s="1"/>
  <c r="G606" i="2" s="1"/>
  <c r="V606" i="2"/>
  <c r="J606" i="2"/>
  <c r="BA605" i="2" a="1"/>
  <c r="BA605" i="2" s="1"/>
  <c r="G605" i="2" s="1"/>
  <c r="V605" i="2"/>
  <c r="J605" i="2"/>
  <c r="BA604" i="2" a="1"/>
  <c r="BA604" i="2"/>
  <c r="G604" i="2" s="1"/>
  <c r="V604" i="2"/>
  <c r="J604" i="2"/>
  <c r="BA603" i="2" a="1"/>
  <c r="BA603" i="2"/>
  <c r="G603" i="2" s="1"/>
  <c r="V603" i="2"/>
  <c r="J603" i="2"/>
  <c r="BA602" i="2" a="1"/>
  <c r="BA602" i="2" s="1"/>
  <c r="G602" i="2" s="1"/>
  <c r="V602" i="2"/>
  <c r="J602" i="2"/>
  <c r="BA601" i="2" a="1"/>
  <c r="BA601" i="2" s="1"/>
  <c r="G601" i="2" s="1"/>
  <c r="V601" i="2"/>
  <c r="J601" i="2"/>
  <c r="BA600" i="2" a="1"/>
  <c r="BA600" i="2" s="1"/>
  <c r="G600" i="2" s="1"/>
  <c r="V600" i="2"/>
  <c r="J600" i="2"/>
  <c r="BA599" i="2" a="1"/>
  <c r="BA599" i="2" s="1"/>
  <c r="G599" i="2" s="1"/>
  <c r="V599" i="2"/>
  <c r="J599" i="2"/>
  <c r="BA598" i="2" a="1"/>
  <c r="BA598" i="2" s="1"/>
  <c r="G598" i="2" s="1"/>
  <c r="V598" i="2"/>
  <c r="J598" i="2"/>
  <c r="BA597" i="2" a="1"/>
  <c r="BA597" i="2" s="1"/>
  <c r="G597" i="2" s="1"/>
  <c r="V597" i="2"/>
  <c r="J597" i="2"/>
  <c r="BA596" i="2" a="1"/>
  <c r="BA596" i="2"/>
  <c r="G596" i="2" s="1"/>
  <c r="V596" i="2"/>
  <c r="BA595" i="2" a="1"/>
  <c r="BA595" i="2"/>
  <c r="G595" i="2" s="1"/>
  <c r="V595" i="2"/>
  <c r="J595" i="2"/>
  <c r="BA594" i="2" a="1"/>
  <c r="BA594" i="2"/>
  <c r="G594" i="2" s="1"/>
  <c r="V594" i="2"/>
  <c r="J594" i="2"/>
  <c r="BA593" i="2" a="1"/>
  <c r="BA593" i="2" s="1"/>
  <c r="G593" i="2" s="1"/>
  <c r="V593" i="2"/>
  <c r="J593" i="2"/>
  <c r="BA592" i="2" a="1"/>
  <c r="BA592" i="2" s="1"/>
  <c r="G592" i="2" s="1"/>
  <c r="V592" i="2"/>
  <c r="J592" i="2"/>
  <c r="BA591" i="2" a="1"/>
  <c r="BA591" i="2" s="1"/>
  <c r="G591" i="2" s="1"/>
  <c r="V591" i="2"/>
  <c r="J591" i="2"/>
  <c r="BA590" i="2" a="1"/>
  <c r="BA590" i="2" s="1"/>
  <c r="G590" i="2" s="1"/>
  <c r="V590" i="2"/>
  <c r="J590" i="2"/>
  <c r="BA589" i="2" a="1"/>
  <c r="BA589" i="2" s="1"/>
  <c r="G589" i="2" s="1"/>
  <c r="V589" i="2"/>
  <c r="J589" i="2"/>
  <c r="BA588" i="2" a="1"/>
  <c r="BA588" i="2" s="1"/>
  <c r="G588" i="2" s="1"/>
  <c r="V588" i="2"/>
  <c r="J588" i="2"/>
  <c r="BA587" i="2" a="1"/>
  <c r="BA587" i="2"/>
  <c r="G587" i="2" s="1"/>
  <c r="V587" i="2"/>
  <c r="J587" i="2"/>
  <c r="BA586" i="2" a="1"/>
  <c r="BA586" i="2"/>
  <c r="G586" i="2" s="1"/>
  <c r="V586" i="2"/>
  <c r="J586" i="2"/>
  <c r="BA585" i="2" a="1"/>
  <c r="BA585" i="2" s="1"/>
  <c r="G585" i="2" s="1"/>
  <c r="V585" i="2"/>
  <c r="J585" i="2"/>
  <c r="BA584" i="2" a="1"/>
  <c r="BA584" i="2" s="1"/>
  <c r="G584" i="2" s="1"/>
  <c r="V584" i="2"/>
  <c r="J584" i="2"/>
  <c r="BA583" i="2" a="1"/>
  <c r="BA583" i="2"/>
  <c r="G583" i="2" s="1"/>
  <c r="V583" i="2"/>
  <c r="J583" i="2"/>
  <c r="BA582" i="2" a="1"/>
  <c r="BA582" i="2"/>
  <c r="G582" i="2" s="1"/>
  <c r="V582" i="2"/>
  <c r="BA581" i="2" a="1"/>
  <c r="BA581" i="2" s="1"/>
  <c r="G581" i="2" s="1"/>
  <c r="V581" i="2"/>
  <c r="J581" i="2"/>
  <c r="BA580" i="2" a="1"/>
  <c r="BA580" i="2" s="1"/>
  <c r="G580" i="2" s="1"/>
  <c r="V580" i="2"/>
  <c r="J580" i="2"/>
  <c r="BA579" i="2" a="1"/>
  <c r="BA579" i="2" s="1"/>
  <c r="G579" i="2" s="1"/>
  <c r="V579" i="2"/>
  <c r="J579" i="2"/>
  <c r="BA578" i="2" a="1"/>
  <c r="BA578" i="2"/>
  <c r="G578" i="2" s="1"/>
  <c r="V578" i="2"/>
  <c r="J578" i="2"/>
  <c r="BA577" i="2" a="1"/>
  <c r="BA577" i="2"/>
  <c r="G577" i="2" s="1"/>
  <c r="V577" i="2"/>
  <c r="J577" i="2"/>
  <c r="BA576" i="2" a="1"/>
  <c r="BA576" i="2" s="1"/>
  <c r="G576" i="2" s="1"/>
  <c r="V576" i="2"/>
  <c r="J576" i="2"/>
  <c r="BA575" i="2" a="1"/>
  <c r="BA575" i="2" s="1"/>
  <c r="G575" i="2" s="1"/>
  <c r="V575" i="2"/>
  <c r="J575" i="2"/>
  <c r="BA574" i="2" a="1"/>
  <c r="BA574" i="2"/>
  <c r="G574" i="2" s="1"/>
  <c r="V574" i="2"/>
  <c r="J574" i="2"/>
  <c r="BA573" i="2" a="1"/>
  <c r="BA573" i="2"/>
  <c r="G573" i="2" s="1"/>
  <c r="V573" i="2"/>
  <c r="J573" i="2"/>
  <c r="BA572" i="2" a="1"/>
  <c r="BA572" i="2" s="1"/>
  <c r="G572" i="2" s="1"/>
  <c r="V572" i="2"/>
  <c r="J572" i="2"/>
  <c r="BA571" i="2" a="1"/>
  <c r="BA571" i="2" s="1"/>
  <c r="G571" i="2" s="1"/>
  <c r="V571" i="2"/>
  <c r="J571" i="2"/>
  <c r="BA570" i="2" a="1"/>
  <c r="BA570" i="2"/>
  <c r="G570" i="2" s="1"/>
  <c r="V570" i="2"/>
  <c r="J570" i="2"/>
  <c r="BA569" i="2" a="1"/>
  <c r="BA569" i="2"/>
  <c r="G569" i="2" s="1"/>
  <c r="V569" i="2"/>
  <c r="J569" i="2"/>
  <c r="BA568" i="2" a="1"/>
  <c r="BA568" i="2" s="1"/>
  <c r="G568" i="2" s="1"/>
  <c r="V568" i="2"/>
  <c r="J568" i="2"/>
  <c r="BA567" i="2" a="1"/>
  <c r="BA567" i="2" s="1"/>
  <c r="G567" i="2" s="1"/>
  <c r="V567" i="2"/>
  <c r="J567" i="2"/>
  <c r="BA566" i="2" a="1"/>
  <c r="BA566" i="2"/>
  <c r="G566" i="2" s="1"/>
  <c r="V566" i="2"/>
  <c r="J566" i="2"/>
  <c r="BA565" i="2" a="1"/>
  <c r="BA565" i="2"/>
  <c r="G565" i="2" s="1"/>
  <c r="V565" i="2"/>
  <c r="J565" i="2"/>
  <c r="BA564" i="2" a="1"/>
  <c r="BA564" i="2" s="1"/>
  <c r="G564" i="2" s="1"/>
  <c r="V564" i="2"/>
  <c r="J564" i="2"/>
  <c r="BA563" i="2" a="1"/>
  <c r="BA563" i="2" s="1"/>
  <c r="G563" i="2" s="1"/>
  <c r="V563" i="2"/>
  <c r="J563" i="2"/>
  <c r="BA562" i="2" a="1"/>
  <c r="BA562" i="2"/>
  <c r="G562" i="2" s="1"/>
  <c r="V562" i="2"/>
  <c r="J562" i="2"/>
  <c r="BA561" i="2" a="1"/>
  <c r="BA561" i="2"/>
  <c r="G561" i="2" s="1"/>
  <c r="V561" i="2"/>
  <c r="J561" i="2"/>
  <c r="BA560" i="2" a="1"/>
  <c r="BA560" i="2" s="1"/>
  <c r="G560" i="2" s="1"/>
  <c r="V560" i="2"/>
  <c r="J560" i="2"/>
  <c r="BA559" i="2" a="1"/>
  <c r="BA559" i="2" s="1"/>
  <c r="G559" i="2" s="1"/>
  <c r="V559" i="2"/>
  <c r="J559" i="2"/>
  <c r="BA558" i="2" a="1"/>
  <c r="BA558" i="2"/>
  <c r="G558" i="2" s="1"/>
  <c r="V558" i="2"/>
  <c r="J558" i="2"/>
  <c r="BA557" i="2" a="1"/>
  <c r="BA557" i="2"/>
  <c r="G557" i="2" s="1"/>
  <c r="V557" i="2"/>
  <c r="J557" i="2"/>
  <c r="BA556" i="2" a="1"/>
  <c r="BA556" i="2" s="1"/>
  <c r="G556" i="2" s="1"/>
  <c r="V556" i="2"/>
  <c r="J556" i="2"/>
  <c r="BA555" i="2" a="1"/>
  <c r="BA555" i="2" s="1"/>
  <c r="G555" i="2" s="1"/>
  <c r="V555" i="2"/>
  <c r="J555" i="2"/>
  <c r="BA554" i="2" a="1"/>
  <c r="BA554" i="2" s="1"/>
  <c r="G554" i="2" s="1"/>
  <c r="V554" i="2"/>
  <c r="J554" i="2"/>
  <c r="BA553" i="2" a="1"/>
  <c r="BA553" i="2" s="1"/>
  <c r="G553" i="2" s="1"/>
  <c r="V553" i="2"/>
  <c r="J553" i="2"/>
  <c r="BA552" i="2" a="1"/>
  <c r="BA552" i="2" s="1"/>
  <c r="G552" i="2" s="1"/>
  <c r="V552" i="2"/>
  <c r="J552" i="2"/>
  <c r="BA551" i="2" a="1"/>
  <c r="BA551" i="2" s="1"/>
  <c r="G551" i="2" s="1"/>
  <c r="V551" i="2"/>
  <c r="J551" i="2"/>
  <c r="BA550" i="2" a="1"/>
  <c r="BA550" i="2"/>
  <c r="G550" i="2" s="1"/>
  <c r="V550" i="2"/>
  <c r="J550" i="2"/>
  <c r="BA549" i="2" a="1"/>
  <c r="BA549" i="2"/>
  <c r="G549" i="2" s="1"/>
  <c r="V549" i="2"/>
  <c r="BA548" i="2" a="1"/>
  <c r="BA548" i="2"/>
  <c r="G548" i="2" s="1"/>
  <c r="V548" i="2"/>
  <c r="J548" i="2"/>
  <c r="BA547" i="2" a="1"/>
  <c r="BA547" i="2" s="1"/>
  <c r="V547" i="2"/>
  <c r="J547" i="2"/>
  <c r="G547" i="2"/>
  <c r="BA546" i="2" a="1"/>
  <c r="BA546" i="2" s="1"/>
  <c r="G546" i="2" s="1"/>
  <c r="V546" i="2"/>
  <c r="J546" i="2"/>
  <c r="BA545" i="2" a="1"/>
  <c r="BA545" i="2" s="1"/>
  <c r="G545" i="2" s="1"/>
  <c r="V545" i="2"/>
  <c r="J545" i="2"/>
  <c r="BA544" i="2" a="1"/>
  <c r="BA544" i="2" s="1"/>
  <c r="G544" i="2" s="1"/>
  <c r="V544" i="2"/>
  <c r="J544" i="2"/>
  <c r="BA543" i="2" a="1"/>
  <c r="BA543" i="2" s="1"/>
  <c r="G543" i="2" s="1"/>
  <c r="V543" i="2"/>
  <c r="J543" i="2"/>
  <c r="BA542" i="2" a="1"/>
  <c r="BA542" i="2" s="1"/>
  <c r="G542" i="2" s="1"/>
  <c r="V542" i="2"/>
  <c r="J542" i="2"/>
  <c r="BA541" i="2" a="1"/>
  <c r="BA541" i="2"/>
  <c r="G541" i="2" s="1"/>
  <c r="V541" i="2"/>
  <c r="J541" i="2"/>
  <c r="BA540" i="2" a="1"/>
  <c r="BA540" i="2"/>
  <c r="G540" i="2" s="1"/>
  <c r="V540" i="2"/>
  <c r="J540" i="2"/>
  <c r="BA539" i="2" a="1"/>
  <c r="BA539" i="2" s="1"/>
  <c r="G539" i="2" s="1"/>
  <c r="V539" i="2"/>
  <c r="J539" i="2"/>
  <c r="BA538" i="2" a="1"/>
  <c r="BA538" i="2" s="1"/>
  <c r="G538" i="2" s="1"/>
  <c r="V538" i="2"/>
  <c r="J538" i="2"/>
  <c r="BA537" i="2" a="1"/>
  <c r="BA537" i="2" s="1"/>
  <c r="G537" i="2" s="1"/>
  <c r="V537" i="2"/>
  <c r="J537" i="2"/>
  <c r="BA536" i="2" a="1"/>
  <c r="BA536" i="2" s="1"/>
  <c r="G536" i="2" s="1"/>
  <c r="V536" i="2"/>
  <c r="J536" i="2"/>
  <c r="BA535" i="2" a="1"/>
  <c r="BA535" i="2" s="1"/>
  <c r="G535" i="2" s="1"/>
  <c r="V535" i="2"/>
  <c r="J535" i="2"/>
  <c r="BA534" i="2" a="1"/>
  <c r="BA534" i="2" s="1"/>
  <c r="G534" i="2" s="1"/>
  <c r="V534" i="2"/>
  <c r="J534" i="2"/>
  <c r="BA533" i="2" a="1"/>
  <c r="BA533" i="2"/>
  <c r="G533" i="2" s="1"/>
  <c r="V533" i="2"/>
  <c r="J533" i="2"/>
  <c r="BA532" i="2" a="1"/>
  <c r="BA532" i="2"/>
  <c r="G532" i="2" s="1"/>
  <c r="V532" i="2"/>
  <c r="J532" i="2"/>
  <c r="BA531" i="2" a="1"/>
  <c r="BA531" i="2" s="1"/>
  <c r="G531" i="2" s="1"/>
  <c r="V531" i="2"/>
  <c r="J531" i="2"/>
  <c r="BA530" i="2" a="1"/>
  <c r="BA530" i="2" s="1"/>
  <c r="G530" i="2" s="1"/>
  <c r="V530" i="2"/>
  <c r="J530" i="2"/>
  <c r="BA529" i="2" a="1"/>
  <c r="BA529" i="2" s="1"/>
  <c r="G529" i="2" s="1"/>
  <c r="V529" i="2"/>
  <c r="J529" i="2"/>
  <c r="BA528" i="2" a="1"/>
  <c r="BA528" i="2" s="1"/>
  <c r="G528" i="2" s="1"/>
  <c r="V528" i="2"/>
  <c r="J528" i="2"/>
  <c r="BA527" i="2" a="1"/>
  <c r="BA527" i="2" s="1"/>
  <c r="G527" i="2" s="1"/>
  <c r="V527" i="2"/>
  <c r="J527" i="2"/>
  <c r="BA526" i="2" a="1"/>
  <c r="BA526" i="2" s="1"/>
  <c r="G526" i="2" s="1"/>
  <c r="V526" i="2"/>
  <c r="J526" i="2"/>
  <c r="BA525" i="2" a="1"/>
  <c r="BA525" i="2" s="1"/>
  <c r="G525" i="2" s="1"/>
  <c r="V525" i="2"/>
  <c r="J525" i="2"/>
  <c r="BA524" i="2" a="1"/>
  <c r="BA524" i="2" s="1"/>
  <c r="G524" i="2" s="1"/>
  <c r="V524" i="2"/>
  <c r="J524" i="2"/>
  <c r="BA523" i="2" a="1"/>
  <c r="BA523" i="2" s="1"/>
  <c r="G523" i="2" s="1"/>
  <c r="V523" i="2"/>
  <c r="J523" i="2"/>
  <c r="BA522" i="2" a="1"/>
  <c r="BA522" i="2" s="1"/>
  <c r="G522" i="2" s="1"/>
  <c r="V522" i="2"/>
  <c r="J522" i="2"/>
  <c r="BA521" i="2" a="1"/>
  <c r="BA521" i="2" s="1"/>
  <c r="G521" i="2" s="1"/>
  <c r="V521" i="2"/>
  <c r="J521" i="2"/>
  <c r="BA520" i="2" a="1"/>
  <c r="BA520" i="2" s="1"/>
  <c r="G520" i="2" s="1"/>
  <c r="V520" i="2"/>
  <c r="J520" i="2"/>
  <c r="BA519" i="2" a="1"/>
  <c r="BA519" i="2" s="1"/>
  <c r="G519" i="2" s="1"/>
  <c r="V519" i="2"/>
  <c r="J519" i="2"/>
  <c r="BA518" i="2" a="1"/>
  <c r="BA518" i="2" s="1"/>
  <c r="G518" i="2" s="1"/>
  <c r="V518" i="2"/>
  <c r="J518" i="2"/>
  <c r="BA517" i="2" a="1"/>
  <c r="BA517" i="2" s="1"/>
  <c r="G517" i="2" s="1"/>
  <c r="V517" i="2"/>
  <c r="J517" i="2"/>
  <c r="BA516" i="2" a="1"/>
  <c r="BA516" i="2" s="1"/>
  <c r="G516" i="2" s="1"/>
  <c r="V516" i="2"/>
  <c r="J516" i="2"/>
  <c r="BA515" i="2" a="1"/>
  <c r="BA515" i="2" s="1"/>
  <c r="G515" i="2" s="1"/>
  <c r="V515" i="2"/>
  <c r="J515" i="2"/>
  <c r="BA514" i="2" a="1"/>
  <c r="BA514" i="2" s="1"/>
  <c r="G514" i="2" s="1"/>
  <c r="V514" i="2"/>
  <c r="J514" i="2"/>
  <c r="BA513" i="2" a="1"/>
  <c r="BA513" i="2"/>
  <c r="G513" i="2" s="1"/>
  <c r="V513" i="2"/>
  <c r="BA512" i="2" a="1"/>
  <c r="BA512" i="2"/>
  <c r="G512" i="2" s="1"/>
  <c r="V512" i="2"/>
  <c r="J512" i="2"/>
  <c r="BA511" i="2" a="1"/>
  <c r="BA511" i="2"/>
  <c r="G511" i="2" s="1"/>
  <c r="V511" i="2"/>
  <c r="J511" i="2"/>
  <c r="BA510" i="2" a="1"/>
  <c r="BA510" i="2" s="1"/>
  <c r="G510" i="2" s="1"/>
  <c r="V510" i="2"/>
  <c r="J510" i="2"/>
  <c r="BA509" i="2" a="1"/>
  <c r="BA509" i="2" s="1"/>
  <c r="G509" i="2" s="1"/>
  <c r="V509" i="2"/>
  <c r="J509" i="2"/>
  <c r="BA508" i="2" a="1"/>
  <c r="BA508" i="2" s="1"/>
  <c r="G508" i="2" s="1"/>
  <c r="V508" i="2"/>
  <c r="J508" i="2"/>
  <c r="BA507" i="2" a="1"/>
  <c r="BA507" i="2" s="1"/>
  <c r="G507" i="2" s="1"/>
  <c r="V507" i="2"/>
  <c r="J507" i="2"/>
  <c r="BA506" i="2" a="1"/>
  <c r="BA506" i="2" s="1"/>
  <c r="G506" i="2" s="1"/>
  <c r="V506" i="2"/>
  <c r="J506" i="2"/>
  <c r="BA505" i="2" a="1"/>
  <c r="BA505" i="2" s="1"/>
  <c r="G505" i="2" s="1"/>
  <c r="V505" i="2"/>
  <c r="J505" i="2"/>
  <c r="BA504" i="2" a="1"/>
  <c r="BA504" i="2"/>
  <c r="G504" i="2" s="1"/>
  <c r="V504" i="2"/>
  <c r="J504" i="2"/>
  <c r="BA503" i="2" a="1"/>
  <c r="BA503" i="2"/>
  <c r="G503" i="2" s="1"/>
  <c r="V503" i="2"/>
  <c r="J503" i="2"/>
  <c r="BA502" i="2" a="1"/>
  <c r="BA502" i="2" s="1"/>
  <c r="G502" i="2" s="1"/>
  <c r="V502" i="2"/>
  <c r="J502" i="2"/>
  <c r="BA501" i="2" a="1"/>
  <c r="BA501" i="2" s="1"/>
  <c r="G501" i="2" s="1"/>
  <c r="V501" i="2"/>
  <c r="J501" i="2"/>
  <c r="BA500" i="2" a="1"/>
  <c r="BA500" i="2" s="1"/>
  <c r="G500" i="2" s="1"/>
  <c r="V500" i="2"/>
  <c r="J500" i="2"/>
  <c r="BA499" i="2" a="1"/>
  <c r="BA499" i="2" s="1"/>
  <c r="G499" i="2" s="1"/>
  <c r="V499" i="2"/>
  <c r="J499" i="2"/>
  <c r="BA498" i="2" a="1"/>
  <c r="BA498" i="2" s="1"/>
  <c r="G498" i="2" s="1"/>
  <c r="V498" i="2"/>
  <c r="J498" i="2"/>
  <c r="BA497" i="2" a="1"/>
  <c r="BA497" i="2" s="1"/>
  <c r="G497" i="2" s="1"/>
  <c r="V497" i="2"/>
  <c r="J497" i="2"/>
  <c r="BA496" i="2" a="1"/>
  <c r="BA496" i="2"/>
  <c r="G496" i="2" s="1"/>
  <c r="V496" i="2"/>
  <c r="J496" i="2"/>
  <c r="BA495" i="2" a="1"/>
  <c r="BA495" i="2"/>
  <c r="G495" i="2" s="1"/>
  <c r="V495" i="2"/>
  <c r="J495" i="2"/>
  <c r="BA494" i="2" a="1"/>
  <c r="BA494" i="2" s="1"/>
  <c r="G494" i="2" s="1"/>
  <c r="V494" i="2"/>
  <c r="J494" i="2"/>
  <c r="BA493" i="2" a="1"/>
  <c r="BA493" i="2" s="1"/>
  <c r="G493" i="2" s="1"/>
  <c r="V493" i="2"/>
  <c r="J493" i="2"/>
  <c r="BA492" i="2" a="1"/>
  <c r="BA492" i="2" s="1"/>
  <c r="G492" i="2" s="1"/>
  <c r="V492" i="2"/>
  <c r="J492" i="2"/>
  <c r="BA491" i="2" a="1"/>
  <c r="BA491" i="2" s="1"/>
  <c r="G491" i="2" s="1"/>
  <c r="V491" i="2"/>
  <c r="J491" i="2"/>
  <c r="BA490" i="2" a="1"/>
  <c r="BA490" i="2" s="1"/>
  <c r="G490" i="2" s="1"/>
  <c r="V490" i="2"/>
  <c r="J490" i="2"/>
  <c r="BA489" i="2" a="1"/>
  <c r="BA489" i="2" s="1"/>
  <c r="G489" i="2" s="1"/>
  <c r="V489" i="2"/>
  <c r="J489" i="2"/>
  <c r="BA488" i="2" a="1"/>
  <c r="BA488" i="2" s="1"/>
  <c r="G488" i="2" s="1"/>
  <c r="V488" i="2"/>
  <c r="J488" i="2"/>
  <c r="BA487" i="2" a="1"/>
  <c r="BA487" i="2" s="1"/>
  <c r="G487" i="2" s="1"/>
  <c r="V487" i="2"/>
  <c r="J487" i="2"/>
  <c r="BA486" i="2" a="1"/>
  <c r="BA486" i="2" s="1"/>
  <c r="G486" i="2" s="1"/>
  <c r="V486" i="2"/>
  <c r="J486" i="2"/>
  <c r="BA485" i="2" a="1"/>
  <c r="BA485" i="2" s="1"/>
  <c r="G485" i="2" s="1"/>
  <c r="V485" i="2"/>
  <c r="J485" i="2"/>
  <c r="BA484" i="2" a="1"/>
  <c r="BA484" i="2" s="1"/>
  <c r="G484" i="2" s="1"/>
  <c r="V484" i="2"/>
  <c r="J484" i="2"/>
  <c r="BA483" i="2" a="1"/>
  <c r="BA483" i="2" s="1"/>
  <c r="G483" i="2" s="1"/>
  <c r="V483" i="2"/>
  <c r="J483" i="2"/>
  <c r="BA482" i="2" a="1"/>
  <c r="BA482" i="2" s="1"/>
  <c r="V482" i="2"/>
  <c r="J482" i="2"/>
  <c r="G482" i="2"/>
  <c r="BA481" i="2" a="1"/>
  <c r="BA481" i="2" s="1"/>
  <c r="G481" i="2" s="1"/>
  <c r="V481" i="2"/>
  <c r="J481" i="2"/>
  <c r="BA480" i="2" a="1"/>
  <c r="BA480" i="2" s="1"/>
  <c r="G480" i="2" s="1"/>
  <c r="V480" i="2"/>
  <c r="J480" i="2"/>
  <c r="BA479" i="2" a="1"/>
  <c r="BA479" i="2" s="1"/>
  <c r="G479" i="2" s="1"/>
  <c r="V479" i="2"/>
  <c r="J479" i="2"/>
  <c r="BA478" i="2" a="1"/>
  <c r="BA478" i="2" s="1"/>
  <c r="G478" i="2" s="1"/>
  <c r="V478" i="2"/>
  <c r="J478" i="2"/>
  <c r="BA477" i="2" a="1"/>
  <c r="BA477" i="2" s="1"/>
  <c r="G477" i="2" s="1"/>
  <c r="V477" i="2"/>
  <c r="J477" i="2"/>
  <c r="BA476" i="2" a="1"/>
  <c r="BA476" i="2"/>
  <c r="G476" i="2" s="1"/>
  <c r="V476" i="2"/>
  <c r="J476" i="2"/>
  <c r="BA475" i="2" a="1"/>
  <c r="BA475" i="2"/>
  <c r="G475" i="2" s="1"/>
  <c r="V475" i="2"/>
  <c r="J475" i="2"/>
  <c r="BA474" i="2" a="1"/>
  <c r="BA474" i="2" s="1"/>
  <c r="G474" i="2" s="1"/>
  <c r="V474" i="2"/>
  <c r="J474" i="2"/>
  <c r="BA473" i="2" a="1"/>
  <c r="BA473" i="2" s="1"/>
  <c r="G473" i="2" s="1"/>
  <c r="V473" i="2"/>
  <c r="J473" i="2"/>
  <c r="BA472" i="2" a="1"/>
  <c r="BA472" i="2" s="1"/>
  <c r="G472" i="2" s="1"/>
  <c r="V472" i="2"/>
  <c r="J472" i="2"/>
  <c r="BA471" i="2" a="1"/>
  <c r="BA471" i="2" s="1"/>
  <c r="G471" i="2" s="1"/>
  <c r="V471" i="2"/>
  <c r="J471" i="2"/>
  <c r="BA470" i="2" a="1"/>
  <c r="BA470" i="2" s="1"/>
  <c r="G470" i="2" s="1"/>
  <c r="V470" i="2"/>
  <c r="J470" i="2"/>
  <c r="BA469" i="2" a="1"/>
  <c r="BA469" i="2" s="1"/>
  <c r="G469" i="2" s="1"/>
  <c r="V469" i="2"/>
  <c r="J469" i="2"/>
  <c r="BA468" i="2" a="1"/>
  <c r="BA468" i="2"/>
  <c r="G468" i="2" s="1"/>
  <c r="V468" i="2"/>
  <c r="J468" i="2"/>
  <c r="BA467" i="2" a="1"/>
  <c r="BA467" i="2"/>
  <c r="G467" i="2" s="1"/>
  <c r="V467" i="2"/>
  <c r="J467" i="2"/>
  <c r="BA466" i="2" a="1"/>
  <c r="BA466" i="2" s="1"/>
  <c r="V466" i="2"/>
  <c r="J466" i="2"/>
  <c r="G466" i="2"/>
  <c r="BA465" i="2" a="1"/>
  <c r="BA465" i="2" s="1"/>
  <c r="G465" i="2" s="1"/>
  <c r="V465" i="2"/>
  <c r="J465" i="2"/>
  <c r="BA464" i="2" a="1"/>
  <c r="BA464" i="2" s="1"/>
  <c r="G464" i="2" s="1"/>
  <c r="V464" i="2"/>
  <c r="J464" i="2"/>
  <c r="BA463" i="2" a="1"/>
  <c r="BA463" i="2" s="1"/>
  <c r="G463" i="2" s="1"/>
  <c r="V463" i="2"/>
  <c r="J463" i="2"/>
  <c r="BA462" i="2" a="1"/>
  <c r="BA462" i="2" s="1"/>
  <c r="G462" i="2" s="1"/>
  <c r="V462" i="2"/>
  <c r="J462" i="2"/>
  <c r="BA461" i="2" a="1"/>
  <c r="BA461" i="2" s="1"/>
  <c r="V461" i="2"/>
  <c r="J461" i="2"/>
  <c r="G461" i="2"/>
  <c r="BA460" i="2" a="1"/>
  <c r="BA460" i="2" s="1"/>
  <c r="G460" i="2" s="1"/>
  <c r="V460" i="2"/>
  <c r="BA459" i="2" a="1"/>
  <c r="BA459" i="2" s="1"/>
  <c r="G459" i="2" s="1"/>
  <c r="V459" i="2"/>
  <c r="BA458" i="2" a="1"/>
  <c r="BA458" i="2" s="1"/>
  <c r="G458" i="2" s="1"/>
  <c r="V458" i="2"/>
  <c r="J458" i="2"/>
  <c r="BA457" i="2" a="1"/>
  <c r="BA457" i="2" s="1"/>
  <c r="G457" i="2" s="1"/>
  <c r="V457" i="2"/>
  <c r="J457" i="2"/>
  <c r="BA456" i="2" a="1"/>
  <c r="BA456" i="2" s="1"/>
  <c r="G456" i="2" s="1"/>
  <c r="V456" i="2"/>
  <c r="J456" i="2"/>
  <c r="BA455" i="2" a="1"/>
  <c r="BA455" i="2" s="1"/>
  <c r="G455" i="2" s="1"/>
  <c r="V455" i="2"/>
  <c r="J455" i="2"/>
  <c r="BA454" i="2" a="1"/>
  <c r="BA454" i="2" s="1"/>
  <c r="G454" i="2" s="1"/>
  <c r="V454" i="2"/>
  <c r="J454" i="2"/>
  <c r="BA453" i="2" a="1"/>
  <c r="BA453" i="2" s="1"/>
  <c r="G453" i="2" s="1"/>
  <c r="V453" i="2"/>
  <c r="J453" i="2"/>
  <c r="BA452" i="2" a="1"/>
  <c r="BA452" i="2" s="1"/>
  <c r="G452" i="2" s="1"/>
  <c r="V452" i="2"/>
  <c r="BA451" i="2" a="1"/>
  <c r="BA451" i="2"/>
  <c r="G451" i="2" s="1"/>
  <c r="V451" i="2"/>
  <c r="J451" i="2"/>
  <c r="BA450" i="2" a="1"/>
  <c r="BA450" i="2" s="1"/>
  <c r="G450" i="2" s="1"/>
  <c r="V450" i="2"/>
  <c r="J450" i="2"/>
  <c r="BA449" i="2" a="1"/>
  <c r="BA449" i="2" s="1"/>
  <c r="G449" i="2" s="1"/>
  <c r="V449" i="2"/>
  <c r="J449" i="2"/>
  <c r="BA448" i="2" a="1"/>
  <c r="BA448" i="2" s="1"/>
  <c r="G448" i="2" s="1"/>
  <c r="V448" i="2"/>
  <c r="BA447" i="2" a="1"/>
  <c r="BA447" i="2" s="1"/>
  <c r="G447" i="2" s="1"/>
  <c r="V447" i="2"/>
  <c r="J447" i="2"/>
  <c r="BA446" i="2" a="1"/>
  <c r="BA446" i="2" s="1"/>
  <c r="G446" i="2" s="1"/>
  <c r="V446" i="2"/>
  <c r="J446" i="2"/>
  <c r="BA445" i="2" a="1"/>
  <c r="BA445" i="2" s="1"/>
  <c r="G445" i="2" s="1"/>
  <c r="V445" i="2"/>
  <c r="J445" i="2"/>
  <c r="BA444" i="2" a="1"/>
  <c r="BA444" i="2" s="1"/>
  <c r="G444" i="2" s="1"/>
  <c r="V444" i="2"/>
  <c r="J444" i="2"/>
  <c r="BA443" i="2" a="1"/>
  <c r="BA443" i="2" s="1"/>
  <c r="G443" i="2" s="1"/>
  <c r="V443" i="2"/>
  <c r="J443" i="2"/>
  <c r="BA442" i="2" a="1"/>
  <c r="BA442" i="2" s="1"/>
  <c r="G442" i="2" s="1"/>
  <c r="V442" i="2"/>
  <c r="J442" i="2"/>
  <c r="BA441" i="2" a="1"/>
  <c r="BA441" i="2" s="1"/>
  <c r="G441" i="2" s="1"/>
  <c r="V441" i="2"/>
  <c r="J441" i="2"/>
  <c r="BA440" i="2" a="1"/>
  <c r="BA440" i="2"/>
  <c r="G440" i="2" s="1"/>
  <c r="V440" i="2"/>
  <c r="J440" i="2"/>
  <c r="BA439" i="2" a="1"/>
  <c r="BA439" i="2"/>
  <c r="G439" i="2" s="1"/>
  <c r="V439" i="2"/>
  <c r="J439" i="2"/>
  <c r="BA438" i="2" a="1"/>
  <c r="BA438" i="2"/>
  <c r="G438" i="2" s="1"/>
  <c r="V438" i="2"/>
  <c r="J438" i="2"/>
  <c r="BA437" i="2" a="1"/>
  <c r="BA437" i="2" s="1"/>
  <c r="G437" i="2" s="1"/>
  <c r="V437" i="2"/>
  <c r="J437" i="2"/>
  <c r="BA436" i="2" a="1"/>
  <c r="BA436" i="2" s="1"/>
  <c r="G436" i="2" s="1"/>
  <c r="V436" i="2"/>
  <c r="J436" i="2"/>
  <c r="BA435" i="2" a="1"/>
  <c r="BA435" i="2" s="1"/>
  <c r="G435" i="2" s="1"/>
  <c r="V435" i="2"/>
  <c r="J435" i="2"/>
  <c r="BA434" i="2" a="1"/>
  <c r="BA434" i="2" s="1"/>
  <c r="G434" i="2" s="1"/>
  <c r="V434" i="2"/>
  <c r="J434" i="2"/>
  <c r="BA433" i="2" a="1"/>
  <c r="BA433" i="2" s="1"/>
  <c r="V433" i="2"/>
  <c r="J433" i="2"/>
  <c r="G433" i="2"/>
  <c r="BA432" i="2" a="1"/>
  <c r="BA432" i="2" s="1"/>
  <c r="G432" i="2" s="1"/>
  <c r="V432" i="2"/>
  <c r="J432" i="2"/>
  <c r="BA431" i="2" a="1"/>
  <c r="BA431" i="2" s="1"/>
  <c r="G431" i="2" s="1"/>
  <c r="V431" i="2"/>
  <c r="J431" i="2"/>
  <c r="BA430" i="2" a="1"/>
  <c r="BA430" i="2" s="1"/>
  <c r="G430" i="2" s="1"/>
  <c r="V430" i="2"/>
  <c r="J430" i="2"/>
  <c r="BA429" i="2" a="1"/>
  <c r="BA429" i="2" s="1"/>
  <c r="G429" i="2" s="1"/>
  <c r="V429" i="2"/>
  <c r="J429" i="2"/>
  <c r="BA428" i="2" a="1"/>
  <c r="BA428" i="2" s="1"/>
  <c r="G428" i="2" s="1"/>
  <c r="V428" i="2"/>
  <c r="J428" i="2"/>
  <c r="BA427" i="2" a="1"/>
  <c r="BA427" i="2" s="1"/>
  <c r="G427" i="2" s="1"/>
  <c r="V427" i="2"/>
  <c r="J427" i="2"/>
  <c r="BA426" i="2" a="1"/>
  <c r="BA426" i="2" s="1"/>
  <c r="G426" i="2" s="1"/>
  <c r="V426" i="2"/>
  <c r="J426" i="2"/>
  <c r="BA425" i="2" a="1"/>
  <c r="BA425" i="2" s="1"/>
  <c r="G425" i="2" s="1"/>
  <c r="V425" i="2"/>
  <c r="J425" i="2"/>
  <c r="BA424" i="2" a="1"/>
  <c r="BA424" i="2"/>
  <c r="G424" i="2" s="1"/>
  <c r="V424" i="2"/>
  <c r="J424" i="2"/>
  <c r="BA423" i="2" a="1"/>
  <c r="BA423" i="2"/>
  <c r="G423" i="2" s="1"/>
  <c r="V423" i="2"/>
  <c r="J423" i="2"/>
  <c r="BA422" i="2" a="1"/>
  <c r="BA422" i="2"/>
  <c r="G422" i="2" s="1"/>
  <c r="V422" i="2"/>
  <c r="J422" i="2"/>
  <c r="BA421" i="2" a="1"/>
  <c r="BA421" i="2" s="1"/>
  <c r="G421" i="2" s="1"/>
  <c r="V421" i="2"/>
  <c r="J421" i="2"/>
  <c r="BA420" i="2" a="1"/>
  <c r="BA420" i="2"/>
  <c r="G420" i="2" s="1"/>
  <c r="V420" i="2"/>
  <c r="J420" i="2"/>
  <c r="BA419" i="2" a="1"/>
  <c r="BA419" i="2"/>
  <c r="G419" i="2" s="1"/>
  <c r="V419" i="2"/>
  <c r="J419" i="2"/>
  <c r="BA418" i="2" a="1"/>
  <c r="BA418" i="2" s="1"/>
  <c r="G418" i="2" s="1"/>
  <c r="V418" i="2"/>
  <c r="J418" i="2"/>
  <c r="BA417" i="2" a="1"/>
  <c r="BA417" i="2" s="1"/>
  <c r="V417" i="2"/>
  <c r="J417" i="2"/>
  <c r="G417" i="2"/>
  <c r="BA416" i="2" a="1"/>
  <c r="BA416" i="2" s="1"/>
  <c r="G416" i="2" s="1"/>
  <c r="V416" i="2"/>
  <c r="J416" i="2"/>
  <c r="BA415" i="2" a="1"/>
  <c r="BA415" i="2" s="1"/>
  <c r="G415" i="2" s="1"/>
  <c r="V415" i="2"/>
  <c r="J415" i="2"/>
  <c r="BA414" i="2" a="1"/>
  <c r="BA414" i="2" s="1"/>
  <c r="G414" i="2" s="1"/>
  <c r="V414" i="2"/>
  <c r="J414" i="2"/>
  <c r="BA413" i="2" a="1"/>
  <c r="BA413" i="2" s="1"/>
  <c r="G413" i="2" s="1"/>
  <c r="V413" i="2"/>
  <c r="J413" i="2"/>
  <c r="BA412" i="2" a="1"/>
  <c r="BA412" i="2" s="1"/>
  <c r="G412" i="2" s="1"/>
  <c r="V412" i="2"/>
  <c r="J412" i="2"/>
  <c r="BA411" i="2" a="1"/>
  <c r="BA411" i="2" s="1"/>
  <c r="G411" i="2" s="1"/>
  <c r="V411" i="2"/>
  <c r="J411" i="2"/>
  <c r="BA410" i="2" a="1"/>
  <c r="BA410" i="2" s="1"/>
  <c r="G410" i="2" s="1"/>
  <c r="V410" i="2"/>
  <c r="J410" i="2"/>
  <c r="BA409" i="2" a="1"/>
  <c r="BA409" i="2" s="1"/>
  <c r="G409" i="2" s="1"/>
  <c r="V409" i="2"/>
  <c r="J409" i="2"/>
  <c r="BA408" i="2" a="1"/>
  <c r="BA408" i="2"/>
  <c r="G408" i="2" s="1"/>
  <c r="V408" i="2"/>
  <c r="J408" i="2"/>
  <c r="BA407" i="2" a="1"/>
  <c r="BA407" i="2"/>
  <c r="G407" i="2" s="1"/>
  <c r="V407" i="2"/>
  <c r="J407" i="2"/>
  <c r="BA406" i="2" a="1"/>
  <c r="BA406" i="2"/>
  <c r="G406" i="2" s="1"/>
  <c r="V406" i="2"/>
  <c r="J406" i="2"/>
  <c r="BA405" i="2" a="1"/>
  <c r="BA405" i="2" s="1"/>
  <c r="G405" i="2" s="1"/>
  <c r="V405" i="2"/>
  <c r="J405" i="2"/>
  <c r="BA404" i="2" a="1"/>
  <c r="BA404" i="2"/>
  <c r="G404" i="2" s="1"/>
  <c r="V404" i="2"/>
  <c r="J404" i="2"/>
  <c r="BA403" i="2" a="1"/>
  <c r="BA403" i="2"/>
  <c r="G403" i="2" s="1"/>
  <c r="V403" i="2"/>
  <c r="J403" i="2"/>
  <c r="BA402" i="2" a="1"/>
  <c r="BA402" i="2" s="1"/>
  <c r="G402" i="2" s="1"/>
  <c r="V402" i="2"/>
  <c r="J402" i="2"/>
  <c r="BA401" i="2" a="1"/>
  <c r="BA401" i="2" s="1"/>
  <c r="V401" i="2"/>
  <c r="J401" i="2"/>
  <c r="G401" i="2"/>
  <c r="BA400" i="2" a="1"/>
  <c r="BA400" i="2" s="1"/>
  <c r="G400" i="2" s="1"/>
  <c r="V400" i="2"/>
  <c r="J400" i="2"/>
  <c r="BA399" i="2" a="1"/>
  <c r="BA399" i="2" s="1"/>
  <c r="G399" i="2" s="1"/>
  <c r="V399" i="2"/>
  <c r="J399" i="2"/>
  <c r="BA398" i="2" a="1"/>
  <c r="BA398" i="2" s="1"/>
  <c r="G398" i="2" s="1"/>
  <c r="V398" i="2"/>
  <c r="J398" i="2"/>
  <c r="BA397" i="2" a="1"/>
  <c r="BA397" i="2" s="1"/>
  <c r="G397" i="2" s="1"/>
  <c r="V397" i="2"/>
  <c r="J397" i="2"/>
  <c r="BA396" i="2" a="1"/>
  <c r="BA396" i="2" s="1"/>
  <c r="G396" i="2" s="1"/>
  <c r="V396" i="2"/>
  <c r="J396" i="2"/>
  <c r="BA395" i="2" a="1"/>
  <c r="BA395" i="2" s="1"/>
  <c r="G395" i="2" s="1"/>
  <c r="V395" i="2"/>
  <c r="J395" i="2"/>
  <c r="BA394" i="2" a="1"/>
  <c r="BA394" i="2" s="1"/>
  <c r="G394" i="2" s="1"/>
  <c r="V394" i="2"/>
  <c r="J394" i="2"/>
  <c r="BA393" i="2" a="1"/>
  <c r="BA393" i="2" s="1"/>
  <c r="G393" i="2" s="1"/>
  <c r="V393" i="2"/>
  <c r="J393" i="2"/>
  <c r="BA392" i="2" a="1"/>
  <c r="BA392" i="2"/>
  <c r="G392" i="2" s="1"/>
  <c r="V392" i="2"/>
  <c r="J392" i="2"/>
  <c r="BA391" i="2" a="1"/>
  <c r="BA391" i="2"/>
  <c r="G391" i="2" s="1"/>
  <c r="V391" i="2"/>
  <c r="J391" i="2"/>
  <c r="BA390" i="2" a="1"/>
  <c r="BA390" i="2"/>
  <c r="G390" i="2" s="1"/>
  <c r="V390" i="2"/>
  <c r="J390" i="2"/>
  <c r="BA389" i="2" a="1"/>
  <c r="BA389" i="2" s="1"/>
  <c r="G389" i="2" s="1"/>
  <c r="V389" i="2"/>
  <c r="J389" i="2"/>
  <c r="BA388" i="2" a="1"/>
  <c r="BA388" i="2" s="1"/>
  <c r="G388" i="2" s="1"/>
  <c r="V388" i="2"/>
  <c r="J388" i="2"/>
  <c r="BA387" i="2" a="1"/>
  <c r="BA387" i="2" s="1"/>
  <c r="G387" i="2" s="1"/>
  <c r="V387" i="2"/>
  <c r="J387" i="2"/>
  <c r="BA386" i="2" a="1"/>
  <c r="BA386" i="2" s="1"/>
  <c r="G386" i="2" s="1"/>
  <c r="V386" i="2"/>
  <c r="J386" i="2"/>
  <c r="BA385" i="2" a="1"/>
  <c r="BA385" i="2" s="1"/>
  <c r="V385" i="2"/>
  <c r="J385" i="2"/>
  <c r="G385" i="2"/>
  <c r="BA384" i="2" a="1"/>
  <c r="BA384" i="2" s="1"/>
  <c r="G384" i="2" s="1"/>
  <c r="V384" i="2"/>
  <c r="J384" i="2"/>
  <c r="BA383" i="2" a="1"/>
  <c r="BA383" i="2" s="1"/>
  <c r="G383" i="2" s="1"/>
  <c r="V383" i="2"/>
  <c r="J383" i="2"/>
  <c r="BA382" i="2" a="1"/>
  <c r="BA382" i="2" s="1"/>
  <c r="G382" i="2" s="1"/>
  <c r="V382" i="2"/>
  <c r="J382" i="2"/>
  <c r="BA381" i="2" a="1"/>
  <c r="BA381" i="2" s="1"/>
  <c r="G381" i="2" s="1"/>
  <c r="V381" i="2"/>
  <c r="J381" i="2"/>
  <c r="BA380" i="2" a="1"/>
  <c r="BA380" i="2" s="1"/>
  <c r="G380" i="2" s="1"/>
  <c r="V380" i="2"/>
  <c r="J380" i="2"/>
  <c r="BA379" i="2" a="1"/>
  <c r="BA379" i="2" s="1"/>
  <c r="G379" i="2" s="1"/>
  <c r="V379" i="2"/>
  <c r="J379" i="2"/>
  <c r="BA378" i="2" a="1"/>
  <c r="BA378" i="2" s="1"/>
  <c r="G378" i="2" s="1"/>
  <c r="V378" i="2"/>
  <c r="J378" i="2"/>
  <c r="BA377" i="2" a="1"/>
  <c r="BA377" i="2" s="1"/>
  <c r="G377" i="2" s="1"/>
  <c r="V377" i="2"/>
  <c r="J377" i="2"/>
  <c r="BA376" i="2" a="1"/>
  <c r="BA376" i="2"/>
  <c r="G376" i="2" s="1"/>
  <c r="V376" i="2"/>
  <c r="J376" i="2"/>
  <c r="BA375" i="2" a="1"/>
  <c r="BA375" i="2"/>
  <c r="G375" i="2" s="1"/>
  <c r="V375" i="2"/>
  <c r="J375" i="2"/>
  <c r="BA374" i="2" a="1"/>
  <c r="BA374" i="2"/>
  <c r="G374" i="2" s="1"/>
  <c r="V374" i="2"/>
  <c r="J374" i="2"/>
  <c r="BA373" i="2" a="1"/>
  <c r="BA373" i="2" s="1"/>
  <c r="G373" i="2" s="1"/>
  <c r="V373" i="2"/>
  <c r="J373" i="2"/>
  <c r="BA372" i="2" a="1"/>
  <c r="BA372" i="2" s="1"/>
  <c r="G372" i="2" s="1"/>
  <c r="V372" i="2"/>
  <c r="J372" i="2"/>
  <c r="BA371" i="2" a="1"/>
  <c r="BA371" i="2" s="1"/>
  <c r="G371" i="2" s="1"/>
  <c r="V371" i="2"/>
  <c r="J371" i="2"/>
  <c r="BA370" i="2" a="1"/>
  <c r="BA370" i="2" s="1"/>
  <c r="G370" i="2" s="1"/>
  <c r="V370" i="2"/>
  <c r="J370" i="2"/>
  <c r="BA369" i="2" a="1"/>
  <c r="BA369" i="2" s="1"/>
  <c r="V369" i="2"/>
  <c r="J369" i="2"/>
  <c r="G369" i="2"/>
  <c r="BA368" i="2" a="1"/>
  <c r="BA368" i="2" s="1"/>
  <c r="G368" i="2" s="1"/>
  <c r="V368" i="2"/>
  <c r="J368" i="2"/>
  <c r="BA367" i="2" a="1"/>
  <c r="BA367" i="2" s="1"/>
  <c r="G367" i="2" s="1"/>
  <c r="V367" i="2"/>
  <c r="J367" i="2"/>
  <c r="BA366" i="2" a="1"/>
  <c r="BA366" i="2" s="1"/>
  <c r="G366" i="2" s="1"/>
  <c r="V366" i="2"/>
  <c r="J366" i="2"/>
  <c r="BA365" i="2" a="1"/>
  <c r="BA365" i="2" s="1"/>
  <c r="G365" i="2" s="1"/>
  <c r="V365" i="2"/>
  <c r="J365" i="2"/>
  <c r="BA364" i="2" a="1"/>
  <c r="BA364" i="2" s="1"/>
  <c r="G364" i="2" s="1"/>
  <c r="V364" i="2"/>
  <c r="J364" i="2"/>
  <c r="BA363" i="2" a="1"/>
  <c r="BA363" i="2" s="1"/>
  <c r="G363" i="2" s="1"/>
  <c r="V363" i="2"/>
  <c r="J363" i="2"/>
  <c r="BA362" i="2" a="1"/>
  <c r="BA362" i="2" s="1"/>
  <c r="G362" i="2" s="1"/>
  <c r="V362" i="2"/>
  <c r="J362" i="2"/>
  <c r="BA361" i="2" a="1"/>
  <c r="BA361" i="2" s="1"/>
  <c r="G361" i="2" s="1"/>
  <c r="V361" i="2"/>
  <c r="J361" i="2"/>
  <c r="BA360" i="2" a="1"/>
  <c r="BA360" i="2"/>
  <c r="G360" i="2" s="1"/>
  <c r="V360" i="2"/>
  <c r="J360" i="2"/>
  <c r="BA359" i="2" a="1"/>
  <c r="BA359" i="2"/>
  <c r="G359" i="2" s="1"/>
  <c r="V359" i="2"/>
  <c r="J359" i="2"/>
  <c r="BA358" i="2" a="1"/>
  <c r="BA358" i="2"/>
  <c r="G358" i="2" s="1"/>
  <c r="V358" i="2"/>
  <c r="J358" i="2"/>
  <c r="BA357" i="2" a="1"/>
  <c r="BA357" i="2" s="1"/>
  <c r="G357" i="2" s="1"/>
  <c r="V357" i="2"/>
  <c r="J357" i="2"/>
  <c r="BA356" i="2" a="1"/>
  <c r="BA356" i="2"/>
  <c r="G356" i="2" s="1"/>
  <c r="V356" i="2"/>
  <c r="J356" i="2"/>
  <c r="BA355" i="2" a="1"/>
  <c r="BA355" i="2"/>
  <c r="G355" i="2" s="1"/>
  <c r="V355" i="2"/>
  <c r="J355" i="2"/>
  <c r="BA354" i="2" a="1"/>
  <c r="BA354" i="2" s="1"/>
  <c r="G354" i="2" s="1"/>
  <c r="V354" i="2"/>
  <c r="J354" i="2"/>
  <c r="BA353" i="2" a="1"/>
  <c r="BA353" i="2" s="1"/>
  <c r="V353" i="2"/>
  <c r="J353" i="2"/>
  <c r="G353" i="2"/>
  <c r="BA352" i="2" a="1"/>
  <c r="BA352" i="2" s="1"/>
  <c r="G352" i="2" s="1"/>
  <c r="V352" i="2"/>
  <c r="J352" i="2"/>
  <c r="BA351" i="2" a="1"/>
  <c r="BA351" i="2" s="1"/>
  <c r="G351" i="2" s="1"/>
  <c r="V351" i="2"/>
  <c r="BA350" i="2" a="1"/>
  <c r="BA350" i="2" s="1"/>
  <c r="G350" i="2" s="1"/>
  <c r="V350" i="2"/>
  <c r="BA349" i="2" a="1"/>
  <c r="BA349" i="2"/>
  <c r="G349" i="2" s="1"/>
  <c r="V349" i="2"/>
  <c r="BA348" i="2" a="1"/>
  <c r="BA348" i="2"/>
  <c r="G348" i="2" s="1"/>
  <c r="V348" i="2"/>
  <c r="J348" i="2"/>
  <c r="BA347" i="2" a="1"/>
  <c r="BA347" i="2"/>
  <c r="G347" i="2" s="1"/>
  <c r="V347" i="2"/>
  <c r="J347" i="2"/>
  <c r="BA346" i="2" a="1"/>
  <c r="BA346" i="2" s="1"/>
  <c r="G346" i="2" s="1"/>
  <c r="V346" i="2"/>
  <c r="J346" i="2"/>
  <c r="BA345" i="2" a="1"/>
  <c r="BA345" i="2"/>
  <c r="G345" i="2" s="1"/>
  <c r="V345" i="2"/>
  <c r="J345" i="2"/>
  <c r="BA344" i="2" a="1"/>
  <c r="BA344" i="2"/>
  <c r="G344" i="2" s="1"/>
  <c r="V344" i="2"/>
  <c r="J344" i="2"/>
  <c r="BA343" i="2" a="1"/>
  <c r="BA343" i="2"/>
  <c r="G343" i="2" s="1"/>
  <c r="V343" i="2"/>
  <c r="J343" i="2"/>
  <c r="BA342" i="2" a="1"/>
  <c r="BA342" i="2" s="1"/>
  <c r="G342" i="2" s="1"/>
  <c r="V342" i="2"/>
  <c r="J342" i="2"/>
  <c r="BA341" i="2" a="1"/>
  <c r="BA341" i="2" s="1"/>
  <c r="G341" i="2" s="1"/>
  <c r="V341" i="2"/>
  <c r="BA340" i="2" a="1"/>
  <c r="BA340" i="2" s="1"/>
  <c r="G340" i="2" s="1"/>
  <c r="V340" i="2"/>
  <c r="J340" i="2"/>
  <c r="BA339" i="2" a="1"/>
  <c r="BA339" i="2" s="1"/>
  <c r="G339" i="2" s="1"/>
  <c r="V339" i="2"/>
  <c r="J339" i="2"/>
  <c r="BA338" i="2" a="1"/>
  <c r="BA338" i="2" s="1"/>
  <c r="G338" i="2" s="1"/>
  <c r="V338" i="2"/>
  <c r="J338" i="2"/>
  <c r="BA337" i="2" a="1"/>
  <c r="BA337" i="2" s="1"/>
  <c r="V337" i="2"/>
  <c r="J337" i="2"/>
  <c r="G337" i="2"/>
  <c r="BA336" i="2" a="1"/>
  <c r="BA336" i="2"/>
  <c r="G336" i="2" s="1"/>
  <c r="V336" i="2"/>
  <c r="J336" i="2"/>
  <c r="BA335" i="2" a="1"/>
  <c r="BA335" i="2"/>
  <c r="G335" i="2" s="1"/>
  <c r="V335" i="2"/>
  <c r="J335" i="2"/>
  <c r="BA334" i="2" a="1"/>
  <c r="BA334" i="2"/>
  <c r="G334" i="2" s="1"/>
  <c r="V334" i="2"/>
  <c r="J334" i="2"/>
  <c r="BA333" i="2" a="1"/>
  <c r="BA333" i="2" s="1"/>
  <c r="G333" i="2" s="1"/>
  <c r="V333" i="2"/>
  <c r="J333" i="2"/>
  <c r="BA332" i="2" a="1"/>
  <c r="BA332" i="2"/>
  <c r="G332" i="2" s="1"/>
  <c r="V332" i="2"/>
  <c r="J332" i="2"/>
  <c r="BA331" i="2" a="1"/>
  <c r="BA331" i="2"/>
  <c r="G331" i="2" s="1"/>
  <c r="V331" i="2"/>
  <c r="J331" i="2"/>
  <c r="BA330" i="2" a="1"/>
  <c r="BA330" i="2"/>
  <c r="G330" i="2" s="1"/>
  <c r="V330" i="2"/>
  <c r="J330" i="2"/>
  <c r="BA329" i="2" a="1"/>
  <c r="BA329" i="2" s="1"/>
  <c r="G329" i="2" s="1"/>
  <c r="V329" i="2"/>
  <c r="J329" i="2"/>
  <c r="BA328" i="2" a="1"/>
  <c r="BA328" i="2"/>
  <c r="G328" i="2" s="1"/>
  <c r="V328" i="2"/>
  <c r="J328" i="2"/>
  <c r="BA327" i="2" a="1"/>
  <c r="BA327" i="2"/>
  <c r="G327" i="2" s="1"/>
  <c r="V327" i="2"/>
  <c r="J327" i="2"/>
  <c r="BA326" i="2" a="1"/>
  <c r="BA326" i="2"/>
  <c r="G326" i="2" s="1"/>
  <c r="V326" i="2"/>
  <c r="J326" i="2"/>
  <c r="BA325" i="2" a="1"/>
  <c r="BA325" i="2" s="1"/>
  <c r="G325" i="2" s="1"/>
  <c r="V325" i="2"/>
  <c r="J325" i="2"/>
  <c r="BA324" i="2" a="1"/>
  <c r="BA324" i="2" s="1"/>
  <c r="G324" i="2" s="1"/>
  <c r="V324" i="2"/>
  <c r="J324" i="2"/>
  <c r="BA323" i="2" a="1"/>
  <c r="BA323" i="2" s="1"/>
  <c r="G323" i="2" s="1"/>
  <c r="V323" i="2"/>
  <c r="J323" i="2"/>
  <c r="BA322" i="2" a="1"/>
  <c r="BA322" i="2" s="1"/>
  <c r="G322" i="2" s="1"/>
  <c r="V322" i="2"/>
  <c r="J322" i="2"/>
  <c r="BA321" i="2" a="1"/>
  <c r="BA321" i="2" s="1"/>
  <c r="V321" i="2"/>
  <c r="J321" i="2"/>
  <c r="G321" i="2"/>
  <c r="BA320" i="2" a="1"/>
  <c r="BA320" i="2"/>
  <c r="G320" i="2" s="1"/>
  <c r="V320" i="2"/>
  <c r="J320" i="2"/>
  <c r="BA319" i="2" a="1"/>
  <c r="BA319" i="2"/>
  <c r="G319" i="2" s="1"/>
  <c r="V319" i="2"/>
  <c r="J319" i="2"/>
  <c r="BA318" i="2" a="1"/>
  <c r="BA318" i="2"/>
  <c r="G318" i="2" s="1"/>
  <c r="V318" i="2"/>
  <c r="J318" i="2"/>
  <c r="BA317" i="2" a="1"/>
  <c r="BA317" i="2" s="1"/>
  <c r="G317" i="2" s="1"/>
  <c r="V317" i="2"/>
  <c r="J317" i="2"/>
  <c r="BA316" i="2" a="1"/>
  <c r="BA316" i="2"/>
  <c r="G316" i="2" s="1"/>
  <c r="V316" i="2"/>
  <c r="J316" i="2"/>
  <c r="BA315" i="2" a="1"/>
  <c r="BA315" i="2"/>
  <c r="G315" i="2" s="1"/>
  <c r="V315" i="2"/>
  <c r="J315" i="2"/>
  <c r="BA314" i="2" a="1"/>
  <c r="BA314" i="2"/>
  <c r="G314" i="2" s="1"/>
  <c r="V314" i="2"/>
  <c r="J314" i="2"/>
  <c r="BA313" i="2" a="1"/>
  <c r="BA313" i="2" s="1"/>
  <c r="G313" i="2" s="1"/>
  <c r="V313" i="2"/>
  <c r="J313" i="2"/>
  <c r="BA312" i="2" a="1"/>
  <c r="BA312" i="2"/>
  <c r="G312" i="2" s="1"/>
  <c r="V312" i="2"/>
  <c r="J312" i="2"/>
  <c r="BA311" i="2" a="1"/>
  <c r="BA311" i="2"/>
  <c r="G311" i="2" s="1"/>
  <c r="V311" i="2"/>
  <c r="J311" i="2"/>
  <c r="BA310" i="2" a="1"/>
  <c r="BA310" i="2"/>
  <c r="G310" i="2" s="1"/>
  <c r="V310" i="2"/>
  <c r="J310" i="2"/>
  <c r="BA309" i="2" a="1"/>
  <c r="BA309" i="2" s="1"/>
  <c r="G309" i="2" s="1"/>
  <c r="V309" i="2"/>
  <c r="J309" i="2"/>
  <c r="BA308" i="2" a="1"/>
  <c r="BA308" i="2" s="1"/>
  <c r="G308" i="2" s="1"/>
  <c r="V308" i="2"/>
  <c r="J308" i="2"/>
  <c r="BA307" i="2" a="1"/>
  <c r="BA307" i="2" s="1"/>
  <c r="G307" i="2" s="1"/>
  <c r="V307" i="2"/>
  <c r="J307" i="2"/>
  <c r="BA306" i="2" a="1"/>
  <c r="BA306" i="2" s="1"/>
  <c r="G306" i="2" s="1"/>
  <c r="V306" i="2"/>
  <c r="J306" i="2"/>
  <c r="BA305" i="2" a="1"/>
  <c r="BA305" i="2" s="1"/>
  <c r="G305" i="2" s="1"/>
  <c r="V305" i="2"/>
  <c r="J305" i="2"/>
  <c r="BA304" i="2" a="1"/>
  <c r="BA304" i="2"/>
  <c r="G304" i="2" s="1"/>
  <c r="V304" i="2"/>
  <c r="J304" i="2"/>
  <c r="BA303" i="2" a="1"/>
  <c r="BA303" i="2"/>
  <c r="G303" i="2" s="1"/>
  <c r="V303" i="2"/>
  <c r="BA302" i="2" a="1"/>
  <c r="BA302" i="2"/>
  <c r="G302" i="2" s="1"/>
  <c r="V302" i="2"/>
  <c r="J302" i="2"/>
  <c r="BA301" i="2" a="1"/>
  <c r="BA301" i="2" s="1"/>
  <c r="G301" i="2" s="1"/>
  <c r="V301" i="2"/>
  <c r="J301" i="2"/>
  <c r="BA300" i="2" a="1"/>
  <c r="BA300" i="2" s="1"/>
  <c r="V300" i="2"/>
  <c r="J300" i="2"/>
  <c r="G300" i="2"/>
  <c r="BA299" i="2" a="1"/>
  <c r="BA299" i="2"/>
  <c r="G299" i="2" s="1"/>
  <c r="V299" i="2"/>
  <c r="J299" i="2"/>
  <c r="BA298" i="2" a="1"/>
  <c r="BA298" i="2"/>
  <c r="G298" i="2" s="1"/>
  <c r="V298" i="2"/>
  <c r="J298" i="2"/>
  <c r="BA297" i="2" a="1"/>
  <c r="BA297" i="2"/>
  <c r="G297" i="2" s="1"/>
  <c r="V297" i="2"/>
  <c r="J297" i="2"/>
  <c r="BA296" i="2" a="1"/>
  <c r="BA296" i="2" s="1"/>
  <c r="G296" i="2" s="1"/>
  <c r="V296" i="2"/>
  <c r="J296" i="2"/>
  <c r="BA295" i="2" a="1"/>
  <c r="BA295" i="2" s="1"/>
  <c r="G295" i="2" s="1"/>
  <c r="V295" i="2"/>
  <c r="J295" i="2"/>
  <c r="BA294" i="2" a="1"/>
  <c r="BA294" i="2" s="1"/>
  <c r="G294" i="2" s="1"/>
  <c r="V294" i="2"/>
  <c r="J294" i="2"/>
  <c r="BA293" i="2" a="1"/>
  <c r="BA293" i="2" s="1"/>
  <c r="G293" i="2" s="1"/>
  <c r="V293" i="2"/>
  <c r="J293" i="2"/>
  <c r="BA292" i="2" a="1"/>
  <c r="BA292" i="2" s="1"/>
  <c r="G292" i="2" s="1"/>
  <c r="V292" i="2"/>
  <c r="J292" i="2"/>
  <c r="BA291" i="2" a="1"/>
  <c r="BA291" i="2"/>
  <c r="G291" i="2" s="1"/>
  <c r="V291" i="2"/>
  <c r="J291" i="2"/>
  <c r="BA290" i="2" a="1"/>
  <c r="BA290" i="2"/>
  <c r="G290" i="2" s="1"/>
  <c r="V290" i="2"/>
  <c r="J290" i="2"/>
  <c r="BA289" i="2" a="1"/>
  <c r="BA289" i="2"/>
  <c r="G289" i="2" s="1"/>
  <c r="V289" i="2"/>
  <c r="J289" i="2"/>
  <c r="BA288" i="2" a="1"/>
  <c r="BA288" i="2" s="1"/>
  <c r="G288" i="2" s="1"/>
  <c r="V288" i="2"/>
  <c r="J288" i="2"/>
  <c r="BA287" i="2" a="1"/>
  <c r="BA287" i="2" s="1"/>
  <c r="G287" i="2" s="1"/>
  <c r="V287" i="2"/>
  <c r="J287" i="2"/>
  <c r="BA286" i="2" a="1"/>
  <c r="BA286" i="2" s="1"/>
  <c r="G286" i="2" s="1"/>
  <c r="V286" i="2"/>
  <c r="J286" i="2"/>
  <c r="BA285" i="2" a="1"/>
  <c r="BA285" i="2"/>
  <c r="G285" i="2" s="1"/>
  <c r="V285" i="2"/>
  <c r="J285" i="2"/>
  <c r="BA284" i="2" a="1"/>
  <c r="BA284" i="2" s="1"/>
  <c r="G284" i="2" s="1"/>
  <c r="V284" i="2"/>
  <c r="J284" i="2"/>
  <c r="BA283" i="2" a="1"/>
  <c r="BA283" i="2" s="1"/>
  <c r="G283" i="2" s="1"/>
  <c r="V283" i="2"/>
  <c r="J283" i="2"/>
  <c r="BA282" i="2" a="1"/>
  <c r="BA282" i="2" s="1"/>
  <c r="G282" i="2" s="1"/>
  <c r="V282" i="2"/>
  <c r="J282" i="2"/>
  <c r="BA281" i="2" a="1"/>
  <c r="BA281" i="2" s="1"/>
  <c r="G281" i="2" s="1"/>
  <c r="V281" i="2"/>
  <c r="J281" i="2"/>
  <c r="BA280" i="2" a="1"/>
  <c r="BA280" i="2" s="1"/>
  <c r="G280" i="2" s="1"/>
  <c r="V280" i="2"/>
  <c r="J280" i="2"/>
  <c r="BA279" i="2" a="1"/>
  <c r="BA279" i="2"/>
  <c r="G279" i="2" s="1"/>
  <c r="V279" i="2"/>
  <c r="J279" i="2"/>
  <c r="BA278" i="2" a="1"/>
  <c r="BA278" i="2" s="1"/>
  <c r="G278" i="2" s="1"/>
  <c r="V278" i="2"/>
  <c r="J278" i="2"/>
  <c r="BA277" i="2" a="1"/>
  <c r="BA277" i="2" s="1"/>
  <c r="G277" i="2" s="1"/>
  <c r="V277" i="2"/>
  <c r="J277" i="2"/>
  <c r="BA276" i="2" a="1"/>
  <c r="BA276" i="2" s="1"/>
  <c r="G276" i="2" s="1"/>
  <c r="V276" i="2"/>
  <c r="J276" i="2"/>
  <c r="BA275" i="2" a="1"/>
  <c r="BA275" i="2"/>
  <c r="G275" i="2" s="1"/>
  <c r="V275" i="2"/>
  <c r="J275" i="2"/>
  <c r="BA274" i="2" a="1"/>
  <c r="BA274" i="2"/>
  <c r="G274" i="2" s="1"/>
  <c r="V274" i="2"/>
  <c r="J274" i="2"/>
  <c r="BA273" i="2" a="1"/>
  <c r="BA273" i="2"/>
  <c r="G273" i="2" s="1"/>
  <c r="V273" i="2"/>
  <c r="J273" i="2"/>
  <c r="BA272" i="2" a="1"/>
  <c r="BA272" i="2" s="1"/>
  <c r="G272" i="2" s="1"/>
  <c r="V272" i="2"/>
  <c r="J272" i="2"/>
  <c r="BA271" i="2" a="1"/>
  <c r="BA271" i="2" s="1"/>
  <c r="G271" i="2" s="1"/>
  <c r="V271" i="2"/>
  <c r="J271" i="2"/>
  <c r="BA270" i="2" a="1"/>
  <c r="BA270" i="2" s="1"/>
  <c r="G270" i="2" s="1"/>
  <c r="V270" i="2"/>
  <c r="J270" i="2"/>
  <c r="BA269" i="2" a="1"/>
  <c r="BA269" i="2"/>
  <c r="G269" i="2" s="1"/>
  <c r="V269" i="2"/>
  <c r="J269" i="2"/>
  <c r="BA268" i="2" a="1"/>
  <c r="BA268" i="2" s="1"/>
  <c r="G268" i="2" s="1"/>
  <c r="V268" i="2"/>
  <c r="J268" i="2"/>
  <c r="BA267" i="2" a="1"/>
  <c r="BA267" i="2" s="1"/>
  <c r="G267" i="2" s="1"/>
  <c r="V267" i="2"/>
  <c r="J267" i="2"/>
  <c r="BA266" i="2" a="1"/>
  <c r="BA266" i="2" s="1"/>
  <c r="G266" i="2" s="1"/>
  <c r="V266" i="2"/>
  <c r="J266" i="2"/>
  <c r="BA265" i="2" a="1"/>
  <c r="BA265" i="2" s="1"/>
  <c r="G265" i="2" s="1"/>
  <c r="V265" i="2"/>
  <c r="J265" i="2"/>
  <c r="BA264" i="2" a="1"/>
  <c r="BA264" i="2" s="1"/>
  <c r="G264" i="2" s="1"/>
  <c r="V264" i="2"/>
  <c r="J264" i="2"/>
  <c r="BA263" i="2" a="1"/>
  <c r="BA263" i="2"/>
  <c r="G263" i="2" s="1"/>
  <c r="V263" i="2"/>
  <c r="J263" i="2"/>
  <c r="BA262" i="2" a="1"/>
  <c r="BA262" i="2" s="1"/>
  <c r="G262" i="2" s="1"/>
  <c r="V262" i="2"/>
  <c r="J262" i="2"/>
  <c r="BA261" i="2" a="1"/>
  <c r="BA261" i="2" s="1"/>
  <c r="G261" i="2" s="1"/>
  <c r="V261" i="2"/>
  <c r="J261" i="2"/>
  <c r="BA260" i="2" a="1"/>
  <c r="BA260" i="2" s="1"/>
  <c r="G260" i="2" s="1"/>
  <c r="V260" i="2"/>
  <c r="J260" i="2"/>
  <c r="BA259" i="2" a="1"/>
  <c r="BA259" i="2"/>
  <c r="G259" i="2" s="1"/>
  <c r="V259" i="2"/>
  <c r="J259" i="2"/>
  <c r="BA258" i="2" a="1"/>
  <c r="BA258" i="2"/>
  <c r="G258" i="2" s="1"/>
  <c r="V258" i="2"/>
  <c r="J258" i="2"/>
  <c r="BA257" i="2" a="1"/>
  <c r="BA257" i="2"/>
  <c r="G257" i="2" s="1"/>
  <c r="V257" i="2"/>
  <c r="J257" i="2"/>
  <c r="BA256" i="2" a="1"/>
  <c r="BA256" i="2" s="1"/>
  <c r="G256" i="2" s="1"/>
  <c r="V256" i="2"/>
  <c r="J256" i="2"/>
  <c r="BA255" i="2" a="1"/>
  <c r="BA255" i="2" s="1"/>
  <c r="G255" i="2" s="1"/>
  <c r="V255" i="2"/>
  <c r="J255" i="2"/>
  <c r="BA254" i="2" a="1"/>
  <c r="BA254" i="2" s="1"/>
  <c r="G254" i="2" s="1"/>
  <c r="V254" i="2"/>
  <c r="J254" i="2"/>
  <c r="BA253" i="2" a="1"/>
  <c r="BA253" i="2"/>
  <c r="G253" i="2" s="1"/>
  <c r="V253" i="2"/>
  <c r="J253" i="2"/>
  <c r="BA252" i="2" a="1"/>
  <c r="BA252" i="2" s="1"/>
  <c r="G252" i="2" s="1"/>
  <c r="V252" i="2"/>
  <c r="J252" i="2"/>
  <c r="BA251" i="2" a="1"/>
  <c r="BA251" i="2" s="1"/>
  <c r="G251" i="2" s="1"/>
  <c r="V251" i="2"/>
  <c r="J251" i="2"/>
  <c r="BA250" i="2" a="1"/>
  <c r="BA250" i="2" s="1"/>
  <c r="G250" i="2" s="1"/>
  <c r="V250" i="2"/>
  <c r="J250" i="2"/>
  <c r="BA249" i="2" a="1"/>
  <c r="BA249" i="2" s="1"/>
  <c r="G249" i="2" s="1"/>
  <c r="V249" i="2"/>
  <c r="J249" i="2"/>
  <c r="BA248" i="2" a="1"/>
  <c r="BA248" i="2" s="1"/>
  <c r="G248" i="2" s="1"/>
  <c r="V248" i="2"/>
  <c r="J248" i="2"/>
  <c r="BA247" i="2" a="1"/>
  <c r="BA247" i="2"/>
  <c r="G247" i="2" s="1"/>
  <c r="V247" i="2"/>
  <c r="J247" i="2"/>
  <c r="BA246" i="2" a="1"/>
  <c r="BA246" i="2" s="1"/>
  <c r="G246" i="2" s="1"/>
  <c r="V246" i="2"/>
  <c r="J246" i="2"/>
  <c r="BA245" i="2" a="1"/>
  <c r="BA245" i="2" s="1"/>
  <c r="G245" i="2" s="1"/>
  <c r="V245" i="2"/>
  <c r="J245" i="2"/>
  <c r="BA244" i="2" a="1"/>
  <c r="BA244" i="2" s="1"/>
  <c r="G244" i="2" s="1"/>
  <c r="V244" i="2"/>
  <c r="J244" i="2"/>
  <c r="BA243" i="2" a="1"/>
  <c r="BA243" i="2"/>
  <c r="G243" i="2" s="1"/>
  <c r="V243" i="2"/>
  <c r="J243" i="2"/>
  <c r="BA242" i="2" a="1"/>
  <c r="BA242" i="2"/>
  <c r="G242" i="2" s="1"/>
  <c r="V242" i="2"/>
  <c r="J242" i="2"/>
  <c r="BA241" i="2" a="1"/>
  <c r="BA241" i="2"/>
  <c r="G241" i="2" s="1"/>
  <c r="V241" i="2"/>
  <c r="J241" i="2"/>
  <c r="BA240" i="2" a="1"/>
  <c r="BA240" i="2" s="1"/>
  <c r="G240" i="2" s="1"/>
  <c r="V240" i="2"/>
  <c r="J240" i="2"/>
  <c r="BA239" i="2" a="1"/>
  <c r="BA239" i="2" s="1"/>
  <c r="G239" i="2" s="1"/>
  <c r="V239" i="2"/>
  <c r="J239" i="2"/>
  <c r="BA238" i="2" a="1"/>
  <c r="BA238" i="2" s="1"/>
  <c r="G238" i="2" s="1"/>
  <c r="V238" i="2"/>
  <c r="J238" i="2"/>
  <c r="BA237" i="2" a="1"/>
  <c r="BA237" i="2"/>
  <c r="G237" i="2" s="1"/>
  <c r="V237" i="2"/>
  <c r="J237" i="2"/>
  <c r="BA236" i="2" a="1"/>
  <c r="BA236" i="2" s="1"/>
  <c r="G236" i="2" s="1"/>
  <c r="V236" i="2"/>
  <c r="J236" i="2"/>
  <c r="BA235" i="2" a="1"/>
  <c r="BA235" i="2" s="1"/>
  <c r="G235" i="2" s="1"/>
  <c r="V235" i="2"/>
  <c r="J235" i="2"/>
  <c r="BA234" i="2" a="1"/>
  <c r="BA234" i="2" s="1"/>
  <c r="G234" i="2" s="1"/>
  <c r="V234" i="2"/>
  <c r="J234" i="2"/>
  <c r="BA233" i="2" a="1"/>
  <c r="BA233" i="2" s="1"/>
  <c r="G233" i="2" s="1"/>
  <c r="V233" i="2"/>
  <c r="J233" i="2"/>
  <c r="BA232" i="2" a="1"/>
  <c r="BA232" i="2" s="1"/>
  <c r="G232" i="2" s="1"/>
  <c r="V232" i="2"/>
  <c r="J232" i="2"/>
  <c r="BA231" i="2" a="1"/>
  <c r="BA231" i="2"/>
  <c r="G231" i="2" s="1"/>
  <c r="V231" i="2"/>
  <c r="J231" i="2"/>
  <c r="BA230" i="2" a="1"/>
  <c r="BA230" i="2" s="1"/>
  <c r="G230" i="2" s="1"/>
  <c r="V230" i="2"/>
  <c r="J230" i="2"/>
  <c r="BA229" i="2" a="1"/>
  <c r="BA229" i="2" s="1"/>
  <c r="G229" i="2" s="1"/>
  <c r="V229" i="2"/>
  <c r="J229" i="2"/>
  <c r="BA228" i="2" a="1"/>
  <c r="BA228" i="2" s="1"/>
  <c r="G228" i="2" s="1"/>
  <c r="V228" i="2"/>
  <c r="J228" i="2"/>
  <c r="BA227" i="2" a="1"/>
  <c r="BA227" i="2"/>
  <c r="G227" i="2" s="1"/>
  <c r="V227" i="2"/>
  <c r="BA226" i="2" a="1"/>
  <c r="BA226" i="2" s="1"/>
  <c r="G226" i="2" s="1"/>
  <c r="V226" i="2"/>
  <c r="BA225" i="2" a="1"/>
  <c r="BA225" i="2"/>
  <c r="G225" i="2" s="1"/>
  <c r="V225" i="2"/>
  <c r="J225" i="2"/>
  <c r="BA224" i="2" a="1"/>
  <c r="BA224" i="2"/>
  <c r="G224" i="2" s="1"/>
  <c r="V224" i="2"/>
  <c r="J224" i="2"/>
  <c r="BA223" i="2" a="1"/>
  <c r="BA223" i="2"/>
  <c r="G223" i="2" s="1"/>
  <c r="V223" i="2"/>
  <c r="J223" i="2"/>
  <c r="BA222" i="2" a="1"/>
  <c r="BA222" i="2" s="1"/>
  <c r="G222" i="2" s="1"/>
  <c r="V222" i="2"/>
  <c r="J222" i="2"/>
  <c r="BA221" i="2" a="1"/>
  <c r="BA221" i="2" s="1"/>
  <c r="G221" i="2" s="1"/>
  <c r="V221" i="2"/>
  <c r="J221" i="2"/>
  <c r="BA220" i="2" a="1"/>
  <c r="BA220" i="2" s="1"/>
  <c r="G220" i="2" s="1"/>
  <c r="V220" i="2"/>
  <c r="J220" i="2"/>
  <c r="BA219" i="2" a="1"/>
  <c r="BA219" i="2"/>
  <c r="G219" i="2" s="1"/>
  <c r="V219" i="2"/>
  <c r="J219" i="2"/>
  <c r="BA218" i="2" a="1"/>
  <c r="BA218" i="2" s="1"/>
  <c r="G218" i="2" s="1"/>
  <c r="V218" i="2"/>
  <c r="J218" i="2"/>
  <c r="BA217" i="2" a="1"/>
  <c r="BA217" i="2" s="1"/>
  <c r="G217" i="2" s="1"/>
  <c r="V217" i="2"/>
  <c r="J217" i="2"/>
  <c r="BA216" i="2" a="1"/>
  <c r="BA216" i="2" s="1"/>
  <c r="G216" i="2" s="1"/>
  <c r="V216" i="2"/>
  <c r="J216" i="2"/>
  <c r="BA215" i="2" a="1"/>
  <c r="BA215" i="2" s="1"/>
  <c r="G215" i="2" s="1"/>
  <c r="V215" i="2"/>
  <c r="J215" i="2"/>
  <c r="BA214" i="2" a="1"/>
  <c r="BA214" i="2" s="1"/>
  <c r="G214" i="2" s="1"/>
  <c r="V214" i="2"/>
  <c r="J214" i="2"/>
  <c r="BA213" i="2" a="1"/>
  <c r="BA213" i="2"/>
  <c r="G213" i="2" s="1"/>
  <c r="V213" i="2"/>
  <c r="J213" i="2"/>
  <c r="BA212" i="2" a="1"/>
  <c r="BA212" i="2" s="1"/>
  <c r="G212" i="2" s="1"/>
  <c r="V212" i="2"/>
  <c r="J212" i="2"/>
  <c r="BA211" i="2" a="1"/>
  <c r="BA211" i="2" s="1"/>
  <c r="G211" i="2" s="1"/>
  <c r="V211" i="2"/>
  <c r="J211" i="2"/>
  <c r="BA210" i="2" a="1"/>
  <c r="BA210" i="2" s="1"/>
  <c r="G210" i="2" s="1"/>
  <c r="V210" i="2"/>
  <c r="J210" i="2"/>
  <c r="BA209" i="2" a="1"/>
  <c r="BA209" i="2"/>
  <c r="G209" i="2" s="1"/>
  <c r="V209" i="2"/>
  <c r="J209" i="2"/>
  <c r="BA208" i="2" a="1"/>
  <c r="BA208" i="2"/>
  <c r="G208" i="2" s="1"/>
  <c r="V208" i="2"/>
  <c r="J208" i="2"/>
  <c r="BA207" i="2" a="1"/>
  <c r="BA207" i="2"/>
  <c r="G207" i="2" s="1"/>
  <c r="V207" i="2"/>
  <c r="J207" i="2"/>
  <c r="BA206" i="2" a="1"/>
  <c r="BA206" i="2" s="1"/>
  <c r="G206" i="2" s="1"/>
  <c r="V206" i="2"/>
  <c r="J206" i="2"/>
  <c r="BA205" i="2" a="1"/>
  <c r="BA205" i="2" s="1"/>
  <c r="G205" i="2" s="1"/>
  <c r="V205" i="2"/>
  <c r="J205" i="2"/>
  <c r="BA204" i="2" a="1"/>
  <c r="BA204" i="2" s="1"/>
  <c r="G204" i="2" s="1"/>
  <c r="V204" i="2"/>
  <c r="J204" i="2"/>
  <c r="BA203" i="2" a="1"/>
  <c r="BA203" i="2"/>
  <c r="G203" i="2" s="1"/>
  <c r="V203" i="2"/>
  <c r="J203" i="2"/>
  <c r="BA202" i="2" a="1"/>
  <c r="BA202" i="2" s="1"/>
  <c r="G202" i="2" s="1"/>
  <c r="V202" i="2"/>
  <c r="J202" i="2"/>
  <c r="BA201" i="2" a="1"/>
  <c r="BA201" i="2" s="1"/>
  <c r="G201" i="2" s="1"/>
  <c r="V201" i="2"/>
  <c r="J201" i="2"/>
  <c r="BA200" i="2" a="1"/>
  <c r="BA200" i="2" s="1"/>
  <c r="G200" i="2" s="1"/>
  <c r="V200" i="2"/>
  <c r="J200" i="2"/>
  <c r="BA199" i="2" a="1"/>
  <c r="BA199" i="2" s="1"/>
  <c r="G199" i="2" s="1"/>
  <c r="V199" i="2"/>
  <c r="J199" i="2"/>
  <c r="BA198" i="2" a="1"/>
  <c r="BA198" i="2" s="1"/>
  <c r="G198" i="2" s="1"/>
  <c r="V198" i="2"/>
  <c r="J198" i="2"/>
  <c r="BA197" i="2" a="1"/>
  <c r="BA197" i="2"/>
  <c r="G197" i="2" s="1"/>
  <c r="V197" i="2"/>
  <c r="J197" i="2"/>
  <c r="BA196" i="2" a="1"/>
  <c r="BA196" i="2" s="1"/>
  <c r="G196" i="2" s="1"/>
  <c r="V196" i="2"/>
  <c r="J196" i="2"/>
  <c r="BA195" i="2" a="1"/>
  <c r="BA195" i="2" s="1"/>
  <c r="G195" i="2" s="1"/>
  <c r="V195" i="2"/>
  <c r="J195" i="2"/>
  <c r="BA194" i="2" a="1"/>
  <c r="BA194" i="2" s="1"/>
  <c r="G194" i="2" s="1"/>
  <c r="V194" i="2"/>
  <c r="J194" i="2"/>
  <c r="BA193" i="2" a="1"/>
  <c r="BA193" i="2"/>
  <c r="G193" i="2" s="1"/>
  <c r="V193" i="2"/>
  <c r="J193" i="2"/>
  <c r="BA192" i="2" a="1"/>
  <c r="BA192" i="2"/>
  <c r="G192" i="2" s="1"/>
  <c r="V192" i="2"/>
  <c r="J192" i="2"/>
  <c r="BA191" i="2" a="1"/>
  <c r="BA191" i="2"/>
  <c r="G191" i="2" s="1"/>
  <c r="V191" i="2"/>
  <c r="J191" i="2"/>
  <c r="BA190" i="2" a="1"/>
  <c r="BA190" i="2" s="1"/>
  <c r="G190" i="2" s="1"/>
  <c r="V190" i="2"/>
  <c r="J190" i="2"/>
  <c r="BA189" i="2" a="1"/>
  <c r="BA189" i="2" s="1"/>
  <c r="G189" i="2" s="1"/>
  <c r="V189" i="2"/>
  <c r="J189" i="2"/>
  <c r="BA188" i="2" a="1"/>
  <c r="BA188" i="2" s="1"/>
  <c r="G188" i="2" s="1"/>
  <c r="V188" i="2"/>
  <c r="J188" i="2"/>
  <c r="BA187" i="2" a="1"/>
  <c r="BA187" i="2"/>
  <c r="G187" i="2" s="1"/>
  <c r="V187" i="2"/>
  <c r="J187" i="2"/>
  <c r="BA186" i="2" a="1"/>
  <c r="BA186" i="2" s="1"/>
  <c r="G186" i="2" s="1"/>
  <c r="V186" i="2"/>
  <c r="J186" i="2"/>
  <c r="BA185" i="2" a="1"/>
  <c r="BA185" i="2" s="1"/>
  <c r="G185" i="2" s="1"/>
  <c r="V185" i="2"/>
  <c r="J185" i="2"/>
  <c r="BA184" i="2" a="1"/>
  <c r="BA184" i="2" s="1"/>
  <c r="G184" i="2" s="1"/>
  <c r="V184" i="2"/>
  <c r="J184" i="2"/>
  <c r="BA183" i="2" a="1"/>
  <c r="BA183" i="2" s="1"/>
  <c r="G183" i="2" s="1"/>
  <c r="V183" i="2"/>
  <c r="J183" i="2"/>
  <c r="BA182" i="2" a="1"/>
  <c r="BA182" i="2" s="1"/>
  <c r="G182" i="2" s="1"/>
  <c r="V182" i="2"/>
  <c r="J182" i="2"/>
  <c r="BA181" i="2" a="1"/>
  <c r="BA181" i="2"/>
  <c r="G181" i="2" s="1"/>
  <c r="V181" i="2"/>
  <c r="J181" i="2"/>
  <c r="BA180" i="2" a="1"/>
  <c r="BA180" i="2" s="1"/>
  <c r="G180" i="2" s="1"/>
  <c r="V180" i="2"/>
  <c r="J180" i="2"/>
  <c r="BA179" i="2" a="1"/>
  <c r="BA179" i="2" s="1"/>
  <c r="G179" i="2" s="1"/>
  <c r="V179" i="2"/>
  <c r="J179" i="2"/>
  <c r="BA178" i="2" a="1"/>
  <c r="BA178" i="2" s="1"/>
  <c r="G178" i="2" s="1"/>
  <c r="V178" i="2"/>
  <c r="J178" i="2"/>
  <c r="BA177" i="2" a="1"/>
  <c r="BA177" i="2"/>
  <c r="G177" i="2" s="1"/>
  <c r="V177" i="2"/>
  <c r="J177" i="2"/>
  <c r="BA176" i="2" a="1"/>
  <c r="BA176" i="2"/>
  <c r="G176" i="2" s="1"/>
  <c r="V176" i="2"/>
  <c r="J176" i="2"/>
  <c r="BA175" i="2" a="1"/>
  <c r="BA175" i="2"/>
  <c r="G175" i="2" s="1"/>
  <c r="V175" i="2"/>
  <c r="J175" i="2"/>
  <c r="BA174" i="2" a="1"/>
  <c r="BA174" i="2" s="1"/>
  <c r="G174" i="2" s="1"/>
  <c r="V174" i="2"/>
  <c r="J174" i="2"/>
  <c r="BA173" i="2" a="1"/>
  <c r="BA173" i="2" s="1"/>
  <c r="G173" i="2" s="1"/>
  <c r="V173" i="2"/>
  <c r="J173" i="2"/>
  <c r="BA172" i="2" a="1"/>
  <c r="BA172" i="2" s="1"/>
  <c r="G172" i="2" s="1"/>
  <c r="V172" i="2"/>
  <c r="J172" i="2"/>
  <c r="BA171" i="2" a="1"/>
  <c r="BA171" i="2"/>
  <c r="G171" i="2" s="1"/>
  <c r="V171" i="2"/>
  <c r="J171" i="2"/>
  <c r="BA170" i="2" a="1"/>
  <c r="BA170" i="2" s="1"/>
  <c r="G170" i="2" s="1"/>
  <c r="V170" i="2"/>
  <c r="J170" i="2"/>
  <c r="BA169" i="2" a="1"/>
  <c r="BA169" i="2" s="1"/>
  <c r="G169" i="2" s="1"/>
  <c r="V169" i="2"/>
  <c r="J169" i="2"/>
  <c r="BA168" i="2" a="1"/>
  <c r="BA168" i="2" s="1"/>
  <c r="G168" i="2" s="1"/>
  <c r="V168" i="2"/>
  <c r="J168" i="2"/>
  <c r="BA167" i="2" a="1"/>
  <c r="BA167" i="2" s="1"/>
  <c r="G167" i="2" s="1"/>
  <c r="V167" i="2"/>
  <c r="J167" i="2"/>
  <c r="BA166" i="2" a="1"/>
  <c r="BA166" i="2" s="1"/>
  <c r="G166" i="2" s="1"/>
  <c r="V166" i="2"/>
  <c r="J166" i="2"/>
  <c r="BA165" i="2" a="1"/>
  <c r="BA165" i="2"/>
  <c r="G165" i="2" s="1"/>
  <c r="V165" i="2"/>
  <c r="J165" i="2"/>
  <c r="BA164" i="2" a="1"/>
  <c r="BA164" i="2" s="1"/>
  <c r="G164" i="2" s="1"/>
  <c r="V164" i="2"/>
  <c r="J164" i="2"/>
  <c r="BA163" i="2" a="1"/>
  <c r="BA163" i="2" s="1"/>
  <c r="G163" i="2" s="1"/>
  <c r="V163" i="2"/>
  <c r="J163" i="2"/>
  <c r="BA162" i="2" a="1"/>
  <c r="BA162" i="2" s="1"/>
  <c r="G162" i="2" s="1"/>
  <c r="V162" i="2"/>
  <c r="J162" i="2"/>
  <c r="BA161" i="2" a="1"/>
  <c r="BA161" i="2"/>
  <c r="G161" i="2" s="1"/>
  <c r="V161" i="2"/>
  <c r="J161" i="2"/>
  <c r="BA160" i="2" a="1"/>
  <c r="BA160" i="2"/>
  <c r="G160" i="2" s="1"/>
  <c r="V160" i="2"/>
  <c r="J160" i="2"/>
  <c r="BA159" i="2" a="1"/>
  <c r="BA159" i="2"/>
  <c r="G159" i="2" s="1"/>
  <c r="V159" i="2"/>
  <c r="J159" i="2"/>
  <c r="BA158" i="2" a="1"/>
  <c r="BA158" i="2" s="1"/>
  <c r="G158" i="2" s="1"/>
  <c r="V158" i="2"/>
  <c r="J158" i="2"/>
  <c r="BA157" i="2" a="1"/>
  <c r="BA157" i="2" s="1"/>
  <c r="G157" i="2" s="1"/>
  <c r="V157" i="2"/>
  <c r="J157" i="2"/>
  <c r="BA156" i="2" a="1"/>
  <c r="BA156" i="2" s="1"/>
  <c r="G156" i="2" s="1"/>
  <c r="V156" i="2"/>
  <c r="J156" i="2"/>
  <c r="BA155" i="2" a="1"/>
  <c r="BA155" i="2"/>
  <c r="G155" i="2" s="1"/>
  <c r="V155" i="2"/>
  <c r="J155" i="2"/>
  <c r="BA154" i="2" a="1"/>
  <c r="BA154" i="2" s="1"/>
  <c r="G154" i="2" s="1"/>
  <c r="V154" i="2"/>
  <c r="J154" i="2"/>
  <c r="BA153" i="2" a="1"/>
  <c r="BA153" i="2" s="1"/>
  <c r="G153" i="2" s="1"/>
  <c r="V153" i="2"/>
  <c r="J153" i="2"/>
  <c r="BA152" i="2" a="1"/>
  <c r="BA152" i="2" s="1"/>
  <c r="G152" i="2" s="1"/>
  <c r="V152" i="2"/>
  <c r="J152" i="2"/>
  <c r="BA151" i="2" a="1"/>
  <c r="BA151" i="2" s="1"/>
  <c r="G151" i="2" s="1"/>
  <c r="V151" i="2"/>
  <c r="J151" i="2"/>
  <c r="BA150" i="2" a="1"/>
  <c r="BA150" i="2" s="1"/>
  <c r="G150" i="2" s="1"/>
  <c r="V150" i="2"/>
  <c r="J150" i="2"/>
  <c r="BA149" i="2" a="1"/>
  <c r="BA149" i="2"/>
  <c r="G149" i="2" s="1"/>
  <c r="V149" i="2"/>
  <c r="J149" i="2"/>
  <c r="BA148" i="2" a="1"/>
  <c r="BA148" i="2" s="1"/>
  <c r="G148" i="2" s="1"/>
  <c r="V148" i="2"/>
  <c r="J148" i="2"/>
  <c r="BA147" i="2" a="1"/>
  <c r="BA147" i="2" s="1"/>
  <c r="G147" i="2" s="1"/>
  <c r="V147" i="2"/>
  <c r="J147" i="2"/>
  <c r="BA146" i="2" a="1"/>
  <c r="BA146" i="2" s="1"/>
  <c r="G146" i="2" s="1"/>
  <c r="V146" i="2"/>
  <c r="J146" i="2"/>
  <c r="BA145" i="2" a="1"/>
  <c r="BA145" i="2"/>
  <c r="G145" i="2" s="1"/>
  <c r="V145" i="2"/>
  <c r="J145" i="2"/>
  <c r="BA144" i="2" a="1"/>
  <c r="BA144" i="2"/>
  <c r="G144" i="2" s="1"/>
  <c r="V144" i="2"/>
  <c r="J144" i="2"/>
  <c r="BA143" i="2" a="1"/>
  <c r="BA143" i="2"/>
  <c r="G143" i="2" s="1"/>
  <c r="V143" i="2"/>
  <c r="J143" i="2"/>
  <c r="BA142" i="2" a="1"/>
  <c r="BA142" i="2" s="1"/>
  <c r="G142" i="2" s="1"/>
  <c r="V142" i="2"/>
  <c r="J142" i="2"/>
  <c r="BA141" i="2" a="1"/>
  <c r="BA141" i="2" s="1"/>
  <c r="G141" i="2" s="1"/>
  <c r="V141" i="2"/>
  <c r="J141" i="2"/>
  <c r="BA140" i="2" a="1"/>
  <c r="BA140" i="2" s="1"/>
  <c r="G140" i="2" s="1"/>
  <c r="V140" i="2"/>
  <c r="J140" i="2"/>
  <c r="BA139" i="2" a="1"/>
  <c r="BA139" i="2"/>
  <c r="G139" i="2" s="1"/>
  <c r="V139" i="2"/>
  <c r="J139" i="2"/>
  <c r="BA138" i="2" a="1"/>
  <c r="BA138" i="2" s="1"/>
  <c r="G138" i="2" s="1"/>
  <c r="V138" i="2"/>
  <c r="J138" i="2"/>
  <c r="BA137" i="2" a="1"/>
  <c r="BA137" i="2" s="1"/>
  <c r="G137" i="2" s="1"/>
  <c r="V137" i="2"/>
  <c r="J137" i="2"/>
  <c r="BA136" i="2" a="1"/>
  <c r="BA136" i="2" s="1"/>
  <c r="G136" i="2" s="1"/>
  <c r="V136" i="2"/>
  <c r="J136" i="2"/>
  <c r="BA135" i="2" a="1"/>
  <c r="BA135" i="2" s="1"/>
  <c r="G135" i="2" s="1"/>
  <c r="V135" i="2"/>
  <c r="J135" i="2"/>
  <c r="BA134" i="2" a="1"/>
  <c r="BA134" i="2" s="1"/>
  <c r="G134" i="2" s="1"/>
  <c r="V134" i="2"/>
  <c r="BA133" i="2" a="1"/>
  <c r="BA133" i="2" s="1"/>
  <c r="G133" i="2" s="1"/>
  <c r="V133" i="2"/>
  <c r="J133" i="2"/>
  <c r="BA132" i="2" a="1"/>
  <c r="BA132" i="2" s="1"/>
  <c r="G132" i="2" s="1"/>
  <c r="V132" i="2"/>
  <c r="J132" i="2"/>
  <c r="BA131" i="2" a="1"/>
  <c r="BA131" i="2"/>
  <c r="G131" i="2" s="1"/>
  <c r="V131" i="2"/>
  <c r="J131" i="2"/>
  <c r="BA130" i="2" a="1"/>
  <c r="BA130" i="2"/>
  <c r="G130" i="2" s="1"/>
  <c r="V130" i="2"/>
  <c r="J130" i="2"/>
  <c r="BA129" i="2" a="1"/>
  <c r="BA129" i="2"/>
  <c r="G129" i="2" s="1"/>
  <c r="V129" i="2"/>
  <c r="J129" i="2"/>
  <c r="BA128" i="2" a="1"/>
  <c r="BA128" i="2" s="1"/>
  <c r="G128" i="2" s="1"/>
  <c r="V128" i="2"/>
  <c r="J128" i="2"/>
  <c r="BA127" i="2" a="1"/>
  <c r="BA127" i="2" s="1"/>
  <c r="G127" i="2" s="1"/>
  <c r="V127" i="2"/>
  <c r="J127" i="2"/>
  <c r="BA126" i="2" a="1"/>
  <c r="BA126" i="2" s="1"/>
  <c r="G126" i="2" s="1"/>
  <c r="V126" i="2"/>
  <c r="J126" i="2"/>
  <c r="BA125" i="2" a="1"/>
  <c r="BA125" i="2" s="1"/>
  <c r="G125" i="2" s="1"/>
  <c r="V125" i="2"/>
  <c r="J125" i="2"/>
  <c r="BA124" i="2" a="1"/>
  <c r="BA124" i="2" s="1"/>
  <c r="G124" i="2" s="1"/>
  <c r="V124" i="2"/>
  <c r="J124" i="2"/>
  <c r="BA123" i="2" a="1"/>
  <c r="BA123" i="2"/>
  <c r="G123" i="2" s="1"/>
  <c r="V123" i="2"/>
  <c r="J123" i="2"/>
  <c r="BA122" i="2" a="1"/>
  <c r="BA122" i="2"/>
  <c r="G122" i="2" s="1"/>
  <c r="V122" i="2"/>
  <c r="J122" i="2"/>
  <c r="BA121" i="2" a="1"/>
  <c r="BA121" i="2"/>
  <c r="G121" i="2" s="1"/>
  <c r="V121" i="2"/>
  <c r="J121" i="2"/>
  <c r="BA120" i="2" a="1"/>
  <c r="BA120" i="2" s="1"/>
  <c r="G120" i="2" s="1"/>
  <c r="V120" i="2"/>
  <c r="J120" i="2"/>
  <c r="BA119" i="2" a="1"/>
  <c r="BA119" i="2" s="1"/>
  <c r="G119" i="2" s="1"/>
  <c r="V119" i="2"/>
  <c r="J119" i="2"/>
  <c r="BA118" i="2" a="1"/>
  <c r="BA118" i="2" s="1"/>
  <c r="G118" i="2" s="1"/>
  <c r="V118" i="2"/>
  <c r="J118" i="2"/>
  <c r="BA117" i="2" a="1"/>
  <c r="BA117" i="2" s="1"/>
  <c r="G117" i="2" s="1"/>
  <c r="V117" i="2"/>
  <c r="J117" i="2"/>
  <c r="BA116" i="2" a="1"/>
  <c r="BA116" i="2" s="1"/>
  <c r="G116" i="2" s="1"/>
  <c r="V116" i="2"/>
  <c r="J116" i="2"/>
  <c r="BA115" i="2" a="1"/>
  <c r="BA115" i="2"/>
  <c r="G115" i="2" s="1"/>
  <c r="V115" i="2"/>
  <c r="J115" i="2"/>
  <c r="BA114" i="2" a="1"/>
  <c r="BA114" i="2"/>
  <c r="G114" i="2" s="1"/>
  <c r="V114" i="2"/>
  <c r="J114" i="2"/>
  <c r="BA113" i="2" a="1"/>
  <c r="BA113" i="2"/>
  <c r="G113" i="2" s="1"/>
  <c r="V113" i="2"/>
  <c r="J113" i="2"/>
  <c r="BA112" i="2" a="1"/>
  <c r="BA112" i="2" s="1"/>
  <c r="G112" i="2" s="1"/>
  <c r="V112" i="2"/>
  <c r="J112" i="2"/>
  <c r="BA111" i="2" a="1"/>
  <c r="BA111" i="2" s="1"/>
  <c r="G111" i="2" s="1"/>
  <c r="V111" i="2"/>
  <c r="J111" i="2"/>
  <c r="BA110" i="2" a="1"/>
  <c r="BA110" i="2" s="1"/>
  <c r="G110" i="2" s="1"/>
  <c r="V110" i="2"/>
  <c r="J110" i="2"/>
  <c r="BA109" i="2" a="1"/>
  <c r="BA109" i="2" s="1"/>
  <c r="G109" i="2" s="1"/>
  <c r="V109" i="2"/>
  <c r="J109" i="2"/>
  <c r="BA108" i="2" a="1"/>
  <c r="BA108" i="2" s="1"/>
  <c r="G108" i="2" s="1"/>
  <c r="V108" i="2"/>
  <c r="J108" i="2"/>
  <c r="BA107" i="2" a="1"/>
  <c r="BA107" i="2"/>
  <c r="G107" i="2" s="1"/>
  <c r="V107" i="2"/>
  <c r="J107" i="2"/>
  <c r="BA106" i="2" a="1"/>
  <c r="BA106" i="2"/>
  <c r="G106" i="2" s="1"/>
  <c r="V106" i="2"/>
  <c r="J106" i="2"/>
  <c r="BA105" i="2" a="1"/>
  <c r="BA105" i="2"/>
  <c r="G105" i="2" s="1"/>
  <c r="V105" i="2"/>
  <c r="J105" i="2"/>
  <c r="BA104" i="2" a="1"/>
  <c r="BA104" i="2" s="1"/>
  <c r="G104" i="2" s="1"/>
  <c r="V104" i="2"/>
  <c r="J104" i="2"/>
  <c r="BA103" i="2" a="1"/>
  <c r="BA103" i="2" s="1"/>
  <c r="G103" i="2" s="1"/>
  <c r="V103" i="2"/>
  <c r="J103" i="2"/>
  <c r="BA102" i="2" a="1"/>
  <c r="BA102" i="2" s="1"/>
  <c r="G102" i="2" s="1"/>
  <c r="V102" i="2"/>
  <c r="J102" i="2"/>
  <c r="BA101" i="2" a="1"/>
  <c r="BA101" i="2" s="1"/>
  <c r="G101" i="2" s="1"/>
  <c r="V101" i="2"/>
  <c r="J101" i="2"/>
  <c r="BA100" i="2" a="1"/>
  <c r="BA100" i="2" s="1"/>
  <c r="G100" i="2" s="1"/>
  <c r="V100" i="2"/>
  <c r="J100" i="2"/>
  <c r="BA99" i="2" a="1"/>
  <c r="BA99" i="2"/>
  <c r="G99" i="2" s="1"/>
  <c r="V99" i="2"/>
  <c r="J99" i="2"/>
  <c r="BA98" i="2" a="1"/>
  <c r="BA98" i="2"/>
  <c r="G98" i="2" s="1"/>
  <c r="V98" i="2"/>
  <c r="J98" i="2"/>
  <c r="BA97" i="2" a="1"/>
  <c r="BA97" i="2"/>
  <c r="G97" i="2" s="1"/>
  <c r="V97" i="2"/>
  <c r="J97" i="2"/>
  <c r="BA96" i="2" a="1"/>
  <c r="BA96" i="2" s="1"/>
  <c r="G96" i="2" s="1"/>
  <c r="V96" i="2"/>
  <c r="J96" i="2"/>
  <c r="BA95" i="2" a="1"/>
  <c r="BA95" i="2" s="1"/>
  <c r="G95" i="2" s="1"/>
  <c r="V95" i="2"/>
  <c r="J95" i="2"/>
  <c r="BA94" i="2" a="1"/>
  <c r="BA94" i="2" s="1"/>
  <c r="G94" i="2" s="1"/>
  <c r="V94" i="2"/>
  <c r="J94" i="2"/>
  <c r="BA93" i="2" a="1"/>
  <c r="BA93" i="2" s="1"/>
  <c r="G93" i="2" s="1"/>
  <c r="V93" i="2"/>
  <c r="J93" i="2"/>
  <c r="BA92" i="2" a="1"/>
  <c r="BA92" i="2" s="1"/>
  <c r="G92" i="2" s="1"/>
  <c r="V92" i="2"/>
  <c r="J92" i="2"/>
  <c r="BA91" i="2" a="1"/>
  <c r="BA91" i="2"/>
  <c r="G91" i="2" s="1"/>
  <c r="V91" i="2"/>
  <c r="J91" i="2"/>
  <c r="BA90" i="2" a="1"/>
  <c r="BA90" i="2"/>
  <c r="G90" i="2" s="1"/>
  <c r="V90" i="2"/>
  <c r="J90" i="2"/>
  <c r="BA89" i="2" a="1"/>
  <c r="BA89" i="2"/>
  <c r="G89" i="2" s="1"/>
  <c r="V89" i="2"/>
  <c r="J89" i="2"/>
  <c r="BA88" i="2" a="1"/>
  <c r="BA88" i="2" s="1"/>
  <c r="G88" i="2" s="1"/>
  <c r="V88" i="2"/>
  <c r="J88" i="2"/>
  <c r="BA87" i="2" a="1"/>
  <c r="BA87" i="2" s="1"/>
  <c r="G87" i="2" s="1"/>
  <c r="V87" i="2"/>
  <c r="J87" i="2"/>
  <c r="BA86" i="2" a="1"/>
  <c r="BA86" i="2" s="1"/>
  <c r="G86" i="2" s="1"/>
  <c r="V86" i="2"/>
  <c r="J86" i="2"/>
  <c r="BA85" i="2" a="1"/>
  <c r="BA85" i="2" s="1"/>
  <c r="G85" i="2" s="1"/>
  <c r="V85" i="2"/>
  <c r="J85" i="2"/>
  <c r="BA84" i="2" a="1"/>
  <c r="BA84" i="2" s="1"/>
  <c r="G84" i="2" s="1"/>
  <c r="V84" i="2"/>
  <c r="J84" i="2"/>
  <c r="BA83" i="2" a="1"/>
  <c r="BA83" i="2"/>
  <c r="G83" i="2" s="1"/>
  <c r="V83" i="2"/>
  <c r="J83" i="2"/>
  <c r="BA82" i="2" a="1"/>
  <c r="BA82" i="2"/>
  <c r="G82" i="2" s="1"/>
  <c r="V82" i="2"/>
  <c r="J82" i="2"/>
  <c r="BA81" i="2" a="1"/>
  <c r="BA81" i="2"/>
  <c r="G81" i="2" s="1"/>
  <c r="V81" i="2"/>
  <c r="BA80" i="2" a="1"/>
  <c r="BA80" i="2" s="1"/>
  <c r="G80" i="2" s="1"/>
  <c r="V80" i="2"/>
  <c r="J80" i="2"/>
  <c r="BA79" i="2" a="1"/>
  <c r="BA79" i="2" s="1"/>
  <c r="G79" i="2" s="1"/>
  <c r="V79" i="2"/>
  <c r="J79" i="2"/>
  <c r="BA78" i="2" a="1"/>
  <c r="BA78" i="2"/>
  <c r="G78" i="2" s="1"/>
  <c r="V78" i="2"/>
  <c r="J78" i="2"/>
  <c r="BA77" i="2" a="1"/>
  <c r="BA77" i="2"/>
  <c r="G77" i="2" s="1"/>
  <c r="V77" i="2"/>
  <c r="J77" i="2"/>
  <c r="BA76" i="2" a="1"/>
  <c r="BA76" i="2"/>
  <c r="G76" i="2" s="1"/>
  <c r="V76" i="2"/>
  <c r="J76" i="2"/>
  <c r="BA75" i="2" a="1"/>
  <c r="BA75" i="2" s="1"/>
  <c r="G75" i="2" s="1"/>
  <c r="V75" i="2"/>
  <c r="J75" i="2"/>
  <c r="BA74" i="2" a="1"/>
  <c r="BA74" i="2" s="1"/>
  <c r="G74" i="2" s="1"/>
  <c r="V74" i="2"/>
  <c r="J74" i="2"/>
  <c r="BA73" i="2" a="1"/>
  <c r="BA73" i="2" s="1"/>
  <c r="G73" i="2" s="1"/>
  <c r="V73" i="2"/>
  <c r="J73" i="2"/>
  <c r="BA72" i="2" a="1"/>
  <c r="BA72" i="2" s="1"/>
  <c r="G72" i="2" s="1"/>
  <c r="V72" i="2"/>
  <c r="J72" i="2"/>
  <c r="BA71" i="2" a="1"/>
  <c r="BA71" i="2" s="1"/>
  <c r="G71" i="2" s="1"/>
  <c r="V71" i="2"/>
  <c r="J71" i="2"/>
  <c r="BA70" i="2" a="1"/>
  <c r="BA70" i="2"/>
  <c r="G70" i="2" s="1"/>
  <c r="V70" i="2"/>
  <c r="J70" i="2"/>
  <c r="BA69" i="2" a="1"/>
  <c r="BA69" i="2"/>
  <c r="G69" i="2" s="1"/>
  <c r="V69" i="2"/>
  <c r="J69" i="2"/>
  <c r="BA68" i="2" a="1"/>
  <c r="BA68" i="2"/>
  <c r="G68" i="2" s="1"/>
  <c r="V68" i="2"/>
  <c r="J68" i="2"/>
  <c r="BA67" i="2" a="1"/>
  <c r="BA67" i="2" s="1"/>
  <c r="G67" i="2" s="1"/>
  <c r="V67" i="2"/>
  <c r="J67" i="2"/>
  <c r="BA66" i="2" a="1"/>
  <c r="BA66" i="2" s="1"/>
  <c r="G66" i="2" s="1"/>
  <c r="V66" i="2"/>
  <c r="J66" i="2"/>
  <c r="BA65" i="2" a="1"/>
  <c r="BA65" i="2" s="1"/>
  <c r="G65" i="2" s="1"/>
  <c r="V65" i="2"/>
  <c r="J65" i="2"/>
  <c r="BA64" i="2" a="1"/>
  <c r="BA64" i="2" s="1"/>
  <c r="G64" i="2" s="1"/>
  <c r="V64" i="2"/>
  <c r="J64" i="2"/>
  <c r="BA63" i="2" a="1"/>
  <c r="BA63" i="2" s="1"/>
  <c r="G63" i="2" s="1"/>
  <c r="V63" i="2"/>
  <c r="J63" i="2"/>
  <c r="BA62" i="2" a="1"/>
  <c r="BA62" i="2"/>
  <c r="G62" i="2" s="1"/>
  <c r="V62" i="2"/>
  <c r="J62" i="2"/>
  <c r="BA61" i="2" a="1"/>
  <c r="BA61" i="2"/>
  <c r="G61" i="2" s="1"/>
  <c r="V61" i="2"/>
  <c r="J61" i="2"/>
  <c r="BA60" i="2" a="1"/>
  <c r="BA60" i="2"/>
  <c r="G60" i="2" s="1"/>
  <c r="V60" i="2"/>
  <c r="J60" i="2"/>
  <c r="BA59" i="2" a="1"/>
  <c r="BA59" i="2" s="1"/>
  <c r="G59" i="2" s="1"/>
  <c r="V59" i="2"/>
  <c r="J59" i="2"/>
  <c r="BA58" i="2" a="1"/>
  <c r="BA58" i="2" s="1"/>
  <c r="G58" i="2" s="1"/>
  <c r="V58" i="2"/>
  <c r="J58" i="2"/>
  <c r="BA57" i="2" a="1"/>
  <c r="BA57" i="2" s="1"/>
  <c r="G57" i="2" s="1"/>
  <c r="V57" i="2"/>
  <c r="J57" i="2"/>
  <c r="BA56" i="2" a="1"/>
  <c r="BA56" i="2" s="1"/>
  <c r="G56" i="2" s="1"/>
  <c r="V56" i="2"/>
  <c r="J56" i="2"/>
  <c r="BA55" i="2" a="1"/>
  <c r="BA55" i="2" s="1"/>
  <c r="G55" i="2" s="1"/>
  <c r="V55" i="2"/>
  <c r="BA54" i="2" a="1"/>
  <c r="BA54" i="2" s="1"/>
  <c r="G54" i="2" s="1"/>
  <c r="V54" i="2"/>
  <c r="J54" i="2"/>
  <c r="BA53" i="2" a="1"/>
  <c r="BA53" i="2"/>
  <c r="G53" i="2" s="1"/>
  <c r="V53" i="2"/>
  <c r="J53" i="2"/>
  <c r="BA52" i="2" a="1"/>
  <c r="BA52" i="2"/>
  <c r="G52" i="2" s="1"/>
  <c r="V52" i="2"/>
  <c r="J52" i="2"/>
  <c r="BA51" i="2" a="1"/>
  <c r="BA51" i="2"/>
  <c r="G51" i="2" s="1"/>
  <c r="V51" i="2"/>
  <c r="J51" i="2"/>
  <c r="BA50" i="2" a="1"/>
  <c r="BA50" i="2" s="1"/>
  <c r="G50" i="2" s="1"/>
  <c r="V50" i="2"/>
  <c r="J50" i="2"/>
  <c r="BA49" i="2" a="1"/>
  <c r="BA49" i="2" s="1"/>
  <c r="G49" i="2" s="1"/>
  <c r="V49" i="2"/>
  <c r="J49" i="2"/>
  <c r="BA48" i="2" a="1"/>
  <c r="BA48" i="2" s="1"/>
  <c r="G48" i="2" s="1"/>
  <c r="V48" i="2"/>
  <c r="J48" i="2"/>
  <c r="BA47" i="2" a="1"/>
  <c r="BA47" i="2" s="1"/>
  <c r="G47" i="2" s="1"/>
  <c r="V47" i="2"/>
  <c r="J47" i="2"/>
  <c r="BA46" i="2" a="1"/>
  <c r="BA46" i="2" s="1"/>
  <c r="G46" i="2" s="1"/>
  <c r="V46" i="2"/>
  <c r="J46" i="2"/>
  <c r="BA45" i="2" a="1"/>
  <c r="BA45" i="2"/>
  <c r="G45" i="2" s="1"/>
  <c r="V45" i="2"/>
  <c r="J45" i="2"/>
  <c r="BA44" i="2" a="1"/>
  <c r="BA44" i="2"/>
  <c r="G44" i="2" s="1"/>
  <c r="V44" i="2"/>
  <c r="J44" i="2"/>
  <c r="BA43" i="2" a="1"/>
  <c r="BA43" i="2"/>
  <c r="G43" i="2" s="1"/>
  <c r="V43" i="2"/>
  <c r="J43" i="2"/>
  <c r="BA42" i="2" a="1"/>
  <c r="BA42" i="2" s="1"/>
  <c r="G42" i="2" s="1"/>
  <c r="V42" i="2"/>
  <c r="J42" i="2"/>
  <c r="BA41" i="2" a="1"/>
  <c r="BA41" i="2" s="1"/>
  <c r="G41" i="2" s="1"/>
  <c r="V41" i="2"/>
  <c r="J41" i="2"/>
  <c r="BA40" i="2" a="1"/>
  <c r="BA40" i="2" s="1"/>
  <c r="G40" i="2" s="1"/>
  <c r="V40" i="2"/>
  <c r="J40" i="2"/>
  <c r="BA39" i="2" a="1"/>
  <c r="BA39" i="2" s="1"/>
  <c r="G39" i="2" s="1"/>
  <c r="V39" i="2"/>
  <c r="J39" i="2"/>
  <c r="BA38" i="2" a="1"/>
  <c r="BA38" i="2" s="1"/>
  <c r="G38" i="2" s="1"/>
  <c r="V38" i="2"/>
  <c r="J38" i="2"/>
  <c r="BA37" i="2" a="1"/>
  <c r="BA37" i="2"/>
  <c r="V37" i="2"/>
  <c r="G37" i="2"/>
  <c r="BA36" i="2" a="1"/>
  <c r="BA36" i="2"/>
  <c r="G36" i="2" s="1"/>
  <c r="V36" i="2"/>
  <c r="J36" i="2"/>
  <c r="BA35" i="2" a="1"/>
  <c r="BA35" i="2"/>
  <c r="G35" i="2" s="1"/>
  <c r="V35" i="2"/>
  <c r="J35" i="2"/>
  <c r="BA34" i="2" a="1"/>
  <c r="BA34" i="2"/>
  <c r="G34" i="2" s="1"/>
  <c r="V34" i="2"/>
  <c r="J34" i="2"/>
  <c r="BA33" i="2" a="1"/>
  <c r="BA33" i="2" s="1"/>
  <c r="G33" i="2" s="1"/>
  <c r="V33" i="2"/>
  <c r="J33" i="2"/>
  <c r="BA32" i="2" a="1"/>
  <c r="BA32" i="2" s="1"/>
  <c r="G32" i="2" s="1"/>
  <c r="V32" i="2"/>
  <c r="J32" i="2"/>
  <c r="BA31" i="2" a="1"/>
  <c r="BA31" i="2" s="1"/>
  <c r="G31" i="2" s="1"/>
  <c r="V31" i="2"/>
  <c r="J31" i="2"/>
  <c r="BA30" i="2" a="1"/>
  <c r="BA30" i="2" s="1"/>
  <c r="G30" i="2" s="1"/>
  <c r="V30" i="2"/>
  <c r="J30" i="2"/>
  <c r="BA29" i="2" a="1"/>
  <c r="BA29" i="2" s="1"/>
  <c r="G29" i="2" s="1"/>
  <c r="V29" i="2"/>
  <c r="J29" i="2"/>
  <c r="BA28" i="2" a="1"/>
  <c r="BA28" i="2"/>
  <c r="G28" i="2" s="1"/>
  <c r="V28" i="2"/>
  <c r="J28" i="2"/>
  <c r="BA27" i="2" a="1"/>
  <c r="BA27" i="2"/>
  <c r="G27" i="2" s="1"/>
  <c r="V27" i="2"/>
  <c r="J27" i="2"/>
  <c r="BA26" i="2" a="1"/>
  <c r="BA26" i="2"/>
  <c r="G26" i="2" s="1"/>
  <c r="V26" i="2"/>
  <c r="J26" i="2"/>
  <c r="BA25" i="2" a="1"/>
  <c r="BA25" i="2" s="1"/>
  <c r="G25" i="2" s="1"/>
  <c r="V25" i="2"/>
  <c r="J25" i="2"/>
  <c r="BA24" i="2" a="1"/>
  <c r="BA24" i="2" s="1"/>
  <c r="G24" i="2" s="1"/>
  <c r="V24" i="2"/>
  <c r="J24" i="2"/>
  <c r="BA23" i="2" a="1"/>
  <c r="BA23" i="2" s="1"/>
  <c r="G23" i="2" s="1"/>
  <c r="V23" i="2"/>
  <c r="J23" i="2"/>
  <c r="BA22" i="2" a="1"/>
  <c r="BA22" i="2" s="1"/>
  <c r="G22" i="2" s="1"/>
  <c r="V22" i="2"/>
  <c r="J22" i="2"/>
  <c r="BA21" i="2" a="1"/>
  <c r="BA21" i="2" s="1"/>
  <c r="G21" i="2" s="1"/>
  <c r="V21" i="2"/>
  <c r="J21" i="2"/>
  <c r="BA20" i="2" a="1"/>
  <c r="BA20" i="2"/>
  <c r="G20" i="2" s="1"/>
  <c r="V20" i="2"/>
  <c r="J20" i="2"/>
  <c r="BA19" i="2" a="1"/>
  <c r="BA19" i="2"/>
  <c r="G19" i="2" s="1"/>
  <c r="V19" i="2"/>
  <c r="J19" i="2"/>
  <c r="BA18" i="2" a="1"/>
  <c r="BA18" i="2"/>
  <c r="G18" i="2" s="1"/>
  <c r="V18" i="2"/>
  <c r="J18" i="2"/>
  <c r="BA17" i="2" a="1"/>
  <c r="BA17" i="2" s="1"/>
  <c r="G17" i="2" s="1"/>
  <c r="V17" i="2"/>
  <c r="J17" i="2"/>
  <c r="BA16" i="2" a="1"/>
  <c r="BA16" i="2" s="1"/>
  <c r="G16" i="2" s="1"/>
  <c r="V16" i="2"/>
  <c r="J16" i="2"/>
  <c r="BA15" i="2" a="1"/>
  <c r="BA15" i="2" s="1"/>
  <c r="G15" i="2" s="1"/>
  <c r="V15" i="2"/>
  <c r="J15" i="2"/>
  <c r="BA14" i="2" a="1"/>
  <c r="BA14" i="2" s="1"/>
  <c r="G14" i="2" s="1"/>
  <c r="V14" i="2"/>
  <c r="J14" i="2"/>
  <c r="BA13" i="2" a="1"/>
  <c r="BA13" i="2" s="1"/>
  <c r="G13" i="2" s="1"/>
  <c r="V13" i="2"/>
  <c r="J13" i="2"/>
  <c r="BA12" i="2" a="1"/>
  <c r="BA12" i="2"/>
  <c r="G12" i="2" s="1"/>
  <c r="V12" i="2"/>
  <c r="BA11" i="2" a="1"/>
  <c r="BA11" i="2"/>
  <c r="G11" i="2" s="1"/>
  <c r="V11" i="2"/>
  <c r="BA10" i="2" a="1"/>
  <c r="BA10" i="2"/>
  <c r="G10" i="2" s="1"/>
  <c r="V10" i="2"/>
  <c r="J10" i="2"/>
  <c r="BA9" i="2" a="1"/>
  <c r="BA9" i="2"/>
  <c r="G9" i="2" s="1"/>
  <c r="V9" i="2"/>
  <c r="J9" i="2"/>
  <c r="BA8" i="2" a="1"/>
  <c r="BA8" i="2"/>
  <c r="G8" i="2" s="1"/>
  <c r="V8" i="2"/>
  <c r="J8" i="2"/>
  <c r="BA7" i="2" a="1"/>
  <c r="BA7" i="2" s="1"/>
  <c r="G7" i="2" s="1"/>
  <c r="V7" i="2"/>
  <c r="J7" i="2"/>
  <c r="BA6" i="2" a="1"/>
  <c r="BA6" i="2" s="1"/>
  <c r="G6" i="2" s="1"/>
  <c r="V6" i="2"/>
  <c r="J6" i="2"/>
  <c r="BA5" i="2" a="1"/>
  <c r="BA5" i="2" s="1"/>
  <c r="G5" i="2" s="1"/>
  <c r="V5" i="2"/>
  <c r="J5" i="2"/>
  <c r="BA4" i="2" a="1"/>
  <c r="BA4" i="2" s="1"/>
  <c r="G4" i="2" s="1"/>
  <c r="V4" i="2"/>
  <c r="J4" i="2"/>
  <c r="BA3" i="2" a="1"/>
  <c r="BA3" i="2" s="1"/>
  <c r="V3" i="2"/>
  <c r="J3" i="2"/>
  <c r="F27" i="13" l="1"/>
  <c r="BA867" i="2"/>
  <c r="K3" i="13" s="1"/>
  <c r="K8" i="13" s="1"/>
  <c r="G3" i="2"/>
  <c r="O4" i="14"/>
  <c r="M9" i="14"/>
  <c r="M13" i="14"/>
  <c r="M22" i="14"/>
  <c r="O19" i="14"/>
  <c r="M3" i="14"/>
  <c r="O23" i="14"/>
  <c r="M28" i="14"/>
  <c r="N20" i="14" s="1"/>
  <c r="O21" i="14"/>
  <c r="O25" i="14"/>
  <c r="G3" i="3"/>
  <c r="CJ397" i="3"/>
  <c r="K5" i="13" s="1"/>
  <c r="E8" i="13"/>
  <c r="I8" i="13"/>
  <c r="J15" i="13"/>
  <c r="B8" i="13"/>
  <c r="K5" i="14"/>
  <c r="L4" i="14" s="1"/>
  <c r="I453" i="10"/>
  <c r="M14" i="14"/>
  <c r="L3" i="14"/>
  <c r="O18" i="14"/>
  <c r="P8" i="14"/>
  <c r="P9" i="14"/>
  <c r="P12" i="14"/>
  <c r="P13" i="14"/>
  <c r="P3" i="14"/>
  <c r="P14" i="14"/>
  <c r="K13" i="14"/>
  <c r="M11" i="14"/>
  <c r="P10" i="14"/>
  <c r="K9" i="14"/>
  <c r="K14" i="14"/>
  <c r="M12" i="14"/>
  <c r="P11" i="14"/>
  <c r="K10" i="14"/>
  <c r="M8" i="14"/>
  <c r="K8" i="14"/>
  <c r="K11" i="14"/>
  <c r="K12" i="14"/>
  <c r="M10" i="14"/>
  <c r="O20" i="14"/>
  <c r="O24" i="14"/>
  <c r="N24" i="14"/>
  <c r="O26" i="14"/>
  <c r="P18" i="14"/>
  <c r="P4" i="14"/>
  <c r="K26" i="14"/>
  <c r="K24" i="14"/>
  <c r="K22" i="14"/>
  <c r="K20" i="14"/>
  <c r="K28" i="14" s="1"/>
  <c r="L28" i="14" l="1"/>
  <c r="L27" i="14"/>
  <c r="L19" i="14"/>
  <c r="L25" i="14"/>
  <c r="L21" i="14"/>
  <c r="L18" i="14"/>
  <c r="L23" i="14"/>
  <c r="L8" i="14"/>
  <c r="K15" i="14"/>
  <c r="L15" i="14" s="1"/>
  <c r="O11" i="14"/>
  <c r="O14" i="14"/>
  <c r="O22" i="14"/>
  <c r="N22" i="14"/>
  <c r="L22" i="14"/>
  <c r="N19" i="14"/>
  <c r="L14" i="14"/>
  <c r="O13" i="14"/>
  <c r="N13" i="14"/>
  <c r="L24" i="14"/>
  <c r="N26" i="14"/>
  <c r="L12" i="14"/>
  <c r="L10" i="14"/>
  <c r="L9" i="14"/>
  <c r="P5" i="14"/>
  <c r="P15" i="14"/>
  <c r="L5" i="14"/>
  <c r="M5" i="14"/>
  <c r="N4" i="14" s="1"/>
  <c r="O3" i="14"/>
  <c r="N3" i="14"/>
  <c r="N5" i="14" s="1"/>
  <c r="O9" i="14"/>
  <c r="L20" i="14"/>
  <c r="O10" i="14"/>
  <c r="N10" i="14"/>
  <c r="O12" i="14"/>
  <c r="O28" i="14"/>
  <c r="M27" i="14"/>
  <c r="N25" i="14"/>
  <c r="N23" i="14"/>
  <c r="N21" i="14"/>
  <c r="N28" i="14"/>
  <c r="N18" i="14"/>
  <c r="M15" i="14"/>
  <c r="O8" i="14"/>
  <c r="L13" i="14"/>
  <c r="L26" i="14"/>
  <c r="L11" i="14"/>
  <c r="N27" i="14" l="1"/>
  <c r="O27" i="14"/>
  <c r="N15" i="14"/>
  <c r="O15" i="14"/>
  <c r="N8" i="14"/>
  <c r="N11" i="14"/>
  <c r="N12" i="14"/>
  <c r="N9" i="14"/>
  <c r="N14" i="1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13" authorId="0" shapeId="0" xr:uid="{00000000-0006-0000-0000-000001000000}">
      <text>
        <r>
          <rPr>
            <sz val="10"/>
            <color rgb="FF000000"/>
            <rFont val="Arial"/>
            <scheme val="minor"/>
          </rPr>
          <t>Ligar para o Pedro Paulo no celular (62 99157-2626) antes de realizar as venda dos atuais ativos.
	-Mariana Souza
----
ANTES DE REALIZAR AS VENDAS DOS ATUAIS ATIVOS DA CARTEIRA DA CLIENTE LIGAR PARA O F.A. RODOLFO GOMES NO CELULAR (62) 98217-9653.
	-Mariana Souza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1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1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2" authorId="0" shapeId="0" xr:uid="{00000000-0006-0000-02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2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2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Q316" authorId="0" shapeId="0" xr:uid="{00000000-0006-0000-0200-000003000000}">
      <text>
        <r>
          <rPr>
            <sz val="10"/>
            <color rgb="FF000000"/>
            <rFont val="Arial"/>
            <scheme val="minor"/>
          </rPr>
          <t>R$500.000,00 em FII para ter retiradas mensais de 5 mil por mês;
R$ 826.000,00 Aproximadamente, na carteira Income fix.
	-Mariana Souza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300-000005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3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3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3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3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400-000004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400-000003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4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4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400-000005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500-000002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5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5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6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Q2" authorId="0" shapeId="0" xr:uid="{00000000-0006-0000-06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Y2" authorId="0" shapeId="0" xr:uid="{00000000-0006-0000-0600-000002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" authorId="0" shapeId="0" xr:uid="{00000000-0006-0000-08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N2" authorId="0" shapeId="0" xr:uid="{00000000-0006-0000-0800-000002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W2" authorId="0" shapeId="0" xr:uid="{00000000-0006-0000-0800-000001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130" authorId="0" shapeId="0" xr:uid="{00000000-0006-0000-0900-000001000000}">
      <text>
        <r>
          <rPr>
            <sz val="10"/>
            <color rgb="FF000000"/>
            <rFont val="Arial"/>
            <scheme val="minor"/>
          </rPr>
          <t>Não vender fundo imobiliário FAMB11B
	-Victor Nunes</t>
        </r>
      </text>
    </comment>
  </commentList>
</comments>
</file>

<file path=xl/sharedStrings.xml><?xml version="1.0" encoding="utf-8"?>
<sst xmlns="http://schemas.openxmlformats.org/spreadsheetml/2006/main" count="40756" uniqueCount="6872">
  <si>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</si>
  <si>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</si>
  <si>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</si>
  <si>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</si>
  <si>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</si>
  <si>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</si>
  <si>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</si>
  <si>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</si>
  <si>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</si>
  <si>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</si>
  <si>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</si>
  <si>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</si>
  <si>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</si>
  <si>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UF cliente</t>
  </si>
  <si>
    <t>Suitability</t>
  </si>
  <si>
    <t>Pasta</t>
  </si>
  <si>
    <t>Claudiney Araruna De Almeida</t>
  </si>
  <si>
    <t>U19299755</t>
  </si>
  <si>
    <t>Interactive Brokers</t>
  </si>
  <si>
    <t>Bluemetrix</t>
  </si>
  <si>
    <t>DF</t>
  </si>
  <si>
    <t>Gustavo Amorim</t>
  </si>
  <si>
    <t>PIPE</t>
  </si>
  <si>
    <t>Aguardando FA</t>
  </si>
  <si>
    <t>INT</t>
  </si>
  <si>
    <t>------</t>
  </si>
  <si>
    <t>374.602.931-72</t>
  </si>
  <si>
    <t>Luciana Soares Spindola</t>
  </si>
  <si>
    <t>000827730</t>
  </si>
  <si>
    <t>BTG</t>
  </si>
  <si>
    <t>Aguardando Suitability</t>
  </si>
  <si>
    <t>MONT</t>
  </si>
  <si>
    <t>Nilson Claro da Silva eou Jussara Aparecida Tufino Silva</t>
  </si>
  <si>
    <t>xxxxxxx</t>
  </si>
  <si>
    <t>SUL</t>
  </si>
  <si>
    <t>Rodrigo Milanez</t>
  </si>
  <si>
    <t>CON/ GR</t>
  </si>
  <si>
    <t>CDI</t>
  </si>
  <si>
    <t>324.143.909-72</t>
  </si>
  <si>
    <t>PR</t>
  </si>
  <si>
    <t>Conservador</t>
  </si>
  <si>
    <t>Edval Luiz Mazzari Junior</t>
  </si>
  <si>
    <t>INC</t>
  </si>
  <si>
    <t>048.036.009-02</t>
  </si>
  <si>
    <t>Elaine Assuncao Batista</t>
  </si>
  <si>
    <t>064.860.366-05</t>
  </si>
  <si>
    <t>MG</t>
  </si>
  <si>
    <t xml:space="preserve">Anilson Alves de Sousa Junior     </t>
  </si>
  <si>
    <t>004385806</t>
  </si>
  <si>
    <t>GO</t>
  </si>
  <si>
    <t>Vivian</t>
  </si>
  <si>
    <t>Aguardando Cobrança de Taxas</t>
  </si>
  <si>
    <t>Moderado</t>
  </si>
  <si>
    <t>Ahmad Taha</t>
  </si>
  <si>
    <t>004370897</t>
  </si>
  <si>
    <t>Bluemetrix (MI)</t>
  </si>
  <si>
    <t>Dijean Cardoso</t>
  </si>
  <si>
    <t>Aguardando Vinculação de conta</t>
  </si>
  <si>
    <t>CON</t>
  </si>
  <si>
    <t>176.149.328-03</t>
  </si>
  <si>
    <t>SP</t>
  </si>
  <si>
    <t xml:space="preserve">Investimentos HALAL, seguem a Sharia, Lei islãmica </t>
  </si>
  <si>
    <t>Renata Coscarelli Lodi Franca</t>
  </si>
  <si>
    <t>008017054</t>
  </si>
  <si>
    <t>Voga</t>
  </si>
  <si>
    <t xml:space="preserve">Rejane </t>
  </si>
  <si>
    <t>Carteira Monitoramento Especial para Fundos (SPMG II FII criado pelo cliente)</t>
  </si>
  <si>
    <t>Marco Aurelio Leite Domingues</t>
  </si>
  <si>
    <t>008020359</t>
  </si>
  <si>
    <t>752.613.086-15</t>
  </si>
  <si>
    <t>Leonardo Vono Ribeiro de Figueiredo</t>
  </si>
  <si>
    <t>004213139</t>
  </si>
  <si>
    <t>Altum</t>
  </si>
  <si>
    <t>João Victor Beze</t>
  </si>
  <si>
    <t>321.613.618-30</t>
  </si>
  <si>
    <t>Juliana Silvestre Bizuca</t>
  </si>
  <si>
    <t>008070407</t>
  </si>
  <si>
    <t>Larissa Montes</t>
  </si>
  <si>
    <t>001.074.201-80</t>
  </si>
  <si>
    <t>Fernao Cury Rodrigues</t>
  </si>
  <si>
    <t>VcInvest</t>
  </si>
  <si>
    <t>Bruno Ribeiro</t>
  </si>
  <si>
    <t>Pendente assinaturas</t>
  </si>
  <si>
    <t>833.769.091-72</t>
  </si>
  <si>
    <t>Jose Maurilio Coelho Rios</t>
  </si>
  <si>
    <t>004457481</t>
  </si>
  <si>
    <t>Guilherme Rios</t>
  </si>
  <si>
    <t>EQT</t>
  </si>
  <si>
    <t>IBOV</t>
  </si>
  <si>
    <t>049.106.487-04</t>
  </si>
  <si>
    <t>ES</t>
  </si>
  <si>
    <t>Arrojado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</si>
  <si>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</si>
  <si>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</si>
  <si>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</si>
  <si>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</si>
  <si>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</si>
  <si>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</si>
  <si>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</si>
  <si>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</si>
  <si>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</si>
  <si>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</si>
  <si>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</si>
  <si>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</si>
  <si>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</si>
  <si>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</si>
  <si>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</si>
  <si>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</si>
  <si>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</si>
  <si>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</si>
  <si>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</si>
  <si>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</si>
  <si>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</si>
  <si>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Data Primeiro Aporte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</si>
  <si>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</si>
  <si>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</si>
  <si>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</si>
  <si>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</si>
  <si>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</si>
  <si>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</si>
  <si>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</si>
  <si>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</si>
  <si>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</si>
  <si>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</si>
  <si>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</si>
  <si>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</si>
  <si>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</si>
  <si>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</si>
  <si>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</si>
  <si>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</si>
  <si>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</si>
  <si>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</si>
  <si>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</si>
  <si>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</si>
  <si>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</si>
  <si>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</si>
  <si>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</si>
  <si>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</si>
  <si>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30/09/2024</t>
  </si>
  <si>
    <t>Outubro (D-1)</t>
  </si>
  <si>
    <t>Adele Rossi Heusi</t>
  </si>
  <si>
    <t>004575632</t>
  </si>
  <si>
    <t>Theo Ramos Moutinho</t>
  </si>
  <si>
    <t>Encerrado</t>
  </si>
  <si>
    <t>Cliente solicitou troca de assessoria (08/08/2024)</t>
  </si>
  <si>
    <t>PF</t>
  </si>
  <si>
    <t>334.053.601-53</t>
  </si>
  <si>
    <t>Qualificado</t>
  </si>
  <si>
    <t>Adriana Garcia Rosa</t>
  </si>
  <si>
    <t>005715733</t>
  </si>
  <si>
    <t>Solution For Life</t>
  </si>
  <si>
    <t>Marcelo Franciscon</t>
  </si>
  <si>
    <t>Ativo</t>
  </si>
  <si>
    <t>RF: máx. 1 ano (10/10/2024)</t>
  </si>
  <si>
    <t>778.127.601-97</t>
  </si>
  <si>
    <t>Adriana Sobral Lourenco</t>
  </si>
  <si>
    <t>004240400</t>
  </si>
  <si>
    <t>Alexandre Moraes Xavier</t>
  </si>
  <si>
    <t>607.674.302-63</t>
  </si>
  <si>
    <t>Adriano Antônio Alves</t>
  </si>
  <si>
    <t>004451996</t>
  </si>
  <si>
    <t>Inativo</t>
  </si>
  <si>
    <t>Sem Saldo</t>
  </si>
  <si>
    <t>548.976.961-00</t>
  </si>
  <si>
    <t>Adriano Carvalho Costa</t>
  </si>
  <si>
    <t>003916735</t>
  </si>
  <si>
    <t>Felipe Rios</t>
  </si>
  <si>
    <t>Pode Operar</t>
  </si>
  <si>
    <t>006.352.131-84</t>
  </si>
  <si>
    <t>Adriano Marcio de Oliveira Flausino Filho</t>
  </si>
  <si>
    <t>004231371</t>
  </si>
  <si>
    <t>Bruno Henrique</t>
  </si>
  <si>
    <t>FUND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</si>
  <si>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</si>
  <si>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</si>
  <si>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</si>
  <si>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</si>
  <si>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</si>
  <si>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</si>
  <si>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817.848.051-49</t>
  </si>
  <si>
    <t>005662526</t>
  </si>
  <si>
    <t>Não</t>
  </si>
  <si>
    <t>EQT/ COADM</t>
  </si>
  <si>
    <t>IBOVESPA</t>
  </si>
  <si>
    <t>Ahmad Taha Comercio De Moveis LTDA</t>
  </si>
  <si>
    <t>004368468</t>
  </si>
  <si>
    <t>Investimentos seguem a Sharia, Lei islamica. Investimentos Halal. ETF de Referência, ISWD</t>
  </si>
  <si>
    <t>PJ</t>
  </si>
  <si>
    <t>10.574.646/0001-36</t>
  </si>
  <si>
    <t>Alan Mosele Tonin e/ou Laís Salgueiro Ribeiro</t>
  </si>
  <si>
    <t>005312963</t>
  </si>
  <si>
    <t>026.921.410-08</t>
  </si>
  <si>
    <t>Alana Abreu Coimbra</t>
  </si>
  <si>
    <t>005994117</t>
  </si>
  <si>
    <t>Poupinvista</t>
  </si>
  <si>
    <t>Jorge Luiz Braga de Carvalho</t>
  </si>
  <si>
    <t>344.229.001-53</t>
  </si>
  <si>
    <t>Alberto Carlos de Aguiar Rodrigues</t>
  </si>
  <si>
    <t>004376853</t>
  </si>
  <si>
    <t>Thiago Canabrava</t>
  </si>
  <si>
    <t>MOD</t>
  </si>
  <si>
    <t>359.321.801-10</t>
  </si>
  <si>
    <t>Alberto de Oliveira Faleiro Neto</t>
  </si>
  <si>
    <t>005142592</t>
  </si>
  <si>
    <t>Rejane Machado Souza</t>
  </si>
  <si>
    <t>Monitoramento</t>
  </si>
  <si>
    <t>Carteira Monitoramento Especial para Fundos (SPMG FII criado pelo cliente) (04/10/2024)</t>
  </si>
  <si>
    <t>898.277.406-87</t>
  </si>
  <si>
    <t>Alberto Vilar Trindade</t>
  </si>
  <si>
    <t>004480970</t>
  </si>
  <si>
    <t>Matheus Vilar</t>
  </si>
  <si>
    <t>Troca de Assessoria</t>
  </si>
  <si>
    <t>191.136.174-00</t>
  </si>
  <si>
    <t>Alessandra Andrade Vieira</t>
  </si>
  <si>
    <t>005993550</t>
  </si>
  <si>
    <t>MOD/ GR</t>
  </si>
  <si>
    <t>864.270.919-72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</si>
  <si>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</si>
  <si>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</si>
  <si>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</si>
  <si>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</si>
  <si>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</si>
  <si>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</si>
  <si>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</si>
  <si>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</si>
  <si>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</si>
  <si>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</si>
  <si>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</si>
  <si>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</si>
  <si>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</si>
  <si>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</si>
  <si>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</si>
  <si>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>610.888.701-04</t>
  </si>
  <si>
    <t>Alessandro Alcantara Correira</t>
  </si>
  <si>
    <t>008032597</t>
  </si>
  <si>
    <t>40K até D+1 (17/10/2024)</t>
  </si>
  <si>
    <t>092.878.271-92</t>
  </si>
  <si>
    <t>Alessandro Luis Almeida Bacelar Gama</t>
  </si>
  <si>
    <t>004252768</t>
  </si>
  <si>
    <t>João Victor de Moura Beze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</si>
  <si>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</si>
  <si>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</si>
  <si>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</si>
  <si>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</si>
  <si>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</si>
  <si>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</si>
  <si>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</si>
  <si>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</si>
  <si>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</si>
  <si>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</si>
  <si>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</si>
  <si>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</si>
  <si>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</si>
  <si>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</si>
  <si>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</si>
  <si>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</si>
  <si>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</si>
  <si>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</si>
  <si>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</si>
  <si>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</si>
  <si>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</si>
  <si>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</si>
  <si>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Lucas Zambrin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</si>
  <si>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</si>
  <si>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</si>
  <si>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</si>
  <si>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</si>
  <si>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</si>
  <si>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</si>
  <si>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</si>
  <si>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</si>
  <si>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</si>
  <si>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</si>
  <si>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</si>
  <si>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</si>
  <si>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</si>
  <si>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</si>
  <si>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Hugo Motta</t>
  </si>
  <si>
    <t>009.571.921-00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</si>
  <si>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</si>
  <si>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</si>
  <si>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</si>
  <si>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</si>
  <si>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</si>
  <si>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</si>
  <si>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</si>
  <si>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04.229.856/0001-94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</si>
  <si>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</si>
  <si>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</si>
  <si>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</si>
  <si>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</si>
  <si>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</si>
  <si>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</si>
  <si>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</si>
  <si>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</si>
  <si>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</si>
  <si>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</si>
  <si>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</si>
  <si>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</si>
  <si>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</si>
  <si>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</si>
  <si>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</si>
  <si>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</si>
  <si>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</si>
  <si>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</si>
  <si>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</si>
  <si>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</si>
  <si>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</si>
  <si>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</si>
  <si>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</si>
  <si>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</si>
  <si>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Ferreira dos Santos Correia</t>
  </si>
  <si>
    <t>008012870</t>
  </si>
  <si>
    <t>852.587.336-53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</si>
  <si>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</si>
  <si>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</si>
  <si>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</si>
  <si>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</si>
  <si>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</si>
  <si>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</si>
  <si>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</si>
  <si>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</si>
  <si>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</si>
  <si>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</si>
  <si>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</si>
  <si>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</si>
  <si>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</si>
  <si>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</si>
  <si>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</si>
  <si>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</si>
  <si>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</si>
  <si>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</si>
  <si>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</si>
  <si>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</si>
  <si>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</si>
  <si>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</si>
  <si>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</si>
  <si>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>Alexandre Xavier</t>
  </si>
  <si>
    <t>530.235.448-91</t>
  </si>
  <si>
    <t>Ana Maria Falavigna Silva</t>
  </si>
  <si>
    <t>004432579</t>
  </si>
  <si>
    <t>300K D+0 (27/09/2024)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</si>
  <si>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</si>
  <si>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</si>
  <si>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</si>
  <si>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</si>
  <si>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</si>
  <si>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</si>
  <si>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</si>
  <si>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</si>
  <si>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INC/ COADM</t>
  </si>
  <si>
    <t>Cliente solicitou troca de assessoria (17/07/2024)</t>
  </si>
  <si>
    <t>Ana Paula Villas Boas</t>
  </si>
  <si>
    <t>004210959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</si>
  <si>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</si>
  <si>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</si>
  <si>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</si>
  <si>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</si>
  <si>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</si>
  <si>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</si>
  <si>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</si>
  <si>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017.317.371-30</t>
  </si>
  <si>
    <t>PA</t>
  </si>
  <si>
    <t>André Reichert da Silva Godoy</t>
  </si>
  <si>
    <t>005003629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</si>
  <si>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</si>
  <si>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</si>
  <si>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</si>
  <si>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</si>
  <si>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</si>
  <si>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</si>
  <si>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</si>
  <si>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</si>
  <si>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</si>
  <si>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</si>
  <si>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</si>
  <si>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</si>
  <si>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</si>
  <si>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</si>
  <si>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</si>
  <si>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</si>
  <si>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</si>
  <si>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</si>
  <si>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</si>
  <si>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</si>
  <si>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</si>
  <si>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</si>
  <si>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>351.864.531-53</t>
  </si>
  <si>
    <t>Andrea Satyro Sa Ribeiro Fritzsche</t>
  </si>
  <si>
    <t>004181486</t>
  </si>
  <si>
    <t>875.628.047-53</t>
  </si>
  <si>
    <t>Angela Maria Sebastiani Van Lieshout</t>
  </si>
  <si>
    <t>008069255</t>
  </si>
  <si>
    <t>578.293.220-15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</si>
  <si>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</si>
  <si>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</si>
  <si>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</si>
  <si>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</si>
  <si>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</si>
  <si>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</si>
  <si>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</si>
  <si>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</si>
  <si>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</si>
  <si>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</si>
  <si>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>Alteração de C.A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</si>
  <si>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</si>
  <si>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</si>
  <si>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</si>
  <si>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</si>
  <si>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</si>
  <si>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</si>
  <si>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</si>
  <si>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</si>
  <si>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</si>
  <si>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</si>
  <si>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</si>
  <si>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</si>
  <si>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Vencimento aplicar em D+0 (30/10/2024)</t>
  </si>
  <si>
    <t>183.128.101-53</t>
  </si>
  <si>
    <t>Antonio Carlos Resende e Silva</t>
  </si>
  <si>
    <t>004451978</t>
  </si>
  <si>
    <t>Alteração de carteira finalizada (05/09/2023)</t>
  </si>
  <si>
    <t>848.310.308-72</t>
  </si>
  <si>
    <t>Antonio Daud Junior</t>
  </si>
  <si>
    <t>004241147</t>
  </si>
  <si>
    <t>054.978.816-61</t>
  </si>
  <si>
    <t>Anuar Michel Matni</t>
  </si>
  <si>
    <t>004582648</t>
  </si>
  <si>
    <t>002.725.749-53</t>
  </si>
  <si>
    <t>Asiel Henrique de Sousa</t>
  </si>
  <si>
    <t>004995535</t>
  </si>
  <si>
    <t>Alexandre Teixeira Campos</t>
  </si>
  <si>
    <t>093.874.473-91</t>
  </si>
  <si>
    <t>Profissional</t>
  </si>
  <si>
    <t>ASPA Participações</t>
  </si>
  <si>
    <t>004724018</t>
  </si>
  <si>
    <t>02.839.831/0001-87</t>
  </si>
  <si>
    <t>Assako Utsumi Okada</t>
  </si>
  <si>
    <t>004890544</t>
  </si>
  <si>
    <t>542.303.579-15</t>
  </si>
  <si>
    <t>004450724</t>
  </si>
  <si>
    <t>Alteração de carteira finalizada (20/03/2023)</t>
  </si>
  <si>
    <t>004958578</t>
  </si>
  <si>
    <t>STVM de entrada da Guide finalizada (02/10/2023)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</si>
  <si>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</si>
  <si>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</si>
  <si>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</si>
  <si>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</si>
  <si>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</si>
  <si>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t>Norton Fritzsche</t>
  </si>
  <si>
    <r>
      <rPr>
        <sz val="10"/>
        <color theme="1"/>
        <rFont val="Times New Roman"/>
      </rPr>
      <t>Não descricionária -</t>
    </r>
    <r>
      <rPr>
        <b/>
        <sz val="10"/>
        <color theme="1"/>
        <rFont val="Times New Roman"/>
      </rPr>
      <t xml:space="preserve"> NÃO OPERAR</t>
    </r>
    <r>
      <rPr>
        <sz val="10"/>
        <color theme="1"/>
        <rFont val="Times New Roman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</si>
  <si>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</si>
  <si>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</si>
  <si>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</si>
  <si>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</si>
  <si>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</si>
  <si>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</si>
  <si>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</si>
  <si>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</si>
  <si>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</si>
  <si>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</si>
  <si>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</si>
  <si>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</si>
  <si>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</si>
  <si>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</si>
  <si>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</si>
  <si>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</si>
  <si>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</si>
  <si>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</si>
  <si>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</si>
  <si>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</si>
  <si>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</si>
  <si>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</si>
  <si>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</si>
  <si>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</si>
  <si>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</si>
  <si>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</si>
  <si>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</si>
  <si>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</si>
  <si>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</si>
  <si>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</si>
  <si>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</si>
  <si>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</si>
  <si>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</si>
  <si>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</si>
  <si>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</si>
  <si>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</si>
  <si>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</si>
  <si>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</si>
  <si>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</si>
  <si>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</si>
  <si>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</si>
  <si>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</si>
  <si>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</si>
  <si>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</si>
  <si>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</si>
  <si>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</si>
  <si>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</si>
  <si>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</si>
  <si>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</si>
  <si>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</si>
  <si>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</si>
  <si>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</si>
  <si>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>150K D+0 (26/08/2024)</t>
  </si>
  <si>
    <t>Alteração de carteira finalizada (14/06/2024)</t>
  </si>
  <si>
    <t>038.109.721-85</t>
  </si>
  <si>
    <t>Bhruna Gabriely da Silva Balardim</t>
  </si>
  <si>
    <t>005295509</t>
  </si>
  <si>
    <t>Breno Lemes</t>
  </si>
  <si>
    <t>062.506.061-06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</si>
  <si>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</si>
  <si>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</si>
  <si>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</si>
  <si>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</si>
  <si>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</si>
  <si>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</si>
  <si>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</si>
  <si>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</si>
  <si>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</si>
  <si>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</si>
  <si>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</si>
  <si>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</si>
  <si>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</si>
  <si>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</si>
  <si>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</si>
  <si>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Garcia Lemes</t>
  </si>
  <si>
    <t>005341184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</si>
  <si>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</si>
  <si>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</si>
  <si>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</si>
  <si>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</si>
  <si>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</si>
  <si>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</si>
  <si>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</si>
  <si>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</si>
  <si>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</si>
  <si>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</si>
  <si>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</si>
  <si>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</si>
  <si>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</si>
  <si>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</si>
  <si>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</si>
  <si>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</si>
  <si>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</si>
  <si>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</si>
  <si>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</si>
  <si>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</si>
  <si>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</si>
  <si>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</si>
  <si>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</si>
  <si>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</si>
  <si>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</si>
  <si>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</si>
  <si>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</si>
  <si>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</si>
  <si>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</si>
  <si>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</si>
  <si>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</si>
  <si>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</si>
  <si>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</si>
  <si>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</si>
  <si>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</si>
  <si>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</si>
  <si>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</si>
  <si>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</si>
  <si>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</si>
  <si>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</si>
  <si>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</si>
  <si>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</si>
  <si>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</si>
  <si>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</si>
  <si>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</si>
  <si>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628.300.401-63</t>
  </si>
  <si>
    <t>Calidad III Consultoria Imobiliaria LTDA</t>
  </si>
  <si>
    <t>005708197</t>
  </si>
  <si>
    <t>39.982.559/0001-08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</si>
  <si>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</si>
  <si>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</si>
  <si>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</si>
  <si>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</si>
  <si>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</si>
  <si>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</si>
  <si>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</si>
  <si>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</si>
  <si>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</si>
  <si>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</si>
  <si>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</si>
  <si>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</si>
  <si>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</si>
  <si>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</si>
  <si>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</si>
  <si>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</si>
  <si>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</si>
  <si>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</si>
  <si>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</si>
  <si>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</si>
  <si>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</si>
  <si>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</si>
  <si>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</si>
  <si>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</si>
  <si>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</si>
  <si>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</si>
  <si>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</si>
  <si>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</si>
  <si>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</si>
  <si>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</si>
  <si>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</si>
  <si>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</si>
  <si>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</si>
  <si>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</si>
  <si>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</si>
  <si>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</si>
  <si>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</si>
  <si>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</si>
  <si>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</si>
  <si>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</si>
  <si>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</si>
  <si>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</si>
  <si>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</si>
  <si>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</si>
  <si>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</si>
  <si>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</si>
  <si>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</si>
  <si>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</si>
  <si>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</si>
  <si>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</si>
  <si>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</si>
  <si>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</si>
  <si>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</si>
  <si>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</si>
  <si>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</si>
  <si>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</si>
  <si>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Goulart Modesto Guimaraes</t>
  </si>
  <si>
    <t>008013889</t>
  </si>
  <si>
    <t>038.645.426-42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</si>
  <si>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</si>
  <si>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</si>
  <si>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</si>
  <si>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</si>
  <si>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</si>
  <si>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</si>
  <si>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</si>
  <si>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</si>
  <si>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</si>
  <si>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</si>
  <si>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</si>
  <si>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</si>
  <si>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</si>
  <si>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</si>
  <si>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</si>
  <si>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</si>
  <si>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</si>
  <si>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</si>
  <si>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</si>
  <si>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</si>
  <si>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</si>
  <si>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</si>
  <si>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</si>
  <si>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</si>
  <si>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</si>
  <si>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</si>
  <si>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</si>
  <si>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</si>
  <si>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</si>
  <si>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</si>
  <si>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7K em D+0 (28/08/2024)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</si>
  <si>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</si>
  <si>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</si>
  <si>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</si>
  <si>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</si>
  <si>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</si>
  <si>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</si>
  <si>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</si>
  <si>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</si>
  <si>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</si>
  <si>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</si>
  <si>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</si>
  <si>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</si>
  <si>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</si>
  <si>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</si>
  <si>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</si>
  <si>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</si>
  <si>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</si>
  <si>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</si>
  <si>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</si>
  <si>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</si>
  <si>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</si>
  <si>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</si>
  <si>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</si>
  <si>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</si>
  <si>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</si>
  <si>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</si>
  <si>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</si>
  <si>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</si>
  <si>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</si>
  <si>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</si>
  <si>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</si>
  <si>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</si>
  <si>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</si>
  <si>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</si>
  <si>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</si>
  <si>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</si>
  <si>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</si>
  <si>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</si>
  <si>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</si>
  <si>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</si>
  <si>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</si>
  <si>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</si>
  <si>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Claudia Dias Prado</t>
  </si>
  <si>
    <t>005044389</t>
  </si>
  <si>
    <t>536.894.961-87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</si>
  <si>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</si>
  <si>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</si>
  <si>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</si>
  <si>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</si>
  <si>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</si>
  <si>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</si>
  <si>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</si>
  <si>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</si>
  <si>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</si>
  <si>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</si>
  <si>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Claudio Humberto Nogueira Do Amaral</t>
  </si>
  <si>
    <t>008035153</t>
  </si>
  <si>
    <t>Carteira Monitoramento Especial para Fundos (SPMG II FII criado pelo cliente) (09/10/2024)</t>
  </si>
  <si>
    <t>277.473.286-72</t>
  </si>
  <si>
    <t>Clayton de Souza Pontes</t>
  </si>
  <si>
    <t>005624274</t>
  </si>
  <si>
    <t>151.627.021-53</t>
  </si>
  <si>
    <t>Cléria Lúcia Abreu de Siqueira</t>
  </si>
  <si>
    <t>004855960</t>
  </si>
  <si>
    <t>Troca de Assessoria de Thiago Canbrava para Guilherme dos Santos</t>
  </si>
  <si>
    <t>269.083.791-91</t>
  </si>
  <si>
    <t>Clineo Monteiro Franca Bisneto</t>
  </si>
  <si>
    <t>004204344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</si>
  <si>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</si>
  <si>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</si>
  <si>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</si>
  <si>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</si>
  <si>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</si>
  <si>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</si>
  <si>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</si>
  <si>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</si>
  <si>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</si>
  <si>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</si>
  <si>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</si>
  <si>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</si>
  <si>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</si>
  <si>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</si>
  <si>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</si>
  <si>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</si>
  <si>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</si>
  <si>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</si>
  <si>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</si>
  <si>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</si>
  <si>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</si>
  <si>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</si>
  <si>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</si>
  <si>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</si>
  <si>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</si>
  <si>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</si>
  <si>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</si>
  <si>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Cliente solicitou troca de assessoria 08/08/2024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</si>
  <si>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</si>
  <si>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</si>
  <si>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</si>
  <si>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</si>
  <si>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</si>
  <si>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</si>
  <si>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</si>
  <si>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</si>
  <si>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</si>
  <si>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</si>
  <si>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</si>
  <si>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</si>
  <si>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</si>
  <si>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</si>
  <si>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</si>
  <si>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</si>
  <si>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</si>
  <si>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</si>
  <si>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</si>
  <si>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</si>
  <si>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</si>
  <si>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</si>
  <si>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</si>
  <si>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</si>
  <si>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</si>
  <si>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</si>
  <si>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</si>
  <si>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</si>
  <si>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</si>
  <si>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</si>
  <si>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</si>
  <si>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</si>
  <si>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</si>
  <si>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</si>
  <si>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</si>
  <si>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</si>
  <si>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</si>
  <si>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</si>
  <si>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</si>
  <si>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</si>
  <si>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</si>
  <si>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</si>
  <si>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</si>
  <si>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</si>
  <si>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</si>
  <si>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</si>
  <si>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</si>
  <si>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</si>
  <si>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</si>
  <si>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</si>
  <si>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</si>
  <si>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</si>
  <si>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</si>
  <si>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</si>
  <si>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</si>
  <si>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</si>
  <si>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</si>
  <si>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</si>
  <si>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</si>
  <si>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</si>
  <si>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</si>
  <si>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</si>
  <si>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</si>
  <si>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</si>
  <si>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</si>
  <si>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</si>
  <si>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</si>
  <si>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</si>
  <si>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</si>
  <si>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</si>
  <si>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>80K D+0 (13/06/2024)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</si>
  <si>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</si>
  <si>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</si>
  <si>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</si>
  <si>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</si>
  <si>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</si>
  <si>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</si>
  <si>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Não aplicar CDB de vencimento 21/10/2024 (10/09/2024)</t>
  </si>
  <si>
    <t>028.476.669-07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</si>
  <si>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</si>
  <si>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</si>
  <si>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</si>
  <si>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</si>
  <si>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</si>
  <si>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</si>
  <si>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</si>
  <si>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</si>
  <si>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</si>
  <si>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</si>
  <si>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</si>
  <si>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</si>
  <si>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</si>
  <si>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</si>
  <si>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</si>
  <si>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</si>
  <si>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</si>
  <si>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</si>
  <si>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</si>
  <si>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</si>
  <si>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324.090.529-91</t>
  </si>
  <si>
    <t>004472404</t>
  </si>
  <si>
    <t>Dilson Satoshi Ishikura</t>
  </si>
  <si>
    <t>005332650</t>
  </si>
  <si>
    <t>Alteração de carteira finalizada (22/07/2024)</t>
  </si>
  <si>
    <t>080.631.888-02</t>
  </si>
  <si>
    <t>Dimitri Carvalho Homar</t>
  </si>
  <si>
    <t>005529100</t>
  </si>
  <si>
    <t>003.519.681-56</t>
  </si>
  <si>
    <t>Diogo Salomão Pontes</t>
  </si>
  <si>
    <t>004550415</t>
  </si>
  <si>
    <t>035.737.851-23</t>
  </si>
  <si>
    <t>Dirceu Alves do Nascimento</t>
  </si>
  <si>
    <t>004490636</t>
  </si>
  <si>
    <t>DIV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</si>
  <si>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</si>
  <si>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</si>
  <si>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</si>
  <si>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</si>
  <si>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</si>
  <si>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</si>
  <si>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</si>
  <si>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</si>
  <si>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</si>
  <si>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</si>
  <si>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</si>
  <si>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Douglas Arantes</t>
  </si>
  <si>
    <t>004384167</t>
  </si>
  <si>
    <t>128.616.341-20</t>
  </si>
  <si>
    <t>005608744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</si>
  <si>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</si>
  <si>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</si>
  <si>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</si>
  <si>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</si>
  <si>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</si>
  <si>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</si>
  <si>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</si>
  <si>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</si>
  <si>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</si>
  <si>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Edmar Teodoro de Moura</t>
  </si>
  <si>
    <t>008004851</t>
  </si>
  <si>
    <t>264.299.006-06</t>
  </si>
  <si>
    <t>Edmundo Starling Loureiro Franca</t>
  </si>
  <si>
    <t>004335144</t>
  </si>
  <si>
    <t>054.146.687-95</t>
  </si>
  <si>
    <t>003301389</t>
  </si>
  <si>
    <t>004335031</t>
  </si>
  <si>
    <t>Alteração de carteira finalizada (07/12/2023)</t>
  </si>
  <si>
    <t>004335251</t>
  </si>
  <si>
    <t>SMALL</t>
  </si>
  <si>
    <t>Alteração de carteira finalizada (02/10/2024)</t>
  </si>
  <si>
    <t>Edmur Amaral Marques</t>
  </si>
  <si>
    <t>005009026</t>
  </si>
  <si>
    <t>Manter o CRA BTG e o fundo de RF BNP Paribas Match DI na carteira/ 30% D+0 9 (06/06/2024)</t>
  </si>
  <si>
    <t>096.469.651-72</t>
  </si>
  <si>
    <t>Edna Ferreira da Silva Gama</t>
  </si>
  <si>
    <t>003895497</t>
  </si>
  <si>
    <t>423.491.091-00</t>
  </si>
  <si>
    <t>Edoardo Coutinho Lazzaretti</t>
  </si>
  <si>
    <t>004337021</t>
  </si>
  <si>
    <t>Caio Cesar Da Rocha Valente Araujo</t>
  </si>
  <si>
    <t>042.680.491-00</t>
  </si>
  <si>
    <t xml:space="preserve">Eduarda Gabriella Santos Borges </t>
  </si>
  <si>
    <t>005034522</t>
  </si>
  <si>
    <t>092.712.211-17</t>
  </si>
  <si>
    <t>Eduarda Sebastiani van Lieshout</t>
  </si>
  <si>
    <t>004229526</t>
  </si>
  <si>
    <t>Resgate Total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</si>
  <si>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</si>
  <si>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</si>
  <si>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</si>
  <si>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</si>
  <si>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</si>
  <si>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</si>
  <si>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</si>
  <si>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</si>
  <si>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</si>
  <si>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</si>
  <si>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</si>
  <si>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</si>
  <si>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</si>
  <si>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</si>
  <si>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</si>
  <si>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</si>
  <si>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</si>
  <si>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</si>
  <si>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</si>
  <si>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</si>
  <si>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</si>
  <si>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</si>
  <si>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</si>
  <si>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</si>
  <si>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</si>
  <si>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</si>
  <si>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</si>
  <si>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</si>
  <si>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</si>
  <si>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</si>
  <si>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</si>
  <si>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</si>
  <si>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</si>
  <si>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</si>
  <si>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</si>
  <si>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</si>
  <si>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</si>
  <si>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089.193.558-43</t>
  </si>
  <si>
    <t>Elaine Leal Luz Boiteux</t>
  </si>
  <si>
    <t>005018038</t>
  </si>
  <si>
    <t>484.543.461-04</t>
  </si>
  <si>
    <t>Elaine Leal Santos</t>
  </si>
  <si>
    <t>005338054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</si>
  <si>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</si>
  <si>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</si>
  <si>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</si>
  <si>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</si>
  <si>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</si>
  <si>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</si>
  <si>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</si>
  <si>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</si>
  <si>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</si>
  <si>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</si>
  <si>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</si>
  <si>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</si>
  <si>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</si>
  <si>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</si>
  <si>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</si>
  <si>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</si>
  <si>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</si>
  <si>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Guilherme dos Santos</t>
  </si>
  <si>
    <t>Manter em D+0, até apresentar plano de alocação com o cliente (31/07/2024)</t>
  </si>
  <si>
    <t>03.632.924/0001-07</t>
  </si>
  <si>
    <t>Eliane dos Santos</t>
  </si>
  <si>
    <t>005654122</t>
  </si>
  <si>
    <t>STVM Entrada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</si>
  <si>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</si>
  <si>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</si>
  <si>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</si>
  <si>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</si>
  <si>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</si>
  <si>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</si>
  <si>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</si>
  <si>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</si>
  <si>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</si>
  <si>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</si>
  <si>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</si>
  <si>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</si>
  <si>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</si>
  <si>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</si>
  <si>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</si>
  <si>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</si>
  <si>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</si>
  <si>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</si>
  <si>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</si>
  <si>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</si>
  <si>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</si>
  <si>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</si>
  <si>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</si>
  <si>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</si>
  <si>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</si>
  <si>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</si>
  <si>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</si>
  <si>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</si>
  <si>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</si>
  <si>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</si>
  <si>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</si>
  <si>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</si>
  <si>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</si>
  <si>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</si>
  <si>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005641874</t>
  </si>
  <si>
    <t>011.923.840-32</t>
  </si>
  <si>
    <t>005995120</t>
  </si>
  <si>
    <t>50% D+0 . Aplicações com vencimento máximo de 6 meses (18/08/2024)</t>
  </si>
  <si>
    <t>37.744.152/0001-09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</si>
  <si>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</si>
  <si>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</si>
  <si>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</si>
  <si>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</si>
  <si>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</si>
  <si>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</si>
  <si>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</si>
  <si>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</si>
  <si>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</si>
  <si>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</si>
  <si>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</si>
  <si>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Resgate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</si>
  <si>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</si>
  <si>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</si>
  <si>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</si>
  <si>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</si>
  <si>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</si>
  <si>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</si>
  <si>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</si>
  <si>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</si>
  <si>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</si>
  <si>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</si>
  <si>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</si>
  <si>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20% em D+0 (03/06/2024)</t>
  </si>
  <si>
    <t>091.830.271-49</t>
  </si>
  <si>
    <t>Fabiana Alves de Souza dos Santos</t>
  </si>
  <si>
    <t>004755204</t>
  </si>
  <si>
    <t>416.791.801-34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</si>
  <si>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</si>
  <si>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</si>
  <si>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</si>
  <si>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</si>
  <si>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</si>
  <si>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</si>
  <si>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</si>
  <si>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</si>
  <si>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</si>
  <si>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</si>
  <si>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</si>
  <si>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</si>
  <si>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</si>
  <si>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</si>
  <si>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</si>
  <si>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</si>
  <si>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</si>
  <si>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</si>
  <si>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</si>
  <si>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</si>
  <si>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</si>
  <si>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</si>
  <si>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</si>
  <si>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</si>
  <si>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</si>
  <si>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</si>
  <si>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</si>
  <si>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</si>
  <si>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</si>
  <si>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</si>
  <si>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</si>
  <si>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</si>
  <si>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</si>
  <si>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</si>
  <si>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</si>
  <si>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</si>
  <si>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</si>
  <si>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</si>
  <si>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</si>
  <si>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</si>
  <si>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</si>
  <si>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</si>
  <si>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</si>
  <si>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</si>
  <si>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</si>
  <si>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</si>
  <si>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</si>
  <si>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</si>
  <si>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</si>
  <si>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</si>
  <si>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</si>
  <si>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</si>
  <si>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</si>
  <si>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</si>
  <si>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</si>
  <si>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</si>
  <si>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</si>
  <si>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</si>
  <si>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Flk Group LDTA</t>
  </si>
  <si>
    <t>005883672</t>
  </si>
  <si>
    <t>Victor Hugo</t>
  </si>
  <si>
    <t>41.940.443/0001-40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</si>
  <si>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</si>
  <si>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</si>
  <si>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</si>
  <si>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</si>
  <si>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</si>
  <si>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</si>
  <si>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</si>
  <si>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</si>
  <si>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</si>
  <si>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Saída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</si>
  <si>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</si>
  <si>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</si>
  <si>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</si>
  <si>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</si>
  <si>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</si>
  <si>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</si>
  <si>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</si>
  <si>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</si>
  <si>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</si>
  <si>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</si>
  <si>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</si>
  <si>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</si>
  <si>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</si>
  <si>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</si>
  <si>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</si>
  <si>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</si>
  <si>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</si>
  <si>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 R De Moraes Junior</t>
  </si>
  <si>
    <t>005701765</t>
  </si>
  <si>
    <t>Carteira com fluxo de vencimentos personalizado, consultar F.A. (31/07/2024)</t>
  </si>
  <si>
    <t>11.606.270/0001-67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</si>
  <si>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</si>
  <si>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</si>
  <si>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</si>
  <si>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</si>
  <si>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</si>
  <si>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</si>
  <si>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</si>
  <si>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</si>
  <si>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</si>
  <si>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</si>
  <si>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</si>
  <si>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</si>
  <si>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</si>
  <si>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</si>
  <si>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</si>
  <si>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</si>
  <si>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</si>
  <si>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</si>
  <si>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</si>
  <si>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</si>
  <si>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Gazeta Sales</t>
  </si>
  <si>
    <t>008090243</t>
  </si>
  <si>
    <t>100.474.511-73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</si>
  <si>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</si>
  <si>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</si>
  <si>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</si>
  <si>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</si>
  <si>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</si>
  <si>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</si>
  <si>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</si>
  <si>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</si>
  <si>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Carteira Monitoramento Especial para Fundos (SPMG FII criado pelo cliente)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</si>
  <si>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</si>
  <si>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</si>
  <si>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</si>
  <si>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</si>
  <si>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</si>
  <si>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</si>
  <si>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</si>
  <si>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</si>
  <si>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</si>
  <si>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</si>
  <si>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</si>
  <si>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</si>
  <si>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</si>
  <si>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</si>
  <si>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</si>
  <si>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</si>
  <si>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</si>
  <si>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</si>
  <si>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</si>
  <si>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</si>
  <si>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</si>
  <si>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</si>
  <si>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</si>
  <si>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</si>
  <si>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</si>
  <si>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</si>
  <si>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</si>
  <si>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</si>
  <si>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</si>
  <si>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Máx 5% em RV (14/08/2024)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</si>
  <si>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</si>
  <si>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</si>
  <si>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</si>
  <si>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</si>
  <si>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</si>
  <si>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</si>
  <si>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</si>
  <si>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</si>
  <si>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</si>
  <si>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</si>
  <si>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</si>
  <si>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</si>
  <si>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</si>
  <si>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</si>
  <si>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</si>
  <si>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</si>
  <si>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</si>
  <si>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</si>
  <si>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Glauciane Augusto Pessoa</t>
  </si>
  <si>
    <t>005981575</t>
  </si>
  <si>
    <t>021.586.071-30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</si>
  <si>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</si>
  <si>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</si>
  <si>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</si>
  <si>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</si>
  <si>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</si>
  <si>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</si>
  <si>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</si>
  <si>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</si>
  <si>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</si>
  <si>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</si>
  <si>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</si>
  <si>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</si>
  <si>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</si>
  <si>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</si>
  <si>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</si>
  <si>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</si>
  <si>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</si>
  <si>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</si>
  <si>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</si>
  <si>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</si>
  <si>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Alteração de carteira finalizada (21/10/2024)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</si>
  <si>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</si>
  <si>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</si>
  <si>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</si>
  <si>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</si>
  <si>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</si>
  <si>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</si>
  <si>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</si>
  <si>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</si>
  <si>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</si>
  <si>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</si>
  <si>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</si>
  <si>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</si>
  <si>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</si>
  <si>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</si>
  <si>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</si>
  <si>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</si>
  <si>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</si>
  <si>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</si>
  <si>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</si>
  <si>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</si>
  <si>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</si>
  <si>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</si>
  <si>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</si>
  <si>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</si>
  <si>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</si>
  <si>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</si>
  <si>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</si>
  <si>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</si>
  <si>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</si>
  <si>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</si>
  <si>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Gustavo Machado Amorim</t>
  </si>
  <si>
    <t>004313254</t>
  </si>
  <si>
    <t>Alteração de carteira finalizada (17/06/2024)</t>
  </si>
  <si>
    <t>877.851.961-68</t>
  </si>
  <si>
    <t>Gustavo Mendonça Nunes de Oliveira</t>
  </si>
  <si>
    <t>004228090</t>
  </si>
  <si>
    <t>693.814.881-34</t>
  </si>
  <si>
    <t>005591536</t>
  </si>
  <si>
    <t>005588581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</si>
  <si>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</si>
  <si>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</si>
  <si>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</si>
  <si>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</si>
  <si>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</si>
  <si>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</si>
  <si>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</si>
  <si>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Heitor de Lima Gomes</t>
  </si>
  <si>
    <t>003435941</t>
  </si>
  <si>
    <t>STVM Interna finalizada (01/07/2024)</t>
  </si>
  <si>
    <t>049.050.704-22</t>
  </si>
  <si>
    <t>004907688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</si>
  <si>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</si>
  <si>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</si>
  <si>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</si>
  <si>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</si>
  <si>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</si>
  <si>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</si>
  <si>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MULT PRIV</t>
  </si>
  <si>
    <t>Cliente retornou para a base dia 21/10/2024 sob nova carteira</t>
  </si>
  <si>
    <t>360.495.069-49</t>
  </si>
  <si>
    <t>Helio Lemos Menna</t>
  </si>
  <si>
    <t>005698866</t>
  </si>
  <si>
    <t>281.298.810-04</t>
  </si>
  <si>
    <t>005709269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</si>
  <si>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</si>
  <si>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</si>
  <si>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</si>
  <si>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</si>
  <si>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</si>
  <si>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</si>
  <si>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</si>
  <si>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</si>
  <si>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</si>
  <si>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004497875</t>
  </si>
  <si>
    <t>029.066.709-79</t>
  </si>
  <si>
    <t>004479463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</si>
  <si>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</si>
  <si>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</si>
  <si>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</si>
  <si>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</si>
  <si>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</si>
  <si>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</si>
  <si>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</si>
  <si>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Manter ETF CRIP (24/10/2024)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</si>
  <si>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</si>
  <si>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</si>
  <si>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</si>
  <si>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</si>
  <si>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</si>
  <si>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</si>
  <si>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>Igor Gabriel Nogueira de Andrade</t>
  </si>
  <si>
    <t>008054285</t>
  </si>
  <si>
    <t>006.460.511-64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</si>
  <si>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</si>
  <si>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</si>
  <si>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</si>
  <si>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</si>
  <si>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</si>
  <si>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</si>
  <si>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</si>
  <si>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</si>
  <si>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</si>
  <si>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</si>
  <si>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</si>
  <si>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</si>
  <si>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</si>
  <si>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</si>
  <si>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</si>
  <si>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</si>
  <si>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</si>
  <si>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</si>
  <si>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</si>
  <si>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</si>
  <si>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</si>
  <si>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</si>
  <si>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</si>
  <si>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</si>
  <si>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</si>
  <si>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</si>
  <si>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</si>
  <si>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</si>
  <si>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</si>
  <si>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</si>
  <si>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</si>
  <si>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</si>
  <si>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</si>
  <si>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</si>
  <si>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Isadora Sales Miranda Goulart</t>
  </si>
  <si>
    <t>008071998</t>
  </si>
  <si>
    <t>715.251.511-50</t>
  </si>
  <si>
    <t>Ivone Gomes Milanez</t>
  </si>
  <si>
    <t>004452476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</si>
  <si>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</si>
  <si>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</si>
  <si>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</si>
  <si>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</si>
  <si>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</si>
  <si>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</si>
  <si>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</si>
  <si>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010.925.791-09</t>
  </si>
  <si>
    <t>Jaime Estevam Gomes Filho</t>
  </si>
  <si>
    <t>004216434</t>
  </si>
  <si>
    <t>Vender ações com ágio (09/09/2024)</t>
  </si>
  <si>
    <t>961.273.331-72</t>
  </si>
  <si>
    <t>Jairo Augusto Marques de Carvalho</t>
  </si>
  <si>
    <t>005224125</t>
  </si>
  <si>
    <t xml:space="preserve">Cliente retornou para a base dia 10/10/2024 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</si>
  <si>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</si>
  <si>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</si>
  <si>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</si>
  <si>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</si>
  <si>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</si>
  <si>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</si>
  <si>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</si>
  <si>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</si>
  <si>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</si>
  <si>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</si>
  <si>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</si>
  <si>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João Henrique dos Santos Fernandes e/ou Rita Xavier Gomes Neta</t>
  </si>
  <si>
    <t>004212132</t>
  </si>
  <si>
    <t>Cliente irá retornar no final do ano de 2024 (31/05/2024)</t>
  </si>
  <si>
    <t>025.449.161-84</t>
  </si>
  <si>
    <t>João Marcos De Carvalho Pedra</t>
  </si>
  <si>
    <t>008026930</t>
  </si>
  <si>
    <t>066.745.141-28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</si>
  <si>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</si>
  <si>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</si>
  <si>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</si>
  <si>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</si>
  <si>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</si>
  <si>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</si>
  <si>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</si>
  <si>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João Paulo Fernandes Guerreiro</t>
  </si>
  <si>
    <t>004381328</t>
  </si>
  <si>
    <t>305.150.118-27</t>
  </si>
  <si>
    <t>005604917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</si>
  <si>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</si>
  <si>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</si>
  <si>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</si>
  <si>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</si>
  <si>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</si>
  <si>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</si>
  <si>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</si>
  <si>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</si>
  <si>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</si>
  <si>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</si>
  <si>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</si>
  <si>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</si>
  <si>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</si>
  <si>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</si>
  <si>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</si>
  <si>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</si>
  <si>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</si>
  <si>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</si>
  <si>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</si>
  <si>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</si>
  <si>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</si>
  <si>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</si>
  <si>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</si>
  <si>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</si>
  <si>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</si>
  <si>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</si>
  <si>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>Jorgeana da Matta Cavalcante</t>
  </si>
  <si>
    <t>008002502</t>
  </si>
  <si>
    <t>603.264.921-00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</si>
  <si>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</si>
  <si>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</si>
  <si>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</si>
  <si>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</si>
  <si>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</si>
  <si>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</si>
  <si>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</si>
  <si>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</si>
  <si>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</si>
  <si>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</si>
  <si>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</si>
  <si>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</si>
  <si>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</si>
  <si>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</si>
  <si>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</si>
  <si>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</si>
  <si>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</si>
  <si>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</si>
  <si>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Correia</t>
  </si>
  <si>
    <t>008004995</t>
  </si>
  <si>
    <t>Carteira Monitoramento Especial para Fundos (SPMG II FII criado pelo cliente) (14/10/2024)</t>
  </si>
  <si>
    <t>132.395.206-30</t>
  </si>
  <si>
    <t>Jose das Dores Freitas</t>
  </si>
  <si>
    <t>005379541</t>
  </si>
  <si>
    <t>130.641.341-91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</si>
  <si>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</si>
  <si>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</si>
  <si>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</si>
  <si>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</si>
  <si>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</si>
  <si>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</si>
  <si>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</si>
  <si>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</si>
  <si>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>Cliente solicitou troca de assessoria (30/07/2024)</t>
  </si>
  <si>
    <t xml:space="preserve">José Maurilio Coelho Rios  </t>
  </si>
  <si>
    <t>002687737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</si>
  <si>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</si>
  <si>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</si>
  <si>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</si>
  <si>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</si>
  <si>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</si>
  <si>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</si>
  <si>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</si>
  <si>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</si>
  <si>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</si>
  <si>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30K D+0 (25/09/2024)</t>
  </si>
  <si>
    <t>377.927.508-25</t>
  </si>
  <si>
    <t>José Silvan de Amorim e/ou Iracy Maria Machado de Amorim</t>
  </si>
  <si>
    <t>004332103</t>
  </si>
  <si>
    <t>Vencimentos aplicar em RF Ativo (13/05/2024)</t>
  </si>
  <si>
    <t>057.209.821-91</t>
  </si>
  <si>
    <t xml:space="preserve">004332237 </t>
  </si>
  <si>
    <t>Jovino Locatelli</t>
  </si>
  <si>
    <t>005079311</t>
  </si>
  <si>
    <t>STVM de entrada da Guide finalizada (13/11/2023)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</si>
  <si>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</si>
  <si>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</si>
  <si>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</si>
  <si>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</si>
  <si>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</si>
  <si>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</si>
  <si>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</si>
  <si>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</si>
  <si>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</si>
  <si>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</si>
  <si>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</si>
  <si>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</si>
  <si>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</si>
  <si>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</si>
  <si>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</si>
  <si>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</si>
  <si>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</si>
  <si>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</si>
  <si>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</si>
  <si>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</si>
  <si>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</si>
  <si>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</si>
  <si>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</si>
  <si>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</si>
  <si>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</si>
  <si>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</si>
  <si>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</si>
  <si>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</si>
  <si>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</si>
  <si>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</si>
  <si>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</si>
  <si>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</si>
  <si>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Liquidez fundo Riza Lótus (D+1) (09/09/2024)</t>
  </si>
  <si>
    <t>311.706.681-00</t>
  </si>
  <si>
    <t>Julio Vicente de Alvarenga</t>
  </si>
  <si>
    <t>004208869</t>
  </si>
  <si>
    <t>377.501.947-20</t>
  </si>
  <si>
    <t>Junio Ribeiro de Rezende</t>
  </si>
  <si>
    <t>005878792</t>
  </si>
  <si>
    <t>Brunna Miccoli</t>
  </si>
  <si>
    <t>067.460.979-43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</si>
  <si>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</si>
  <si>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</si>
  <si>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</si>
  <si>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</si>
  <si>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</si>
  <si>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</si>
  <si>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</si>
  <si>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</si>
  <si>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</si>
  <si>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</si>
  <si>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</si>
  <si>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</si>
  <si>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</si>
  <si>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</si>
  <si>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</si>
  <si>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</si>
  <si>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</si>
  <si>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</si>
  <si>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</si>
  <si>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</si>
  <si>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</si>
  <si>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</si>
  <si>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</si>
  <si>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</si>
  <si>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</si>
  <si>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</si>
  <si>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</si>
  <si>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</si>
  <si>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</si>
  <si>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</si>
  <si>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</si>
  <si>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</si>
  <si>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</si>
  <si>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</si>
  <si>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</si>
  <si>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</si>
  <si>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</si>
  <si>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693.769.131-91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</si>
  <si>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</si>
  <si>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</si>
  <si>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</si>
  <si>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</si>
  <si>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</si>
  <si>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</si>
  <si>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</si>
  <si>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</si>
  <si>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</si>
  <si>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</si>
  <si>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</si>
  <si>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</si>
  <si>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</si>
  <si>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</si>
  <si>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</si>
  <si>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Vencimentos aplicar em RF Ativo (26/08/2024)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</si>
  <si>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</si>
  <si>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</si>
  <si>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</si>
  <si>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</si>
  <si>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</si>
  <si>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</si>
  <si>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</si>
  <si>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</si>
  <si>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</si>
  <si>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</si>
  <si>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</si>
  <si>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</si>
  <si>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Larissa Weber Gomes Reis</t>
  </si>
  <si>
    <t>004363260</t>
  </si>
  <si>
    <t>025.824.831-92</t>
  </si>
  <si>
    <t>Laura Furst Arantes</t>
  </si>
  <si>
    <t>004383268</t>
  </si>
  <si>
    <t>252.652.611-68</t>
  </si>
  <si>
    <t>005619108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</si>
  <si>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</si>
  <si>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</si>
  <si>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</si>
  <si>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</si>
  <si>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</si>
  <si>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</si>
  <si>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</si>
  <si>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</si>
  <si>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</si>
  <si>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764.983.951-68</t>
  </si>
  <si>
    <t xml:space="preserve">Leila Jacintho Quirino </t>
  </si>
  <si>
    <t>004382902</t>
  </si>
  <si>
    <t>360.160.471-04</t>
  </si>
  <si>
    <t>Leila Maris De Souza Vilela</t>
  </si>
  <si>
    <t>004208447</t>
  </si>
  <si>
    <t>36K D+0 (25/09/2024)</t>
  </si>
  <si>
    <t>300.062.101-63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</si>
  <si>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</si>
  <si>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</si>
  <si>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</si>
  <si>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</si>
  <si>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</si>
  <si>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</si>
  <si>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</si>
  <si>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</si>
  <si>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</si>
  <si>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</si>
  <si>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</si>
  <si>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</si>
  <si>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</si>
  <si>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</si>
  <si>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</si>
  <si>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</si>
  <si>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</si>
  <si>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</si>
  <si>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</si>
  <si>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</si>
  <si>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</si>
  <si>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</si>
  <si>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</si>
  <si>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</si>
  <si>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</si>
  <si>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</si>
  <si>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</si>
  <si>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</si>
  <si>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</si>
  <si>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</si>
  <si>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</si>
  <si>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</si>
  <si>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</si>
  <si>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</si>
  <si>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</si>
  <si>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</si>
  <si>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Letícia Rodrigues Silva</t>
  </si>
  <si>
    <t>008072033</t>
  </si>
  <si>
    <t>114.137.406-42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</si>
  <si>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</si>
  <si>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</si>
  <si>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</si>
  <si>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</si>
  <si>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</si>
  <si>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</si>
  <si>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</si>
  <si>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</si>
  <si>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</si>
  <si>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Vender ações com ágio e 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</si>
  <si>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</si>
  <si>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</si>
  <si>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</si>
  <si>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</si>
  <si>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</si>
  <si>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</si>
  <si>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</si>
  <si>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</si>
  <si>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</si>
  <si>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</si>
  <si>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</si>
  <si>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</si>
  <si>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</si>
  <si>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</si>
  <si>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 Siqueira Araujo</t>
  </si>
  <si>
    <t>008144040</t>
  </si>
  <si>
    <t>106.537.761-44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</si>
  <si>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</si>
  <si>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</si>
  <si>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</si>
  <si>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</si>
  <si>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</si>
  <si>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</si>
  <si>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</si>
  <si>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</si>
  <si>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</si>
  <si>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</si>
  <si>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</si>
  <si>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</si>
  <si>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</si>
  <si>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</si>
  <si>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</si>
  <si>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</si>
  <si>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</si>
  <si>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</si>
  <si>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</si>
  <si>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</si>
  <si>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</si>
  <si>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</si>
  <si>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</si>
  <si>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Krohn Porfirio</t>
  </si>
  <si>
    <t>008004822</t>
  </si>
  <si>
    <t>Todo recurso em D+0 até atualização F.A (24/09/2024)</t>
  </si>
  <si>
    <t>709.185.971-53</t>
  </si>
  <si>
    <t>Luciana Machado Viotti de Barros</t>
  </si>
  <si>
    <t>004432455</t>
  </si>
  <si>
    <t>355.909.711-87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</si>
  <si>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</si>
  <si>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</si>
  <si>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</si>
  <si>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</si>
  <si>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</si>
  <si>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</si>
  <si>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</si>
  <si>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</si>
  <si>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</si>
  <si>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</si>
  <si>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</si>
  <si>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Luciene Bertolino</t>
  </si>
  <si>
    <t>008002057</t>
  </si>
  <si>
    <t>50K em D+0 (13/09/2024)</t>
  </si>
  <si>
    <t>517.310.881-91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</si>
  <si>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</si>
  <si>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</si>
  <si>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</si>
  <si>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</si>
  <si>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</si>
  <si>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</si>
  <si>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</si>
  <si>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</si>
  <si>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Daniel Bonfim Fernandes</t>
  </si>
  <si>
    <t>005268516</t>
  </si>
  <si>
    <t>031.861.946-60</t>
  </si>
  <si>
    <t>008007764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</si>
  <si>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</si>
  <si>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</si>
  <si>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</si>
  <si>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</si>
  <si>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</si>
  <si>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</si>
  <si>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</si>
  <si>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</si>
  <si>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</si>
  <si>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</si>
  <si>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</si>
  <si>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</si>
  <si>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</si>
  <si>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</si>
  <si>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</si>
  <si>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</si>
  <si>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</si>
  <si>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</si>
  <si>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</si>
  <si>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</si>
  <si>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</si>
  <si>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</si>
  <si>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</si>
  <si>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</si>
  <si>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</si>
  <si>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</si>
  <si>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</si>
  <si>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</si>
  <si>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</si>
  <si>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</si>
  <si>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</si>
  <si>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</si>
  <si>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</si>
  <si>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50K D+0/ 100K D+2 (28/08/2024)</t>
  </si>
  <si>
    <t>283.392.661-87</t>
  </si>
  <si>
    <t>005996374</t>
  </si>
  <si>
    <t>GP</t>
  </si>
  <si>
    <t>Luiz Claudio De Melo Alencar</t>
  </si>
  <si>
    <t>005880251</t>
  </si>
  <si>
    <t>Liquidez D+2: 100.000,00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</si>
  <si>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</si>
  <si>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</si>
  <si>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</si>
  <si>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</si>
  <si>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</si>
  <si>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</si>
  <si>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</si>
  <si>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</si>
  <si>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</si>
  <si>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</si>
  <si>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</si>
  <si>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</si>
  <si>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</si>
  <si>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</si>
  <si>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</si>
  <si>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</si>
  <si>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</si>
  <si>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</si>
  <si>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</si>
  <si>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</si>
  <si>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</si>
  <si>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</si>
  <si>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</si>
  <si>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</si>
  <si>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</si>
  <si>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</si>
  <si>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</si>
  <si>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</si>
  <si>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</si>
  <si>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</si>
  <si>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</si>
  <si>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</si>
  <si>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</si>
  <si>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</si>
  <si>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</si>
  <si>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</si>
  <si>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</si>
  <si>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</si>
  <si>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</si>
  <si>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</si>
  <si>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</si>
  <si>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</si>
  <si>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</si>
  <si>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</si>
  <si>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</si>
  <si>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</si>
  <si>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</si>
  <si>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</si>
  <si>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</si>
  <si>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</si>
  <si>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</si>
  <si>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</si>
  <si>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</si>
  <si>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</si>
  <si>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</si>
  <si>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</si>
  <si>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</si>
  <si>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</si>
  <si>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</si>
  <si>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</si>
  <si>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</si>
  <si>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Pires Fiorini</t>
  </si>
  <si>
    <t>003641655</t>
  </si>
  <si>
    <t>819.807.601-87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</si>
  <si>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</si>
  <si>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</si>
  <si>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</si>
  <si>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</si>
  <si>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</si>
  <si>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</si>
  <si>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</si>
  <si>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Soares Ribeiro</t>
  </si>
  <si>
    <t>008083743</t>
  </si>
  <si>
    <t>785.882.431-72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</si>
  <si>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</si>
  <si>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</si>
  <si>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</si>
  <si>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</si>
  <si>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</si>
  <si>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</si>
  <si>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</si>
  <si>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</si>
  <si>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Manter BTC na carteira (04/10/2024)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</si>
  <si>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</si>
  <si>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</si>
  <si>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</si>
  <si>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</si>
  <si>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</si>
  <si>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</si>
  <si>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</si>
  <si>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</si>
  <si>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</si>
  <si>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</si>
  <si>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</si>
  <si>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</si>
  <si>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</si>
  <si>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</si>
  <si>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103.779.748-54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</si>
  <si>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</si>
  <si>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</si>
  <si>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</si>
  <si>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</si>
  <si>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</si>
  <si>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</si>
  <si>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</si>
  <si>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</si>
  <si>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</si>
  <si>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</si>
  <si>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</si>
  <si>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</si>
  <si>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</si>
  <si>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</si>
  <si>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</si>
  <si>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</si>
  <si>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</si>
  <si>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Alteração de carteira finalizada (01/03/2024)/ STVM Interna de saída para a conta 005161568</t>
  </si>
  <si>
    <t>955.931.521-87</t>
  </si>
  <si>
    <t>005161568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</si>
  <si>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</si>
  <si>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</si>
  <si>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</si>
  <si>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</si>
  <si>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</si>
  <si>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</si>
  <si>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</si>
  <si>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</si>
  <si>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de Lucena Heusi</t>
  </si>
  <si>
    <t>004575621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</si>
  <si>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</si>
  <si>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</si>
  <si>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</si>
  <si>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</si>
  <si>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</si>
  <si>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</si>
  <si>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</si>
  <si>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</si>
  <si>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</si>
  <si>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</si>
  <si>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</si>
  <si>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</si>
  <si>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</si>
  <si>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</si>
  <si>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</si>
  <si>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</si>
  <si>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</si>
  <si>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</si>
  <si>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</si>
  <si>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</si>
  <si>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</si>
  <si>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</si>
  <si>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</si>
  <si>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</si>
  <si>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</si>
  <si>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</si>
  <si>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350.037.667-34</t>
  </si>
  <si>
    <t>Maria das Graças da Silva Pires</t>
  </si>
  <si>
    <t>004214460</t>
  </si>
  <si>
    <t>Manter a alocação da carteira Crito/ Manter os investimentos dos ativos: HASH11 ; BITH11 ; QDFL11. (13/05/2024)</t>
  </si>
  <si>
    <t>172.974.519-90</t>
  </si>
  <si>
    <t>004212476</t>
  </si>
  <si>
    <t xml:space="preserve">Carteira Conservadora 80/20 - PL acima de R$ 2.000.000,00, de forma que se o cliente resgatar a taxa retorne automático para 1,2%a.a., sem necessidade de novo contrato.
</t>
  </si>
  <si>
    <t>Maria do Carmo Neves Bittencourt de Sa</t>
  </si>
  <si>
    <t>004204242</t>
  </si>
  <si>
    <t>516.455.301-59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</si>
  <si>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</si>
  <si>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</si>
  <si>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</si>
  <si>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</si>
  <si>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</si>
  <si>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</si>
  <si>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</si>
  <si>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</si>
  <si>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</si>
  <si>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</si>
  <si>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</si>
  <si>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</si>
  <si>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</si>
  <si>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</si>
  <si>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</si>
  <si>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</si>
  <si>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</si>
  <si>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</si>
  <si>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</si>
  <si>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</si>
  <si>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</si>
  <si>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</si>
  <si>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</si>
  <si>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</si>
  <si>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</si>
  <si>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</si>
  <si>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</si>
  <si>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</si>
  <si>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</si>
  <si>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</si>
  <si>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</si>
  <si>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</si>
  <si>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Novos aportes em D+0 (22/10/2024)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</si>
  <si>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</si>
  <si>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</si>
  <si>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</si>
  <si>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</si>
  <si>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</si>
  <si>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</si>
  <si>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</si>
  <si>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</si>
  <si>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</si>
  <si>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</si>
  <si>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</si>
  <si>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</si>
  <si>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</si>
  <si>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</si>
  <si>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</si>
  <si>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</si>
  <si>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</si>
  <si>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</si>
  <si>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</si>
  <si>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</si>
  <si>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</si>
  <si>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Gazeta Sales</t>
  </si>
  <si>
    <t>008070544</t>
  </si>
  <si>
    <t>100.474.691-10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</si>
  <si>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</si>
  <si>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</si>
  <si>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</si>
  <si>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</si>
  <si>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</si>
  <si>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</si>
  <si>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</si>
  <si>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</si>
  <si>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</si>
  <si>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</si>
  <si>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</si>
  <si>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</si>
  <si>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</si>
  <si>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</si>
  <si>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</si>
  <si>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</si>
  <si>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</si>
  <si>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</si>
  <si>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</si>
  <si>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</si>
  <si>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</si>
  <si>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</si>
  <si>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</si>
  <si>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</si>
  <si>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</si>
  <si>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</si>
  <si>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Matheo Faleiro Aiza</t>
  </si>
  <si>
    <t>004475136</t>
  </si>
  <si>
    <t>079.017.521-57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</si>
  <si>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</si>
  <si>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</si>
  <si>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</si>
  <si>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</si>
  <si>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</si>
  <si>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</si>
  <si>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</si>
  <si>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</si>
  <si>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</si>
  <si>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</si>
  <si>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</si>
  <si>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</si>
  <si>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</si>
  <si>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</si>
  <si>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</si>
  <si>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</si>
  <si>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</si>
  <si>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</si>
  <si>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Melissa Georgina Alcantara Correira</t>
  </si>
  <si>
    <t>008037529</t>
  </si>
  <si>
    <t>024.002.851-10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</si>
  <si>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</si>
  <si>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</si>
  <si>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</si>
  <si>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</si>
  <si>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</si>
  <si>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</si>
  <si>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</si>
  <si>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</si>
  <si>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</si>
  <si>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</si>
  <si>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Ministerio Family Church</t>
  </si>
  <si>
    <t>008041244</t>
  </si>
  <si>
    <t>41.196.062/0001-06</t>
  </si>
  <si>
    <t>Mirella Braga Park</t>
  </si>
  <si>
    <t>003553997</t>
  </si>
  <si>
    <t>Antonio Volpato</t>
  </si>
  <si>
    <t>370.124.638-64</t>
  </si>
  <si>
    <t>001651617</t>
  </si>
  <si>
    <t>Moacir Vieira dos Santos</t>
  </si>
  <si>
    <t>005660459</t>
  </si>
  <si>
    <t>200K D+2 (19/08/2024)</t>
  </si>
  <si>
    <t>027.099.779-23</t>
  </si>
  <si>
    <t>Modular Construtora &amp; Arquitetura LTDA</t>
  </si>
  <si>
    <t>008054713</t>
  </si>
  <si>
    <t>37.893.579/0001-79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</si>
  <si>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</si>
  <si>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</si>
  <si>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</si>
  <si>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</si>
  <si>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</si>
  <si>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</si>
  <si>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</si>
  <si>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</si>
  <si>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Novos aportes aplicar em D+0 (17/09/2024)</t>
  </si>
  <si>
    <t>MSD Construtora e Incorporadora Eirelli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</si>
  <si>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</si>
  <si>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</si>
  <si>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</si>
  <si>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</si>
  <si>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</si>
  <si>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</si>
  <si>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</si>
  <si>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</si>
  <si>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300K D+0 (14/10/2024)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</si>
  <si>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</si>
  <si>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</si>
  <si>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</si>
  <si>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</si>
  <si>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</si>
  <si>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</si>
  <si>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</si>
  <si>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</si>
  <si>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</si>
  <si>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</si>
  <si>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</si>
  <si>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 xml:space="preserve">CON </t>
  </si>
  <si>
    <t>026.321.121-50</t>
  </si>
  <si>
    <t>Nassim Taleb</t>
  </si>
  <si>
    <t>004448303</t>
  </si>
  <si>
    <t>150K em D+0 (09/09/2024)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</si>
  <si>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</si>
  <si>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</si>
  <si>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</si>
  <si>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</si>
  <si>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</si>
  <si>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</si>
  <si>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</si>
  <si>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</si>
  <si>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</si>
  <si>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</si>
  <si>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</si>
  <si>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</si>
  <si>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</si>
  <si>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</si>
  <si>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</si>
  <si>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</si>
  <si>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</si>
  <si>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</si>
  <si>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</si>
  <si>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</si>
  <si>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</si>
  <si>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</si>
  <si>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</si>
  <si>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</si>
  <si>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</si>
  <si>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</si>
  <si>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</si>
  <si>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</si>
  <si>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</si>
  <si>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</si>
  <si>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</si>
  <si>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</si>
  <si>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</si>
  <si>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</si>
  <si>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</si>
  <si>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</si>
  <si>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</si>
  <si>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</si>
  <si>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</si>
  <si>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</si>
  <si>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</si>
  <si>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</si>
  <si>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</si>
  <si>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</si>
  <si>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</si>
  <si>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</si>
  <si>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</si>
  <si>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</si>
  <si>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</si>
  <si>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</si>
  <si>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</si>
  <si>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>Olga Maria Neves Murta</t>
  </si>
  <si>
    <t>008004799</t>
  </si>
  <si>
    <t>179.314.441-91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</si>
  <si>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</si>
  <si>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</si>
  <si>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</si>
  <si>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</si>
  <si>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</si>
  <si>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Aguardando documentação com a alterção do nome para novo contrato de gestão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</si>
  <si>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</si>
  <si>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</si>
  <si>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</si>
  <si>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</si>
  <si>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</si>
  <si>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</si>
  <si>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</si>
  <si>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</si>
  <si>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</si>
  <si>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</si>
  <si>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</si>
  <si>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</si>
  <si>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</si>
  <si>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</si>
  <si>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</si>
  <si>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</si>
  <si>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</si>
  <si>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</si>
  <si>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(26/08/2024)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</si>
  <si>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</si>
  <si>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</si>
  <si>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</si>
  <si>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</si>
  <si>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</si>
  <si>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</si>
  <si>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</si>
  <si>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</si>
  <si>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</si>
  <si>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</si>
  <si>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</si>
  <si>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</si>
  <si>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</si>
  <si>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</si>
  <si>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</si>
  <si>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</si>
  <si>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</si>
  <si>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</si>
  <si>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</si>
  <si>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</si>
  <si>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Furst Arantes</t>
  </si>
  <si>
    <t>004384258</t>
  </si>
  <si>
    <t>819.350.801-72</t>
  </si>
  <si>
    <t>005611045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</si>
  <si>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</si>
  <si>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</si>
  <si>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</si>
  <si>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</si>
  <si>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</si>
  <si>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</si>
  <si>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</si>
  <si>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</si>
  <si>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</si>
  <si>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</si>
  <si>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</si>
  <si>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</si>
  <si>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</si>
  <si>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</si>
  <si>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</si>
  <si>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</si>
  <si>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</si>
  <si>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</si>
  <si>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</si>
  <si>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</si>
  <si>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</si>
  <si>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</si>
  <si>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</si>
  <si>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</si>
  <si>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</si>
  <si>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</si>
  <si>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</si>
  <si>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</si>
  <si>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</si>
  <si>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</si>
  <si>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</si>
  <si>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</si>
  <si>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</si>
  <si>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</si>
  <si>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</si>
  <si>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</si>
  <si>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</si>
  <si>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</si>
  <si>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</si>
  <si>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</si>
  <si>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</si>
  <si>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</si>
  <si>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</si>
  <si>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</si>
  <si>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</si>
  <si>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</si>
  <si>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</si>
  <si>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</si>
  <si>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</si>
  <si>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</si>
  <si>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</si>
  <si>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D+0(08/08/2024)
</t>
  </si>
  <si>
    <t>Alteração de carteira finalizada (05/02/2024)</t>
  </si>
  <si>
    <t>168.196.911-49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</si>
  <si>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</si>
  <si>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</si>
  <si>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</si>
  <si>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</si>
  <si>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</si>
  <si>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</si>
  <si>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</si>
  <si>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</si>
  <si>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</si>
  <si>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</si>
  <si>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</si>
  <si>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</si>
  <si>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</si>
  <si>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</si>
  <si>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</si>
  <si>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</si>
  <si>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</si>
  <si>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</si>
  <si>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</si>
  <si>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</si>
  <si>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</si>
  <si>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</si>
  <si>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</si>
  <si>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</si>
  <si>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</si>
  <si>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</si>
  <si>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</si>
  <si>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</si>
  <si>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</si>
  <si>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</si>
  <si>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</si>
  <si>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</si>
  <si>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</si>
  <si>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</si>
  <si>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</si>
  <si>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</si>
  <si>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</si>
  <si>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</si>
  <si>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</si>
  <si>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</si>
  <si>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</si>
  <si>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</si>
  <si>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</si>
  <si>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</si>
  <si>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</si>
  <si>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</si>
  <si>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de Meiroz Dias</t>
  </si>
  <si>
    <t>005994261</t>
  </si>
  <si>
    <t>874.794.191-04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</si>
  <si>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</si>
  <si>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</si>
  <si>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</si>
  <si>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</si>
  <si>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</si>
  <si>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</si>
  <si>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</si>
  <si>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</si>
  <si>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</si>
  <si>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</si>
  <si>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</si>
  <si>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</si>
  <si>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</si>
  <si>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</si>
  <si>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</si>
  <si>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</si>
  <si>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</si>
  <si>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</si>
  <si>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NÃO RECOMPRAR AÇÕES/ MANTER SALDO EM LIQUIDEZ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</si>
  <si>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</si>
  <si>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</si>
  <si>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</si>
  <si>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</si>
  <si>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</si>
  <si>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</si>
  <si>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</si>
  <si>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</si>
  <si>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 Vilela Campos</t>
  </si>
  <si>
    <t>008028807</t>
  </si>
  <si>
    <t>80K D+0/ Aplicação máx DEZ/26 (22/10/2024)</t>
  </si>
  <si>
    <t>009.263.011-10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</si>
  <si>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</si>
  <si>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</si>
  <si>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</si>
  <si>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</si>
  <si>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</si>
  <si>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</si>
  <si>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</si>
  <si>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</si>
  <si>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</si>
  <si>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</si>
  <si>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</si>
  <si>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</si>
  <si>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</si>
  <si>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</si>
  <si>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</si>
  <si>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</si>
  <si>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</si>
  <si>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</si>
  <si>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</si>
  <si>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Alteração de carteira finalizada (03/10/2024)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</si>
  <si>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</si>
  <si>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</si>
  <si>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</si>
  <si>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</si>
  <si>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</si>
  <si>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</si>
  <si>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</si>
  <si>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</si>
  <si>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</si>
  <si>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</si>
  <si>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</si>
  <si>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</si>
  <si>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</si>
  <si>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</si>
  <si>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</si>
  <si>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</si>
  <si>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</si>
  <si>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</si>
  <si>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</si>
  <si>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</si>
  <si>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</si>
  <si>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</si>
  <si>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</si>
  <si>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</si>
  <si>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</si>
  <si>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</si>
  <si>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</si>
  <si>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 xml:space="preserve">385.609.331-15 </t>
  </si>
  <si>
    <t>004862672</t>
  </si>
  <si>
    <t>Renato Bruniera Peroni</t>
  </si>
  <si>
    <t>004886366</t>
  </si>
  <si>
    <t>082.724.888-17</t>
  </si>
  <si>
    <t>Renato Laffranchi Falcão</t>
  </si>
  <si>
    <t>008001858</t>
  </si>
  <si>
    <t>Lucas Oliveira</t>
  </si>
  <si>
    <t>110.307.297-86</t>
  </si>
  <si>
    <t>Renato Monteiro Fernandes</t>
  </si>
  <si>
    <t>000330949</t>
  </si>
  <si>
    <t>359.486.551-72</t>
  </si>
  <si>
    <t>Ricardo Bauermann Ehlers</t>
  </si>
  <si>
    <t>005046805</t>
  </si>
  <si>
    <t>128.320.301-49</t>
  </si>
  <si>
    <t>005693881</t>
  </si>
  <si>
    <t>Ricardo de Moura Lopes</t>
  </si>
  <si>
    <t>005320069</t>
  </si>
  <si>
    <t>149.719.501-25</t>
  </si>
  <si>
    <t>Ricardo José Lacerda Prudencio</t>
  </si>
  <si>
    <t>004237325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</si>
  <si>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</si>
  <si>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</si>
  <si>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</si>
  <si>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</si>
  <si>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</si>
  <si>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</si>
  <si>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</si>
  <si>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</si>
  <si>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</si>
  <si>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</si>
  <si>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</si>
  <si>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</si>
  <si>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</si>
  <si>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</si>
  <si>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</si>
  <si>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</si>
  <si>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</si>
  <si>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</si>
  <si>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</si>
  <si>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</si>
  <si>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</si>
  <si>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</si>
  <si>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</si>
  <si>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</si>
  <si>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</si>
  <si>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</si>
  <si>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</si>
  <si>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</si>
  <si>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</si>
  <si>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</si>
  <si>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</si>
  <si>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</si>
  <si>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</si>
  <si>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</si>
  <si>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</si>
  <si>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</si>
  <si>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</si>
  <si>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</si>
  <si>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</si>
  <si>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</si>
  <si>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</si>
  <si>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</si>
  <si>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</si>
  <si>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</si>
  <si>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</si>
  <si>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</si>
  <si>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</si>
  <si>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</si>
  <si>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</si>
  <si>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</si>
  <si>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</si>
  <si>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</si>
  <si>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</si>
  <si>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</si>
  <si>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</si>
  <si>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</si>
  <si>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</si>
  <si>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</si>
  <si>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</si>
  <si>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</si>
  <si>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</si>
  <si>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</si>
  <si>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</si>
  <si>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</si>
  <si>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</si>
  <si>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</si>
  <si>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</si>
  <si>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</si>
  <si>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</si>
  <si>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</si>
  <si>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</si>
  <si>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</si>
  <si>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</si>
  <si>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</si>
  <si>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</si>
  <si>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</si>
  <si>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</si>
  <si>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</si>
  <si>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</si>
  <si>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</si>
  <si>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</si>
  <si>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Vencimentos aplicar em D+0 (19/09/2024)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</si>
  <si>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</si>
  <si>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</si>
  <si>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</si>
  <si>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</si>
  <si>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</si>
  <si>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</si>
  <si>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</si>
  <si>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</si>
  <si>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</si>
  <si>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</si>
  <si>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</si>
  <si>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</si>
  <si>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</si>
  <si>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</si>
  <si>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</si>
  <si>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</si>
  <si>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</si>
  <si>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</si>
  <si>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</si>
  <si>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</si>
  <si>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</si>
  <si>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</si>
  <si>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</si>
  <si>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</si>
  <si>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</si>
  <si>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</si>
  <si>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</si>
  <si>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</si>
  <si>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</si>
  <si>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</si>
  <si>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De Mattos Rodrigues Moreira</t>
  </si>
  <si>
    <t>004879567</t>
  </si>
  <si>
    <t>553.431.551-20</t>
  </si>
  <si>
    <t>Sandra Regina Sasaki de Freitas Cavalcanti</t>
  </si>
  <si>
    <t>002418050</t>
  </si>
  <si>
    <t>30K D+0 (26/08/2024)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</si>
  <si>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</si>
  <si>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</si>
  <si>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</si>
  <si>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</si>
  <si>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</si>
  <si>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</si>
  <si>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</si>
  <si>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Sara Lobo Zago e/ou Odirlei Jeronimo de Sousa Junior</t>
  </si>
  <si>
    <t>008032257</t>
  </si>
  <si>
    <t>50K D+0 (30/09/2024)</t>
  </si>
  <si>
    <t>701.963.161-46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</si>
  <si>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</si>
  <si>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</si>
  <si>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</si>
  <si>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</si>
  <si>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</si>
  <si>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</si>
  <si>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</si>
  <si>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</si>
  <si>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</si>
  <si>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Sergio Lincoln de Matos Arruda</t>
  </si>
  <si>
    <t>008004835</t>
  </si>
  <si>
    <t>221.381.701-44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</si>
  <si>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</si>
  <si>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</si>
  <si>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</si>
  <si>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</si>
  <si>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</si>
  <si>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</si>
  <si>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</si>
  <si>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</si>
  <si>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</si>
  <si>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</si>
  <si>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</si>
  <si>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</si>
  <si>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</si>
  <si>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</si>
  <si>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</si>
  <si>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</si>
  <si>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</si>
  <si>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Simone Eliza Cornelio de Moura</t>
  </si>
  <si>
    <t>008004870</t>
  </si>
  <si>
    <t>601.082.156-87</t>
  </si>
  <si>
    <t>Simone Bastos Vieira</t>
  </si>
  <si>
    <t>004322549</t>
  </si>
  <si>
    <t>185.316.101-25</t>
  </si>
  <si>
    <t>Sonia Maria Simas Abrantes</t>
  </si>
  <si>
    <t>008030888</t>
  </si>
  <si>
    <t>150.822.881-72</t>
  </si>
  <si>
    <t>Simone Nascimento de Sousa</t>
  </si>
  <si>
    <t>005927101</t>
  </si>
  <si>
    <t>381.540.721-49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</si>
  <si>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</si>
  <si>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</si>
  <si>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</si>
  <si>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</si>
  <si>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</si>
  <si>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</si>
  <si>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</si>
  <si>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</si>
  <si>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</si>
  <si>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</si>
  <si>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</si>
  <si>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</si>
  <si>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</si>
  <si>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</si>
  <si>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</si>
  <si>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</si>
  <si>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</si>
  <si>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</si>
  <si>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</si>
  <si>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</si>
  <si>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</si>
  <si>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</si>
  <si>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</si>
  <si>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</si>
  <si>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</si>
  <si>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</si>
  <si>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</si>
  <si>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</si>
  <si>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</si>
  <si>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</si>
  <si>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</si>
  <si>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</si>
  <si>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</si>
  <si>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</si>
  <si>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</si>
  <si>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</si>
  <si>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</si>
  <si>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</si>
  <si>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</si>
  <si>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</si>
  <si>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</si>
  <si>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</si>
  <si>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</si>
  <si>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</si>
  <si>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</si>
  <si>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</si>
  <si>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</si>
  <si>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</si>
  <si>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</si>
  <si>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</si>
  <si>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</si>
  <si>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</si>
  <si>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</si>
  <si>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</si>
  <si>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</si>
  <si>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</si>
  <si>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</si>
  <si>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</si>
  <si>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</si>
  <si>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</si>
  <si>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</si>
  <si>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</si>
  <si>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</si>
  <si>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</si>
  <si>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</si>
  <si>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 xml:space="preserve">Taynara Lopes Fonseca   </t>
  </si>
  <si>
    <t>004260040</t>
  </si>
  <si>
    <t>103.701.936-95</t>
  </si>
  <si>
    <t>Thaís Figueiredo Teodoro de Oliveira</t>
  </si>
  <si>
    <t>005395948</t>
  </si>
  <si>
    <t>076.149.449-92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</si>
  <si>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</si>
  <si>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</si>
  <si>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</si>
  <si>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</si>
  <si>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</si>
  <si>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</si>
  <si>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</si>
  <si>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</si>
  <si>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</si>
  <si>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</si>
  <si>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</si>
  <si>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</si>
  <si>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</si>
  <si>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</si>
  <si>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</si>
  <si>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</si>
  <si>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</si>
  <si>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</si>
  <si>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</si>
  <si>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</si>
  <si>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</si>
  <si>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</si>
  <si>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</si>
  <si>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</si>
  <si>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</si>
  <si>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</si>
  <si>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</si>
  <si>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</si>
  <si>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</si>
  <si>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</si>
  <si>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</si>
  <si>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20K D+0 (20/08/2024)</t>
  </si>
  <si>
    <t>097.671.656-90</t>
  </si>
  <si>
    <t>Thomas Batista Neto e/ou Eduarda Sebastiani Van Lieshout</t>
  </si>
  <si>
    <t>008026942</t>
  </si>
  <si>
    <t>Tiago Perfeito de Santana</t>
  </si>
  <si>
    <t>004346716</t>
  </si>
  <si>
    <t>793.847.901-25</t>
  </si>
  <si>
    <t>Tiago Sfreddo</t>
  </si>
  <si>
    <t>004498637</t>
  </si>
  <si>
    <t>023.607.329-00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</si>
  <si>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</si>
  <si>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</si>
  <si>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</si>
  <si>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</si>
  <si>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</si>
  <si>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</si>
  <si>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</si>
  <si>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</si>
  <si>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</si>
  <si>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</si>
  <si>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</si>
  <si>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</si>
  <si>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</si>
  <si>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</si>
  <si>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</si>
  <si>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</si>
  <si>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</si>
  <si>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</si>
  <si>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</si>
  <si>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</si>
  <si>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</si>
  <si>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</si>
  <si>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</si>
  <si>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</si>
  <si>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</si>
  <si>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</si>
  <si>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</si>
  <si>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</si>
  <si>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</si>
  <si>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</si>
  <si>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</si>
  <si>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</si>
  <si>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</si>
  <si>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</si>
  <si>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>425.633.991-49</t>
  </si>
  <si>
    <t>004813166</t>
  </si>
  <si>
    <t>15% Fundo RF Ativo (13/09/2024)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</si>
  <si>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</si>
  <si>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</si>
  <si>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</si>
  <si>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</si>
  <si>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</si>
  <si>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</si>
  <si>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</si>
  <si>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</si>
  <si>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</si>
  <si>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Fundo RF Ativo (26/07/2024)</t>
  </si>
  <si>
    <t>011.700.458-80</t>
  </si>
  <si>
    <t>Victor Hugo Santos Beltrao</t>
  </si>
  <si>
    <t>008032413</t>
  </si>
  <si>
    <t>Prazo máximo 1 ano (01/10/2024)</t>
  </si>
  <si>
    <t>057.564.401-00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</si>
  <si>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</si>
  <si>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</si>
  <si>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</si>
  <si>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</si>
  <si>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</si>
  <si>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</si>
  <si>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</si>
  <si>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</si>
  <si>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</si>
  <si>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Kappes Nogueira</t>
  </si>
  <si>
    <t>005886225</t>
  </si>
  <si>
    <t>056.737.009-70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</si>
  <si>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</si>
  <si>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</si>
  <si>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</si>
  <si>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</si>
  <si>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</si>
  <si>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</si>
  <si>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Virgilio Reis Sarmento</t>
  </si>
  <si>
    <t>005053939</t>
  </si>
  <si>
    <t>Felipe Cravos</t>
  </si>
  <si>
    <t>Cliente solicitou distrato (20/06/2024)</t>
  </si>
  <si>
    <t>701.174.891-15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</si>
  <si>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</si>
  <si>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</si>
  <si>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</si>
  <si>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</si>
  <si>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</si>
  <si>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</si>
  <si>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</si>
  <si>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</si>
  <si>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</si>
  <si>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</si>
  <si>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</si>
  <si>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</si>
  <si>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</si>
  <si>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</si>
  <si>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</si>
  <si>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</si>
  <si>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</si>
  <si>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</si>
  <si>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</si>
  <si>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</si>
  <si>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</si>
  <si>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</si>
  <si>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</si>
  <si>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</si>
  <si>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</si>
  <si>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</si>
  <si>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</si>
  <si>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</si>
  <si>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</si>
  <si>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</si>
  <si>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</si>
  <si>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</si>
  <si>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</si>
  <si>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</si>
  <si>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</si>
  <si>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</si>
  <si>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</si>
  <si>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</si>
  <si>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</si>
  <si>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</si>
  <si>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</si>
  <si>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</si>
  <si>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</si>
  <si>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</si>
  <si>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</si>
  <si>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</si>
  <si>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</si>
  <si>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</si>
  <si>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</si>
  <si>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</si>
  <si>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</si>
  <si>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</si>
  <si>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</si>
  <si>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</si>
  <si>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</si>
  <si>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</si>
  <si>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</si>
  <si>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</si>
  <si>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Lechineswski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</si>
  <si>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</si>
  <si>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</si>
  <si>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</si>
  <si>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</si>
  <si>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</si>
  <si>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</si>
  <si>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</si>
  <si>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</si>
  <si>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</si>
  <si>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</si>
  <si>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</si>
  <si>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</si>
  <si>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</si>
  <si>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</si>
  <si>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</si>
  <si>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</si>
  <si>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</si>
  <si>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</si>
  <si>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</si>
  <si>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31/01/2020</t>
  </si>
  <si>
    <t>29/02/2020</t>
  </si>
  <si>
    <t>31/03/2020</t>
  </si>
  <si>
    <t>30/04/2020</t>
  </si>
  <si>
    <t>31/05/2020</t>
  </si>
  <si>
    <t>30/06/2020</t>
  </si>
  <si>
    <t>31/07/2020</t>
  </si>
  <si>
    <t>31/08/2020</t>
  </si>
  <si>
    <t>30/09/2020</t>
  </si>
  <si>
    <t>31/10/2020</t>
  </si>
  <si>
    <t>30/11/2020</t>
  </si>
  <si>
    <t>31/12/2020</t>
  </si>
  <si>
    <t>31/01/2021</t>
  </si>
  <si>
    <t>28/02/2021</t>
  </si>
  <si>
    <t>10/03/2021</t>
  </si>
  <si>
    <t>31/03/2021</t>
  </si>
  <si>
    <t>23/04/2021</t>
  </si>
  <si>
    <t>30/04/2021</t>
  </si>
  <si>
    <t>31/05/2021</t>
  </si>
  <si>
    <t>30/06/2021</t>
  </si>
  <si>
    <t>31/07/2021</t>
  </si>
  <si>
    <t>31/08/2021</t>
  </si>
  <si>
    <t>30/09/2021</t>
  </si>
  <si>
    <t>31/10/2021</t>
  </si>
  <si>
    <t>30/11/2021</t>
  </si>
  <si>
    <t>30/12/2021</t>
  </si>
  <si>
    <t>31/01/2022</t>
  </si>
  <si>
    <t>28/02/2022</t>
  </si>
  <si>
    <t>31/03/2022</t>
  </si>
  <si>
    <t>29/04/2022</t>
  </si>
  <si>
    <t>31/05/2022</t>
  </si>
  <si>
    <t>30/06/2022</t>
  </si>
  <si>
    <t>29/07/2022</t>
  </si>
  <si>
    <t>31/08/2022</t>
  </si>
  <si>
    <t>30/09/2022</t>
  </si>
  <si>
    <t>28/12/2022</t>
  </si>
  <si>
    <t>Outubro (D-3)</t>
  </si>
  <si>
    <t>Guide</t>
  </si>
  <si>
    <t>Acacio Zuniga Leite</t>
  </si>
  <si>
    <t>Conquest</t>
  </si>
  <si>
    <t>Rodger</t>
  </si>
  <si>
    <t>Conservador para Moderado (31/07/2019) / Solicitou resgate total 03/02/2022</t>
  </si>
  <si>
    <t>223.361.758-43</t>
  </si>
  <si>
    <t>Adriana Gomes Martinez</t>
  </si>
  <si>
    <t>698.360.009-68</t>
  </si>
  <si>
    <t>Adriano Gonçalves Barbosa de Castro</t>
  </si>
  <si>
    <t>Rafael</t>
  </si>
  <si>
    <t>373.542.051-68</t>
  </si>
  <si>
    <t xml:space="preserve"> -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</si>
  <si>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</si>
  <si>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</si>
  <si>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</si>
  <si>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</si>
  <si>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</si>
  <si>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</si>
  <si>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Agostinho Nunes do Couto Neto</t>
  </si>
  <si>
    <t>Troca de assessor 01/12/2023 Rodger (Conquest ) para Matheus Vilar</t>
  </si>
  <si>
    <t>803.224.171-04</t>
  </si>
  <si>
    <t>STVM para XP (12/02/2021)</t>
  </si>
  <si>
    <t>Alberto Rodrigues de Sousa Junior</t>
  </si>
  <si>
    <t xml:space="preserve">Conservador para Moderado 16/06/2021 </t>
  </si>
  <si>
    <t>012.396.466-07</t>
  </si>
  <si>
    <t>Alessandro Lourenco Januario</t>
  </si>
  <si>
    <t>Moderada até 20%</t>
  </si>
  <si>
    <t>536.900.951-15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</si>
  <si>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</si>
  <si>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</si>
  <si>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</si>
  <si>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</si>
  <si>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</si>
  <si>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Fuckner Artiaga</t>
  </si>
  <si>
    <t>Norton Jr.</t>
  </si>
  <si>
    <t>020.449.251-33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</si>
  <si>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</si>
  <si>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</si>
  <si>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</si>
  <si>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</si>
  <si>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</si>
  <si>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</si>
  <si>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</si>
  <si>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</si>
  <si>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Carolina Peixoto de Castro Martins</t>
  </si>
  <si>
    <t>809.511.121-04</t>
  </si>
  <si>
    <t>Ana Lucia dos Santos Nakadomari</t>
  </si>
  <si>
    <t>Equities para arrojada 06/01/2022 / Solicitou STVM para BTG - 10/04/23</t>
  </si>
  <si>
    <t>Ana Lucia Garcia Spironelli Quitiliano</t>
  </si>
  <si>
    <t>Resgate Total 29/09/2022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</si>
  <si>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</si>
  <si>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</si>
  <si>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</si>
  <si>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</si>
  <si>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</si>
  <si>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</si>
  <si>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</si>
  <si>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</si>
  <si>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</si>
  <si>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</si>
  <si>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</si>
  <si>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</si>
  <si>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</si>
  <si>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</si>
  <si>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</si>
  <si>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</si>
  <si>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</si>
  <si>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</si>
  <si>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Matrice</t>
  </si>
  <si>
    <t>386.357.121-53</t>
  </si>
  <si>
    <t>Anselmo de Sa Ribeiro Filho</t>
  </si>
  <si>
    <t>004.588.807-87</t>
  </si>
  <si>
    <t>Antonio Carlos Petrus</t>
  </si>
  <si>
    <t>323.355.049-91</t>
  </si>
  <si>
    <t>Arrojada para Moderado 11/06/2021/ STVM para BTG  04/04/23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</si>
  <si>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</si>
  <si>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</si>
  <si>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</si>
  <si>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</si>
  <si>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</si>
  <si>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</si>
  <si>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</si>
  <si>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</si>
  <si>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</si>
  <si>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</si>
  <si>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</si>
  <si>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Aylla Pires Alves Pinto</t>
  </si>
  <si>
    <t>Felipe Estevam</t>
  </si>
  <si>
    <t>222.781.897-27</t>
  </si>
  <si>
    <t>Ayrton de Souza Ferreira Júnior</t>
  </si>
  <si>
    <t>046.704.096-24</t>
  </si>
  <si>
    <t>Barbara Oliveira Souza</t>
  </si>
  <si>
    <t>726.665.521-87</t>
  </si>
  <si>
    <t>Bernardo Fortuna Magalhaes</t>
  </si>
  <si>
    <t>Troca de assessor 01/12/2023 Rafael (Conquest) para Gustavo Amorim</t>
  </si>
  <si>
    <t>159.455.227-40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</si>
  <si>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</si>
  <si>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</si>
  <si>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</si>
  <si>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</si>
  <si>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</si>
  <si>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</si>
  <si>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</si>
  <si>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Bruno Cesar Pesquero Ponce Jaime</t>
  </si>
  <si>
    <t>STVM para XP 19/04/2021</t>
  </si>
  <si>
    <t>704.624.371-91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</si>
  <si>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</si>
  <si>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</si>
  <si>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</si>
  <si>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</si>
  <si>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</si>
  <si>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</si>
  <si>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</si>
  <si>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</si>
  <si>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</si>
  <si>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</si>
  <si>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</si>
  <si>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</si>
  <si>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</si>
  <si>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</si>
  <si>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</si>
  <si>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</si>
  <si>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</si>
  <si>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</si>
  <si>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</si>
  <si>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</si>
  <si>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</si>
  <si>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</si>
  <si>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</si>
  <si>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</si>
  <si>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</si>
  <si>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</si>
  <si>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</si>
  <si>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</si>
  <si>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Cecilia Jose Bittencourt de Andrade</t>
  </si>
  <si>
    <t>451.088.629-20</t>
  </si>
  <si>
    <t>Cheila Rodrigues Wobido</t>
  </si>
  <si>
    <t>630.376.455-04</t>
  </si>
  <si>
    <t>Cintia Tais Polizer Zanin</t>
  </si>
  <si>
    <t>Cláudia Aparecida Carneiro</t>
  </si>
  <si>
    <t>591.692.656-15</t>
  </si>
  <si>
    <t>Clay Brites</t>
  </si>
  <si>
    <t>Cliente faleceu, em processo de inventario</t>
  </si>
  <si>
    <t>979.696.489-91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</si>
  <si>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</si>
  <si>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</si>
  <si>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</si>
  <si>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</si>
  <si>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</si>
  <si>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</si>
  <si>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</si>
  <si>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Renan Silva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</si>
  <si>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</si>
  <si>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</si>
  <si>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</si>
  <si>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</si>
  <si>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</si>
  <si>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</si>
  <si>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#N/D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</si>
  <si>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</si>
  <si>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</si>
  <si>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</si>
  <si>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</si>
  <si>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</si>
  <si>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</si>
  <si>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</si>
  <si>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Debora Maria Rodrigues Cruz</t>
  </si>
  <si>
    <t>Não comprar RV (02/09/2024)</t>
  </si>
  <si>
    <t>Troca de assessor 01/12/2023 Rodger (Conquest) para Gustavo Amorim / Troca de assessor 07/06/2024 Gustavo Amorim para Bruno Henrique</t>
  </si>
  <si>
    <t>306.027.931-49</t>
  </si>
  <si>
    <t>Delvair Batista Lemonie</t>
  </si>
  <si>
    <t>Solicitou resgate total</t>
  </si>
  <si>
    <t>031.734.119-78</t>
  </si>
  <si>
    <t>Não é mais a conta 846369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</si>
  <si>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</si>
  <si>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</si>
  <si>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</si>
  <si>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</si>
  <si>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</si>
  <si>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</si>
  <si>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</si>
  <si>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</si>
  <si>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</si>
  <si>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</si>
  <si>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</si>
  <si>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</si>
  <si>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</si>
  <si>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</si>
  <si>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</si>
  <si>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Distrato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</si>
  <si>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</si>
  <si>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</si>
  <si>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</si>
  <si>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</si>
  <si>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</si>
  <si>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Eudemara de Alcantara Ferreira</t>
  </si>
  <si>
    <t>40k em liquidez</t>
  </si>
  <si>
    <t>501.006.299-20</t>
  </si>
  <si>
    <t>Eugenio Silva de Oliveira Junior</t>
  </si>
  <si>
    <t>471.453.151-49</t>
  </si>
  <si>
    <t>Pediu pra vender toda RV (aplicar RF) falar com Renan</t>
  </si>
  <si>
    <t>Euler Nunes de Oliveira</t>
  </si>
  <si>
    <t>Euriberto de Araujo Santana</t>
  </si>
  <si>
    <t>603.409.911-00</t>
  </si>
  <si>
    <t>Fabiana Regiani</t>
  </si>
  <si>
    <t>066.632.879-07</t>
  </si>
  <si>
    <t>Fabiane Ferreira Monteiro</t>
  </si>
  <si>
    <t>053.443.199-24</t>
  </si>
  <si>
    <t>Fabiano de Andrade Faria</t>
  </si>
  <si>
    <t>665.477.411-68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</si>
  <si>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</si>
  <si>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</si>
  <si>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</si>
  <si>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</si>
  <si>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</si>
  <si>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</si>
  <si>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</si>
  <si>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</si>
  <si>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</si>
  <si>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</si>
  <si>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</si>
  <si>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078.239.569-42</t>
  </si>
  <si>
    <t>Felipe Rossi Ramos</t>
  </si>
  <si>
    <t>033.182.889-85</t>
  </si>
  <si>
    <t>STVM para BTG 004508504</t>
  </si>
  <si>
    <t>Flavia Bordin Silva</t>
  </si>
  <si>
    <t>-</t>
  </si>
  <si>
    <t>MLT MAC</t>
  </si>
  <si>
    <t>Flavia Valone Gorini Jacob e/ou Ademir Junior Souto Jacob</t>
  </si>
  <si>
    <t>STVM para BTG concluída</t>
  </si>
  <si>
    <t>Flavio Cesar Imazu Santana</t>
  </si>
  <si>
    <t>057.366.629-65</t>
  </si>
  <si>
    <t>Flavio Costa Bezerra Filho</t>
  </si>
  <si>
    <t>147.616.207-73</t>
  </si>
  <si>
    <t>Forte e Cia Prestadora de Servicos</t>
  </si>
  <si>
    <t>Solicitou resgate total dia 14/12/2022</t>
  </si>
  <si>
    <t>25.159.734/0001-49</t>
  </si>
  <si>
    <t>Frederico Assad Andrade</t>
  </si>
  <si>
    <t>Vitor Mafra</t>
  </si>
  <si>
    <t>090.297.486-64</t>
  </si>
  <si>
    <t>(600K D+0 p/ Imóvel) mais 100k D+0 (03/05/2024)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</si>
  <si>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</si>
  <si>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</si>
  <si>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</si>
  <si>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</si>
  <si>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</si>
  <si>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</si>
  <si>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</si>
  <si>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</si>
  <si>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NÂO OPERAR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</si>
  <si>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</si>
  <si>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</si>
  <si>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</si>
  <si>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</si>
  <si>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</si>
  <si>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</si>
  <si>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</si>
  <si>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</si>
  <si>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</si>
  <si>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</si>
  <si>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</si>
  <si>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</si>
  <si>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</si>
  <si>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</si>
  <si>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</si>
  <si>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</si>
  <si>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</si>
  <si>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de Souza Kraus</t>
  </si>
  <si>
    <t>Cliente solicitou resgate total 11/04/2024</t>
  </si>
  <si>
    <t>436.403.692-70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</si>
  <si>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</si>
  <si>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</si>
  <si>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</si>
  <si>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</si>
  <si>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</si>
  <si>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</si>
  <si>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</si>
  <si>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</si>
  <si>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</si>
  <si>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</si>
  <si>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</si>
  <si>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</si>
  <si>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</si>
  <si>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Gustavo Rodrigues Queiroz e/ou Aline Tramontini Zanluchi</t>
  </si>
  <si>
    <t>STVM para BTG dia 25/07/2023</t>
  </si>
  <si>
    <t>Helio Jasckstet</t>
  </si>
  <si>
    <t>STVM para BTG 31/03/2023</t>
  </si>
  <si>
    <t>Helmgton Jose Brito de Souza</t>
  </si>
  <si>
    <t>858.212.505-44</t>
  </si>
  <si>
    <t>STVM para BTG 03/04/2023</t>
  </si>
  <si>
    <t>35% em títulos prefixados c/ vencimentos máx. de até 90 dias (e-mail Milanez)</t>
  </si>
  <si>
    <t>Taxa autorizada pelo Renan</t>
  </si>
  <si>
    <t>Henrique Reinert Lopes Dias</t>
  </si>
  <si>
    <t>014.301.271-12</t>
  </si>
  <si>
    <t>Henrique Tomazoni</t>
  </si>
  <si>
    <t>058.833.099-09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</si>
  <si>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</si>
  <si>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</si>
  <si>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</si>
  <si>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</si>
  <si>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</si>
  <si>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</si>
  <si>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</si>
  <si>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</si>
  <si>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</si>
  <si>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</si>
  <si>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</si>
  <si>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Iracema Matias Morris</t>
  </si>
  <si>
    <t>Troca de assessor 01/12/2023  Rodger (Conquest) para Luca Bueno</t>
  </si>
  <si>
    <t>977.113.571-68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</si>
  <si>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</si>
  <si>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</si>
  <si>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</si>
  <si>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</si>
  <si>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</si>
  <si>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</si>
  <si>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</si>
  <si>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</si>
  <si>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</si>
  <si>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Jeronymo Nery do Amaral</t>
  </si>
  <si>
    <t>100% D+0</t>
  </si>
  <si>
    <t>159.693.567-78</t>
  </si>
  <si>
    <t>Joao Alberto Hannuch Nascif</t>
  </si>
  <si>
    <t>044.032.839-00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</si>
  <si>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</si>
  <si>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</si>
  <si>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</si>
  <si>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</si>
  <si>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</si>
  <si>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</si>
  <si>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</si>
  <si>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</si>
  <si>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Fernandes Guerreiro</t>
  </si>
  <si>
    <t>Joao Paulo Setubal Campos Martins</t>
  </si>
  <si>
    <t>João Pedro Finger Couto</t>
  </si>
  <si>
    <t>030.623.981-75</t>
  </si>
  <si>
    <t>Joao Rodrigo Santos Milanez</t>
  </si>
  <si>
    <t>516.707.981-00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</si>
  <si>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</si>
  <si>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</si>
  <si>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</si>
  <si>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</si>
  <si>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</si>
  <si>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</si>
  <si>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</si>
  <si>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</si>
  <si>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</si>
  <si>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</si>
  <si>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</si>
  <si>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</si>
  <si>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</si>
  <si>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</si>
  <si>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</si>
  <si>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</si>
  <si>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</si>
  <si>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</si>
  <si>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</si>
  <si>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</si>
  <si>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</si>
  <si>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</si>
  <si>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Jose Washington de Carvalho Novaes</t>
  </si>
  <si>
    <t>000.536.271-72</t>
  </si>
  <si>
    <t>Moderada p/ income 14/04/2022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</si>
  <si>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</si>
  <si>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</si>
  <si>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</si>
  <si>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</si>
  <si>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</si>
  <si>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</si>
  <si>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</si>
  <si>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</si>
  <si>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</si>
  <si>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</si>
  <si>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</si>
  <si>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</si>
  <si>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Lara Falavigna Guilherme Nacruth</t>
  </si>
  <si>
    <t>Equities para arrojada 06/01/2022 (Fazendo STVM - nao comprar ações)</t>
  </si>
  <si>
    <t>Arrojada para moderada 06/01/2022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</si>
  <si>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</si>
  <si>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</si>
  <si>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</si>
  <si>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</si>
  <si>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</si>
  <si>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</si>
  <si>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Leonardo Jardim</t>
  </si>
  <si>
    <t>Lylle Maria Leite Pugliese</t>
  </si>
  <si>
    <t>550.915.127-72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</si>
  <si>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</si>
  <si>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</si>
  <si>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</si>
  <si>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</si>
  <si>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</si>
  <si>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</si>
  <si>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</si>
  <si>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</si>
  <si>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</si>
  <si>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</si>
  <si>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</si>
  <si>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</si>
  <si>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</si>
  <si>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 Helena de Avila Miguel</t>
  </si>
  <si>
    <t>790.320.983-30</t>
  </si>
  <si>
    <t>Luciano Souza Fonseca</t>
  </si>
  <si>
    <t>717.733.206-53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</si>
  <si>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</si>
  <si>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</si>
  <si>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</si>
  <si>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</si>
  <si>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</si>
  <si>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</si>
  <si>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</si>
  <si>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</si>
  <si>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</si>
  <si>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</si>
  <si>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</si>
  <si>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</si>
  <si>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</si>
  <si>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</si>
  <si>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</si>
  <si>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</si>
  <si>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</si>
  <si>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</si>
  <si>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</si>
  <si>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</si>
  <si>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</si>
  <si>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</si>
  <si>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Marcelo Lara Camargos</t>
  </si>
  <si>
    <t>156.740.106-68</t>
  </si>
  <si>
    <t>Marcelo Reinecken de Araújo</t>
  </si>
  <si>
    <t>776.057.051-15</t>
  </si>
  <si>
    <t>Alocar vencimentos em D+0</t>
  </si>
  <si>
    <t>550k em liquidez</t>
  </si>
  <si>
    <t>Márcia Carvalho Gazeta</t>
  </si>
  <si>
    <t>473.382.611-72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</si>
  <si>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</si>
  <si>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</si>
  <si>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</si>
  <si>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</si>
  <si>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</si>
  <si>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</si>
  <si>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</si>
  <si>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</si>
  <si>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</si>
  <si>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</si>
  <si>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</si>
  <si>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</si>
  <si>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</si>
  <si>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Beatriz Roldão e Alvares</t>
  </si>
  <si>
    <t>Troca de assessor 01/12/2023 Rodger (Conquest) para Gustavo Amorim</t>
  </si>
  <si>
    <t>310.271.481-15</t>
  </si>
  <si>
    <t>Maria Caroline Fernandes Simon Jaqueto</t>
  </si>
  <si>
    <t>030.999.229-00</t>
  </si>
  <si>
    <t>Maria das Graças Costa</t>
  </si>
  <si>
    <t>153.898.711-20</t>
  </si>
  <si>
    <t>Maria de Fátima Nunes Franco</t>
  </si>
  <si>
    <t>150.297.861-04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</si>
  <si>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</si>
  <si>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</si>
  <si>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</si>
  <si>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</si>
  <si>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</si>
  <si>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</si>
  <si>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</si>
  <si>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</si>
  <si>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Marta Maria Prado de Souza Coe</t>
  </si>
  <si>
    <t>584.201.771-72</t>
  </si>
  <si>
    <t>Mateus Argolo Lopes Camargos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</si>
  <si>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</si>
  <si>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</si>
  <si>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</si>
  <si>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</si>
  <si>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</si>
  <si>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</si>
  <si>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</si>
  <si>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</si>
  <si>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</si>
  <si>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</si>
  <si>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</si>
  <si>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</si>
  <si>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</si>
  <si>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</si>
  <si>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Aguardando portabilidade de previdência para BTG (26/03/2024)</t>
  </si>
  <si>
    <t xml:space="preserve">Natalia Falavigna Silva   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</si>
  <si>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</si>
  <si>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</si>
  <si>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</si>
  <si>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</si>
  <si>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</si>
  <si>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</si>
  <si>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</si>
  <si>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</si>
  <si>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</si>
  <si>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</si>
  <si>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Otávio Alves Forte</t>
  </si>
  <si>
    <t>Arrojada  10% em RV</t>
  </si>
  <si>
    <t>849.839.811-87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</si>
  <si>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</si>
  <si>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</si>
  <si>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</si>
  <si>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</si>
  <si>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</si>
  <si>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Patricia Soares Assad Andrade</t>
  </si>
  <si>
    <t>798.719.846-34</t>
  </si>
  <si>
    <t>Patrick Francois Durans Amorim</t>
  </si>
  <si>
    <t>876.111.631-91</t>
  </si>
  <si>
    <t>Paula Renata Ruiz de Avila Miguel</t>
  </si>
  <si>
    <t>Aplicar em fundo DI todo caixa que surgir por vencimento de papéis (cliente vai precisar do recurso)</t>
  </si>
  <si>
    <t>Paulo Antonio Ruffo</t>
  </si>
  <si>
    <t>329.011.009-53</t>
  </si>
  <si>
    <t>Pr</t>
  </si>
  <si>
    <t>Paulo Fernando Ulian</t>
  </si>
  <si>
    <t>296589x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</si>
  <si>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</si>
  <si>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</si>
  <si>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</si>
  <si>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</si>
  <si>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</si>
  <si>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</si>
  <si>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500K em FII, restante Income</t>
  </si>
  <si>
    <t>Solicitou alteração para o perfil conservador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</si>
  <si>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</si>
  <si>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</si>
  <si>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</si>
  <si>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</si>
  <si>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</si>
  <si>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</si>
  <si>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</si>
  <si>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</si>
  <si>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</si>
  <si>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</si>
  <si>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</si>
  <si>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</si>
  <si>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</si>
  <si>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</si>
  <si>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</si>
  <si>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</si>
  <si>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</si>
  <si>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</si>
  <si>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</si>
  <si>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</si>
  <si>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Raquel Marques Luz</t>
  </si>
  <si>
    <t>027.243.381-03</t>
  </si>
  <si>
    <t>Reginaldo Ferreira</t>
  </si>
  <si>
    <t>917.922.669-87</t>
  </si>
  <si>
    <t>Rejane Elizabeth Maria Jaqueto</t>
  </si>
  <si>
    <t>Não operar, está fazendo STVM pro BTG (004550605) 19/05/2023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</si>
  <si>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</si>
  <si>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</si>
  <si>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</si>
  <si>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</si>
  <si>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</si>
  <si>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</si>
  <si>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</si>
  <si>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</si>
  <si>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</si>
  <si>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</si>
  <si>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Ricardo Alves Matheus</t>
  </si>
  <si>
    <t>021.174.719-00</t>
  </si>
  <si>
    <t>Todo mês de dezembro o cliente irá fazer resgate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</si>
  <si>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</si>
  <si>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</si>
  <si>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</si>
  <si>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</si>
  <si>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</si>
  <si>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</si>
  <si>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</si>
  <si>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</si>
  <si>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</si>
  <si>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Rodolfo Cesar Azevedo Palma e/ou Poliana Camurca da Silva</t>
  </si>
  <si>
    <t>Rodrigo Felipe Marques</t>
  </si>
  <si>
    <t>023.972.977-36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</si>
  <si>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</si>
  <si>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</si>
  <si>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</si>
  <si>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</si>
  <si>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</si>
  <si>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</si>
  <si>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</si>
  <si>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</si>
  <si>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</si>
  <si>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</si>
  <si>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</si>
  <si>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</si>
  <si>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</si>
  <si>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</si>
  <si>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</si>
  <si>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</si>
  <si>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</si>
  <si>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</si>
  <si>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</si>
  <si>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</si>
  <si>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</si>
  <si>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</si>
  <si>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</si>
  <si>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</si>
  <si>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</si>
  <si>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</si>
  <si>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</si>
  <si>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</si>
  <si>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</si>
  <si>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</si>
  <si>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</si>
  <si>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</si>
  <si>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</si>
  <si>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</si>
  <si>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</si>
  <si>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Lima Carvalho</t>
  </si>
  <si>
    <t>634.698.471-34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</si>
  <si>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</si>
  <si>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</si>
  <si>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</si>
  <si>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</si>
  <si>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</si>
  <si>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</si>
  <si>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</si>
  <si>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</si>
  <si>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</si>
  <si>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</si>
  <si>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STVM dia 10/04/23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</si>
  <si>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</si>
  <si>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</si>
  <si>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</si>
  <si>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</si>
  <si>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</si>
  <si>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</si>
  <si>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</si>
  <si>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</si>
  <si>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</si>
  <si>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</si>
  <si>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</si>
  <si>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</si>
  <si>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</si>
  <si>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</si>
  <si>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</si>
  <si>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</si>
  <si>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</si>
  <si>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</si>
  <si>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</si>
  <si>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</si>
  <si>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</si>
  <si>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</si>
  <si>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</si>
  <si>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</si>
  <si>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</si>
  <si>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</si>
  <si>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</si>
  <si>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Yuri David Lechinewski</t>
  </si>
  <si>
    <t>505.802.791-70</t>
  </si>
  <si>
    <t>Zoo Brasil Rações Eireli</t>
  </si>
  <si>
    <t>05.698.712/0001-40</t>
  </si>
  <si>
    <t>Contas Inativa</t>
  </si>
  <si>
    <t>31/10/2024</t>
  </si>
  <si>
    <t>Ágora</t>
  </si>
  <si>
    <t>Afrisio de Souza Vieira Lima Filho</t>
  </si>
  <si>
    <t>Bruno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</si>
  <si>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</si>
  <si>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</si>
  <si>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</si>
  <si>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</si>
  <si>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</si>
  <si>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</si>
  <si>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</si>
  <si>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</si>
  <si>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</si>
  <si>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</si>
  <si>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</si>
  <si>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</si>
  <si>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</si>
  <si>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</si>
  <si>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</si>
  <si>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</si>
  <si>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11339353</t>
  </si>
  <si>
    <t>Silede Satyro de Sá Ribeiro</t>
  </si>
  <si>
    <t>6116342</t>
  </si>
  <si>
    <t>Saída gradativa de RV sem exceder 20k/mês até virar incomefix</t>
  </si>
  <si>
    <t>010.545.787-61</t>
  </si>
  <si>
    <t>31/10/2019</t>
  </si>
  <si>
    <t>30/11/2019</t>
  </si>
  <si>
    <t>31/12/2019</t>
  </si>
  <si>
    <t>30/07/2020</t>
  </si>
  <si>
    <t>31/09/2020</t>
  </si>
  <si>
    <t>31/11/2020</t>
  </si>
  <si>
    <t>28/04/2021</t>
  </si>
  <si>
    <t>27/05/2021</t>
  </si>
  <si>
    <t>31/12/2021</t>
  </si>
  <si>
    <t>25/02/2022</t>
  </si>
  <si>
    <t>Genial</t>
  </si>
  <si>
    <t>A4 Empreendimentos Imobiliários</t>
  </si>
  <si>
    <t xml:space="preserve"> 901743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</si>
  <si>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</si>
  <si>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</si>
  <si>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</si>
  <si>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</si>
  <si>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</si>
  <si>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</si>
  <si>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</si>
  <si>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</si>
  <si>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</si>
  <si>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</si>
  <si>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</si>
  <si>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</si>
  <si>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</si>
  <si>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</si>
  <si>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</si>
  <si>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</si>
  <si>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</si>
  <si>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</si>
  <si>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</si>
  <si>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</si>
  <si>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</si>
  <si>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</si>
  <si>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</si>
  <si>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</si>
  <si>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</si>
  <si>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</si>
  <si>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</si>
  <si>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</si>
  <si>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</si>
  <si>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</si>
  <si>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</si>
  <si>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</si>
  <si>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</si>
  <si>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</si>
  <si>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</si>
  <si>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</si>
  <si>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</si>
  <si>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</si>
  <si>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</si>
  <si>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</si>
  <si>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</si>
  <si>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</si>
  <si>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</si>
  <si>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</si>
  <si>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</si>
  <si>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</si>
  <si>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</si>
  <si>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</si>
  <si>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</si>
  <si>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</si>
  <si>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</si>
  <si>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</si>
  <si>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</si>
  <si>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</si>
  <si>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</si>
  <si>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</si>
  <si>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</si>
  <si>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</si>
  <si>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</si>
  <si>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</si>
  <si>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</si>
  <si>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</si>
  <si>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</si>
  <si>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</si>
  <si>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</si>
  <si>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</si>
  <si>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</si>
  <si>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</si>
  <si>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</si>
  <si>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</si>
  <si>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</si>
  <si>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</si>
  <si>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</si>
  <si>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</si>
  <si>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</si>
  <si>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</si>
  <si>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</si>
  <si>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</si>
  <si>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</si>
  <si>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</si>
  <si>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</si>
  <si>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</si>
  <si>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</si>
  <si>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</si>
  <si>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</si>
  <si>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</si>
  <si>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</si>
  <si>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</si>
  <si>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</si>
  <si>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</si>
  <si>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</si>
  <si>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</si>
  <si>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</si>
  <si>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</si>
  <si>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</si>
  <si>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</si>
  <si>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</si>
  <si>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</si>
  <si>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</si>
  <si>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</si>
  <si>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</si>
  <si>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</si>
  <si>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</si>
  <si>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Pershing</t>
  </si>
  <si>
    <t>L22000164597</t>
  </si>
  <si>
    <t>Akag Investments LLC</t>
  </si>
  <si>
    <t>BPS402191</t>
  </si>
  <si>
    <t>Bullside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</si>
  <si>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</si>
  <si>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</si>
  <si>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</si>
  <si>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</si>
  <si>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</si>
  <si>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</si>
  <si>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</si>
  <si>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</si>
  <si>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</si>
  <si>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</si>
  <si>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</si>
  <si>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</si>
  <si>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</si>
  <si>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</si>
  <si>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</si>
  <si>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</si>
  <si>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</si>
  <si>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</si>
  <si>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</si>
  <si>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</si>
  <si>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</si>
  <si>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</si>
  <si>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</si>
  <si>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</si>
  <si>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</si>
  <si>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</si>
  <si>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</si>
  <si>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</si>
  <si>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</si>
  <si>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BPS203680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</si>
  <si>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</si>
  <si>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</si>
  <si>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</si>
  <si>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</si>
  <si>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</si>
  <si>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</si>
  <si>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</si>
  <si>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</si>
  <si>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</si>
  <si>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</si>
  <si>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</si>
  <si>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</si>
  <si>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</si>
  <si>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Summit Capital Investments Inc</t>
  </si>
  <si>
    <t>BP402662</t>
  </si>
  <si>
    <t>Pedro Castro</t>
  </si>
  <si>
    <t>584.358.911-00</t>
  </si>
  <si>
    <t>Sérgio Ferreira Vargas e Luciana Aparecida Zago de Andrade</t>
  </si>
  <si>
    <t>BPS203250</t>
  </si>
  <si>
    <t>BPS203086</t>
  </si>
  <si>
    <t>U10479265</t>
  </si>
  <si>
    <t>U8503431</t>
  </si>
  <si>
    <t>CPF</t>
  </si>
  <si>
    <t>Avenue</t>
  </si>
  <si>
    <t xml:space="preserve">Antonio Daud Junior </t>
  </si>
  <si>
    <t>xxxxx-x</t>
  </si>
  <si>
    <t>6AH68133</t>
  </si>
  <si>
    <t>6AK30371</t>
  </si>
  <si>
    <t>Código Bluemetrix Assessor</t>
  </si>
  <si>
    <t>Contato Comercial</t>
  </si>
  <si>
    <t>Status ANBIMA</t>
  </si>
  <si>
    <t>Primeiro aporte</t>
  </si>
  <si>
    <t>Observação</t>
  </si>
  <si>
    <t>Tipo de investidor</t>
  </si>
  <si>
    <t>PF ou PJ</t>
  </si>
  <si>
    <t>Localização</t>
  </si>
  <si>
    <t>PL D+0 (02/10/2024)</t>
  </si>
  <si>
    <t>XP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</si>
  <si>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</si>
  <si>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</si>
  <si>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</si>
  <si>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</si>
  <si>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</si>
  <si>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</si>
  <si>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</si>
  <si>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</si>
  <si>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</si>
  <si>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</si>
  <si>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</si>
  <si>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</si>
  <si>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</si>
  <si>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</si>
  <si>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</si>
  <si>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</si>
  <si>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</si>
  <si>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</si>
  <si>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</si>
  <si>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</si>
  <si>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</si>
  <si>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</si>
  <si>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</si>
  <si>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</si>
  <si>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</si>
  <si>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</si>
  <si>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</si>
  <si>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</si>
  <si>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</si>
  <si>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</si>
  <si>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</si>
  <si>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</si>
  <si>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</si>
  <si>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</si>
  <si>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</si>
  <si>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</si>
  <si>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</si>
  <si>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</si>
  <si>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</si>
  <si>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</si>
  <si>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</si>
  <si>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</si>
  <si>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</si>
  <si>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</si>
  <si>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</si>
  <si>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</si>
  <si>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</si>
  <si>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</si>
  <si>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</si>
  <si>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</si>
  <si>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</si>
  <si>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</si>
  <si>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</si>
  <si>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</si>
  <si>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</si>
  <si>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</si>
  <si>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</si>
  <si>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</si>
  <si>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</si>
  <si>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</si>
  <si>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</si>
  <si>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</si>
  <si>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</si>
  <si>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</si>
  <si>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</si>
  <si>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</si>
  <si>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</si>
  <si>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</si>
  <si>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</si>
  <si>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</si>
  <si>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</si>
  <si>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</si>
  <si>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</si>
  <si>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</si>
  <si>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</si>
  <si>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</si>
  <si>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</si>
  <si>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</si>
  <si>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</si>
  <si>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</si>
  <si>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</si>
  <si>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</si>
  <si>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</si>
  <si>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</si>
  <si>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</si>
  <si>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</si>
  <si>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</si>
  <si>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</si>
  <si>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</si>
  <si>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</si>
  <si>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</si>
  <si>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</si>
  <si>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</si>
  <si>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</si>
  <si>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</si>
  <si>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</si>
  <si>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</si>
  <si>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</si>
  <si>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</si>
  <si>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</si>
  <si>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</si>
  <si>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</si>
  <si>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</si>
  <si>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</si>
  <si>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</si>
  <si>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</si>
  <si>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</si>
  <si>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</si>
  <si>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</si>
  <si>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</si>
  <si>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</si>
  <si>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</si>
  <si>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</si>
  <si>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</si>
  <si>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</si>
  <si>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</si>
  <si>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</si>
  <si>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</si>
  <si>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</si>
  <si>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</si>
  <si>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</si>
  <si>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</si>
  <si>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</si>
  <si>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</si>
  <si>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</si>
  <si>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</si>
  <si>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</si>
  <si>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</si>
  <si>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</si>
  <si>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</si>
  <si>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</si>
  <si>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</si>
  <si>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</si>
  <si>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</si>
  <si>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</si>
  <si>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</si>
  <si>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</si>
  <si>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</si>
  <si>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</si>
  <si>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</si>
  <si>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</si>
  <si>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</si>
  <si>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</si>
  <si>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</si>
  <si>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</si>
  <si>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</si>
  <si>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</si>
  <si>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</si>
  <si>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</si>
  <si>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</si>
  <si>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</si>
  <si>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</si>
  <si>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</si>
  <si>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</si>
  <si>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</si>
  <si>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</si>
  <si>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</si>
  <si>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</si>
  <si>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</si>
  <si>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</si>
  <si>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</si>
  <si>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</si>
  <si>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</si>
  <si>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</si>
  <si>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</si>
  <si>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</si>
  <si>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</si>
  <si>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</si>
  <si>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</si>
  <si>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</si>
  <si>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</si>
  <si>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</si>
  <si>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</si>
  <si>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</si>
  <si>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</si>
  <si>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</si>
  <si>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</si>
  <si>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</si>
  <si>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</si>
  <si>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</si>
  <si>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</si>
  <si>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</si>
  <si>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</si>
  <si>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</si>
  <si>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</si>
  <si>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</si>
  <si>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</si>
  <si>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</si>
  <si>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</si>
  <si>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</si>
  <si>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</si>
  <si>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</si>
  <si>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</si>
  <si>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</si>
  <si>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</si>
  <si>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</si>
  <si>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</si>
  <si>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</si>
  <si>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</si>
  <si>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</si>
  <si>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</si>
  <si>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</si>
  <si>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</si>
  <si>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</si>
  <si>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</si>
  <si>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</si>
  <si>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</si>
  <si>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</si>
  <si>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</si>
  <si>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</si>
  <si>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</si>
  <si>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</si>
  <si>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</si>
  <si>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</si>
  <si>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</si>
  <si>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</si>
  <si>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</si>
  <si>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</si>
  <si>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</si>
  <si>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</si>
  <si>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</si>
  <si>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</si>
  <si>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</si>
  <si>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</si>
  <si>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</si>
  <si>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</si>
  <si>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</si>
  <si>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</si>
  <si>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</si>
  <si>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</si>
  <si>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</si>
  <si>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</si>
  <si>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</si>
  <si>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</si>
  <si>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</si>
  <si>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</si>
  <si>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</si>
  <si>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</si>
  <si>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</si>
  <si>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</si>
  <si>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</si>
  <si>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</si>
  <si>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</si>
  <si>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</si>
  <si>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</si>
  <si>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</si>
  <si>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</si>
  <si>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</si>
  <si>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</si>
  <si>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</si>
  <si>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</si>
  <si>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</si>
  <si>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</si>
  <si>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</si>
  <si>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</si>
  <si>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</si>
  <si>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</si>
  <si>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</si>
  <si>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</si>
  <si>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</si>
  <si>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</si>
  <si>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</si>
  <si>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</si>
  <si>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</si>
  <si>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</si>
  <si>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</si>
  <si>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</si>
  <si>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</si>
  <si>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</si>
  <si>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</si>
  <si>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</si>
  <si>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</si>
  <si>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</si>
  <si>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</si>
  <si>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</si>
  <si>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</si>
  <si>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</si>
  <si>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</si>
  <si>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</si>
  <si>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</si>
  <si>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</si>
  <si>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</si>
  <si>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</si>
  <si>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</si>
  <si>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</si>
  <si>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</si>
  <si>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</si>
  <si>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</si>
  <si>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</si>
  <si>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</si>
  <si>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</si>
  <si>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</si>
  <si>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</si>
  <si>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</si>
  <si>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</si>
  <si>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</si>
  <si>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</si>
  <si>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</si>
  <si>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</si>
  <si>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</si>
  <si>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</si>
  <si>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</si>
  <si>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</si>
  <si>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</si>
  <si>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</si>
  <si>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</si>
  <si>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</si>
  <si>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</si>
  <si>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</si>
  <si>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</si>
  <si>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</si>
  <si>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</si>
  <si>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</si>
  <si>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</si>
  <si>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</si>
  <si>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</si>
  <si>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</si>
  <si>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</si>
  <si>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</si>
  <si>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</si>
  <si>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</si>
  <si>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</si>
  <si>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</si>
  <si>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</si>
  <si>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</si>
  <si>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</si>
  <si>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</si>
  <si>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</si>
  <si>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</si>
  <si>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</si>
  <si>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</si>
  <si>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</si>
  <si>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</si>
  <si>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</si>
  <si>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</si>
  <si>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</si>
  <si>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</si>
  <si>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</si>
  <si>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</si>
  <si>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</si>
  <si>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</si>
  <si>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</si>
  <si>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</si>
  <si>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</si>
  <si>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</si>
  <si>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</si>
  <si>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</si>
  <si>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</si>
  <si>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</si>
  <si>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</si>
  <si>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</si>
  <si>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</si>
  <si>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</si>
  <si>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</si>
  <si>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</si>
  <si>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</si>
  <si>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</si>
  <si>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</si>
  <si>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</si>
  <si>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</si>
  <si>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</si>
  <si>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</si>
  <si>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</si>
  <si>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</si>
  <si>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</si>
  <si>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</si>
  <si>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</si>
  <si>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</si>
  <si>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</si>
  <si>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</si>
  <si>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</si>
  <si>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</si>
  <si>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</si>
  <si>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</si>
  <si>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</si>
  <si>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</si>
  <si>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</si>
  <si>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</si>
  <si>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</si>
  <si>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</si>
  <si>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</si>
  <si>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</si>
  <si>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</si>
  <si>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</si>
  <si>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</si>
  <si>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sz val="10"/>
        <color rgb="FF000000"/>
        <rFont val="Times New Roman"/>
      </rPr>
      <t xml:space="preserve">Troca de assessor de André Luiz para Thiago Canabrava em 12/12/2022 </t>
    </r>
    <r>
      <rPr>
        <b/>
        <sz val="10"/>
        <color rgb="FF000000"/>
        <rFont val="Times New Roman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</si>
  <si>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</si>
  <si>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</si>
  <si>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</si>
  <si>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</si>
  <si>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</si>
  <si>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</si>
  <si>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</si>
  <si>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</si>
  <si>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</si>
  <si>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</si>
  <si>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</si>
  <si>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</si>
  <si>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</si>
  <si>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</si>
  <si>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</si>
  <si>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</si>
  <si>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</si>
  <si>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</si>
  <si>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</si>
  <si>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</si>
  <si>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</si>
  <si>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</si>
  <si>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</si>
  <si>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</si>
  <si>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</si>
  <si>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</si>
  <si>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</si>
  <si>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</si>
  <si>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</si>
  <si>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</si>
  <si>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</si>
  <si>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</si>
  <si>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</si>
  <si>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</si>
  <si>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</si>
  <si>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</si>
  <si>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</si>
  <si>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</si>
  <si>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</si>
  <si>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</si>
  <si>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</si>
  <si>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</si>
  <si>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</si>
  <si>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</si>
  <si>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</si>
  <si>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</si>
  <si>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</si>
  <si>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</si>
  <si>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</si>
  <si>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</si>
  <si>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</si>
  <si>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</si>
  <si>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</si>
  <si>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</si>
  <si>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</si>
  <si>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</si>
  <si>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</si>
  <si>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</si>
  <si>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</si>
  <si>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</si>
  <si>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</si>
  <si>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</si>
  <si>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</si>
  <si>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</si>
  <si>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</si>
  <si>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</si>
  <si>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</si>
  <si>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</si>
  <si>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</si>
  <si>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</si>
  <si>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</si>
  <si>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</si>
  <si>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BDR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</si>
  <si>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</si>
  <si>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</si>
  <si>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</si>
  <si>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</si>
  <si>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</si>
  <si>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</si>
  <si>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</si>
  <si>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</si>
  <si>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</si>
  <si>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</si>
  <si>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</si>
  <si>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</si>
  <si>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</si>
  <si>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</si>
  <si>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</si>
  <si>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</si>
  <si>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</si>
  <si>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</si>
  <si>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</si>
  <si>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</si>
  <si>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</si>
  <si>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</si>
  <si>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</si>
  <si>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</si>
  <si>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</si>
  <si>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</si>
  <si>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</si>
  <si>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</si>
  <si>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</si>
  <si>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</si>
  <si>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</si>
  <si>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</si>
  <si>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</si>
  <si>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</si>
  <si>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</si>
  <si>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</si>
  <si>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</si>
  <si>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</si>
  <si>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</si>
  <si>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</si>
  <si>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</si>
  <si>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</si>
  <si>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</si>
  <si>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</si>
  <si>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</si>
  <si>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</si>
  <si>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</si>
  <si>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</si>
  <si>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</si>
  <si>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</si>
  <si>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</si>
  <si>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</si>
  <si>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</si>
  <si>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</si>
  <si>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</si>
  <si>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</si>
  <si>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</si>
  <si>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</si>
  <si>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</si>
  <si>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</si>
  <si>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</si>
  <si>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</si>
  <si>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</si>
  <si>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</si>
  <si>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</si>
  <si>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</si>
  <si>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</si>
  <si>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</si>
  <si>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</si>
  <si>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</si>
  <si>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</si>
  <si>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</si>
  <si>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</si>
  <si>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</si>
  <si>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</si>
  <si>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</si>
  <si>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</si>
  <si>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</si>
  <si>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</si>
  <si>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</si>
  <si>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</si>
  <si>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</si>
  <si>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</si>
  <si>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</si>
  <si>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</si>
  <si>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</si>
  <si>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</si>
  <si>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</si>
  <si>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</si>
  <si>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</si>
  <si>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</si>
  <si>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</si>
  <si>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</si>
  <si>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</si>
  <si>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</si>
  <si>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</si>
  <si>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</si>
  <si>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</si>
  <si>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</si>
  <si>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</si>
  <si>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</si>
  <si>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</si>
  <si>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</si>
  <si>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</si>
  <si>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</si>
  <si>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</si>
  <si>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</si>
  <si>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</si>
  <si>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</si>
  <si>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</si>
  <si>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</si>
  <si>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</si>
  <si>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</si>
  <si>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</si>
  <si>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</si>
  <si>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</si>
  <si>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</si>
  <si>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</si>
  <si>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</si>
  <si>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</si>
  <si>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</si>
  <si>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</si>
  <si>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</si>
  <si>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</si>
  <si>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</si>
  <si>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</si>
  <si>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</si>
  <si>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</si>
  <si>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</si>
  <si>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</si>
  <si>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</si>
  <si>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</si>
  <si>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</si>
  <si>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</si>
  <si>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</si>
  <si>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</si>
  <si>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</si>
  <si>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</si>
  <si>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</si>
  <si>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</si>
  <si>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</si>
  <si>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</si>
  <si>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</si>
  <si>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</si>
  <si>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</si>
  <si>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</si>
  <si>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</si>
  <si>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</si>
  <si>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</si>
  <si>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sz val="10"/>
        <color rgb="FF000000"/>
        <rFont val="Times New Roman"/>
      </rPr>
      <t xml:space="preserve">Na parte de Renda variável por enquanto fazer R$ 100.000,00 em </t>
    </r>
    <r>
      <rPr>
        <b/>
        <sz val="10"/>
        <color rgb="FF000000"/>
        <rFont val="Times New Roman"/>
      </rPr>
      <t>FIIs</t>
    </r>
    <r>
      <rPr>
        <sz val="10"/>
        <color rgb="FF000000"/>
        <rFont val="Times New Roman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</si>
  <si>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</si>
  <si>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</si>
  <si>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</si>
  <si>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</si>
  <si>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</si>
  <si>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</si>
  <si>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</si>
  <si>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</si>
  <si>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</si>
  <si>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</si>
  <si>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</si>
  <si>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</si>
  <si>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</si>
  <si>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</si>
  <si>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</si>
  <si>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</si>
  <si>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</si>
  <si>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</si>
  <si>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</si>
  <si>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</si>
  <si>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</si>
  <si>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</si>
  <si>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</si>
  <si>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</si>
  <si>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</si>
  <si>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</si>
  <si>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</si>
  <si>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</si>
  <si>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</si>
  <si>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</si>
  <si>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</si>
  <si>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</si>
  <si>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</si>
  <si>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</si>
  <si>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</si>
  <si>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</si>
  <si>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</si>
  <si>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</si>
  <si>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</si>
  <si>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</si>
  <si>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</si>
  <si>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</si>
  <si>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</si>
  <si>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</si>
  <si>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</si>
  <si>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</si>
  <si>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</si>
  <si>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</si>
  <si>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</si>
  <si>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</si>
  <si>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</si>
  <si>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</si>
  <si>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</si>
  <si>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</si>
  <si>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</si>
  <si>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</si>
  <si>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</si>
  <si>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</si>
  <si>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</si>
  <si>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</si>
  <si>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</si>
  <si>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</si>
  <si>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</si>
  <si>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</si>
  <si>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</si>
  <si>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</si>
  <si>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</si>
  <si>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</si>
  <si>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</si>
  <si>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</si>
  <si>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</si>
  <si>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</si>
  <si>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</si>
  <si>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</si>
  <si>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</si>
  <si>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</si>
  <si>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</si>
  <si>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</si>
  <si>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</si>
  <si>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</si>
  <si>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</si>
  <si>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</si>
  <si>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</si>
  <si>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</si>
  <si>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</si>
  <si>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</si>
  <si>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</si>
  <si>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</si>
  <si>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</si>
  <si>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</si>
  <si>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</si>
  <si>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</si>
  <si>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</si>
  <si>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</si>
  <si>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</si>
  <si>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</si>
  <si>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</si>
  <si>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</si>
  <si>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</si>
  <si>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</si>
  <si>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</si>
  <si>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</si>
  <si>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</si>
  <si>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</si>
  <si>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</si>
  <si>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</si>
  <si>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</si>
  <si>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</si>
  <si>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</si>
  <si>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</si>
  <si>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</si>
  <si>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</si>
  <si>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</si>
  <si>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</si>
  <si>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</si>
  <si>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</si>
  <si>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</si>
  <si>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</si>
  <si>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</si>
  <si>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</si>
  <si>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</si>
  <si>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</si>
  <si>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</si>
  <si>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</si>
  <si>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</si>
  <si>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</si>
  <si>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</si>
  <si>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</si>
  <si>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</si>
  <si>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</si>
  <si>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</si>
  <si>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</si>
  <si>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</si>
  <si>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</si>
  <si>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</si>
  <si>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</si>
  <si>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</si>
  <si>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</si>
  <si>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</si>
  <si>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</si>
  <si>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</si>
  <si>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</si>
  <si>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</si>
  <si>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</si>
  <si>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</si>
  <si>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</si>
  <si>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</si>
  <si>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</si>
  <si>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</si>
  <si>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</si>
  <si>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</si>
  <si>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</si>
  <si>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</si>
  <si>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</si>
  <si>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</si>
  <si>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</si>
  <si>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</si>
  <si>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</si>
  <si>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</si>
  <si>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</si>
  <si>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</si>
  <si>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</si>
  <si>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</si>
  <si>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</si>
  <si>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</si>
  <si>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</si>
  <si>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</si>
  <si>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</si>
  <si>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</si>
  <si>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</si>
  <si>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</si>
  <si>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</si>
  <si>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</si>
  <si>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</si>
  <si>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</si>
  <si>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</si>
  <si>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</si>
  <si>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</si>
  <si>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</si>
  <si>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</si>
  <si>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</si>
  <si>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</si>
  <si>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</si>
  <si>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</si>
  <si>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</si>
  <si>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</si>
  <si>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</si>
  <si>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</si>
  <si>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</si>
  <si>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</si>
  <si>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</si>
  <si>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</si>
  <si>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</si>
  <si>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</si>
  <si>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</si>
  <si>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</si>
  <si>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</si>
  <si>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</si>
  <si>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</si>
  <si>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</si>
  <si>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</si>
  <si>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</si>
  <si>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</si>
  <si>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</si>
  <si>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</si>
  <si>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</si>
  <si>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</si>
  <si>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</si>
  <si>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</si>
  <si>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</si>
  <si>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</si>
  <si>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</si>
  <si>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</si>
  <si>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</si>
  <si>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</si>
  <si>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</si>
  <si>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</si>
  <si>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</si>
  <si>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</si>
  <si>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</si>
  <si>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</si>
  <si>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</si>
  <si>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</si>
  <si>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</si>
  <si>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</si>
  <si>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</si>
  <si>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</si>
  <si>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</si>
  <si>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</si>
  <si>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</si>
  <si>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</si>
  <si>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</si>
  <si>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</si>
  <si>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</si>
  <si>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</si>
  <si>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</si>
  <si>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</si>
  <si>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</si>
  <si>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</si>
  <si>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</si>
  <si>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</si>
  <si>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</si>
  <si>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</si>
  <si>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</si>
  <si>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</si>
  <si>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</si>
  <si>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</si>
  <si>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</si>
  <si>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</si>
  <si>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</si>
  <si>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</si>
  <si>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</si>
  <si>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</si>
  <si>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</si>
  <si>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</si>
  <si>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</si>
  <si>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</si>
  <si>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</si>
  <si>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</si>
  <si>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</si>
  <si>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</si>
  <si>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</si>
  <si>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</si>
  <si>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</si>
  <si>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</si>
  <si>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</si>
  <si>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</si>
  <si>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</si>
  <si>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</si>
  <si>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</si>
  <si>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</si>
  <si>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</si>
  <si>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</si>
  <si>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</si>
  <si>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</si>
  <si>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</si>
  <si>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</si>
  <si>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</si>
  <si>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</si>
  <si>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</si>
  <si>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</si>
  <si>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</si>
  <si>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</si>
  <si>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</si>
  <si>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</si>
  <si>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</si>
  <si>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</si>
  <si>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</si>
  <si>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</si>
  <si>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</si>
  <si>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</si>
  <si>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</si>
  <si>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</si>
  <si>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</si>
  <si>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</si>
  <si>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</si>
  <si>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</si>
  <si>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</si>
  <si>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</si>
  <si>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</si>
  <si>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</si>
  <si>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</si>
  <si>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</si>
  <si>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</si>
  <si>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</si>
  <si>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</si>
  <si>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</si>
  <si>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</si>
  <si>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</si>
  <si>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</si>
  <si>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</si>
  <si>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</si>
  <si>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</si>
  <si>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</si>
  <si>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</si>
  <si>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</si>
  <si>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</si>
  <si>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</si>
  <si>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</si>
  <si>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</si>
  <si>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</si>
  <si>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</si>
  <si>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</si>
  <si>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</si>
  <si>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</si>
  <si>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</si>
  <si>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</si>
  <si>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</si>
  <si>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</si>
  <si>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</si>
  <si>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</si>
  <si>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</si>
  <si>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</si>
  <si>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</si>
  <si>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</si>
  <si>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</si>
  <si>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</si>
  <si>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</si>
  <si>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</si>
  <si>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</si>
  <si>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</si>
  <si>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</si>
  <si>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</si>
  <si>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</si>
  <si>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</si>
  <si>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</si>
  <si>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</si>
  <si>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</si>
  <si>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</si>
  <si>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</si>
  <si>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sz val="10"/>
        <color rgb="FF000000"/>
        <rFont val="Times New Roman"/>
      </rPr>
      <t xml:space="preserve">Ligar para o Pedro Paulo no celular (62 99157-2626) antes de realizar as venda dos atuais ativos | </t>
    </r>
    <r>
      <rPr>
        <b/>
        <sz val="10"/>
        <color rgb="FF000000"/>
        <rFont val="Times New Roman"/>
      </rPr>
      <t>Novos aportes somente em renda fixa</t>
    </r>
    <r>
      <rPr>
        <sz val="10"/>
        <color rgb="FF000000"/>
        <rFont val="Times New Roman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</si>
  <si>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</si>
  <si>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</si>
  <si>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</si>
  <si>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</si>
  <si>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b/>
        <sz val="10"/>
        <color rgb="FF000000"/>
        <rFont val="Times New Roman"/>
      </rPr>
      <t xml:space="preserve">30mil com liquidez imediata | </t>
    </r>
    <r>
      <rPr>
        <sz val="10"/>
        <color rgb="FF000000"/>
        <rFont val="Times New Roman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</si>
  <si>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</si>
  <si>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</si>
  <si>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</si>
  <si>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</si>
  <si>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</si>
  <si>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</si>
  <si>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</si>
  <si>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</si>
  <si>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</si>
  <si>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</si>
  <si>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</si>
  <si>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</si>
  <si>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</si>
  <si>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</si>
  <si>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</si>
  <si>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</si>
  <si>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</si>
  <si>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</si>
  <si>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</si>
  <si>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</si>
  <si>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</si>
  <si>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</si>
  <si>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</si>
  <si>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</si>
  <si>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</si>
  <si>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</si>
  <si>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</si>
  <si>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</si>
  <si>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</si>
  <si>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</si>
  <si>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</si>
  <si>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</si>
  <si>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</si>
  <si>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</si>
  <si>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</si>
  <si>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</si>
  <si>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</si>
  <si>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</si>
  <si>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</si>
  <si>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</si>
  <si>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</si>
  <si>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</si>
  <si>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</si>
  <si>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</si>
  <si>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</si>
  <si>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</si>
  <si>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</si>
  <si>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</si>
  <si>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</si>
  <si>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</si>
  <si>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</si>
  <si>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</si>
  <si>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</si>
  <si>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</si>
  <si>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</si>
  <si>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</si>
  <si>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</si>
  <si>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</si>
  <si>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</si>
  <si>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</si>
  <si>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</si>
  <si>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</si>
  <si>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</si>
  <si>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</si>
  <si>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</si>
  <si>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</si>
  <si>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</si>
  <si>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</si>
  <si>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</si>
  <si>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</si>
  <si>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</si>
  <si>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</si>
  <si>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</si>
  <si>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</si>
  <si>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</si>
  <si>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</si>
  <si>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</si>
  <si>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</si>
  <si>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</si>
  <si>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</si>
  <si>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</si>
  <si>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</si>
  <si>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</si>
  <si>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</si>
  <si>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</si>
  <si>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</si>
  <si>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</si>
  <si>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</si>
  <si>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</si>
  <si>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</si>
  <si>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</si>
  <si>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</si>
  <si>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</si>
  <si>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</si>
  <si>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</si>
  <si>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</si>
  <si>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</si>
  <si>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</si>
  <si>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</si>
  <si>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</si>
  <si>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</si>
  <si>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</si>
  <si>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</si>
  <si>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</si>
  <si>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</si>
  <si>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</si>
  <si>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</si>
  <si>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</si>
  <si>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</si>
  <si>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</si>
  <si>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</si>
  <si>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</si>
  <si>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</si>
  <si>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</si>
  <si>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</si>
  <si>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</si>
  <si>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</si>
  <si>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</si>
  <si>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</si>
  <si>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</si>
  <si>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</si>
  <si>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</si>
  <si>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</si>
  <si>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</si>
  <si>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</si>
  <si>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</si>
  <si>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</si>
  <si>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</si>
  <si>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</si>
  <si>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</si>
  <si>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</si>
  <si>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</si>
  <si>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</si>
  <si>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</si>
  <si>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</si>
  <si>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</si>
  <si>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</si>
  <si>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</si>
  <si>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</si>
  <si>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</si>
  <si>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</si>
  <si>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</si>
  <si>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</si>
  <si>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</si>
  <si>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</si>
  <si>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</si>
  <si>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</si>
  <si>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</si>
  <si>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</si>
  <si>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</si>
  <si>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</si>
  <si>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</si>
  <si>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</si>
  <si>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</si>
  <si>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</si>
  <si>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</si>
  <si>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</si>
  <si>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</si>
  <si>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</si>
  <si>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</si>
  <si>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</si>
  <si>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</si>
  <si>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</si>
  <si>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</si>
  <si>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</si>
  <si>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</si>
  <si>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</si>
  <si>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</si>
  <si>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</si>
  <si>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</si>
  <si>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</si>
  <si>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</si>
  <si>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</si>
  <si>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</si>
  <si>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</si>
  <si>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</si>
  <si>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</si>
  <si>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</si>
  <si>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</si>
  <si>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</si>
  <si>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</si>
  <si>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</si>
  <si>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</si>
  <si>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</si>
  <si>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</si>
  <si>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</si>
  <si>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</si>
  <si>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</si>
  <si>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</si>
  <si>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</si>
  <si>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</si>
  <si>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</si>
  <si>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</si>
  <si>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</si>
  <si>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</si>
  <si>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</si>
  <si>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</si>
  <si>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</si>
  <si>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</si>
  <si>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</si>
  <si>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</si>
  <si>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</si>
  <si>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</si>
  <si>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</si>
  <si>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</si>
  <si>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</si>
  <si>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</si>
  <si>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</si>
  <si>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</si>
  <si>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</si>
  <si>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</si>
  <si>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</si>
  <si>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</si>
  <si>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</si>
  <si>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</si>
  <si>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</si>
  <si>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</si>
  <si>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</si>
  <si>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</si>
  <si>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</si>
  <si>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</si>
  <si>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</si>
  <si>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</si>
  <si>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</si>
  <si>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</si>
  <si>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</si>
  <si>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</si>
  <si>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</si>
  <si>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</si>
  <si>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</si>
  <si>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</si>
  <si>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</si>
  <si>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</si>
  <si>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</si>
  <si>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</si>
  <si>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</si>
  <si>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</si>
  <si>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</si>
  <si>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</si>
  <si>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</si>
  <si>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</si>
  <si>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</si>
  <si>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</si>
  <si>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</si>
  <si>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</si>
  <si>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</si>
  <si>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</si>
  <si>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</si>
  <si>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</si>
  <si>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</si>
  <si>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</si>
  <si>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</si>
  <si>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</si>
  <si>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</si>
  <si>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</si>
  <si>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</si>
  <si>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</si>
  <si>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</si>
  <si>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</si>
  <si>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</si>
  <si>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</si>
  <si>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</si>
  <si>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</si>
  <si>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</si>
  <si>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</si>
  <si>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</si>
  <si>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</si>
  <si>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</si>
  <si>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</si>
  <si>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</si>
  <si>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</si>
  <si>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</si>
  <si>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</si>
  <si>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</si>
  <si>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</si>
  <si>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</si>
  <si>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</si>
  <si>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</si>
  <si>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</si>
  <si>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</si>
  <si>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</si>
  <si>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</si>
  <si>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</si>
  <si>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</si>
  <si>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</si>
  <si>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</si>
  <si>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</si>
  <si>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</si>
  <si>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</si>
  <si>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</si>
  <si>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b/>
        <sz val="8"/>
        <color theme="1"/>
        <rFont val="Times New Roman"/>
      </rPr>
      <t>Não aplicar</t>
    </r>
    <r>
      <rPr>
        <sz val="8"/>
        <color theme="1"/>
        <rFont val="Times New Roman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</si>
  <si>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</si>
  <si>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</si>
  <si>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</si>
  <si>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</si>
  <si>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b/>
        <sz val="10"/>
        <color theme="1"/>
        <rFont val="Times New Roman"/>
      </rPr>
      <t xml:space="preserve">Conservadora 0,8  como são contas herdadas, falar com Canabrava na hora de operar | liquidez até 90 dias)
Não mexer na parte de ações e fiis agora. Nem aplicar e nem resgatar. </t>
    </r>
    <r>
      <rPr>
        <b/>
        <sz val="10"/>
        <color rgb="FFFF0000"/>
        <rFont val="Times New Roman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</si>
  <si>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</si>
  <si>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</si>
  <si>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</si>
  <si>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</si>
  <si>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</si>
  <si>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</si>
  <si>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</si>
  <si>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</si>
  <si>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</si>
  <si>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</si>
  <si>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</si>
  <si>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</si>
  <si>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</si>
  <si>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</si>
  <si>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</si>
  <si>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</si>
  <si>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</si>
  <si>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</si>
  <si>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</si>
  <si>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</si>
  <si>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</si>
  <si>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</si>
  <si>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</si>
  <si>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</si>
  <si>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</si>
  <si>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</si>
  <si>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</si>
  <si>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</si>
  <si>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</si>
  <si>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</si>
  <si>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</si>
  <si>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</si>
  <si>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</si>
  <si>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</si>
  <si>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</si>
  <si>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</si>
  <si>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</si>
  <si>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</si>
  <si>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</si>
  <si>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</si>
  <si>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</si>
  <si>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</si>
  <si>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</si>
  <si>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</si>
  <si>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</si>
  <si>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</si>
  <si>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</si>
  <si>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</si>
  <si>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</si>
  <si>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</si>
  <si>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</si>
  <si>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</si>
  <si>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</si>
  <si>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</si>
  <si>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</si>
  <si>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</si>
  <si>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</si>
  <si>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</si>
  <si>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</si>
  <si>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</si>
  <si>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</si>
  <si>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</si>
  <si>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</si>
  <si>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</si>
  <si>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</si>
  <si>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</si>
  <si>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</si>
  <si>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</si>
  <si>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</si>
  <si>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</si>
  <si>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</si>
  <si>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</si>
  <si>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</si>
  <si>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</si>
  <si>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</si>
  <si>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</si>
  <si>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</si>
  <si>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</si>
  <si>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</si>
  <si>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</si>
  <si>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</si>
  <si>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</si>
  <si>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</si>
  <si>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</si>
  <si>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</si>
  <si>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</si>
  <si>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</si>
  <si>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</si>
  <si>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</si>
  <si>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</si>
  <si>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</si>
  <si>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</si>
  <si>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</si>
  <si>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</si>
  <si>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</si>
  <si>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</si>
  <si>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</si>
  <si>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</si>
  <si>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</si>
  <si>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</si>
  <si>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</si>
  <si>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</si>
  <si>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</si>
  <si>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</si>
  <si>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</si>
  <si>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</si>
  <si>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</si>
  <si>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</si>
  <si>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</si>
  <si>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</si>
  <si>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</si>
  <si>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</si>
  <si>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</si>
  <si>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</si>
  <si>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</si>
  <si>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</si>
  <si>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</si>
  <si>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</si>
  <si>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</si>
  <si>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</si>
  <si>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</si>
  <si>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</si>
  <si>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</si>
  <si>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</si>
  <si>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</si>
  <si>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</si>
  <si>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</si>
  <si>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</si>
  <si>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</si>
  <si>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</si>
  <si>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</si>
  <si>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</si>
  <si>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</si>
  <si>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</si>
  <si>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</si>
  <si>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</si>
  <si>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</si>
  <si>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</si>
  <si>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</si>
  <si>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</si>
  <si>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</si>
  <si>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</si>
  <si>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</si>
  <si>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</si>
  <si>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</si>
  <si>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</si>
  <si>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</si>
  <si>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</si>
  <si>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</si>
  <si>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</si>
  <si>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</si>
  <si>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</si>
  <si>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</si>
  <si>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</si>
  <si>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</si>
  <si>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</si>
  <si>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</si>
  <si>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</si>
  <si>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</si>
  <si>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</si>
  <si>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</si>
  <si>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</si>
  <si>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</si>
  <si>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</si>
  <si>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</si>
  <si>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</si>
  <si>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</si>
  <si>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</si>
  <si>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</si>
  <si>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</si>
  <si>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</si>
  <si>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</si>
  <si>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</si>
  <si>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</si>
  <si>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</si>
  <si>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</si>
  <si>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</si>
  <si>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</si>
  <si>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</si>
  <si>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</si>
  <si>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</si>
  <si>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</si>
  <si>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</si>
  <si>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</si>
  <si>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</si>
  <si>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</si>
  <si>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</si>
  <si>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</si>
  <si>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</si>
  <si>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</si>
  <si>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</si>
  <si>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</si>
  <si>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</si>
  <si>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</si>
  <si>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</si>
  <si>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</si>
  <si>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</si>
  <si>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</si>
  <si>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</si>
  <si>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</si>
  <si>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</si>
  <si>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</si>
  <si>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</si>
  <si>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</si>
  <si>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</si>
  <si>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</si>
  <si>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</si>
  <si>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</si>
  <si>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</si>
  <si>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</si>
  <si>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</si>
  <si>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</si>
  <si>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</si>
  <si>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</si>
  <si>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</si>
  <si>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</si>
  <si>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</si>
  <si>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</si>
  <si>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</si>
  <si>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</si>
  <si>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</si>
  <si>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</si>
  <si>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</si>
  <si>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</si>
  <si>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</si>
  <si>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</si>
  <si>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</si>
  <si>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</si>
  <si>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</si>
  <si>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</si>
  <si>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</si>
  <si>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</si>
  <si>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</si>
  <si>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</si>
  <si>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</si>
  <si>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</si>
  <si>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</si>
  <si>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</si>
  <si>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</si>
  <si>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</si>
  <si>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</si>
  <si>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</si>
  <si>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</si>
  <si>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</si>
  <si>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</si>
  <si>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</si>
  <si>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</si>
  <si>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</si>
  <si>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</si>
  <si>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</si>
  <si>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</si>
  <si>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</si>
  <si>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</si>
  <si>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</si>
  <si>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</si>
  <si>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</si>
  <si>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</si>
  <si>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</si>
  <si>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</si>
  <si>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</si>
  <si>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</si>
  <si>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</si>
  <si>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</si>
  <si>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</si>
  <si>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</si>
  <si>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</si>
  <si>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</si>
  <si>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</si>
  <si>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</si>
  <si>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</si>
  <si>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</si>
  <si>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</si>
  <si>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</si>
  <si>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</si>
  <si>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</si>
  <si>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</si>
  <si>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</si>
  <si>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</si>
  <si>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</si>
  <si>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</si>
  <si>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</si>
  <si>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</si>
  <si>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</si>
  <si>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</si>
  <si>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</si>
  <si>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</si>
  <si>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</si>
  <si>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</si>
  <si>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</si>
  <si>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</si>
  <si>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</si>
  <si>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</si>
  <si>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</si>
  <si>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</si>
  <si>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</si>
  <si>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</si>
  <si>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</si>
  <si>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</si>
  <si>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</si>
  <si>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</si>
  <si>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</si>
  <si>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</si>
  <si>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</si>
  <si>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</si>
  <si>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</si>
  <si>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</si>
  <si>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</si>
  <si>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</si>
  <si>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</si>
  <si>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</si>
  <si>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</si>
  <si>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</si>
  <si>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</si>
  <si>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</si>
  <si>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</si>
  <si>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</si>
  <si>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</si>
  <si>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</si>
  <si>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</si>
  <si>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</si>
  <si>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</si>
  <si>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</si>
  <si>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</si>
  <si>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</si>
  <si>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</si>
  <si>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</si>
  <si>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</si>
  <si>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</si>
  <si>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</si>
  <si>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</si>
  <si>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</si>
  <si>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</si>
  <si>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</si>
  <si>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</si>
  <si>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</si>
  <si>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</si>
  <si>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</si>
  <si>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</si>
  <si>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</si>
  <si>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</si>
  <si>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</si>
  <si>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</si>
  <si>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</si>
  <si>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</si>
  <si>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</si>
  <si>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</si>
  <si>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</si>
  <si>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</si>
  <si>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</si>
  <si>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</si>
  <si>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</si>
  <si>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</si>
  <si>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</si>
  <si>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</si>
  <si>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</si>
  <si>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</si>
  <si>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</si>
  <si>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</si>
  <si>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</si>
  <si>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</si>
  <si>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</si>
  <si>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</si>
  <si>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Guide (D-3)</t>
  </si>
  <si>
    <t>Ágora (D-1)</t>
  </si>
  <si>
    <t>Valor</t>
  </si>
  <si>
    <t>Atualizado:</t>
  </si>
  <si>
    <t>HFR</t>
  </si>
  <si>
    <t>JAIME ESTEVAM GOMES FILHO</t>
  </si>
  <si>
    <t>ASSAKO</t>
  </si>
  <si>
    <t>JOAO HENRIQUE DOS SANTOS FERNANDES</t>
  </si>
  <si>
    <t>ANTONIO</t>
  </si>
  <si>
    <t>GABRIELA MARRA GONCALVES</t>
  </si>
  <si>
    <t>BRASFORT</t>
  </si>
  <si>
    <t>MARLENE AFONSO DE CASTRO</t>
  </si>
  <si>
    <t>DANIELA</t>
  </si>
  <si>
    <t>INTERLAGOS CONSTRUTORA E INCORPORADORA LTDA</t>
  </si>
  <si>
    <t>EDMUNDO</t>
  </si>
  <si>
    <t>WILLIANS RAPCHAN BENITO</t>
  </si>
  <si>
    <t>LOHRAN</t>
  </si>
  <si>
    <t>RONILDO OLIVEIRA</t>
  </si>
  <si>
    <t>RAFAEL</t>
  </si>
  <si>
    <t>PAULO FERNANDO ULIAN</t>
  </si>
  <si>
    <t>MARIA</t>
  </si>
  <si>
    <t>CARLOS ALBERTO CARDOZO</t>
  </si>
  <si>
    <t>BRENNER</t>
  </si>
  <si>
    <t>LUCIANA MACHADO VIOTTI DE BARROS</t>
  </si>
  <si>
    <t>KENIA</t>
  </si>
  <si>
    <t>ALINE LORDES SALIBA</t>
  </si>
  <si>
    <t>BRUNO</t>
  </si>
  <si>
    <t>JOAO PEDRO GUIMARAES QUINAN</t>
  </si>
  <si>
    <t>DOUGLAS</t>
  </si>
  <si>
    <t>MARCIA MARIA MOREIRA BORGES</t>
  </si>
  <si>
    <t>ILTON</t>
  </si>
  <si>
    <t>LETICIA CASCAO DE AVILA</t>
  </si>
  <si>
    <t>ALBERTO</t>
  </si>
  <si>
    <t>CRISTINA VIEIRA DE SOUZA</t>
  </si>
  <si>
    <t>JULIANA</t>
  </si>
  <si>
    <t>BRUNO REIS ROSA</t>
  </si>
  <si>
    <t>EVANGELINA</t>
  </si>
  <si>
    <t>MARCO ANTONIO FONSECA BRAGA</t>
  </si>
  <si>
    <t>ANUAR</t>
  </si>
  <si>
    <t>RODRIGO RAMOS VIEIRA</t>
  </si>
  <si>
    <t>CARLOS</t>
  </si>
  <si>
    <t>TIAGO ALVIM DE SA E BENEVIDES</t>
  </si>
  <si>
    <t>PAULA</t>
  </si>
  <si>
    <t>JOSE</t>
  </si>
  <si>
    <t>SILEDE SATYRO DE SA RIBEIRO</t>
  </si>
  <si>
    <t>VENIA</t>
  </si>
  <si>
    <t>JOSE GOMES MACHADO</t>
  </si>
  <si>
    <t>ANA CAROLINA PEIXOTO DE CASTRO MARTINS</t>
  </si>
  <si>
    <t>FERNANDA</t>
  </si>
  <si>
    <t>BRUNO SARTORIO SILVA</t>
  </si>
  <si>
    <t>GILSON</t>
  </si>
  <si>
    <t>JOSE SILVAN DE AMORIM</t>
  </si>
  <si>
    <t>MIRELLA</t>
  </si>
  <si>
    <t>MARCELO BOTTON PICCIN</t>
  </si>
  <si>
    <t>MERG</t>
  </si>
  <si>
    <t>LEONARDO STRAUCH PEREIRA COUTINHO</t>
  </si>
  <si>
    <t>MSD</t>
  </si>
  <si>
    <t>JOAO VICTOR DE MOURA BEZE</t>
  </si>
  <si>
    <t>MONICA</t>
  </si>
  <si>
    <t>RUBENS MAZER JUNIOR</t>
  </si>
  <si>
    <t>LAURA</t>
  </si>
  <si>
    <t>JOSE AUGUSTO PORTO FERREIRA</t>
  </si>
  <si>
    <t>TATIANA MENEZES FONSECA</t>
  </si>
  <si>
    <t>NASSIM</t>
  </si>
  <si>
    <t>RODRIGO LUIS DE BARROS RODRIGUES</t>
  </si>
  <si>
    <t>ANDRE</t>
  </si>
  <si>
    <t>DANIEL SINDEAUX BRAGA</t>
  </si>
  <si>
    <t>NIVALDO</t>
  </si>
  <si>
    <t>MARIANA LOPES RAMOS FALCAO</t>
  </si>
  <si>
    <t>SUELY</t>
  </si>
  <si>
    <t>REGINA COELI CORREA SOARES</t>
  </si>
  <si>
    <t>MARCO</t>
  </si>
  <si>
    <t>ANA</t>
  </si>
  <si>
    <t>ROSEMIR MIRANDA DA SILVA</t>
  </si>
  <si>
    <t>HEPTA TECNOLOGIA E INFORMATICA LTDA</t>
  </si>
  <si>
    <t>HEPTA</t>
  </si>
  <si>
    <t>MARCIA CARVALHO GAZETA</t>
  </si>
  <si>
    <t>FILIPE</t>
  </si>
  <si>
    <t>RODRIGO SILVA ROCHA</t>
  </si>
  <si>
    <t>LEVI</t>
  </si>
  <si>
    <t>NATAL FERREIRA DAS DORES</t>
  </si>
  <si>
    <t>MVFC</t>
  </si>
  <si>
    <t>NEANDER CAMBRAIA</t>
  </si>
  <si>
    <t>MONICA TORRES SILVA</t>
  </si>
  <si>
    <t>LUCIA</t>
  </si>
  <si>
    <t>MARCELO FERNANDES MADALENA</t>
  </si>
  <si>
    <t>RODOLFO</t>
  </si>
  <si>
    <t>EDMUNDO STARLING LOUREIRO FRANCA</t>
  </si>
  <si>
    <t>PRISCILLA</t>
  </si>
  <si>
    <t>MARCELO DE OLIVEIRA MAIA</t>
  </si>
  <si>
    <t>GUILHERME</t>
  </si>
  <si>
    <t>AMANDA GABRIELE DO NASCIMENTO VIDAL</t>
  </si>
  <si>
    <t>JORGE</t>
  </si>
  <si>
    <t>ROSANE INEZ PILONI</t>
  </si>
  <si>
    <t>MOACIR</t>
  </si>
  <si>
    <t>FABIO SANTOS DUTRA</t>
  </si>
  <si>
    <t>CARLOS ALBERTO DE CARVALHO</t>
  </si>
  <si>
    <t>MARCELO</t>
  </si>
  <si>
    <t>EULER NUNES DE OLIVEIRA</t>
  </si>
  <si>
    <t>CLERIA</t>
  </si>
  <si>
    <t>M FIGUEIREDO IMOVEIS LTDA</t>
  </si>
  <si>
    <t>ELIANE</t>
  </si>
  <si>
    <t>ALINNE BEZERRA CAMPOS DO VALE</t>
  </si>
  <si>
    <t>PEDRO</t>
  </si>
  <si>
    <t>JOAO BEZE SOBRINHO</t>
  </si>
  <si>
    <t>DAVID</t>
  </si>
  <si>
    <t>JOSE ALVES NUNES DO NASCIMENTO JUNIOR</t>
  </si>
  <si>
    <t>ODILON</t>
  </si>
  <si>
    <t>LILIARA CRISTIANE FREO</t>
  </si>
  <si>
    <t>LUIZ</t>
  </si>
  <si>
    <t>PATRICIA FERREIRA WANDERLEY DE SIQUEIRA</t>
  </si>
  <si>
    <t>EDMUR</t>
  </si>
  <si>
    <t>MARIO D ALMEIDA SCHUBACK</t>
  </si>
  <si>
    <t>WALQUIRIA</t>
  </si>
  <si>
    <t>DEBORA INHAQUITE BOLFONI DA CUNHA</t>
  </si>
  <si>
    <t>CLAUDIA</t>
  </si>
  <si>
    <t>FILIPE AUGUSTO ESTORILIO SILVA PINTO</t>
  </si>
  <si>
    <t>REINALDO</t>
  </si>
  <si>
    <t>PRISCILLA HENRIQUE MENEZES</t>
  </si>
  <si>
    <t>POLO</t>
  </si>
  <si>
    <t>FABRICIO MASSULA DUTRA</t>
  </si>
  <si>
    <t>AGUINALDO</t>
  </si>
  <si>
    <t>MARCIA REZENDE PINHEIRO</t>
  </si>
  <si>
    <t>BERNARDO</t>
  </si>
  <si>
    <t>ISABEL LUIZA RAFAEL MACHADO DOS SANTOS</t>
  </si>
  <si>
    <t>OLGA</t>
  </si>
  <si>
    <t>DENISE XAVIER</t>
  </si>
  <si>
    <t>VINICIUS</t>
  </si>
  <si>
    <t>ANGELA TEIXEIRA LIRA</t>
  </si>
  <si>
    <t>NATALIA</t>
  </si>
  <si>
    <t>OSCAR MOURA VORCARO</t>
  </si>
  <si>
    <t>LARISSA</t>
  </si>
  <si>
    <t>JOAQUIM FERREIRA CAMBRAIA</t>
  </si>
  <si>
    <t>ADSON</t>
  </si>
  <si>
    <t>VINICIUS MARTINS FERREIRA</t>
  </si>
  <si>
    <t>TTWO PARTICIPACOES EIRELLI - EPP</t>
  </si>
  <si>
    <t>IMC CONSTRUCOES - LTDA</t>
  </si>
  <si>
    <t>F</t>
  </si>
  <si>
    <t>LILIAN GONCALVES CURY</t>
  </si>
  <si>
    <t>CLARISSA ARAUJO SILVA</t>
  </si>
  <si>
    <t>MAFALDA ROSA MONACO</t>
  </si>
  <si>
    <t>HENRIQUE</t>
  </si>
  <si>
    <t>ANNA CAROLINA ROCHA GAMA</t>
  </si>
  <si>
    <t>HELIO</t>
  </si>
  <si>
    <t>AFONSO FRANKLIN MEIRELES DE ARAUJO</t>
  </si>
  <si>
    <t>VALESUL JOIAS EIRELI</t>
  </si>
  <si>
    <t>CLOTILDE</t>
  </si>
  <si>
    <t>MATHEUS HENRIQUE COSTA MAIA</t>
  </si>
  <si>
    <t>RODRIGO</t>
  </si>
  <si>
    <t>PAULO ROBERTO MALMONGE</t>
  </si>
  <si>
    <t>ROGERIO</t>
  </si>
  <si>
    <t>CINTIA UCHIDA RODRIGUES</t>
  </si>
  <si>
    <t>ARTHUR CAIRES MAIA</t>
  </si>
  <si>
    <t>KELLY</t>
  </si>
  <si>
    <t>CAROLLINA PEDROSA VIEIRA LIMA</t>
  </si>
  <si>
    <t>FABIANO</t>
  </si>
  <si>
    <t>JOVINO</t>
  </si>
  <si>
    <t>MARIA DAS GRACAS DA SILVA PIRES</t>
  </si>
  <si>
    <t>SABRINA</t>
  </si>
  <si>
    <t>LUCIENE</t>
  </si>
  <si>
    <t>CAIOCO SAKURAGUI</t>
  </si>
  <si>
    <t>FERNANDO ALVES VIEIRA</t>
  </si>
  <si>
    <t>SYLVERSON</t>
  </si>
  <si>
    <t>ROBERTO CASTELO BRANCO CARNEIRO DE ALBUQUERQUE</t>
  </si>
  <si>
    <t>ROBERTO SOARES SACRAMENTO</t>
  </si>
  <si>
    <t>CLINEO</t>
  </si>
  <si>
    <t>LUCA DIAS BUENO</t>
  </si>
  <si>
    <t>BRUNA THOME RASSI</t>
  </si>
  <si>
    <t>VALDIVINO</t>
  </si>
  <si>
    <t>JOAO PEDRO PINTO CORDEIRO DE MIRANDA COUTINHO</t>
  </si>
  <si>
    <t>PATRICIA</t>
  </si>
  <si>
    <t>SIMONE DE LUCA LIU</t>
  </si>
  <si>
    <t>ANILSON ALVES DE SOUSA JUNIOR</t>
  </si>
  <si>
    <t>ANDREA</t>
  </si>
  <si>
    <t>ROSAMAR FERREIRA GALVAO</t>
  </si>
  <si>
    <t>FELIPE</t>
  </si>
  <si>
    <t>LUIS FILLIPE BEZERRA LIMA</t>
  </si>
  <si>
    <t>RAUNI LAMARO LIMA</t>
  </si>
  <si>
    <t>AGROINDUSTRIA DE ALIMENTOS AVESUI LTDA</t>
  </si>
  <si>
    <t>GISELA</t>
  </si>
  <si>
    <t>DAISY ENI MORAIS DOS SANTOS</t>
  </si>
  <si>
    <t>GABRIEL OLIVEIRA PAIXAO RODRIGUES DA SILVA</t>
  </si>
  <si>
    <t>RITA APARECIDA PASSOS VILLAR</t>
  </si>
  <si>
    <t>ALESSANDRA</t>
  </si>
  <si>
    <t>PAULO HENRIQUE DE FREITAS MIRANDA</t>
  </si>
  <si>
    <t>GUSTAVO</t>
  </si>
  <si>
    <t>DANIELY MARCAL SILVINO DE BRITO</t>
  </si>
  <si>
    <t>GLEYSERSON</t>
  </si>
  <si>
    <t>MARIA SOCORRO RODRIGUES</t>
  </si>
  <si>
    <t>SERGIO DE RESENDE LOPES</t>
  </si>
  <si>
    <t>RICARDO</t>
  </si>
  <si>
    <t>HENRIQUE FERNANDO CAMPOS MARQUES</t>
  </si>
  <si>
    <t>BLOCO</t>
  </si>
  <si>
    <t>LUCYENE DOS SANTOS BORGES</t>
  </si>
  <si>
    <t>EMILIA</t>
  </si>
  <si>
    <t>CELSO FLAVIO BALDOTTO COVRE</t>
  </si>
  <si>
    <t>SUZY RORIZ DOS SANTOS</t>
  </si>
  <si>
    <t>FELIPE EDUARDO HATSUMURA</t>
  </si>
  <si>
    <t>TIAGO</t>
  </si>
  <si>
    <t>FLASH CAR LUBRIFICANTES E FILTROS LTDA</t>
  </si>
  <si>
    <t>ADRIANA LAUS DE AQUINO</t>
  </si>
  <si>
    <t>SAVIO</t>
  </si>
  <si>
    <t>FABIO RICAS DE ARAUJO</t>
  </si>
  <si>
    <t>ROSANA RENAUD GOPFERT ALBUQUERQUE</t>
  </si>
  <si>
    <t>MINEIA</t>
  </si>
  <si>
    <t>GABRIEL CAMPOS SOARES DA FONSECA</t>
  </si>
  <si>
    <t>HELENA</t>
  </si>
  <si>
    <t>FREDERICO ASSAD ANDRADE</t>
  </si>
  <si>
    <t>SILVIA</t>
  </si>
  <si>
    <t>SILVIO CARLOS SANDRE JUNIOR</t>
  </si>
  <si>
    <t>NATHALIA</t>
  </si>
  <si>
    <t>MARCEL</t>
  </si>
  <si>
    <t>OLIVEIRA DE PAULA SOCIEDADE INDIVIDUAL DE ADVOCACIA</t>
  </si>
  <si>
    <t>WLADMIR RAMALHO OSORIO SILVA</t>
  </si>
  <si>
    <t>HELOISA</t>
  </si>
  <si>
    <t>CAIO CHAVES MORAU</t>
  </si>
  <si>
    <t>ELEUSE</t>
  </si>
  <si>
    <t>PEDRO DE MELLO VIANNA PEDROSA GALVAO</t>
  </si>
  <si>
    <t>ROSANGELA</t>
  </si>
  <si>
    <t>ARIENE MARIA VIMIEIRO SAABOR</t>
  </si>
  <si>
    <t>MATEUS</t>
  </si>
  <si>
    <t>FRANKLIN DELANO CHOAIRY DE ABREU</t>
  </si>
  <si>
    <t>EDUARDO LACERDA TIBURTIUS</t>
  </si>
  <si>
    <t>MATEUS ARGOLO LOPES CAMARGOS</t>
  </si>
  <si>
    <t>DIEGO</t>
  </si>
  <si>
    <t>MSD CONSTRUTORA E INCORPORADORA EIRELI</t>
  </si>
  <si>
    <t>JOSE CARLOS MAGALHAES PINTO</t>
  </si>
  <si>
    <t>VR</t>
  </si>
  <si>
    <t>ACHILLES CAPPELLESSO JUNIOR</t>
  </si>
  <si>
    <t>JORDANNA</t>
  </si>
  <si>
    <t>MATEUS DA SILVA CANDIDO</t>
  </si>
  <si>
    <t>EMILSON</t>
  </si>
  <si>
    <t>MARCELO CAVALCANTE BARROS</t>
  </si>
  <si>
    <t>EDINARDO</t>
  </si>
  <si>
    <t>LARA</t>
  </si>
  <si>
    <t>JERONYMO NERY DO AMARAL</t>
  </si>
  <si>
    <t>GLEIDE SATYRO SALES</t>
  </si>
  <si>
    <t>JOAO</t>
  </si>
  <si>
    <t>MARCOS AUGUSTO DO NASCIMENTO VIDAL</t>
  </si>
  <si>
    <t>NABOR</t>
  </si>
  <si>
    <t>LUCIANA</t>
  </si>
  <si>
    <t>MARCELO KANITZ</t>
  </si>
  <si>
    <t>HEITOR</t>
  </si>
  <si>
    <t>RACHEL ARAUJO CAMPOS RAMOS</t>
  </si>
  <si>
    <t>PAULO</t>
  </si>
  <si>
    <t>JORGE GOMES DE ARAUJO</t>
  </si>
  <si>
    <t>ANILSON</t>
  </si>
  <si>
    <t>NASSIM TALEB</t>
  </si>
  <si>
    <t>IVONE</t>
  </si>
  <si>
    <t>SILVIA RUTH PENALOZA DIEZ</t>
  </si>
  <si>
    <t>ERIK</t>
  </si>
  <si>
    <t>DURVAL SOBREIRO JUNIOR</t>
  </si>
  <si>
    <t>HELVECIO</t>
  </si>
  <si>
    <t>SOLANGE ALVES DE MORAES MENDES</t>
  </si>
  <si>
    <t>TATIANA</t>
  </si>
  <si>
    <t>THAYSA ZAIA COSTA BARROS IUNES</t>
  </si>
  <si>
    <t>IRON LUIZ GOMES DOS REIS</t>
  </si>
  <si>
    <t>AHMAD</t>
  </si>
  <si>
    <t>ANGELICA ROCHA MADALENA MOTTA</t>
  </si>
  <si>
    <t>GILSON APOLINARIO ALENCAR</t>
  </si>
  <si>
    <t>RACHEL</t>
  </si>
  <si>
    <t>DANIELA JAIME SMITH</t>
  </si>
  <si>
    <t>WALTER</t>
  </si>
  <si>
    <t>CINTIA</t>
  </si>
  <si>
    <t>FELIPE FARIA ZUBA</t>
  </si>
  <si>
    <t>HEMAT</t>
  </si>
  <si>
    <t>INES DE OLIVEIRA SANTOS RAPCHAN</t>
  </si>
  <si>
    <t>ROGERIO OLIVA CORTEZ</t>
  </si>
  <si>
    <t>ELEUSE CARDOSO MACHADO CAVALCANTI</t>
  </si>
  <si>
    <t>ASIEL</t>
  </si>
  <si>
    <t>SOFIA NEPOMUCENO GORINI</t>
  </si>
  <si>
    <t>NINA</t>
  </si>
  <si>
    <t>LYLLE MARIA LEITE PUGLIESE</t>
  </si>
  <si>
    <t>JULIO VICENTE DE ALVARENGA</t>
  </si>
  <si>
    <t>LUDMILA</t>
  </si>
  <si>
    <t>WANDER LUCIO PRADO</t>
  </si>
  <si>
    <t>IRONALDO JOSE DE SOUZA</t>
  </si>
  <si>
    <t>RENATO</t>
  </si>
  <si>
    <t>LUIS</t>
  </si>
  <si>
    <t>CAROLINE BASTOS DE SOUZA</t>
  </si>
  <si>
    <t>MAIRA</t>
  </si>
  <si>
    <t>DIOCESMAR FELIPE DE FARIA</t>
  </si>
  <si>
    <t>CLAUDIO MARTINELLI FRANCA</t>
  </si>
  <si>
    <t>MARCONDES</t>
  </si>
  <si>
    <t>ADSON RODRIGUES DE SOUZA</t>
  </si>
  <si>
    <t>THIAGO</t>
  </si>
  <si>
    <t>MATTHEW PAZ CARVALHO</t>
  </si>
  <si>
    <t>ALANA</t>
  </si>
  <si>
    <t>ANGELA LUIZA DANTAS LEITE</t>
  </si>
  <si>
    <t>SONIA</t>
  </si>
  <si>
    <t>CARLOS HENRIQUE DE SOUZA</t>
  </si>
  <si>
    <t>LUCYENE</t>
  </si>
  <si>
    <t>MARIAH DAS GRACAS BARBOSA</t>
  </si>
  <si>
    <t>HFR - CONSTRUTORA LTDA</t>
  </si>
  <si>
    <t>WANDER</t>
  </si>
  <si>
    <t>SISSI CALAZANS DE OLIVEIRA BARROS</t>
  </si>
  <si>
    <t>MAGALI</t>
  </si>
  <si>
    <t>DANIEL ESTEVES FONSECA FRANCO</t>
  </si>
  <si>
    <t>GILTON</t>
  </si>
  <si>
    <t>RITA</t>
  </si>
  <si>
    <t>CARLOS ALBERTO FERREIRA RODRIGUEZ</t>
  </si>
  <si>
    <t>MARA RUBIA SOUZA RAMALHO</t>
  </si>
  <si>
    <t>LEONARDO FERNANDES DE OLIVEIRA</t>
  </si>
  <si>
    <t>ANTONIO DAUD JUNIOR</t>
  </si>
  <si>
    <t>FERNANDO</t>
  </si>
  <si>
    <t>RAPHAEL STECKELBERG</t>
  </si>
  <si>
    <t>GENESI</t>
  </si>
  <si>
    <t>IURI SALLES COZAC</t>
  </si>
  <si>
    <t>DAURA</t>
  </si>
  <si>
    <t>PAULO ROGERIO DA SILVA</t>
  </si>
  <si>
    <t>CASSIO</t>
  </si>
  <si>
    <t>GISELA GOULART VALADARES</t>
  </si>
  <si>
    <t>DARLAN</t>
  </si>
  <si>
    <t>BRUNO CESAR PESQUERO PONCE JAIME</t>
  </si>
  <si>
    <t>LUANA</t>
  </si>
  <si>
    <t>TIAGO VASCONCELLOS DE REZENDE</t>
  </si>
  <si>
    <t>LUCIANO</t>
  </si>
  <si>
    <t>ALBERTO CARLOS DE AGUIAR RODRIGUES</t>
  </si>
  <si>
    <t>INTERLAGOS</t>
  </si>
  <si>
    <t>HERNANE DA SILVA RIBEIRO</t>
  </si>
  <si>
    <t>CEZAR</t>
  </si>
  <si>
    <t>CARLA AMELOTI GALVAO</t>
  </si>
  <si>
    <t>LEILA</t>
  </si>
  <si>
    <t>DANIELA FERREIRA SALOMAO PONTES</t>
  </si>
  <si>
    <t>E3</t>
  </si>
  <si>
    <t>SILVIA CARLA GALLI LEYSER</t>
  </si>
  <si>
    <t>VERANICE</t>
  </si>
  <si>
    <t>ELZA REGINA VARGAS LEONEL</t>
  </si>
  <si>
    <t>ALINE</t>
  </si>
  <si>
    <t>ANDREA SATYRO SA RIBEIRO FRITZSCHE</t>
  </si>
  <si>
    <t>DIMITRI</t>
  </si>
  <si>
    <t>XTRATEGIA TECNOLOGIA DA INFORMACAO LTDA ME</t>
  </si>
  <si>
    <t>JANNE</t>
  </si>
  <si>
    <t>THEOMAR NICOLAU MORHY</t>
  </si>
  <si>
    <t>JURACI</t>
  </si>
  <si>
    <t>MARIA LUCIA JAIME</t>
  </si>
  <si>
    <t>BRASFORT EMPRESA DE SEGURANCA LTDA</t>
  </si>
  <si>
    <t>005064906</t>
  </si>
  <si>
    <t>BERTILLA</t>
  </si>
  <si>
    <t>THIAGO LUCAS LEITE DE NORONHA</t>
  </si>
  <si>
    <t>ERICA</t>
  </si>
  <si>
    <t>ANANDA CABRAL LELIS BELEZA</t>
  </si>
  <si>
    <t>CATARINE</t>
  </si>
  <si>
    <t>MARCELO JAIME FERREIRA</t>
  </si>
  <si>
    <t>LARISSA WEBER GOMES REIS</t>
  </si>
  <si>
    <t>CAIO CESAR DAMITTO ROSA</t>
  </si>
  <si>
    <t>NEILA</t>
  </si>
  <si>
    <t>JOAO RAFAEL DE SOUZA PUGLIA</t>
  </si>
  <si>
    <t>VALERIA</t>
  </si>
  <si>
    <t>PATRICIA DA CONCEICAO ALVES MENDES</t>
  </si>
  <si>
    <t>AYRTON</t>
  </si>
  <si>
    <t>ARMANDO SILVEIRA MARTINS</t>
  </si>
  <si>
    <t>IGOR</t>
  </si>
  <si>
    <t>MARCO AURELIO MARQUES DE CASTRO</t>
  </si>
  <si>
    <t>CRISTINA</t>
  </si>
  <si>
    <t>OTAVIO ALVES FORTE</t>
  </si>
  <si>
    <t>PAULO RENATO SIMMONS DE PAULA</t>
  </si>
  <si>
    <t>RODRIGO ALVES DO NASCIMENTO</t>
  </si>
  <si>
    <t>IRON</t>
  </si>
  <si>
    <t>BEATRIZ</t>
  </si>
  <si>
    <t>GERALDO CARDOSO DE MELLO NETO</t>
  </si>
  <si>
    <t>MARCIA</t>
  </si>
  <si>
    <t>MARIO CAPP FILHO</t>
  </si>
  <si>
    <t>CAIRO</t>
  </si>
  <si>
    <t>DANIELA DE MARTINS SOUZA</t>
  </si>
  <si>
    <t>IRMAOS SAKURAGUI LTDA</t>
  </si>
  <si>
    <t>MICHELE</t>
  </si>
  <si>
    <t>SOCIEDADE EDUCACIONAL RODRIGUES ABREU LTDA ME</t>
  </si>
  <si>
    <t>FLAVIA</t>
  </si>
  <si>
    <t>GUARACI LELIS BELEZA</t>
  </si>
  <si>
    <t>KENIA MENDES CRUZ</t>
  </si>
  <si>
    <t>ISADORA PRADO</t>
  </si>
  <si>
    <t>EULER</t>
  </si>
  <si>
    <t>NAYANE BRAGA AIDAR</t>
  </si>
  <si>
    <t>CAIO</t>
  </si>
  <si>
    <t>GUILHERME SATYRO SALES</t>
  </si>
  <si>
    <t>ASSISTIGAS</t>
  </si>
  <si>
    <t>MARCIA REGIANE DE SOUSA ALEIXO</t>
  </si>
  <si>
    <t>CAROLINE</t>
  </si>
  <si>
    <t>DEBORA MACANEIRO VIEIRA</t>
  </si>
  <si>
    <t>ISABEL</t>
  </si>
  <si>
    <t>WILLIAM ENIO GUEDES FABRICIO</t>
  </si>
  <si>
    <t>CLISIA</t>
  </si>
  <si>
    <t>PEDRO VICTOR LIMA DE FARIA</t>
  </si>
  <si>
    <t>DIOGO</t>
  </si>
  <si>
    <t>ANA ALICE DA COSTA SILVA</t>
  </si>
  <si>
    <t>LUCAS</t>
  </si>
  <si>
    <t>NINA ROSA GOMES NOGUEIRA</t>
  </si>
  <si>
    <t>VERA</t>
  </si>
  <si>
    <t>SILVAL JOSE ALVES FILHO</t>
  </si>
  <si>
    <t>LEDA</t>
  </si>
  <si>
    <t>EDWARD LUCIO VIEIRA BORBA</t>
  </si>
  <si>
    <t>SAKURAGUI JOIAS LTDA</t>
  </si>
  <si>
    <t>CIRIA COELHO RIBEIRO</t>
  </si>
  <si>
    <t>GLEUBER</t>
  </si>
  <si>
    <t>MARIA OLIVIA BETHONICO CORREA</t>
  </si>
  <si>
    <t>EDNA</t>
  </si>
  <si>
    <t>IRACY MARIA MACHADO DE AMORIM</t>
  </si>
  <si>
    <t>MATHEUS</t>
  </si>
  <si>
    <t>JULIA VITORIA SOARES GALVAO</t>
  </si>
  <si>
    <t>ALESSANDRO</t>
  </si>
  <si>
    <t>TIAGO PERFEITO DE SANTANA</t>
  </si>
  <si>
    <t>AUGUSTO SETTE CAMARA VALENTE</t>
  </si>
  <si>
    <t>ARILMA MARCAL DE BRITO</t>
  </si>
  <si>
    <t>SOLANGE</t>
  </si>
  <si>
    <t>MARIA DO PILAR FIGUEIREDO CRUZ</t>
  </si>
  <si>
    <t>ANTONIO CARLOS DE PAULA COSTA</t>
  </si>
  <si>
    <t>ELENE</t>
  </si>
  <si>
    <t>MARIANA</t>
  </si>
  <si>
    <t>CELSO MARCUS ALVARENGA DE CASTRO</t>
  </si>
  <si>
    <t>ISABELE</t>
  </si>
  <si>
    <t>GABRIEL ANTONIO FERREIRA ALVES</t>
  </si>
  <si>
    <t>ROSANE</t>
  </si>
  <si>
    <t>LUCAS RODRIGUES ARAUJO</t>
  </si>
  <si>
    <t>DANIELA ALMEIDA TEIXEIRA TOCCAFONDO</t>
  </si>
  <si>
    <t>JULIO</t>
  </si>
  <si>
    <t>LUCIANA FAVIERO DE LARA RIBEIRO</t>
  </si>
  <si>
    <t>SERGIO LINCOLN DE MATOS ARRUDA</t>
  </si>
  <si>
    <t>ERIKA</t>
  </si>
  <si>
    <t>ATILIO RULLI</t>
  </si>
  <si>
    <t>RAFAELA BAYARDINO MACHADO</t>
  </si>
  <si>
    <t>DENISE FREIRE MENICUCCI</t>
  </si>
  <si>
    <t>STELLA</t>
  </si>
  <si>
    <t>DANIELA MARQUES BRITO</t>
  </si>
  <si>
    <t>AFRISIO DE SOUZA VIEIRA LIMA FILHO</t>
  </si>
  <si>
    <t>LEONARDO GUERRA CHAVES</t>
  </si>
  <si>
    <t>YURI</t>
  </si>
  <si>
    <t>MARCIA COELHO</t>
  </si>
  <si>
    <t>SILVANIA</t>
  </si>
  <si>
    <t>NEMORA PAIM DOS SANTOS</t>
  </si>
  <si>
    <t>JAIME</t>
  </si>
  <si>
    <t>SILVANIA PEREIRA DA COSTA</t>
  </si>
  <si>
    <t>CIRIA</t>
  </si>
  <si>
    <t>ILTON LUIS GUIMARAES DE SIQUEIRA</t>
  </si>
  <si>
    <t>REDRAU</t>
  </si>
  <si>
    <t>GABRIEL BASILE PANTAZIS</t>
  </si>
  <si>
    <t>GARCIA</t>
  </si>
  <si>
    <t>ELIANE MEDEIROS LEOPOLDINO GONCALVES</t>
  </si>
  <si>
    <t>BIANCA</t>
  </si>
  <si>
    <t>ALEXANDRE ALVES E SOUZA</t>
  </si>
  <si>
    <t>VICTOR VIEITES DO VALLE PIRES</t>
  </si>
  <si>
    <t>ANA LUISA CUNHA CAMPOS DIEGUEZ</t>
  </si>
  <si>
    <t>DENISE</t>
  </si>
  <si>
    <t>DAURA DE CAMPOS MENDES FILPO</t>
  </si>
  <si>
    <t>DILSON</t>
  </si>
  <si>
    <t>SANDRA REGINA SILVEIRA</t>
  </si>
  <si>
    <t>ROBERTO</t>
  </si>
  <si>
    <t>GLAUCIA DE AVILA OLIVEIRA</t>
  </si>
  <si>
    <t>NADY</t>
  </si>
  <si>
    <t>PAULO SERGIO DOS SANTOS PEREIRA</t>
  </si>
  <si>
    <t>AMADO DA COSTA E SILVA</t>
  </si>
  <si>
    <t>CLAYTON</t>
  </si>
  <si>
    <t>EDUARDA SEBASTIANI VAN LIESHOUT</t>
  </si>
  <si>
    <t>ISABELLA AZARIAS DE SOUZA</t>
  </si>
  <si>
    <t>WILLIAM</t>
  </si>
  <si>
    <t>FLAVIO COSTA BEZERRA FILHO</t>
  </si>
  <si>
    <t>REJANE</t>
  </si>
  <si>
    <t>LEONARDO GRANJA CARDOSO</t>
  </si>
  <si>
    <t>WAGNER</t>
  </si>
  <si>
    <t>JULIA</t>
  </si>
  <si>
    <t>POLYANNA REZENDE MILHOMEM MARINHO</t>
  </si>
  <si>
    <t>DANIEL</t>
  </si>
  <si>
    <t>CHRISTIAN KLEBER ROSA LISBOA</t>
  </si>
  <si>
    <t>THAYSA</t>
  </si>
  <si>
    <t>JUSCELINO</t>
  </si>
  <si>
    <t>KRYSCIA</t>
  </si>
  <si>
    <t>CLUBE DE BLUEMETRIX GESTAO DE ATIVOS S.A</t>
  </si>
  <si>
    <t>EMMANUELLE</t>
  </si>
  <si>
    <t>EVALDO</t>
  </si>
  <si>
    <t>NILBORN</t>
  </si>
  <si>
    <t>CESAR</t>
  </si>
  <si>
    <t>EVA</t>
  </si>
  <si>
    <t>ELAINE</t>
  </si>
  <si>
    <t>ALOISIO</t>
  </si>
  <si>
    <t>ZENILDA</t>
  </si>
  <si>
    <t>MARILIA</t>
  </si>
  <si>
    <t>JAIRO</t>
  </si>
  <si>
    <t>ALEXANDRE</t>
  </si>
  <si>
    <t>LEONE</t>
  </si>
  <si>
    <t>SOFIA</t>
  </si>
  <si>
    <t>MELISSA</t>
  </si>
  <si>
    <t>RAFAELA</t>
  </si>
  <si>
    <t>CELIA</t>
  </si>
  <si>
    <t>ADRIANA</t>
  </si>
  <si>
    <t>EDUARDO</t>
  </si>
  <si>
    <t>SERGIO</t>
  </si>
  <si>
    <t>SUZY</t>
  </si>
  <si>
    <t>GABRIEL</t>
  </si>
  <si>
    <t>THAISSA</t>
  </si>
  <si>
    <t>MARINA</t>
  </si>
  <si>
    <t>ROSANA</t>
  </si>
  <si>
    <t>MILA</t>
  </si>
  <si>
    <t>OTAVIO</t>
  </si>
  <si>
    <t>JUNIO</t>
  </si>
  <si>
    <t>SANDRA</t>
  </si>
  <si>
    <t>AURELIO</t>
  </si>
  <si>
    <t>004377713</t>
  </si>
  <si>
    <t>DANIELI</t>
  </si>
  <si>
    <t>DANILO</t>
  </si>
  <si>
    <t>004976625</t>
  </si>
  <si>
    <t>NORTON</t>
  </si>
  <si>
    <t>CARLA</t>
  </si>
  <si>
    <t>ZILDA</t>
  </si>
  <si>
    <t>GABRIELA</t>
  </si>
  <si>
    <t>FLASH</t>
  </si>
  <si>
    <t>CARNEIRO</t>
  </si>
  <si>
    <t>ALAN</t>
  </si>
  <si>
    <t>FLK</t>
  </si>
  <si>
    <t>MAURO</t>
  </si>
  <si>
    <t>RENAN</t>
  </si>
  <si>
    <t>LAGO</t>
  </si>
  <si>
    <t>ELISANDRA</t>
  </si>
  <si>
    <t>005514036</t>
  </si>
  <si>
    <t>KELMA</t>
  </si>
  <si>
    <t>BALTASAR</t>
  </si>
  <si>
    <t>VIVIANE</t>
  </si>
  <si>
    <t>DANIELE</t>
  </si>
  <si>
    <t>THOMAS</t>
  </si>
  <si>
    <t>MARA</t>
  </si>
  <si>
    <t>SUELI</t>
  </si>
  <si>
    <t>FABRICIO</t>
  </si>
  <si>
    <t>JORGEANA</t>
  </si>
  <si>
    <t>CAROLLINA</t>
  </si>
  <si>
    <t>SARA</t>
  </si>
  <si>
    <t>LUZIMAR</t>
  </si>
  <si>
    <t>EG</t>
  </si>
  <si>
    <t>DUNAS</t>
  </si>
  <si>
    <t>NORMAN</t>
  </si>
  <si>
    <t>LEONARDO</t>
  </si>
  <si>
    <t>VICTOR</t>
  </si>
  <si>
    <t>004340223</t>
  </si>
  <si>
    <t>GABRIELLE</t>
  </si>
  <si>
    <t>004340036</t>
  </si>
  <si>
    <t>ANGELA</t>
  </si>
  <si>
    <t>ANNA</t>
  </si>
  <si>
    <t>TAYLA</t>
  </si>
  <si>
    <t>ISABELLA</t>
  </si>
  <si>
    <t>MARIAH</t>
  </si>
  <si>
    <t>004308815</t>
  </si>
  <si>
    <t>ZELI</t>
  </si>
  <si>
    <t>005043894</t>
  </si>
  <si>
    <t>NAIARA</t>
  </si>
  <si>
    <t>GLAUCIANE</t>
  </si>
  <si>
    <t>ALINNE</t>
  </si>
  <si>
    <t>CLAUDIO</t>
  </si>
  <si>
    <t>KARINA</t>
  </si>
  <si>
    <t>DANIELY</t>
  </si>
  <si>
    <t>IRACY</t>
  </si>
  <si>
    <t>NATAL</t>
  </si>
  <si>
    <t>JONAS</t>
  </si>
  <si>
    <t>002894447</t>
  </si>
  <si>
    <t>BRENO</t>
  </si>
  <si>
    <t>SIMONE</t>
  </si>
  <si>
    <t>RENATA</t>
  </si>
  <si>
    <t>BLUEMETRIX</t>
  </si>
  <si>
    <t>LUISA</t>
  </si>
  <si>
    <t>BHRUNA</t>
  </si>
  <si>
    <t>005690206</t>
  </si>
  <si>
    <t>KAUANNE</t>
  </si>
  <si>
    <t>003691207</t>
  </si>
  <si>
    <t>004220849</t>
  </si>
  <si>
    <t>DULCE</t>
  </si>
  <si>
    <t>TATIANY</t>
  </si>
  <si>
    <t>RAQUEL</t>
  </si>
  <si>
    <t>004221472</t>
  </si>
  <si>
    <t>008017914</t>
  </si>
  <si>
    <t>FRANCO</t>
  </si>
  <si>
    <t>004221454</t>
  </si>
  <si>
    <t>MANUELA</t>
  </si>
  <si>
    <t>ADRIANO</t>
  </si>
  <si>
    <t>LETICIA</t>
  </si>
  <si>
    <t>005270025</t>
  </si>
  <si>
    <t>DENIZE</t>
  </si>
  <si>
    <t>ISADORA</t>
  </si>
  <si>
    <t>004424671</t>
  </si>
  <si>
    <t>NAYARA</t>
  </si>
  <si>
    <t>004424714</t>
  </si>
  <si>
    <t>004424761</t>
  </si>
  <si>
    <t>POLYANNA</t>
  </si>
  <si>
    <t>LUNA</t>
  </si>
  <si>
    <t>EDUARDA</t>
  </si>
  <si>
    <t>THEOMAR</t>
  </si>
  <si>
    <t>004340217</t>
  </si>
  <si>
    <t>AUGUSTO</t>
  </si>
  <si>
    <t>JO</t>
  </si>
  <si>
    <t>CAROLINA</t>
  </si>
  <si>
    <t>001000288</t>
  </si>
  <si>
    <t>004848843</t>
  </si>
  <si>
    <t>ALAERCIO</t>
  </si>
  <si>
    <t>MARCUS</t>
  </si>
  <si>
    <t>JALISON</t>
  </si>
  <si>
    <t>BASE</t>
  </si>
  <si>
    <t>CLOVIS</t>
  </si>
  <si>
    <t>RUBENS</t>
  </si>
  <si>
    <t>LAIS</t>
  </si>
  <si>
    <t>GIANLUCA</t>
  </si>
  <si>
    <t>YESHUA</t>
  </si>
  <si>
    <t>004213373</t>
  </si>
  <si>
    <t>FRANKLIN</t>
  </si>
  <si>
    <t>MARIO</t>
  </si>
  <si>
    <t>SIDMAR</t>
  </si>
  <si>
    <t>ROSA</t>
  </si>
  <si>
    <t>ANGELICA</t>
  </si>
  <si>
    <t>LEANDRO</t>
  </si>
  <si>
    <t>NAZARETH</t>
  </si>
  <si>
    <t>WLADMIR</t>
  </si>
  <si>
    <t>AMADO</t>
  </si>
  <si>
    <t>WANDIR</t>
  </si>
  <si>
    <t>FLORDELIZ</t>
  </si>
  <si>
    <t>VIOMAR</t>
  </si>
  <si>
    <t>ELENA</t>
  </si>
  <si>
    <t>HEBERT</t>
  </si>
  <si>
    <t>BRUNA</t>
  </si>
  <si>
    <t>DAIANNE</t>
  </si>
  <si>
    <t>DAISY</t>
  </si>
  <si>
    <t>VITOR</t>
  </si>
  <si>
    <t>VILMA</t>
  </si>
  <si>
    <t>Data da Solicitaçã</t>
  </si>
  <si>
    <t xml:space="preserve">Pendente assinatura do termo </t>
  </si>
  <si>
    <t>Pedro Andrade</t>
  </si>
  <si>
    <t>--</t>
  </si>
  <si>
    <t>Uldarico Abrego</t>
  </si>
  <si>
    <t>luca</t>
  </si>
  <si>
    <t>Confecção do termo</t>
  </si>
  <si>
    <t>Pablo Vinicius Fernandes Bueno</t>
  </si>
  <si>
    <t>Guilherme dos santos</t>
  </si>
  <si>
    <t>Luca</t>
  </si>
  <si>
    <t>Cancelado</t>
  </si>
  <si>
    <t>29/072024</t>
  </si>
  <si>
    <t>Pendente Envio</t>
  </si>
  <si>
    <t>18/10/0202</t>
  </si>
  <si>
    <t>Julio Antonio Barbeta</t>
  </si>
  <si>
    <t>Rejane</t>
  </si>
  <si>
    <t>Caio De Almeida Leite</t>
  </si>
  <si>
    <t>Aguardando cobrança de taxa</t>
  </si>
  <si>
    <t>guilherme dos santos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</si>
  <si>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</si>
  <si>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</si>
  <si>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</si>
  <si>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</si>
  <si>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</si>
  <si>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</si>
  <si>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</si>
  <si>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</si>
  <si>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</si>
  <si>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Outubro</t>
  </si>
  <si>
    <t>Total</t>
  </si>
  <si>
    <t>PL BLuemetrix 2024 - Internacional</t>
  </si>
  <si>
    <t>PL BLuemetrix 2024 - Fundo (PL Incluso nas Carteiras Adm)</t>
  </si>
  <si>
    <t>Fundo</t>
  </si>
  <si>
    <t>Fundo RF Ativo</t>
  </si>
  <si>
    <t>PL Voga 2024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</si>
  <si>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</si>
  <si>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</si>
  <si>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</si>
  <si>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</si>
  <si>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</si>
  <si>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</si>
  <si>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</si>
  <si>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</si>
  <si>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</si>
  <si>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</si>
  <si>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</si>
  <si>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</si>
  <si>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</si>
  <si>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</si>
  <si>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</si>
  <si>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</si>
  <si>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</si>
  <si>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</si>
  <si>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</si>
  <si>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</si>
  <si>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</si>
  <si>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</si>
  <si>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</si>
  <si>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</si>
  <si>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</si>
  <si>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</si>
  <si>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</si>
  <si>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</si>
  <si>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</si>
  <si>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</si>
  <si>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</si>
  <si>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</si>
  <si>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</si>
  <si>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</si>
  <si>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</si>
  <si>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</si>
  <si>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</si>
  <si>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</si>
  <si>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</si>
  <si>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</si>
  <si>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</si>
  <si>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</si>
  <si>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</si>
  <si>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</si>
  <si>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</si>
  <si>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</si>
  <si>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</si>
  <si>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</si>
  <si>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</si>
  <si>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</si>
  <si>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</si>
  <si>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</si>
  <si>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</si>
  <si>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</si>
  <si>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CAMILLA EL HAJE LOBO BORGES</t>
  </si>
  <si>
    <t>Médica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</si>
  <si>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</si>
  <si>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</si>
  <si>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</si>
  <si>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</si>
  <si>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</si>
  <si>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</si>
  <si>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</si>
  <si>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</si>
  <si>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</si>
  <si>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</si>
  <si>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</si>
  <si>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</si>
  <si>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</si>
  <si>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</si>
  <si>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</si>
  <si>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</si>
  <si>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</si>
  <si>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</si>
  <si>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</si>
  <si>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</si>
  <si>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</si>
  <si>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</si>
  <si>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</si>
  <si>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</si>
  <si>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</si>
  <si>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</si>
  <si>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</si>
  <si>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</si>
  <si>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</si>
  <si>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</si>
  <si>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</si>
  <si>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</si>
  <si>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</si>
  <si>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</si>
  <si>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</si>
  <si>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</si>
  <si>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</si>
  <si>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</si>
  <si>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</si>
  <si>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</si>
  <si>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</si>
  <si>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</si>
  <si>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</si>
  <si>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</si>
  <si>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</si>
  <si>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</si>
  <si>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</si>
  <si>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</si>
  <si>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</si>
  <si>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</si>
  <si>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</si>
  <si>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</si>
  <si>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</si>
  <si>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</si>
  <si>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</si>
  <si>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</si>
  <si>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</si>
  <si>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</si>
  <si>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</si>
  <si>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</si>
  <si>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</si>
  <si>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</si>
  <si>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</si>
  <si>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</si>
  <si>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</si>
  <si>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</si>
  <si>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</si>
  <si>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</si>
  <si>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</si>
  <si>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</si>
  <si>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</si>
  <si>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</si>
  <si>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</si>
  <si>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</si>
  <si>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</si>
  <si>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</si>
  <si>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</si>
  <si>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</si>
  <si>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</si>
  <si>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</si>
  <si>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</si>
  <si>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</si>
  <si>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</si>
  <si>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</si>
  <si>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</si>
  <si>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</si>
  <si>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</si>
  <si>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</si>
  <si>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</si>
  <si>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</si>
  <si>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</si>
  <si>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</si>
  <si>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</si>
  <si>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</si>
  <si>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</si>
  <si>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</si>
  <si>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</si>
  <si>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</si>
  <si>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</si>
  <si>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</si>
  <si>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</si>
  <si>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</si>
  <si>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</si>
  <si>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</si>
  <si>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</si>
  <si>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</si>
  <si>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</si>
  <si>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</si>
  <si>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</si>
  <si>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</si>
  <si>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</si>
  <si>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</si>
  <si>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</si>
  <si>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</si>
  <si>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</si>
  <si>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</si>
  <si>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</si>
  <si>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</si>
  <si>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</si>
  <si>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</si>
  <si>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</si>
  <si>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</si>
  <si>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</si>
  <si>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</si>
  <si>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</si>
  <si>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</si>
  <si>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</si>
  <si>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</si>
  <si>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</si>
  <si>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</si>
  <si>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</si>
  <si>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</si>
  <si>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</si>
  <si>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</si>
  <si>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</si>
  <si>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</si>
  <si>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</si>
  <si>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</si>
  <si>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</si>
  <si>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</si>
  <si>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</si>
  <si>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</si>
  <si>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</si>
  <si>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</si>
  <si>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</si>
  <si>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</si>
  <si>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</si>
  <si>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</si>
  <si>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</si>
  <si>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</si>
  <si>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</si>
  <si>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</si>
  <si>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</si>
  <si>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</si>
  <si>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</si>
  <si>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</si>
  <si>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</si>
  <si>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</si>
  <si>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</si>
  <si>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</si>
  <si>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</si>
  <si>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</si>
  <si>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</si>
  <si>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</si>
  <si>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</si>
  <si>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</si>
  <si>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</si>
  <si>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</si>
  <si>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</si>
  <si>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</si>
  <si>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</si>
  <si>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</si>
  <si>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</si>
  <si>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</si>
  <si>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</si>
  <si>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</si>
  <si>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</si>
  <si>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</si>
  <si>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</si>
  <si>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</si>
  <si>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</si>
  <si>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</si>
  <si>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</si>
  <si>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</si>
  <si>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</si>
  <si>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</si>
  <si>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</si>
  <si>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</si>
  <si>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</si>
  <si>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</si>
  <si>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</si>
  <si>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</si>
  <si>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</si>
  <si>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</si>
  <si>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</si>
  <si>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</si>
  <si>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</si>
  <si>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</si>
  <si>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</si>
  <si>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</si>
  <si>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</si>
  <si>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</si>
  <si>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</si>
  <si>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</si>
  <si>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</si>
  <si>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</si>
  <si>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</si>
  <si>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</si>
  <si>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</si>
  <si>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</si>
  <si>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</si>
  <si>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</si>
  <si>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</si>
  <si>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</si>
  <si>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</si>
  <si>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</si>
  <si>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</si>
  <si>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</si>
  <si>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Data da Solicitação</t>
  </si>
  <si>
    <t>Tipo de Saída</t>
  </si>
  <si>
    <t>825558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</si>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</sst>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[$R$ -416]#,##0.00"/>
    <numFmt numFmtId="165" formatCode="###0"/>
    <numFmt numFmtId="166" formatCode="dd/mm"/>
    <numFmt numFmtId="167" formatCode="d/m/yyyy"/>
    <numFmt numFmtId="168" formatCode="0.0%"/>
    <numFmt numFmtId="169" formatCode="mmmm/yyyy"/>
    <numFmt numFmtId="170" formatCode="m/yyyy"/>
    <numFmt numFmtId="171" formatCode="mm/yyyy"/>
    <numFmt numFmtId="172" formatCode="0.000%"/>
    <numFmt numFmtId="173" formatCode="[$$]#,##0.00"/>
    <numFmt numFmtId="174" formatCode="#,##0.00;\(#,##0.00\)"/>
    <numFmt numFmtId="175" formatCode="dd/mm/yy"/>
  </numFmts>
  <fonts count="65">
    <font>
      <sz val="10"/>
      <color rgb="FF000000"/>
      <name val="Arial"/>
      <scheme val="minor"/>
    </font>
    <font>
      <b/>
      <sz val="10"/>
      <color rgb="FFFFFF00"/>
      <name val="Times New Roman"/>
    </font>
    <font>
      <sz val="10"/>
      <color rgb="FF000000"/>
      <name val="Times New Roman"/>
    </font>
    <font>
      <sz val="10"/>
      <color theme="1"/>
      <name val="Times New Roman"/>
    </font>
    <font>
      <b/>
      <sz val="10"/>
      <color rgb="FFFFFFFF"/>
      <name val="Times New Roman"/>
    </font>
    <font>
      <b/>
      <sz val="10"/>
      <color rgb="FF000000"/>
      <name val="Times New Roman"/>
    </font>
    <font>
      <sz val="10"/>
      <color rgb="FF000000"/>
      <name val="&quot;Times New Roman&quot;"/>
    </font>
    <font>
      <b/>
      <sz val="11"/>
      <color rgb="FFFFFF00"/>
      <name val="Times New Roman"/>
    </font>
    <font>
      <sz val="10"/>
      <color rgb="FFFFFF00"/>
      <name val="Times New Roman"/>
    </font>
    <font>
      <b/>
      <sz val="10"/>
      <color theme="1"/>
      <name val="Times New Roman"/>
    </font>
    <font>
      <sz val="10"/>
      <color theme="1"/>
      <name val="Times New Roman"/>
    </font>
    <font>
      <sz val="10"/>
      <color theme="1"/>
      <name val="&quot;Times New Roman&quot;"/>
    </font>
    <font>
      <sz val="10"/>
      <color rgb="FF000000"/>
      <name val="Times New Roman"/>
    </font>
    <font>
      <sz val="10"/>
      <color rgb="FF222222"/>
      <name val="Times New Roman"/>
    </font>
    <font>
      <sz val="10"/>
      <color theme="1"/>
      <name val="Arial"/>
    </font>
    <font>
      <sz val="10"/>
      <color theme="5"/>
      <name val="Times New Roman"/>
    </font>
    <font>
      <sz val="10"/>
      <color rgb="FF222222"/>
      <name val="Times New Roman"/>
    </font>
    <font>
      <sz val="9"/>
      <color rgb="FF1F1F1F"/>
      <name val="Arial"/>
    </font>
    <font>
      <sz val="10"/>
      <color rgb="FF1F1F1F"/>
      <name val="Times New Roman"/>
    </font>
    <font>
      <sz val="11"/>
      <color rgb="FF000000"/>
      <name val="Calibri"/>
    </font>
    <font>
      <sz val="10"/>
      <color theme="1"/>
      <name val="Arial"/>
      <scheme val="minor"/>
    </font>
    <font>
      <b/>
      <sz val="10"/>
      <color rgb="FFFF0000"/>
      <name val="Times New Roman"/>
    </font>
    <font>
      <sz val="10"/>
      <color rgb="FFFF0000"/>
      <name val="Times New Roman"/>
    </font>
    <font>
      <i/>
      <sz val="10"/>
      <color theme="1"/>
      <name val="Times New Roman"/>
    </font>
    <font>
      <sz val="10"/>
      <color rgb="FF101820"/>
      <name val="Inter"/>
    </font>
    <font>
      <sz val="10"/>
      <color rgb="FF222222"/>
      <name val="Arial"/>
    </font>
    <font>
      <sz val="10"/>
      <color rgb="FFFF0000"/>
      <name val="Times New Roman"/>
    </font>
    <font>
      <b/>
      <sz val="8"/>
      <color rgb="FF000000"/>
      <name val="Times New Roman"/>
    </font>
    <font>
      <sz val="11"/>
      <color rgb="FF000000"/>
      <name val="Times New Roman"/>
    </font>
    <font>
      <sz val="10"/>
      <name val="Arial"/>
    </font>
    <font>
      <sz val="10"/>
      <color rgb="FF980000"/>
      <name val="Times New Roman"/>
    </font>
    <font>
      <sz val="10"/>
      <color rgb="FF990000"/>
      <name val="Times New Roman"/>
    </font>
    <font>
      <sz val="10"/>
      <color rgb="FF0000FF"/>
      <name val="Times New Roman"/>
    </font>
    <font>
      <b/>
      <sz val="10"/>
      <color rgb="FFFFFF00"/>
      <name val="&quot;Times New Roman&quot;"/>
    </font>
    <font>
      <b/>
      <sz val="9"/>
      <color rgb="FF000000"/>
      <name val="Times New Roman"/>
    </font>
    <font>
      <b/>
      <sz val="10"/>
      <color rgb="FFFFFF00"/>
      <name val="Times New Roman"/>
    </font>
    <font>
      <b/>
      <sz val="9"/>
      <color rgb="FF000000"/>
      <name val="&quot;Google Sans Mono&quot;"/>
    </font>
    <font>
      <sz val="10"/>
      <color rgb="FF000000"/>
      <name val="Arial"/>
    </font>
    <font>
      <sz val="10"/>
      <color theme="1"/>
      <name val="Arial"/>
    </font>
    <font>
      <b/>
      <sz val="10"/>
      <color rgb="FFFFFF00"/>
      <name val="Arial"/>
    </font>
    <font>
      <sz val="10"/>
      <color rgb="FF202124"/>
      <name val="Times New Roman"/>
    </font>
    <font>
      <sz val="7"/>
      <color theme="1"/>
      <name val="Times New Roman"/>
    </font>
    <font>
      <sz val="10"/>
      <color rgb="FF313131"/>
      <name val="Times New Roman"/>
    </font>
    <font>
      <sz val="10"/>
      <color rgb="FF201F1E"/>
      <name val="Times New Roman"/>
    </font>
    <font>
      <sz val="9"/>
      <color rgb="FF2B2E2F"/>
      <name val="Times New Roman"/>
    </font>
    <font>
      <i/>
      <sz val="10"/>
      <color rgb="FF3C4043"/>
      <name val="Times New Roman"/>
    </font>
    <font>
      <sz val="10"/>
      <color rgb="FF0A0A0A"/>
      <name val="Times New Roman"/>
    </font>
    <font>
      <sz val="8"/>
      <color theme="1"/>
      <name val="Times New Roman"/>
    </font>
    <font>
      <sz val="8"/>
      <color rgb="FF000000"/>
      <name val="Times New Roman"/>
    </font>
    <font>
      <b/>
      <sz val="6"/>
      <color theme="1"/>
      <name val="Times New Roman"/>
    </font>
    <font>
      <b/>
      <sz val="11"/>
      <color theme="1"/>
      <name val="Arial"/>
    </font>
    <font>
      <b/>
      <sz val="10"/>
      <color theme="1"/>
      <name val="Arial"/>
      <scheme val="minor"/>
    </font>
    <font>
      <b/>
      <sz val="11"/>
      <color theme="1"/>
      <name val="&quot;Aptos Narrow&quot;"/>
    </font>
    <font>
      <sz val="11"/>
      <color theme="1"/>
      <name val="&quot;Aptos Narrow&quot;"/>
    </font>
    <font>
      <b/>
      <sz val="10"/>
      <color theme="1"/>
      <name val="Times New Roman"/>
    </font>
    <font>
      <sz val="11"/>
      <color rgb="FF000000"/>
      <name val="&quot;Times New Roman&quot;"/>
    </font>
    <font>
      <sz val="10"/>
      <color rgb="FF000000"/>
      <name val="&quot;Times New Roman&quot;"/>
    </font>
    <font>
      <b/>
      <sz val="10"/>
      <color rgb="FFFFFF00"/>
      <name val="Arial"/>
    </font>
    <font>
      <sz val="10"/>
      <color rgb="FF000000"/>
      <name val="Arial"/>
    </font>
    <font>
      <sz val="10"/>
      <color rgb="FF444444"/>
      <name val="Arial"/>
    </font>
    <font>
      <sz val="10"/>
      <color rgb="FFFF0000"/>
      <name val="Arial"/>
    </font>
    <font>
      <sz val="10"/>
      <color rgb="FF222222"/>
      <name val="Arial"/>
    </font>
    <font>
      <sz val="10"/>
      <color rgb="FF202124"/>
      <name val="Arial"/>
    </font>
    <font>
      <sz val="10"/>
      <color rgb="FF222222"/>
      <name val="Helvetica Neue"/>
    </font>
    <font>
      <b/>
      <sz val="8"/>
      <color theme="1"/>
      <name val="Times New Roman"/>
    </font>
  </fonts>
  <fills count="20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3C4043"/>
        <bgColor rgb="FF3C4043"/>
      </patternFill>
    </fill>
    <fill>
      <patternFill patternType="solid">
        <fgColor rgb="FFFFFFFF"/>
        <bgColor rgb="FFFFFFFF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rgb="FF1F497D"/>
        <bgColor rgb="FF1F497D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661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vertical="center"/>
    </xf>
    <xf numFmtId="49" fontId="3" fillId="0" borderId="1" xfId="0" applyNumberFormat="1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/>
    </xf>
    <xf numFmtId="0" fontId="1" fillId="5" borderId="0" xfId="0" applyFont="1" applyFill="1" applyAlignment="1">
      <alignment horizontal="center" vertical="center"/>
    </xf>
    <xf numFmtId="0" fontId="7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8" fillId="2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9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0" fontId="3" fillId="0" borderId="1" xfId="0" applyNumberFormat="1" applyFont="1" applyBorder="1" applyAlignment="1">
      <alignment horizontal="center" vertical="center"/>
    </xf>
    <xf numFmtId="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right" vertical="center"/>
    </xf>
    <xf numFmtId="14" fontId="3" fillId="0" borderId="1" xfId="0" applyNumberFormat="1" applyFont="1" applyBorder="1" applyAlignment="1">
      <alignment horizontal="right" vertical="center"/>
    </xf>
    <xf numFmtId="165" fontId="3" fillId="0" borderId="1" xfId="0" applyNumberFormat="1" applyFont="1" applyBorder="1" applyAlignment="1">
      <alignment horizontal="right" vertical="center"/>
    </xf>
    <xf numFmtId="0" fontId="10" fillId="0" borderId="1" xfId="0" applyFont="1" applyBorder="1" applyAlignment="1">
      <alignment vertical="center"/>
    </xf>
    <xf numFmtId="49" fontId="10" fillId="0" borderId="1" xfId="0" applyNumberFormat="1" applyFont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11" fillId="0" borderId="1" xfId="0" applyFont="1" applyBorder="1" applyAlignment="1">
      <alignment vertical="center"/>
    </xf>
    <xf numFmtId="49" fontId="11" fillId="4" borderId="2" xfId="0" applyNumberFormat="1" applyFont="1" applyFill="1" applyBorder="1" applyAlignment="1">
      <alignment horizontal="center" vertical="center"/>
    </xf>
    <xf numFmtId="0" fontId="12" fillId="4" borderId="1" xfId="0" applyFont="1" applyFill="1" applyBorder="1" applyAlignment="1">
      <alignment vertical="center"/>
    </xf>
    <xf numFmtId="49" fontId="13" fillId="4" borderId="1" xfId="0" applyNumberFormat="1" applyFont="1" applyFill="1" applyBorder="1" applyAlignment="1">
      <alignment horizontal="center" vertical="center"/>
    </xf>
    <xf numFmtId="49" fontId="13" fillId="4" borderId="0" xfId="0" applyNumberFormat="1" applyFont="1" applyFill="1" applyAlignment="1">
      <alignment horizontal="center" vertical="center"/>
    </xf>
    <xf numFmtId="0" fontId="6" fillId="4" borderId="0" xfId="0" applyFont="1" applyFill="1" applyAlignment="1">
      <alignment horizontal="left"/>
    </xf>
    <xf numFmtId="49" fontId="2" fillId="4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 wrapText="1"/>
    </xf>
    <xf numFmtId="49" fontId="3" fillId="0" borderId="0" xfId="0" applyNumberFormat="1" applyFont="1" applyAlignment="1">
      <alignment horizontal="center" vertical="center"/>
    </xf>
    <xf numFmtId="0" fontId="3" fillId="4" borderId="1" xfId="0" applyFont="1" applyFill="1" applyBorder="1" applyAlignment="1">
      <alignment vertical="center" wrapText="1"/>
    </xf>
    <xf numFmtId="0" fontId="12" fillId="4" borderId="1" xfId="0" applyFont="1" applyFill="1" applyBorder="1" applyAlignment="1">
      <alignment horizontal="left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3" fillId="4" borderId="2" xfId="0" applyNumberFormat="1" applyFont="1" applyFill="1" applyBorder="1" applyAlignment="1">
      <alignment horizontal="center" vertical="center"/>
    </xf>
    <xf numFmtId="10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9" fontId="3" fillId="0" borderId="2" xfId="0" applyNumberFormat="1" applyFont="1" applyBorder="1" applyAlignment="1">
      <alignment horizontal="center" vertical="center"/>
    </xf>
    <xf numFmtId="0" fontId="6" fillId="4" borderId="1" xfId="0" applyFont="1" applyFill="1" applyBorder="1" applyAlignment="1">
      <alignment vertical="center"/>
    </xf>
    <xf numFmtId="49" fontId="11" fillId="0" borderId="2" xfId="0" applyNumberFormat="1" applyFont="1" applyBorder="1" applyAlignment="1">
      <alignment horizontal="center" vertical="center"/>
    </xf>
    <xf numFmtId="10" fontId="11" fillId="0" borderId="2" xfId="0" applyNumberFormat="1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9" fontId="11" fillId="0" borderId="2" xfId="0" applyNumberFormat="1" applyFont="1" applyBorder="1" applyAlignment="1">
      <alignment horizontal="center" vertical="center"/>
    </xf>
    <xf numFmtId="49" fontId="13" fillId="4" borderId="2" xfId="0" applyNumberFormat="1" applyFont="1" applyFill="1" applyBorder="1" applyAlignment="1">
      <alignment horizontal="center" vertical="center"/>
    </xf>
    <xf numFmtId="49" fontId="3" fillId="0" borderId="2" xfId="0" applyNumberFormat="1" applyFont="1" applyBorder="1" applyAlignment="1">
      <alignment horizontal="center" vertical="center"/>
    </xf>
    <xf numFmtId="0" fontId="14" fillId="0" borderId="2" xfId="0" applyFont="1" applyBorder="1"/>
    <xf numFmtId="49" fontId="2" fillId="4" borderId="0" xfId="0" applyNumberFormat="1" applyFont="1" applyFill="1" applyAlignment="1">
      <alignment horizontal="center" vertical="center"/>
    </xf>
    <xf numFmtId="49" fontId="15" fillId="0" borderId="1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/>
    </xf>
    <xf numFmtId="49" fontId="3" fillId="4" borderId="0" xfId="0" applyNumberFormat="1" applyFont="1" applyFill="1" applyAlignment="1">
      <alignment horizontal="center" vertical="center"/>
    </xf>
    <xf numFmtId="49" fontId="10" fillId="4" borderId="2" xfId="0" applyNumberFormat="1" applyFont="1" applyFill="1" applyBorder="1" applyAlignment="1">
      <alignment horizontal="center" vertical="center"/>
    </xf>
    <xf numFmtId="164" fontId="10" fillId="0" borderId="1" xfId="0" applyNumberFormat="1" applyFont="1" applyBorder="1" applyAlignment="1">
      <alignment horizontal="right"/>
    </xf>
    <xf numFmtId="0" fontId="16" fillId="4" borderId="1" xfId="0" applyFont="1" applyFill="1" applyBorder="1" applyAlignment="1">
      <alignment horizontal="left" vertical="center" wrapText="1"/>
    </xf>
    <xf numFmtId="0" fontId="13" fillId="4" borderId="1" xfId="0" applyFont="1" applyFill="1" applyBorder="1" applyAlignment="1">
      <alignment horizontal="center" vertical="center"/>
    </xf>
    <xf numFmtId="0" fontId="6" fillId="4" borderId="3" xfId="0" applyFont="1" applyFill="1" applyBorder="1"/>
    <xf numFmtId="49" fontId="2" fillId="4" borderId="2" xfId="0" applyNumberFormat="1" applyFont="1" applyFill="1" applyBorder="1" applyAlignment="1">
      <alignment horizontal="center" vertical="center"/>
    </xf>
    <xf numFmtId="166" fontId="3" fillId="0" borderId="1" xfId="0" applyNumberFormat="1" applyFont="1" applyBorder="1" applyAlignment="1">
      <alignment horizontal="center" vertical="center"/>
    </xf>
    <xf numFmtId="166" fontId="3" fillId="0" borderId="1" xfId="0" applyNumberFormat="1" applyFont="1" applyBorder="1" applyAlignment="1">
      <alignment horizontal="right" vertical="center"/>
    </xf>
    <xf numFmtId="0" fontId="6" fillId="0" borderId="1" xfId="0" applyFont="1" applyBorder="1" applyAlignment="1">
      <alignment vertical="center"/>
    </xf>
    <xf numFmtId="0" fontId="17" fillId="0" borderId="0" xfId="0" applyFont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167" fontId="3" fillId="0" borderId="1" xfId="0" applyNumberFormat="1" applyFont="1" applyBorder="1" applyAlignment="1">
      <alignment horizontal="center" vertical="center"/>
    </xf>
    <xf numFmtId="0" fontId="18" fillId="4" borderId="1" xfId="0" applyFont="1" applyFill="1" applyBorder="1"/>
    <xf numFmtId="0" fontId="19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12" fillId="4" borderId="1" xfId="0" applyFont="1" applyFill="1" applyBorder="1" applyAlignment="1">
      <alignment vertical="center" wrapText="1"/>
    </xf>
    <xf numFmtId="0" fontId="20" fillId="0" borderId="1" xfId="0" applyFont="1" applyBorder="1"/>
    <xf numFmtId="0" fontId="11" fillId="4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12" fillId="0" borderId="1" xfId="0" applyFont="1" applyBorder="1" applyAlignment="1">
      <alignment vertical="center"/>
    </xf>
    <xf numFmtId="0" fontId="3" fillId="0" borderId="1" xfId="0" applyFont="1" applyBorder="1" applyAlignment="1">
      <alignment horizontal="left" vertical="center"/>
    </xf>
    <xf numFmtId="49" fontId="11" fillId="4" borderId="1" xfId="0" applyNumberFormat="1" applyFont="1" applyFill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49" fontId="2" fillId="4" borderId="1" xfId="0" applyNumberFormat="1" applyFont="1" applyFill="1" applyBorder="1" applyAlignment="1">
      <alignment horizontal="center"/>
    </xf>
    <xf numFmtId="0" fontId="12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9" fillId="4" borderId="1" xfId="0" applyFont="1" applyFill="1" applyBorder="1" applyAlignment="1">
      <alignment horizontal="center" vertical="center"/>
    </xf>
    <xf numFmtId="14" fontId="3" fillId="4" borderId="1" xfId="0" applyNumberFormat="1" applyFont="1" applyFill="1" applyBorder="1" applyAlignment="1">
      <alignment horizontal="center" vertical="center"/>
    </xf>
    <xf numFmtId="10" fontId="3" fillId="4" borderId="1" xfId="0" applyNumberFormat="1" applyFont="1" applyFill="1" applyBorder="1" applyAlignment="1">
      <alignment horizontal="center" vertical="center"/>
    </xf>
    <xf numFmtId="9" fontId="3" fillId="4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 wrapText="1"/>
    </xf>
    <xf numFmtId="164" fontId="3" fillId="4" borderId="1" xfId="0" applyNumberFormat="1" applyFont="1" applyFill="1" applyBorder="1" applyAlignment="1">
      <alignment horizontal="center" vertical="center"/>
    </xf>
    <xf numFmtId="164" fontId="3" fillId="4" borderId="1" xfId="0" applyNumberFormat="1" applyFont="1" applyFill="1" applyBorder="1" applyAlignment="1">
      <alignment horizontal="right" vertical="center"/>
    </xf>
    <xf numFmtId="14" fontId="3" fillId="4" borderId="1" xfId="0" applyNumberFormat="1" applyFont="1" applyFill="1" applyBorder="1" applyAlignment="1">
      <alignment horizontal="right" vertical="center"/>
    </xf>
    <xf numFmtId="165" fontId="3" fillId="4" borderId="1" xfId="0" applyNumberFormat="1" applyFont="1" applyFill="1" applyBorder="1" applyAlignment="1">
      <alignment horizontal="right" vertical="center"/>
    </xf>
    <xf numFmtId="0" fontId="2" fillId="4" borderId="1" xfId="0" applyFont="1" applyFill="1" applyBorder="1" applyAlignment="1">
      <alignment horizontal="left"/>
    </xf>
    <xf numFmtId="49" fontId="2" fillId="4" borderId="0" xfId="0" applyNumberFormat="1" applyFont="1" applyFill="1" applyAlignment="1">
      <alignment horizontal="center"/>
    </xf>
    <xf numFmtId="0" fontId="2" fillId="4" borderId="1" xfId="0" applyFont="1" applyFill="1" applyBorder="1" applyAlignment="1">
      <alignment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16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right" vertical="center"/>
    </xf>
    <xf numFmtId="14" fontId="2" fillId="0" borderId="1" xfId="0" applyNumberFormat="1" applyFont="1" applyBorder="1" applyAlignment="1">
      <alignment horizontal="right" vertical="center"/>
    </xf>
    <xf numFmtId="165" fontId="2" fillId="0" borderId="1" xfId="0" applyNumberFormat="1" applyFont="1" applyBorder="1" applyAlignment="1">
      <alignment horizontal="right" vertical="center"/>
    </xf>
    <xf numFmtId="164" fontId="9" fillId="0" borderId="1" xfId="0" applyNumberFormat="1" applyFont="1" applyBorder="1" applyAlignment="1">
      <alignment horizontal="right" vertical="center"/>
    </xf>
    <xf numFmtId="14" fontId="9" fillId="0" borderId="1" xfId="0" applyNumberFormat="1" applyFont="1" applyBorder="1" applyAlignment="1">
      <alignment horizontal="right" vertical="center"/>
    </xf>
    <xf numFmtId="165" fontId="9" fillId="0" borderId="1" xfId="0" applyNumberFormat="1" applyFont="1" applyBorder="1" applyAlignment="1">
      <alignment horizontal="right" vertical="center"/>
    </xf>
    <xf numFmtId="0" fontId="16" fillId="4" borderId="1" xfId="0" applyFont="1" applyFill="1" applyBorder="1" applyAlignment="1">
      <alignment vertical="center"/>
    </xf>
    <xf numFmtId="0" fontId="21" fillId="9" borderId="1" xfId="0" applyFont="1" applyFill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13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/>
    </xf>
    <xf numFmtId="0" fontId="10" fillId="4" borderId="1" xfId="0" applyFont="1" applyFill="1" applyBorder="1" applyAlignment="1">
      <alignment horizontal="center"/>
    </xf>
    <xf numFmtId="10" fontId="10" fillId="0" borderId="1" xfId="0" applyNumberFormat="1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9" fontId="10" fillId="0" borderId="1" xfId="0" applyNumberFormat="1" applyFont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10" fontId="11" fillId="0" borderId="2" xfId="0" applyNumberFormat="1" applyFont="1" applyBorder="1" applyAlignment="1">
      <alignment horizontal="center"/>
    </xf>
    <xf numFmtId="0" fontId="11" fillId="0" borderId="2" xfId="0" applyFont="1" applyBorder="1" applyAlignment="1">
      <alignment horizontal="center"/>
    </xf>
    <xf numFmtId="9" fontId="11" fillId="0" borderId="2" xfId="0" applyNumberFormat="1" applyFont="1" applyBorder="1" applyAlignment="1">
      <alignment horizontal="center"/>
    </xf>
    <xf numFmtId="164" fontId="14" fillId="0" borderId="1" xfId="0" applyNumberFormat="1" applyFont="1" applyBorder="1"/>
    <xf numFmtId="164" fontId="3" fillId="0" borderId="1" xfId="0" applyNumberFormat="1" applyFont="1" applyBorder="1" applyAlignment="1">
      <alignment vertical="center"/>
    </xf>
    <xf numFmtId="14" fontId="3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3" fillId="0" borderId="3" xfId="0" applyFont="1" applyBorder="1" applyAlignment="1">
      <alignment vertical="center" wrapText="1"/>
    </xf>
    <xf numFmtId="0" fontId="6" fillId="0" borderId="3" xfId="0" applyFont="1" applyBorder="1"/>
    <xf numFmtId="0" fontId="22" fillId="4" borderId="1" xfId="0" applyFont="1" applyFill="1" applyBorder="1" applyAlignment="1">
      <alignment horizontal="left" vertical="center" wrapText="1"/>
    </xf>
    <xf numFmtId="0" fontId="9" fillId="0" borderId="0" xfId="0" applyFont="1" applyAlignment="1">
      <alignment horizontal="left" vertical="center" wrapText="1"/>
    </xf>
    <xf numFmtId="0" fontId="13" fillId="4" borderId="1" xfId="0" applyFont="1" applyFill="1" applyBorder="1" applyAlignment="1">
      <alignment vertical="center"/>
    </xf>
    <xf numFmtId="0" fontId="22" fillId="0" borderId="1" xfId="0" applyFont="1" applyBorder="1" applyAlignment="1">
      <alignment vertical="center"/>
    </xf>
    <xf numFmtId="49" fontId="22" fillId="0" borderId="1" xfId="0" applyNumberFormat="1" applyFont="1" applyBorder="1" applyAlignment="1">
      <alignment horizontal="center" vertical="center"/>
    </xf>
    <xf numFmtId="49" fontId="12" fillId="4" borderId="0" xfId="0" applyNumberFormat="1" applyFont="1" applyFill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0" fontId="23" fillId="0" borderId="1" xfId="0" applyFont="1" applyBorder="1" applyAlignment="1">
      <alignment vertical="center"/>
    </xf>
    <xf numFmtId="0" fontId="20" fillId="0" borderId="0" xfId="0" applyFont="1" applyAlignment="1">
      <alignment vertical="center"/>
    </xf>
    <xf numFmtId="0" fontId="6" fillId="4" borderId="1" xfId="0" applyFont="1" applyFill="1" applyBorder="1"/>
    <xf numFmtId="0" fontId="2" fillId="9" borderId="1" xfId="0" applyFont="1" applyFill="1" applyBorder="1" applyAlignment="1">
      <alignment vertical="center"/>
    </xf>
    <xf numFmtId="49" fontId="3" fillId="9" borderId="1" xfId="0" applyNumberFormat="1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9" fillId="9" borderId="1" xfId="0" applyFont="1" applyFill="1" applyBorder="1" applyAlignment="1">
      <alignment horizontal="center" vertical="center"/>
    </xf>
    <xf numFmtId="14" fontId="3" fillId="9" borderId="1" xfId="0" applyNumberFormat="1" applyFont="1" applyFill="1" applyBorder="1" applyAlignment="1">
      <alignment horizontal="center" vertical="center"/>
    </xf>
    <xf numFmtId="10" fontId="3" fillId="9" borderId="1" xfId="0" applyNumberFormat="1" applyFont="1" applyFill="1" applyBorder="1" applyAlignment="1">
      <alignment horizontal="center" vertical="center"/>
    </xf>
    <xf numFmtId="9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right" vertical="center"/>
    </xf>
    <xf numFmtId="14" fontId="3" fillId="9" borderId="1" xfId="0" applyNumberFormat="1" applyFont="1" applyFill="1" applyBorder="1" applyAlignment="1">
      <alignment horizontal="right" vertical="center"/>
    </xf>
    <xf numFmtId="165" fontId="3" fillId="9" borderId="1" xfId="0" applyNumberFormat="1" applyFont="1" applyFill="1" applyBorder="1" applyAlignment="1">
      <alignment horizontal="right" vertical="center"/>
    </xf>
    <xf numFmtId="0" fontId="13" fillId="9" borderId="0" xfId="0" applyFont="1" applyFill="1" applyAlignment="1">
      <alignment vertical="center"/>
    </xf>
    <xf numFmtId="49" fontId="12" fillId="4" borderId="1" xfId="0" applyNumberFormat="1" applyFont="1" applyFill="1" applyBorder="1" applyAlignment="1">
      <alignment horizontal="center" vertical="center"/>
    </xf>
    <xf numFmtId="49" fontId="1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/>
    <xf numFmtId="0" fontId="10" fillId="0" borderId="1" xfId="0" applyFont="1" applyBorder="1" applyAlignment="1">
      <alignment horizontal="center" vertical="center"/>
    </xf>
    <xf numFmtId="168" fontId="3" fillId="0" borderId="1" xfId="0" applyNumberFormat="1" applyFont="1" applyBorder="1" applyAlignment="1">
      <alignment horizontal="left" vertical="center" wrapText="1"/>
    </xf>
    <xf numFmtId="14" fontId="3" fillId="0" borderId="1" xfId="0" applyNumberFormat="1" applyFont="1" applyBorder="1" applyAlignment="1">
      <alignment horizontal="left" vertical="center" wrapText="1"/>
    </xf>
    <xf numFmtId="165" fontId="3" fillId="0" borderId="1" xfId="0" applyNumberFormat="1" applyFont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22" fillId="0" borderId="1" xfId="0" applyFont="1" applyBorder="1" applyAlignment="1">
      <alignment horizontal="left" vertical="center"/>
    </xf>
    <xf numFmtId="0" fontId="24" fillId="4" borderId="0" xfId="0" applyFont="1" applyFill="1"/>
    <xf numFmtId="10" fontId="10" fillId="0" borderId="2" xfId="0" applyNumberFormat="1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9" fontId="10" fillId="0" borderId="2" xfId="0" applyNumberFormat="1" applyFont="1" applyBorder="1" applyAlignment="1">
      <alignment horizontal="center"/>
    </xf>
    <xf numFmtId="0" fontId="10" fillId="4" borderId="1" xfId="0" applyFont="1" applyFill="1" applyBorder="1" applyAlignment="1">
      <alignment horizontal="center" vertical="center"/>
    </xf>
    <xf numFmtId="10" fontId="10" fillId="0" borderId="2" xfId="0" applyNumberFormat="1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9" fontId="10" fillId="0" borderId="2" xfId="0" applyNumberFormat="1" applyFont="1" applyBorder="1" applyAlignment="1">
      <alignment horizontal="center" vertical="center"/>
    </xf>
    <xf numFmtId="0" fontId="25" fillId="4" borderId="0" xfId="0" applyFont="1" applyFill="1" applyAlignment="1">
      <alignment horizontal="left" vertical="center"/>
    </xf>
    <xf numFmtId="0" fontId="21" fillId="0" borderId="1" xfId="0" applyFont="1" applyBorder="1" applyAlignment="1">
      <alignment horizontal="left" vertical="center" wrapText="1"/>
    </xf>
    <xf numFmtId="0" fontId="22" fillId="0" borderId="1" xfId="0" applyFont="1" applyBorder="1" applyAlignment="1">
      <alignment horizontal="left" vertical="center" wrapText="1"/>
    </xf>
    <xf numFmtId="0" fontId="26" fillId="4" borderId="0" xfId="0" applyFont="1" applyFill="1" applyAlignment="1">
      <alignment vertical="center"/>
    </xf>
    <xf numFmtId="0" fontId="6" fillId="4" borderId="0" xfId="0" applyFont="1" applyFill="1" applyAlignment="1">
      <alignment horizontal="left" vertical="center"/>
    </xf>
    <xf numFmtId="49" fontId="6" fillId="4" borderId="2" xfId="0" applyNumberFormat="1" applyFont="1" applyFill="1" applyBorder="1" applyAlignment="1">
      <alignment horizontal="center" vertical="center"/>
    </xf>
    <xf numFmtId="49" fontId="10" fillId="0" borderId="2" xfId="0" applyNumberFormat="1" applyFont="1" applyBorder="1" applyAlignment="1">
      <alignment horizontal="center" vertical="center"/>
    </xf>
    <xf numFmtId="0" fontId="27" fillId="0" borderId="1" xfId="0" applyFont="1" applyBorder="1" applyAlignment="1">
      <alignment horizontal="left" vertical="center" wrapText="1"/>
    </xf>
    <xf numFmtId="0" fontId="2" fillId="4" borderId="0" xfId="0" applyFont="1" applyFill="1" applyAlignment="1">
      <alignment vertical="center"/>
    </xf>
    <xf numFmtId="0" fontId="3" fillId="0" borderId="4" xfId="0" applyFont="1" applyBorder="1" applyAlignment="1">
      <alignment vertical="center"/>
    </xf>
    <xf numFmtId="0" fontId="2" fillId="0" borderId="4" xfId="0" applyFont="1" applyBorder="1" applyAlignment="1">
      <alignment horizontal="left" vertical="center"/>
    </xf>
    <xf numFmtId="4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0" fontId="3" fillId="0" borderId="4" xfId="0" applyNumberFormat="1" applyFont="1" applyBorder="1" applyAlignment="1">
      <alignment horizontal="center" vertical="center"/>
    </xf>
    <xf numFmtId="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left" vertical="center" wrapText="1"/>
    </xf>
    <xf numFmtId="164" fontId="3" fillId="0" borderId="4" xfId="0" applyNumberFormat="1" applyFont="1" applyBorder="1" applyAlignment="1">
      <alignment horizontal="center" vertical="center"/>
    </xf>
    <xf numFmtId="164" fontId="3" fillId="0" borderId="4" xfId="0" applyNumberFormat="1" applyFont="1" applyBorder="1" applyAlignment="1">
      <alignment horizontal="right" vertical="center"/>
    </xf>
    <xf numFmtId="14" fontId="3" fillId="0" borderId="4" xfId="0" applyNumberFormat="1" applyFont="1" applyBorder="1" applyAlignment="1">
      <alignment horizontal="right" vertical="center"/>
    </xf>
    <xf numFmtId="165" fontId="3" fillId="0" borderId="4" xfId="0" applyNumberFormat="1" applyFont="1" applyBorder="1" applyAlignment="1">
      <alignment horizontal="right" vertical="center"/>
    </xf>
    <xf numFmtId="49" fontId="28" fillId="4" borderId="1" xfId="0" applyNumberFormat="1" applyFont="1" applyFill="1" applyBorder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/>
    </xf>
    <xf numFmtId="0" fontId="1" fillId="2" borderId="5" xfId="0" applyFont="1" applyFill="1" applyBorder="1" applyAlignment="1">
      <alignment horizontal="left" vertical="center"/>
    </xf>
    <xf numFmtId="0" fontId="1" fillId="2" borderId="6" xfId="0" applyFont="1" applyFill="1" applyBorder="1" applyAlignment="1">
      <alignment horizontal="left" vertical="center"/>
    </xf>
    <xf numFmtId="0" fontId="1" fillId="2" borderId="7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164" fontId="1" fillId="2" borderId="0" xfId="0" applyNumberFormat="1" applyFont="1" applyFill="1" applyAlignment="1">
      <alignment horizontal="center"/>
    </xf>
    <xf numFmtId="0" fontId="1" fillId="2" borderId="8" xfId="0" applyFont="1" applyFill="1" applyBorder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2" borderId="9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2" fillId="10" borderId="0" xfId="0" applyNumberFormat="1" applyFont="1" applyFill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1" fillId="2" borderId="10" xfId="0" applyFont="1" applyFill="1" applyBorder="1" applyAlignment="1">
      <alignment horizontal="left" vertical="center"/>
    </xf>
    <xf numFmtId="0" fontId="1" fillId="2" borderId="11" xfId="0" applyFont="1" applyFill="1" applyBorder="1" applyAlignment="1">
      <alignment horizontal="left" vertical="center"/>
    </xf>
    <xf numFmtId="0" fontId="1" fillId="2" borderId="12" xfId="0" applyFont="1" applyFill="1" applyBorder="1" applyAlignment="1">
      <alignment horizontal="center" vertical="center"/>
    </xf>
    <xf numFmtId="0" fontId="3" fillId="10" borderId="0" xfId="0" applyFont="1" applyFill="1" applyAlignment="1">
      <alignment horizontal="left" vertical="center"/>
    </xf>
    <xf numFmtId="49" fontId="16" fillId="4" borderId="0" xfId="0" applyNumberFormat="1" applyFont="1" applyFill="1" applyAlignment="1">
      <alignment horizontal="center" vertical="center"/>
    </xf>
    <xf numFmtId="3" fontId="2" fillId="4" borderId="0" xfId="0" applyNumberFormat="1" applyFont="1" applyFill="1" applyAlignment="1">
      <alignment horizontal="center" vertical="center"/>
    </xf>
    <xf numFmtId="0" fontId="3" fillId="10" borderId="0" xfId="0" applyFont="1" applyFill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 wrapText="1"/>
    </xf>
    <xf numFmtId="0" fontId="1" fillId="5" borderId="13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14" fontId="2" fillId="4" borderId="1" xfId="0" applyNumberFormat="1" applyFont="1" applyFill="1" applyBorder="1" applyAlignment="1">
      <alignment horizontal="center" vertical="center"/>
    </xf>
    <xf numFmtId="10" fontId="2" fillId="4" borderId="1" xfId="0" applyNumberFormat="1" applyFont="1" applyFill="1" applyBorder="1" applyAlignment="1">
      <alignment horizontal="center" vertical="center"/>
    </xf>
    <xf numFmtId="9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 wrapText="1"/>
    </xf>
    <xf numFmtId="164" fontId="2" fillId="4" borderId="1" xfId="0" applyNumberFormat="1" applyFont="1" applyFill="1" applyBorder="1" applyAlignment="1">
      <alignment horizontal="right" vertical="center"/>
    </xf>
    <xf numFmtId="164" fontId="2" fillId="10" borderId="1" xfId="0" applyNumberFormat="1" applyFont="1" applyFill="1" applyBorder="1" applyAlignment="1">
      <alignment horizontal="right" vertical="center"/>
    </xf>
    <xf numFmtId="167" fontId="2" fillId="4" borderId="1" xfId="0" applyNumberFormat="1" applyFont="1" applyFill="1" applyBorder="1" applyAlignment="1">
      <alignment horizontal="center" vertical="center"/>
    </xf>
    <xf numFmtId="167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vertical="center"/>
    </xf>
    <xf numFmtId="164" fontId="22" fillId="0" borderId="1" xfId="0" applyNumberFormat="1" applyFont="1" applyBorder="1" applyAlignment="1">
      <alignment vertical="center"/>
    </xf>
    <xf numFmtId="0" fontId="2" fillId="4" borderId="0" xfId="0" applyFont="1" applyFill="1" applyAlignment="1">
      <alignment horizontal="left" vertical="center"/>
    </xf>
    <xf numFmtId="167" fontId="3" fillId="4" borderId="1" xfId="0" applyNumberFormat="1" applyFont="1" applyFill="1" applyBorder="1" applyAlignment="1">
      <alignment horizontal="center" vertical="center"/>
    </xf>
    <xf numFmtId="0" fontId="22" fillId="4" borderId="1" xfId="0" applyFont="1" applyFill="1" applyBorder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14" fontId="22" fillId="4" borderId="1" xfId="0" applyNumberFormat="1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0" fontId="22" fillId="0" borderId="1" xfId="0" applyNumberFormat="1" applyFont="1" applyBorder="1" applyAlignment="1">
      <alignment horizontal="center" vertical="center"/>
    </xf>
    <xf numFmtId="9" fontId="22" fillId="4" borderId="1" xfId="0" applyNumberFormat="1" applyFont="1" applyFill="1" applyBorder="1" applyAlignment="1">
      <alignment horizontal="center" vertical="center"/>
    </xf>
    <xf numFmtId="164" fontId="30" fillId="0" borderId="1" xfId="0" applyNumberFormat="1" applyFont="1" applyBorder="1" applyAlignment="1">
      <alignment horizontal="right" vertical="center"/>
    </xf>
    <xf numFmtId="10" fontId="22" fillId="4" borderId="1" xfId="0" applyNumberFormat="1" applyFont="1" applyFill="1" applyBorder="1" applyAlignment="1">
      <alignment horizontal="center" vertical="center"/>
    </xf>
    <xf numFmtId="164" fontId="31" fillId="0" borderId="1" xfId="0" applyNumberFormat="1" applyFont="1" applyBorder="1" applyAlignment="1">
      <alignment horizontal="right" vertical="center"/>
    </xf>
    <xf numFmtId="164" fontId="2" fillId="9" borderId="1" xfId="0" applyNumberFormat="1" applyFont="1" applyFill="1" applyBorder="1" applyAlignment="1">
      <alignment horizontal="right" vertical="center"/>
    </xf>
    <xf numFmtId="164" fontId="2" fillId="4" borderId="1" xfId="0" applyNumberFormat="1" applyFont="1" applyFill="1" applyBorder="1" applyAlignment="1">
      <alignment vertical="center"/>
    </xf>
    <xf numFmtId="0" fontId="32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vertical="center"/>
    </xf>
    <xf numFmtId="0" fontId="18" fillId="4" borderId="1" xfId="0" applyFont="1" applyFill="1" applyBorder="1" applyAlignment="1">
      <alignment vertical="center" wrapText="1"/>
    </xf>
    <xf numFmtId="169" fontId="2" fillId="0" borderId="1" xfId="0" applyNumberFormat="1" applyFont="1" applyBorder="1" applyAlignment="1">
      <alignment horizontal="center" vertical="center"/>
    </xf>
    <xf numFmtId="170" fontId="2" fillId="0" borderId="1" xfId="0" applyNumberFormat="1" applyFont="1" applyBorder="1" applyAlignment="1">
      <alignment horizontal="center" vertical="center"/>
    </xf>
    <xf numFmtId="171" fontId="2" fillId="0" borderId="1" xfId="0" applyNumberFormat="1" applyFont="1" applyBorder="1" applyAlignment="1">
      <alignment horizontal="center" vertical="center"/>
    </xf>
    <xf numFmtId="164" fontId="22" fillId="0" borderId="1" xfId="0" applyNumberFormat="1" applyFont="1" applyBorder="1" applyAlignment="1">
      <alignment horizontal="right" vertical="center"/>
    </xf>
    <xf numFmtId="164" fontId="22" fillId="10" borderId="1" xfId="0" applyNumberFormat="1" applyFont="1" applyFill="1" applyBorder="1" applyAlignment="1">
      <alignment vertical="center"/>
    </xf>
    <xf numFmtId="164" fontId="2" fillId="11" borderId="1" xfId="0" applyNumberFormat="1" applyFont="1" applyFill="1" applyBorder="1" applyAlignment="1">
      <alignment horizontal="right" vertical="center"/>
    </xf>
    <xf numFmtId="164" fontId="2" fillId="12" borderId="1" xfId="0" applyNumberFormat="1" applyFont="1" applyFill="1" applyBorder="1" applyAlignment="1">
      <alignment horizontal="right" vertical="center"/>
    </xf>
    <xf numFmtId="0" fontId="2" fillId="10" borderId="1" xfId="0" applyFont="1" applyFill="1" applyBorder="1" applyAlignment="1">
      <alignment horizontal="left" vertical="center"/>
    </xf>
    <xf numFmtId="0" fontId="2" fillId="10" borderId="1" xfId="0" applyFont="1" applyFill="1" applyBorder="1" applyAlignment="1">
      <alignment horizontal="center" vertical="center"/>
    </xf>
    <xf numFmtId="14" fontId="2" fillId="10" borderId="1" xfId="0" applyNumberFormat="1" applyFont="1" applyFill="1" applyBorder="1" applyAlignment="1">
      <alignment horizontal="center" vertical="center"/>
    </xf>
    <xf numFmtId="10" fontId="2" fillId="10" borderId="1" xfId="0" applyNumberFormat="1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left" vertical="center" wrapText="1"/>
    </xf>
    <xf numFmtId="164" fontId="2" fillId="10" borderId="1" xfId="0" applyNumberFormat="1" applyFont="1" applyFill="1" applyBorder="1" applyAlignment="1">
      <alignment vertical="center"/>
    </xf>
    <xf numFmtId="1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164" fontId="2" fillId="0" borderId="0" xfId="0" applyNumberFormat="1" applyFont="1" applyAlignment="1">
      <alignment vertical="center"/>
    </xf>
    <xf numFmtId="164" fontId="2" fillId="10" borderId="0" xfId="0" applyNumberFormat="1" applyFont="1" applyFill="1" applyAlignment="1">
      <alignment horizontal="right" vertical="center"/>
    </xf>
    <xf numFmtId="164" fontId="8" fillId="2" borderId="5" xfId="0" applyNumberFormat="1" applyFont="1" applyFill="1" applyBorder="1" applyAlignment="1">
      <alignment horizontal="left" vertical="center"/>
    </xf>
    <xf numFmtId="164" fontId="1" fillId="2" borderId="6" xfId="0" applyNumberFormat="1" applyFont="1" applyFill="1" applyBorder="1" applyAlignment="1">
      <alignment horizontal="left" vertical="center"/>
    </xf>
    <xf numFmtId="49" fontId="1" fillId="2" borderId="7" xfId="0" applyNumberFormat="1" applyFont="1" applyFill="1" applyBorder="1" applyAlignment="1">
      <alignment horizontal="right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left" vertical="center" wrapText="1"/>
    </xf>
    <xf numFmtId="164" fontId="5" fillId="0" borderId="0" xfId="0" applyNumberFormat="1" applyFont="1" applyAlignment="1">
      <alignment horizontal="center" vertical="center"/>
    </xf>
    <xf numFmtId="164" fontId="8" fillId="2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0" fontId="8" fillId="2" borderId="8" xfId="0" applyFont="1" applyFill="1" applyBorder="1" applyAlignment="1">
      <alignment horizontal="left" vertical="center"/>
    </xf>
    <xf numFmtId="49" fontId="1" fillId="2" borderId="9" xfId="0" applyNumberFormat="1" applyFont="1" applyFill="1" applyBorder="1" applyAlignment="1">
      <alignment horizontal="right" vertical="center"/>
    </xf>
    <xf numFmtId="164" fontId="3" fillId="0" borderId="0" xfId="0" applyNumberFormat="1" applyFont="1" applyAlignment="1">
      <alignment vertical="center"/>
    </xf>
    <xf numFmtId="0" fontId="8" fillId="2" borderId="10" xfId="0" applyFont="1" applyFill="1" applyBorder="1" applyAlignment="1">
      <alignment horizontal="left" vertical="center"/>
    </xf>
    <xf numFmtId="49" fontId="1" fillId="2" borderId="12" xfId="0" applyNumberFormat="1" applyFont="1" applyFill="1" applyBorder="1" applyAlignment="1">
      <alignment horizontal="right" vertical="center"/>
    </xf>
    <xf numFmtId="0" fontId="3" fillId="0" borderId="0" xfId="0" applyFont="1" applyAlignment="1">
      <alignment vertical="center"/>
    </xf>
    <xf numFmtId="49" fontId="3" fillId="0" borderId="0" xfId="0" applyNumberFormat="1" applyFont="1" applyAlignment="1">
      <alignment vertical="center"/>
    </xf>
    <xf numFmtId="0" fontId="1" fillId="6" borderId="0" xfId="0" applyFont="1" applyFill="1" applyAlignment="1">
      <alignment horizontal="center" vertical="center" wrapText="1"/>
    </xf>
    <xf numFmtId="0" fontId="2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14" fontId="10" fillId="0" borderId="1" xfId="0" applyNumberFormat="1" applyFont="1" applyBorder="1" applyAlignment="1">
      <alignment horizontal="center"/>
    </xf>
    <xf numFmtId="0" fontId="5" fillId="4" borderId="0" xfId="0" applyFont="1" applyFill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9" fillId="0" borderId="1" xfId="0" applyFont="1" applyBorder="1" applyAlignment="1">
      <alignment horizontal="center"/>
    </xf>
    <xf numFmtId="14" fontId="10" fillId="0" borderId="15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0" fillId="0" borderId="15" xfId="0" applyFont="1" applyBorder="1" applyAlignment="1">
      <alignment horizontal="center"/>
    </xf>
    <xf numFmtId="10" fontId="10" fillId="0" borderId="15" xfId="0" applyNumberFormat="1" applyFont="1" applyBorder="1" applyAlignment="1">
      <alignment horizontal="center"/>
    </xf>
    <xf numFmtId="9" fontId="2" fillId="0" borderId="1" xfId="0" applyNumberFormat="1" applyFont="1" applyBorder="1" applyAlignment="1">
      <alignment horizontal="center"/>
    </xf>
    <xf numFmtId="0" fontId="14" fillId="0" borderId="1" xfId="0" applyFont="1" applyBorder="1"/>
    <xf numFmtId="0" fontId="3" fillId="0" borderId="0" xfId="0" applyFont="1" applyAlignment="1">
      <alignment horizontal="left"/>
    </xf>
    <xf numFmtId="49" fontId="3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 wrapText="1"/>
    </xf>
    <xf numFmtId="0" fontId="1" fillId="2" borderId="5" xfId="0" applyFont="1" applyFill="1" applyBorder="1" applyAlignment="1">
      <alignment horizontal="left"/>
    </xf>
    <xf numFmtId="0" fontId="1" fillId="2" borderId="6" xfId="0" applyFont="1" applyFill="1" applyBorder="1" applyAlignment="1">
      <alignment horizontal="left"/>
    </xf>
    <xf numFmtId="0" fontId="1" fillId="2" borderId="7" xfId="0" applyFont="1" applyFill="1" applyBorder="1" applyAlignment="1">
      <alignment horizontal="center"/>
    </xf>
    <xf numFmtId="0" fontId="1" fillId="4" borderId="0" xfId="0" applyFont="1" applyFill="1" applyAlignment="1">
      <alignment horizontal="left"/>
    </xf>
    <xf numFmtId="0" fontId="1" fillId="2" borderId="8" xfId="0" applyFont="1" applyFill="1" applyBorder="1" applyAlignment="1">
      <alignment horizontal="left"/>
    </xf>
    <xf numFmtId="0" fontId="1" fillId="2" borderId="0" xfId="0" applyFont="1" applyFill="1" applyAlignment="1">
      <alignment horizontal="left"/>
    </xf>
    <xf numFmtId="0" fontId="1" fillId="2" borderId="9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14" fontId="2" fillId="10" borderId="0" xfId="0" applyNumberFormat="1" applyFont="1" applyFill="1" applyAlignment="1">
      <alignment horizontal="center"/>
    </xf>
    <xf numFmtId="14" fontId="2" fillId="0" borderId="0" xfId="0" applyNumberFormat="1" applyFont="1" applyAlignment="1">
      <alignment horizontal="center"/>
    </xf>
    <xf numFmtId="0" fontId="2" fillId="10" borderId="0" xfId="0" applyFont="1" applyFill="1" applyAlignment="1">
      <alignment horizontal="center"/>
    </xf>
    <xf numFmtId="172" fontId="3" fillId="0" borderId="0" xfId="0" applyNumberFormat="1" applyFont="1" applyAlignment="1">
      <alignment horizontal="center"/>
    </xf>
    <xf numFmtId="0" fontId="1" fillId="2" borderId="10" xfId="0" applyFont="1" applyFill="1" applyBorder="1" applyAlignment="1">
      <alignment horizontal="left"/>
    </xf>
    <xf numFmtId="0" fontId="1" fillId="2" borderId="11" xfId="0" applyFont="1" applyFill="1" applyBorder="1" applyAlignment="1">
      <alignment horizontal="left"/>
    </xf>
    <xf numFmtId="0" fontId="1" fillId="2" borderId="12" xfId="0" applyFont="1" applyFill="1" applyBorder="1" applyAlignment="1">
      <alignment horizontal="center"/>
    </xf>
    <xf numFmtId="0" fontId="3" fillId="10" borderId="0" xfId="0" applyFont="1" applyFill="1" applyAlignment="1">
      <alignment horizontal="left"/>
    </xf>
    <xf numFmtId="49" fontId="16" fillId="4" borderId="0" xfId="0" applyNumberFormat="1" applyFont="1" applyFill="1" applyAlignment="1">
      <alignment horizontal="center"/>
    </xf>
    <xf numFmtId="3" fontId="2" fillId="4" borderId="0" xfId="0" applyNumberFormat="1" applyFont="1" applyFill="1" applyAlignment="1">
      <alignment horizontal="center"/>
    </xf>
    <xf numFmtId="0" fontId="7" fillId="6" borderId="0" xfId="0" applyFont="1" applyFill="1" applyAlignment="1">
      <alignment horizontal="center"/>
    </xf>
    <xf numFmtId="49" fontId="1" fillId="2" borderId="0" xfId="0" applyNumberFormat="1" applyFont="1" applyFill="1" applyAlignment="1">
      <alignment horizontal="center" vertical="center" wrapText="1"/>
    </xf>
    <xf numFmtId="0" fontId="10" fillId="0" borderId="1" xfId="0" applyFont="1" applyBorder="1"/>
    <xf numFmtId="49" fontId="13" fillId="4" borderId="2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 vertical="center"/>
    </xf>
    <xf numFmtId="14" fontId="14" fillId="0" borderId="1" xfId="0" applyNumberFormat="1" applyFont="1" applyBorder="1" applyAlignment="1">
      <alignment horizontal="center"/>
    </xf>
    <xf numFmtId="164" fontId="10" fillId="0" borderId="1" xfId="0" applyNumberFormat="1" applyFont="1" applyBorder="1" applyAlignment="1">
      <alignment horizontal="center"/>
    </xf>
    <xf numFmtId="0" fontId="34" fillId="4" borderId="1" xfId="0" applyFont="1" applyFill="1" applyBorder="1" applyAlignment="1">
      <alignment horizontal="center"/>
    </xf>
    <xf numFmtId="0" fontId="10" fillId="0" borderId="15" xfId="0" applyFont="1" applyBorder="1"/>
    <xf numFmtId="164" fontId="2" fillId="0" borderId="1" xfId="0" applyNumberFormat="1" applyFont="1" applyBorder="1" applyAlignment="1">
      <alignment horizontal="right"/>
    </xf>
    <xf numFmtId="164" fontId="3" fillId="0" borderId="1" xfId="0" applyNumberFormat="1" applyFont="1" applyBorder="1" applyAlignment="1">
      <alignment horizontal="right"/>
    </xf>
    <xf numFmtId="49" fontId="10" fillId="0" borderId="3" xfId="0" applyNumberFormat="1" applyFont="1" applyBorder="1" applyAlignment="1">
      <alignment horizontal="center"/>
    </xf>
    <xf numFmtId="0" fontId="10" fillId="4" borderId="15" xfId="0" applyFont="1" applyFill="1" applyBorder="1" applyAlignment="1">
      <alignment horizontal="center"/>
    </xf>
    <xf numFmtId="14" fontId="14" fillId="0" borderId="15" xfId="0" applyNumberFormat="1" applyFont="1" applyBorder="1" applyAlignment="1">
      <alignment horizontal="center"/>
    </xf>
    <xf numFmtId="164" fontId="10" fillId="0" borderId="15" xfId="0" applyNumberFormat="1" applyFont="1" applyBorder="1" applyAlignment="1">
      <alignment horizontal="center"/>
    </xf>
    <xf numFmtId="0" fontId="10" fillId="4" borderId="15" xfId="0" applyFont="1" applyFill="1" applyBorder="1"/>
    <xf numFmtId="49" fontId="10" fillId="4" borderId="3" xfId="0" applyNumberFormat="1" applyFont="1" applyFill="1" applyBorder="1" applyAlignment="1">
      <alignment horizontal="center"/>
    </xf>
    <xf numFmtId="14" fontId="10" fillId="0" borderId="15" xfId="0" applyNumberFormat="1" applyFont="1" applyBorder="1"/>
    <xf numFmtId="164" fontId="2" fillId="0" borderId="0" xfId="0" applyNumberFormat="1" applyFont="1" applyAlignment="1">
      <alignment horizontal="right"/>
    </xf>
    <xf numFmtId="10" fontId="10" fillId="4" borderId="15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10" fillId="0" borderId="15" xfId="0" applyFont="1" applyBorder="1" applyAlignment="1">
      <alignment vertical="center"/>
    </xf>
    <xf numFmtId="0" fontId="10" fillId="0" borderId="1" xfId="0" applyFont="1" applyBorder="1" applyAlignment="1">
      <alignment wrapText="1"/>
    </xf>
    <xf numFmtId="0" fontId="10" fillId="0" borderId="1" xfId="0" applyFont="1" applyBorder="1" applyAlignment="1">
      <alignment vertical="center" wrapText="1"/>
    </xf>
    <xf numFmtId="0" fontId="10" fillId="0" borderId="0" xfId="0" applyFont="1"/>
    <xf numFmtId="49" fontId="10" fillId="0" borderId="0" xfId="0" applyNumberFormat="1" applyFont="1" applyAlignment="1">
      <alignment horizontal="center"/>
    </xf>
    <xf numFmtId="0" fontId="10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35" fillId="2" borderId="5" xfId="0" applyFont="1" applyFill="1" applyBorder="1"/>
    <xf numFmtId="0" fontId="35" fillId="2" borderId="6" xfId="0" applyFont="1" applyFill="1" applyBorder="1"/>
    <xf numFmtId="0" fontId="35" fillId="2" borderId="7" xfId="0" applyFont="1" applyFill="1" applyBorder="1" applyAlignment="1">
      <alignment horizontal="center"/>
    </xf>
    <xf numFmtId="0" fontId="35" fillId="4" borderId="0" xfId="0" applyFont="1" applyFill="1" applyAlignment="1">
      <alignment horizontal="center"/>
    </xf>
    <xf numFmtId="4" fontId="3" fillId="0" borderId="0" xfId="0" applyNumberFormat="1" applyFont="1" applyAlignment="1">
      <alignment horizontal="center"/>
    </xf>
    <xf numFmtId="0" fontId="35" fillId="2" borderId="8" xfId="0" applyFont="1" applyFill="1" applyBorder="1"/>
    <xf numFmtId="0" fontId="35" fillId="2" borderId="0" xfId="0" applyFont="1" applyFill="1"/>
    <xf numFmtId="0" fontId="35" fillId="2" borderId="9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0" fontId="35" fillId="2" borderId="10" xfId="0" applyFont="1" applyFill="1" applyBorder="1"/>
    <xf numFmtId="0" fontId="35" fillId="2" borderId="11" xfId="0" applyFont="1" applyFill="1" applyBorder="1"/>
    <xf numFmtId="49" fontId="35" fillId="2" borderId="12" xfId="0" applyNumberFormat="1" applyFont="1" applyFill="1" applyBorder="1" applyAlignment="1">
      <alignment horizontal="center"/>
    </xf>
    <xf numFmtId="0" fontId="3" fillId="10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49" fontId="1" fillId="13" borderId="0" xfId="0" applyNumberFormat="1" applyFont="1" applyFill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 wrapText="1"/>
    </xf>
    <xf numFmtId="0" fontId="36" fillId="4" borderId="0" xfId="0" applyFont="1" applyFill="1" applyAlignment="1">
      <alignment horizontal="center"/>
    </xf>
    <xf numFmtId="0" fontId="13" fillId="4" borderId="1" xfId="0" applyFont="1" applyFill="1" applyBorder="1" applyAlignment="1">
      <alignment horizontal="center"/>
    </xf>
    <xf numFmtId="164" fontId="1" fillId="13" borderId="0" xfId="0" applyNumberFormat="1" applyFont="1" applyFill="1" applyAlignment="1">
      <alignment horizontal="center"/>
    </xf>
    <xf numFmtId="49" fontId="16" fillId="10" borderId="0" xfId="0" applyNumberFormat="1" applyFont="1" applyFill="1" applyAlignment="1">
      <alignment horizontal="center"/>
    </xf>
    <xf numFmtId="14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1" fillId="5" borderId="1" xfId="0" applyFont="1" applyFill="1" applyBorder="1" applyAlignment="1">
      <alignment horizontal="center" vertical="center" wrapText="1"/>
    </xf>
    <xf numFmtId="14" fontId="1" fillId="2" borderId="1" xfId="0" applyNumberFormat="1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/>
    </xf>
    <xf numFmtId="14" fontId="1" fillId="2" borderId="0" xfId="0" applyNumberFormat="1" applyFont="1" applyFill="1" applyAlignment="1">
      <alignment horizontal="center" vertical="center"/>
    </xf>
    <xf numFmtId="14" fontId="2" fillId="0" borderId="1" xfId="0" applyNumberFormat="1" applyFont="1" applyBorder="1" applyAlignment="1">
      <alignment horizontal="center"/>
    </xf>
    <xf numFmtId="10" fontId="2" fillId="0" borderId="1" xfId="0" applyNumberFormat="1" applyFont="1" applyBorder="1" applyAlignment="1">
      <alignment horizontal="center"/>
    </xf>
    <xf numFmtId="173" fontId="37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14" fontId="3" fillId="0" borderId="1" xfId="0" applyNumberFormat="1" applyFont="1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173" fontId="38" fillId="0" borderId="1" xfId="0" applyNumberFormat="1" applyFont="1" applyBorder="1" applyAlignment="1">
      <alignment horizontal="center"/>
    </xf>
    <xf numFmtId="0" fontId="3" fillId="4" borderId="1" xfId="0" applyFont="1" applyFill="1" applyBorder="1" applyAlignment="1">
      <alignment horizontal="left"/>
    </xf>
    <xf numFmtId="0" fontId="10" fillId="0" borderId="1" xfId="0" applyFont="1" applyBorder="1" applyAlignment="1">
      <alignment horizontal="left"/>
    </xf>
    <xf numFmtId="0" fontId="11" fillId="0" borderId="1" xfId="0" applyFont="1" applyBorder="1" applyAlignment="1">
      <alignment horizontal="center" vertical="center"/>
    </xf>
    <xf numFmtId="0" fontId="11" fillId="0" borderId="2" xfId="0" applyFont="1" applyBorder="1" applyAlignment="1">
      <alignment vertical="center"/>
    </xf>
    <xf numFmtId="0" fontId="20" fillId="0" borderId="0" xfId="0" applyFont="1"/>
    <xf numFmtId="49" fontId="13" fillId="4" borderId="1" xfId="0" applyNumberFormat="1" applyFont="1" applyFill="1" applyBorder="1" applyAlignment="1">
      <alignment horizontal="center"/>
    </xf>
    <xf numFmtId="0" fontId="2" fillId="0" borderId="1" xfId="0" applyFont="1" applyBorder="1"/>
    <xf numFmtId="173" fontId="1" fillId="2" borderId="0" xfId="0" applyNumberFormat="1" applyFont="1" applyFill="1" applyAlignment="1">
      <alignment horizontal="center"/>
    </xf>
    <xf numFmtId="173" fontId="37" fillId="0" borderId="1" xfId="0" applyNumberFormat="1" applyFont="1" applyBorder="1" applyAlignment="1">
      <alignment horizontal="center" vertical="center"/>
    </xf>
    <xf numFmtId="173" fontId="38" fillId="0" borderId="1" xfId="0" applyNumberFormat="1" applyFont="1" applyBorder="1" applyAlignment="1">
      <alignment horizontal="center" vertical="center"/>
    </xf>
    <xf numFmtId="14" fontId="39" fillId="2" borderId="0" xfId="0" applyNumberFormat="1" applyFont="1" applyFill="1" applyAlignment="1">
      <alignment horizontal="center"/>
    </xf>
    <xf numFmtId="0" fontId="38" fillId="4" borderId="1" xfId="0" applyFont="1" applyFill="1" applyBorder="1" applyAlignment="1">
      <alignment horizontal="center"/>
    </xf>
    <xf numFmtId="0" fontId="10" fillId="4" borderId="1" xfId="0" applyFont="1" applyFill="1" applyBorder="1"/>
    <xf numFmtId="0" fontId="1" fillId="13" borderId="0" xfId="0" applyFont="1" applyFill="1" applyAlignment="1">
      <alignment horizontal="center"/>
    </xf>
    <xf numFmtId="0" fontId="1" fillId="13" borderId="1" xfId="0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center"/>
    </xf>
    <xf numFmtId="10" fontId="1" fillId="13" borderId="1" xfId="0" applyNumberFormat="1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left" wrapText="1"/>
    </xf>
    <xf numFmtId="0" fontId="1" fillId="13" borderId="1" xfId="0" applyFont="1" applyFill="1" applyBorder="1" applyAlignment="1">
      <alignment horizontal="center" wrapText="1"/>
    </xf>
    <xf numFmtId="14" fontId="1" fillId="13" borderId="0" xfId="0" applyNumberFormat="1" applyFont="1" applyFill="1" applyAlignment="1">
      <alignment horizontal="center"/>
    </xf>
    <xf numFmtId="174" fontId="1" fillId="13" borderId="0" xfId="0" applyNumberFormat="1" applyFont="1" applyFill="1" applyAlignment="1">
      <alignment horizontal="center"/>
    </xf>
    <xf numFmtId="14" fontId="2" fillId="4" borderId="1" xfId="0" applyNumberFormat="1" applyFont="1" applyFill="1" applyBorder="1" applyAlignment="1">
      <alignment horizontal="center"/>
    </xf>
    <xf numFmtId="167" fontId="2" fillId="4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right"/>
    </xf>
    <xf numFmtId="167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0" fontId="2" fillId="4" borderId="1" xfId="0" applyFont="1" applyFill="1" applyBorder="1" applyAlignment="1">
      <alignment horizontal="left" wrapText="1"/>
    </xf>
    <xf numFmtId="0" fontId="16" fillId="4" borderId="1" xfId="0" applyFont="1" applyFill="1" applyBorder="1" applyAlignment="1">
      <alignment horizontal="center"/>
    </xf>
    <xf numFmtId="14" fontId="2" fillId="10" borderId="1" xfId="0" applyNumberFormat="1" applyFont="1" applyFill="1" applyBorder="1" applyAlignment="1">
      <alignment horizontal="center"/>
    </xf>
    <xf numFmtId="0" fontId="3" fillId="0" borderId="0" xfId="0" applyFont="1"/>
    <xf numFmtId="0" fontId="3" fillId="0" borderId="16" xfId="0" applyFont="1" applyBorder="1"/>
    <xf numFmtId="0" fontId="3" fillId="4" borderId="1" xfId="0" applyFont="1" applyFill="1" applyBorder="1" applyAlignment="1">
      <alignment horizontal="center"/>
    </xf>
    <xf numFmtId="0" fontId="2" fillId="4" borderId="0" xfId="0" applyFont="1" applyFill="1" applyAlignment="1">
      <alignment horizontal="left"/>
    </xf>
    <xf numFmtId="10" fontId="2" fillId="4" borderId="1" xfId="0" applyNumberFormat="1" applyFont="1" applyFill="1" applyBorder="1" applyAlignment="1">
      <alignment horizontal="center"/>
    </xf>
    <xf numFmtId="14" fontId="3" fillId="4" borderId="1" xfId="0" applyNumberFormat="1" applyFont="1" applyFill="1" applyBorder="1" applyAlignment="1">
      <alignment horizontal="center"/>
    </xf>
    <xf numFmtId="0" fontId="28" fillId="0" borderId="0" xfId="0" applyFont="1" applyAlignment="1">
      <alignment horizontal="right"/>
    </xf>
    <xf numFmtId="4" fontId="2" fillId="0" borderId="1" xfId="0" applyNumberFormat="1" applyFont="1" applyBorder="1" applyAlignment="1">
      <alignment horizontal="right"/>
    </xf>
    <xf numFmtId="0" fontId="16" fillId="0" borderId="1" xfId="0" applyFont="1" applyBorder="1" applyAlignment="1">
      <alignment horizontal="center"/>
    </xf>
    <xf numFmtId="0" fontId="22" fillId="0" borderId="1" xfId="0" applyFont="1" applyBorder="1" applyAlignment="1">
      <alignment horizontal="left"/>
    </xf>
    <xf numFmtId="49" fontId="3" fillId="0" borderId="1" xfId="0" applyNumberFormat="1" applyFont="1" applyBorder="1" applyAlignment="1">
      <alignment horizontal="center"/>
    </xf>
    <xf numFmtId="0" fontId="12" fillId="4" borderId="0" xfId="0" applyFont="1" applyFill="1" applyAlignment="1">
      <alignment wrapText="1"/>
    </xf>
    <xf numFmtId="0" fontId="2" fillId="14" borderId="1" xfId="0" applyFont="1" applyFill="1" applyBorder="1" applyAlignment="1">
      <alignment horizontal="center"/>
    </xf>
    <xf numFmtId="0" fontId="16" fillId="4" borderId="1" xfId="0" applyFont="1" applyFill="1" applyBorder="1"/>
    <xf numFmtId="0" fontId="40" fillId="4" borderId="1" xfId="0" applyFont="1" applyFill="1" applyBorder="1" applyAlignment="1">
      <alignment horizontal="center"/>
    </xf>
    <xf numFmtId="0" fontId="2" fillId="10" borderId="1" xfId="0" applyFont="1" applyFill="1" applyBorder="1" applyAlignment="1">
      <alignment horizontal="center"/>
    </xf>
    <xf numFmtId="0" fontId="2" fillId="0" borderId="0" xfId="0" applyFont="1" applyAlignment="1">
      <alignment horizontal="left" wrapText="1"/>
    </xf>
    <xf numFmtId="0" fontId="3" fillId="10" borderId="1" xfId="0" applyFont="1" applyFill="1" applyBorder="1" applyAlignment="1">
      <alignment horizontal="left"/>
    </xf>
    <xf numFmtId="0" fontId="41" fillId="0" borderId="1" xfId="0" applyFont="1" applyBorder="1" applyAlignment="1">
      <alignment horizontal="left" wrapText="1"/>
    </xf>
    <xf numFmtId="0" fontId="42" fillId="0" borderId="0" xfId="0" applyFont="1" applyAlignment="1">
      <alignment horizontal="center"/>
    </xf>
    <xf numFmtId="0" fontId="43" fillId="0" borderId="1" xfId="0" applyFont="1" applyBorder="1" applyAlignment="1">
      <alignment horizontal="center"/>
    </xf>
    <xf numFmtId="0" fontId="22" fillId="0" borderId="1" xfId="0" applyFont="1" applyBorder="1" applyAlignment="1">
      <alignment horizontal="left" wrapText="1"/>
    </xf>
    <xf numFmtId="0" fontId="12" fillId="4" borderId="0" xfId="0" applyFont="1" applyFill="1" applyAlignment="1">
      <alignment horizontal="left"/>
    </xf>
    <xf numFmtId="167" fontId="3" fillId="0" borderId="1" xfId="0" applyNumberFormat="1" applyFont="1" applyBorder="1" applyAlignment="1">
      <alignment horizontal="center"/>
    </xf>
    <xf numFmtId="0" fontId="3" fillId="4" borderId="1" xfId="0" applyFont="1" applyFill="1" applyBorder="1"/>
    <xf numFmtId="10" fontId="2" fillId="10" borderId="1" xfId="0" applyNumberFormat="1" applyFont="1" applyFill="1" applyBorder="1" applyAlignment="1">
      <alignment horizontal="center"/>
    </xf>
    <xf numFmtId="0" fontId="12" fillId="4" borderId="1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44" fillId="4" borderId="0" xfId="0" applyFont="1" applyFill="1"/>
    <xf numFmtId="14" fontId="2" fillId="4" borderId="0" xfId="0" applyNumberFormat="1" applyFont="1" applyFill="1" applyAlignment="1">
      <alignment horizontal="center" vertical="center"/>
    </xf>
    <xf numFmtId="0" fontId="45" fillId="4" borderId="0" xfId="0" applyFont="1" applyFill="1" applyAlignment="1">
      <alignment horizontal="left" vertical="center" wrapText="1"/>
    </xf>
    <xf numFmtId="0" fontId="3" fillId="0" borderId="1" xfId="0" applyFont="1" applyBorder="1" applyAlignment="1">
      <alignment horizontal="right" vertical="center"/>
    </xf>
    <xf numFmtId="0" fontId="2" fillId="0" borderId="1" xfId="0" applyFont="1" applyBorder="1" applyAlignment="1">
      <alignment horizontal="right" vertical="center"/>
    </xf>
    <xf numFmtId="167" fontId="2" fillId="10" borderId="1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9" fillId="15" borderId="2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right"/>
    </xf>
    <xf numFmtId="0" fontId="4" fillId="16" borderId="1" xfId="0" applyFont="1" applyFill="1" applyBorder="1" applyAlignment="1">
      <alignment horizontal="right"/>
    </xf>
    <xf numFmtId="170" fontId="2" fillId="0" borderId="1" xfId="0" applyNumberFormat="1" applyFont="1" applyBorder="1" applyAlignment="1">
      <alignment horizontal="center"/>
    </xf>
    <xf numFmtId="0" fontId="12" fillId="4" borderId="0" xfId="0" applyFont="1" applyFill="1" applyAlignment="1">
      <alignment horizontal="center"/>
    </xf>
    <xf numFmtId="0" fontId="5" fillId="0" borderId="1" xfId="0" applyFont="1" applyBorder="1" applyAlignment="1">
      <alignment horizontal="left" wrapText="1"/>
    </xf>
    <xf numFmtId="164" fontId="2" fillId="4" borderId="1" xfId="0" applyNumberFormat="1" applyFont="1" applyFill="1" applyBorder="1" applyAlignment="1">
      <alignment horizontal="right"/>
    </xf>
    <xf numFmtId="0" fontId="3" fillId="10" borderId="1" xfId="0" applyFont="1" applyFill="1" applyBorder="1" applyAlignment="1">
      <alignment horizontal="center"/>
    </xf>
    <xf numFmtId="14" fontId="3" fillId="10" borderId="1" xfId="0" applyNumberFormat="1" applyFont="1" applyFill="1" applyBorder="1" applyAlignment="1">
      <alignment horizontal="center"/>
    </xf>
    <xf numFmtId="167" fontId="2" fillId="0" borderId="0" xfId="0" applyNumberFormat="1" applyFont="1" applyAlignment="1">
      <alignment horizontal="center"/>
    </xf>
    <xf numFmtId="0" fontId="46" fillId="0" borderId="1" xfId="0" applyFont="1" applyBorder="1" applyAlignment="1">
      <alignment horizontal="left"/>
    </xf>
    <xf numFmtId="0" fontId="46" fillId="0" borderId="1" xfId="0" applyFont="1" applyBorder="1" applyAlignment="1">
      <alignment horizontal="center"/>
    </xf>
    <xf numFmtId="0" fontId="28" fillId="0" borderId="0" xfId="0" applyFont="1" applyAlignment="1">
      <alignment horizontal="center"/>
    </xf>
    <xf numFmtId="175" fontId="2" fillId="0" borderId="1" xfId="0" applyNumberFormat="1" applyFont="1" applyBorder="1" applyAlignment="1">
      <alignment horizontal="center"/>
    </xf>
    <xf numFmtId="0" fontId="2" fillId="17" borderId="1" xfId="0" applyFont="1" applyFill="1" applyBorder="1" applyAlignment="1">
      <alignment horizontal="center"/>
    </xf>
    <xf numFmtId="14" fontId="2" fillId="4" borderId="2" xfId="0" applyNumberFormat="1" applyFont="1" applyFill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47" fillId="0" borderId="1" xfId="0" applyFont="1" applyBorder="1" applyAlignment="1">
      <alignment horizontal="left" wrapText="1"/>
    </xf>
    <xf numFmtId="49" fontId="16" fillId="4" borderId="1" xfId="0" applyNumberFormat="1" applyFont="1" applyFill="1" applyBorder="1" applyAlignment="1">
      <alignment horizontal="right"/>
    </xf>
    <xf numFmtId="0" fontId="9" fillId="0" borderId="1" xfId="0" applyFont="1" applyBorder="1" applyAlignment="1">
      <alignment horizontal="left"/>
    </xf>
    <xf numFmtId="164" fontId="2" fillId="17" borderId="1" xfId="0" applyNumberFormat="1" applyFont="1" applyFill="1" applyBorder="1" applyAlignment="1">
      <alignment horizontal="right"/>
    </xf>
    <xf numFmtId="0" fontId="5" fillId="0" borderId="1" xfId="0" applyFont="1" applyBorder="1" applyAlignment="1">
      <alignment horizontal="center"/>
    </xf>
    <xf numFmtId="0" fontId="48" fillId="0" borderId="1" xfId="0" applyFont="1" applyBorder="1" applyAlignment="1">
      <alignment horizontal="left" wrapText="1"/>
    </xf>
    <xf numFmtId="0" fontId="49" fillId="0" borderId="0" xfId="0" applyFont="1" applyAlignment="1">
      <alignment horizontal="left" wrapText="1"/>
    </xf>
    <xf numFmtId="0" fontId="2" fillId="10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 wrapText="1"/>
    </xf>
    <xf numFmtId="0" fontId="3" fillId="4" borderId="1" xfId="0" applyFont="1" applyFill="1" applyBorder="1" applyAlignment="1">
      <alignment horizontal="right"/>
    </xf>
    <xf numFmtId="164" fontId="3" fillId="4" borderId="1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 wrapText="1"/>
    </xf>
    <xf numFmtId="174" fontId="3" fillId="0" borderId="0" xfId="0" applyNumberFormat="1" applyFont="1" applyAlignment="1">
      <alignment horizontal="center"/>
    </xf>
    <xf numFmtId="0" fontId="1" fillId="2" borderId="0" xfId="0" applyFont="1" applyFill="1" applyAlignment="1">
      <alignment horizontal="center"/>
    </xf>
    <xf numFmtId="164" fontId="1" fillId="13" borderId="1" xfId="0" applyNumberFormat="1" applyFont="1" applyFill="1" applyBorder="1" applyAlignment="1">
      <alignment horizontal="center"/>
    </xf>
    <xf numFmtId="3" fontId="3" fillId="0" borderId="0" xfId="0" applyNumberFormat="1" applyFont="1" applyAlignment="1">
      <alignment horizontal="center"/>
    </xf>
    <xf numFmtId="164" fontId="2" fillId="4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0" fontId="51" fillId="0" borderId="0" xfId="0" applyFont="1"/>
    <xf numFmtId="49" fontId="52" fillId="0" borderId="1" xfId="0" applyNumberFormat="1" applyFont="1" applyBorder="1" applyAlignment="1">
      <alignment horizontal="center"/>
    </xf>
    <xf numFmtId="0" fontId="52" fillId="0" borderId="1" xfId="0" applyFont="1" applyBorder="1" applyAlignment="1">
      <alignment horizontal="center"/>
    </xf>
    <xf numFmtId="0" fontId="51" fillId="0" borderId="1" xfId="0" applyFont="1" applyBorder="1" applyAlignment="1">
      <alignment horizontal="center"/>
    </xf>
    <xf numFmtId="14" fontId="51" fillId="0" borderId="1" xfId="0" applyNumberFormat="1" applyFont="1" applyBorder="1" applyAlignment="1">
      <alignment horizontal="center"/>
    </xf>
    <xf numFmtId="49" fontId="53" fillId="0" borderId="0" xfId="0" applyNumberFormat="1" applyFont="1"/>
    <xf numFmtId="0" fontId="53" fillId="0" borderId="0" xfId="0" applyFont="1"/>
    <xf numFmtId="4" fontId="53" fillId="0" borderId="0" xfId="0" applyNumberFormat="1" applyFont="1" applyAlignment="1">
      <alignment horizontal="right"/>
    </xf>
    <xf numFmtId="4" fontId="20" fillId="0" borderId="0" xfId="0" applyNumberFormat="1" applyFont="1"/>
    <xf numFmtId="0" fontId="53" fillId="0" borderId="0" xfId="0" applyFont="1" applyAlignment="1">
      <alignment horizontal="right"/>
    </xf>
    <xf numFmtId="49" fontId="20" fillId="0" borderId="0" xfId="0" applyNumberFormat="1" applyFont="1"/>
    <xf numFmtId="0" fontId="54" fillId="0" borderId="1" xfId="0" applyFont="1" applyBorder="1" applyAlignment="1">
      <alignment horizontal="center"/>
    </xf>
    <xf numFmtId="0" fontId="6" fillId="0" borderId="1" xfId="0" applyFont="1" applyBorder="1"/>
    <xf numFmtId="49" fontId="6" fillId="0" borderId="2" xfId="0" applyNumberFormat="1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6" fillId="0" borderId="15" xfId="0" applyFont="1" applyBorder="1"/>
    <xf numFmtId="49" fontId="6" fillId="0" borderId="3" xfId="0" applyNumberFormat="1" applyFont="1" applyBorder="1" applyAlignment="1">
      <alignment horizontal="center"/>
    </xf>
    <xf numFmtId="49" fontId="6" fillId="0" borderId="1" xfId="0" applyNumberFormat="1" applyFont="1" applyBorder="1" applyAlignment="1">
      <alignment horizontal="center"/>
    </xf>
    <xf numFmtId="0" fontId="6" fillId="0" borderId="1" xfId="0" applyFont="1" applyBorder="1" applyAlignment="1">
      <alignment horizontal="left"/>
    </xf>
    <xf numFmtId="49" fontId="55" fillId="4" borderId="1" xfId="0" applyNumberFormat="1" applyFont="1" applyFill="1" applyBorder="1" applyAlignment="1">
      <alignment horizontal="center"/>
    </xf>
    <xf numFmtId="49" fontId="6" fillId="4" borderId="2" xfId="0" applyNumberFormat="1" applyFont="1" applyFill="1" applyBorder="1" applyAlignment="1">
      <alignment horizontal="center"/>
    </xf>
    <xf numFmtId="49" fontId="6" fillId="4" borderId="3" xfId="0" applyNumberFormat="1" applyFont="1" applyFill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6" fillId="0" borderId="1" xfId="0" applyFont="1" applyBorder="1" applyAlignment="1">
      <alignment horizontal="left" vertical="center"/>
    </xf>
    <xf numFmtId="49" fontId="56" fillId="4" borderId="1" xfId="0" applyNumberFormat="1" applyFont="1" applyFill="1" applyBorder="1" applyAlignment="1">
      <alignment horizontal="center"/>
    </xf>
    <xf numFmtId="0" fontId="6" fillId="0" borderId="15" xfId="0" applyFont="1" applyBorder="1" applyAlignment="1">
      <alignment horizontal="left"/>
    </xf>
    <xf numFmtId="49" fontId="56" fillId="4" borderId="3" xfId="0" applyNumberFormat="1" applyFont="1" applyFill="1" applyBorder="1" applyAlignment="1">
      <alignment horizontal="center"/>
    </xf>
    <xf numFmtId="49" fontId="4" fillId="2" borderId="1" xfId="0" applyNumberFormat="1" applyFont="1" applyFill="1" applyBorder="1" applyAlignment="1">
      <alignment horizontal="center" vertical="center"/>
    </xf>
    <xf numFmtId="164" fontId="20" fillId="0" borderId="1" xfId="0" applyNumberFormat="1" applyFont="1" applyBorder="1"/>
    <xf numFmtId="0" fontId="51" fillId="0" borderId="1" xfId="0" applyFont="1" applyBorder="1"/>
    <xf numFmtId="164" fontId="51" fillId="0" borderId="1" xfId="0" applyNumberFormat="1" applyFont="1" applyBorder="1"/>
    <xf numFmtId="173" fontId="20" fillId="0" borderId="1" xfId="0" applyNumberFormat="1" applyFont="1" applyBorder="1"/>
    <xf numFmtId="173" fontId="51" fillId="0" borderId="1" xfId="0" applyNumberFormat="1" applyFont="1" applyBorder="1"/>
    <xf numFmtId="0" fontId="57" fillId="13" borderId="2" xfId="0" applyFont="1" applyFill="1" applyBorder="1" applyAlignment="1">
      <alignment horizontal="center" wrapText="1"/>
    </xf>
    <xf numFmtId="0" fontId="58" fillId="4" borderId="2" xfId="0" applyFont="1" applyFill="1" applyBorder="1" applyAlignment="1">
      <alignment horizontal="left"/>
    </xf>
    <xf numFmtId="0" fontId="14" fillId="0" borderId="1" xfId="0" applyFont="1" applyBorder="1" applyAlignment="1">
      <alignment horizontal="center"/>
    </xf>
    <xf numFmtId="167" fontId="59" fillId="4" borderId="1" xfId="0" applyNumberFormat="1" applyFont="1" applyFill="1" applyBorder="1" applyAlignment="1">
      <alignment horizontal="center"/>
    </xf>
    <xf numFmtId="0" fontId="57" fillId="13" borderId="2" xfId="0" applyFont="1" applyFill="1" applyBorder="1" applyAlignment="1">
      <alignment horizontal="left" wrapText="1"/>
    </xf>
    <xf numFmtId="0" fontId="58" fillId="4" borderId="1" xfId="0" applyFont="1" applyFill="1" applyBorder="1" applyAlignment="1">
      <alignment horizontal="left"/>
    </xf>
    <xf numFmtId="10" fontId="14" fillId="0" borderId="1" xfId="0" applyNumberFormat="1" applyFont="1" applyBorder="1" applyAlignment="1">
      <alignment horizontal="center"/>
    </xf>
    <xf numFmtId="164" fontId="14" fillId="0" borderId="1" xfId="0" applyNumberFormat="1" applyFont="1" applyBorder="1" applyAlignment="1">
      <alignment horizontal="center"/>
    </xf>
    <xf numFmtId="10" fontId="14" fillId="0" borderId="1" xfId="0" applyNumberFormat="1" applyFont="1" applyBorder="1"/>
    <xf numFmtId="0" fontId="37" fillId="4" borderId="0" xfId="0" applyFont="1" applyFill="1"/>
    <xf numFmtId="10" fontId="14" fillId="0" borderId="0" xfId="0" applyNumberFormat="1" applyFont="1"/>
    <xf numFmtId="0" fontId="58" fillId="0" borderId="1" xfId="0" applyFont="1" applyBorder="1"/>
    <xf numFmtId="0" fontId="14" fillId="0" borderId="0" xfId="0" applyFont="1"/>
    <xf numFmtId="0" fontId="60" fillId="4" borderId="1" xfId="0" applyFont="1" applyFill="1" applyBorder="1" applyAlignment="1">
      <alignment horizontal="left"/>
    </xf>
    <xf numFmtId="0" fontId="58" fillId="4" borderId="3" xfId="0" applyFont="1" applyFill="1" applyBorder="1" applyAlignment="1">
      <alignment horizontal="left"/>
    </xf>
    <xf numFmtId="0" fontId="14" fillId="0" borderId="3" xfId="0" applyFont="1" applyBorder="1"/>
    <xf numFmtId="0" fontId="60" fillId="4" borderId="3" xfId="0" applyFont="1" applyFill="1" applyBorder="1" applyAlignment="1">
      <alignment horizontal="left"/>
    </xf>
    <xf numFmtId="0" fontId="58" fillId="4" borderId="17" xfId="0" applyFont="1" applyFill="1" applyBorder="1" applyAlignment="1">
      <alignment horizontal="left"/>
    </xf>
    <xf numFmtId="0" fontId="14" fillId="0" borderId="0" xfId="0" applyFont="1" applyAlignment="1">
      <alignment horizontal="center"/>
    </xf>
    <xf numFmtId="164" fontId="14" fillId="0" borderId="0" xfId="0" applyNumberFormat="1" applyFont="1"/>
    <xf numFmtId="14" fontId="14" fillId="0" borderId="0" xfId="0" applyNumberFormat="1" applyFont="1"/>
    <xf numFmtId="164" fontId="14" fillId="18" borderId="1" xfId="0" applyNumberFormat="1" applyFont="1" applyFill="1" applyBorder="1" applyAlignment="1">
      <alignment horizontal="center"/>
    </xf>
    <xf numFmtId="0" fontId="57" fillId="13" borderId="1" xfId="0" applyFont="1" applyFill="1" applyBorder="1" applyAlignment="1">
      <alignment horizontal="center" vertical="center"/>
    </xf>
    <xf numFmtId="0" fontId="39" fillId="13" borderId="1" xfId="0" applyFont="1" applyFill="1" applyBorder="1" applyAlignment="1">
      <alignment horizontal="center" vertical="center"/>
    </xf>
    <xf numFmtId="0" fontId="57" fillId="13" borderId="1" xfId="0" applyFont="1" applyFill="1" applyBorder="1" applyAlignment="1">
      <alignment horizontal="center" vertical="center" wrapText="1"/>
    </xf>
    <xf numFmtId="0" fontId="58" fillId="4" borderId="1" xfId="0" applyFont="1" applyFill="1" applyBorder="1" applyAlignment="1">
      <alignment horizontal="center"/>
    </xf>
    <xf numFmtId="0" fontId="58" fillId="0" borderId="1" xfId="0" applyFont="1" applyBorder="1" applyAlignment="1">
      <alignment horizontal="center"/>
    </xf>
    <xf numFmtId="164" fontId="58" fillId="0" borderId="1" xfId="0" applyNumberFormat="1" applyFont="1" applyBorder="1"/>
    <xf numFmtId="4" fontId="58" fillId="0" borderId="1" xfId="0" applyNumberFormat="1" applyFont="1" applyBorder="1"/>
    <xf numFmtId="0" fontId="38" fillId="0" borderId="1" xfId="0" applyFont="1" applyBorder="1"/>
    <xf numFmtId="0" fontId="38" fillId="0" borderId="1" xfId="0" applyFont="1" applyBorder="1" applyAlignment="1">
      <alignment horizontal="left"/>
    </xf>
    <xf numFmtId="0" fontId="38" fillId="0" borderId="0" xfId="0" applyFont="1"/>
    <xf numFmtId="0" fontId="37" fillId="4" borderId="1" xfId="0" applyFont="1" applyFill="1" applyBorder="1" applyAlignment="1">
      <alignment horizontal="left"/>
    </xf>
    <xf numFmtId="0" fontId="37" fillId="4" borderId="1" xfId="0" applyFont="1" applyFill="1" applyBorder="1" applyAlignment="1">
      <alignment horizontal="center"/>
    </xf>
    <xf numFmtId="0" fontId="38" fillId="0" borderId="0" xfId="0" applyFont="1" applyAlignment="1">
      <alignment horizontal="left"/>
    </xf>
    <xf numFmtId="0" fontId="38" fillId="0" borderId="1" xfId="0" applyFont="1" applyBorder="1" applyAlignment="1">
      <alignment horizontal="center"/>
    </xf>
    <xf numFmtId="0" fontId="37" fillId="0" borderId="1" xfId="0" applyFont="1" applyBorder="1" applyAlignment="1">
      <alignment horizontal="center"/>
    </xf>
    <xf numFmtId="0" fontId="37" fillId="10" borderId="1" xfId="0" applyFont="1" applyFill="1" applyBorder="1" applyAlignment="1">
      <alignment horizontal="center"/>
    </xf>
    <xf numFmtId="0" fontId="39" fillId="13" borderId="1" xfId="0" applyFont="1" applyFill="1" applyBorder="1" applyAlignment="1">
      <alignment horizontal="center" wrapText="1"/>
    </xf>
    <xf numFmtId="49" fontId="39" fillId="13" borderId="1" xfId="0" applyNumberFormat="1" applyFont="1" applyFill="1" applyBorder="1" applyAlignment="1">
      <alignment horizontal="center" wrapText="1"/>
    </xf>
    <xf numFmtId="164" fontId="39" fillId="13" borderId="1" xfId="0" applyNumberFormat="1" applyFont="1" applyFill="1" applyBorder="1" applyAlignment="1">
      <alignment horizontal="right" wrapText="1"/>
    </xf>
    <xf numFmtId="14" fontId="39" fillId="13" borderId="1" xfId="0" applyNumberFormat="1" applyFont="1" applyFill="1" applyBorder="1" applyAlignment="1">
      <alignment horizontal="center" wrapText="1"/>
    </xf>
    <xf numFmtId="0" fontId="38" fillId="0" borderId="0" xfId="0" applyFont="1" applyAlignment="1">
      <alignment horizontal="center"/>
    </xf>
    <xf numFmtId="14" fontId="37" fillId="4" borderId="1" xfId="0" applyNumberFormat="1" applyFont="1" applyFill="1" applyBorder="1" applyAlignment="1">
      <alignment horizontal="center"/>
    </xf>
    <xf numFmtId="49" fontId="37" fillId="4" borderId="1" xfId="0" applyNumberFormat="1" applyFont="1" applyFill="1" applyBorder="1" applyAlignment="1">
      <alignment horizontal="center"/>
    </xf>
    <xf numFmtId="164" fontId="37" fillId="4" borderId="1" xfId="0" applyNumberFormat="1" applyFont="1" applyFill="1" applyBorder="1" applyAlignment="1">
      <alignment horizontal="right"/>
    </xf>
    <xf numFmtId="14" fontId="37" fillId="4" borderId="13" xfId="0" applyNumberFormat="1" applyFont="1" applyFill="1" applyBorder="1" applyAlignment="1">
      <alignment horizontal="center"/>
    </xf>
    <xf numFmtId="14" fontId="38" fillId="4" borderId="1" xfId="0" applyNumberFormat="1" applyFont="1" applyFill="1" applyBorder="1" applyAlignment="1">
      <alignment horizontal="center"/>
    </xf>
    <xf numFmtId="49" fontId="38" fillId="4" borderId="1" xfId="0" applyNumberFormat="1" applyFont="1" applyFill="1" applyBorder="1" applyAlignment="1">
      <alignment horizontal="center"/>
    </xf>
    <xf numFmtId="0" fontId="37" fillId="4" borderId="13" xfId="0" applyFont="1" applyFill="1" applyBorder="1" applyAlignment="1">
      <alignment horizontal="center"/>
    </xf>
    <xf numFmtId="49" fontId="38" fillId="4" borderId="0" xfId="0" applyNumberFormat="1" applyFont="1" applyFill="1" applyAlignment="1">
      <alignment horizontal="center"/>
    </xf>
    <xf numFmtId="164" fontId="37" fillId="4" borderId="0" xfId="0" applyNumberFormat="1" applyFont="1" applyFill="1" applyAlignment="1">
      <alignment horizontal="right"/>
    </xf>
    <xf numFmtId="49" fontId="37" fillId="4" borderId="0" xfId="0" applyNumberFormat="1" applyFont="1" applyFill="1" applyAlignment="1">
      <alignment horizontal="center"/>
    </xf>
    <xf numFmtId="49" fontId="38" fillId="4" borderId="2" xfId="0" applyNumberFormat="1" applyFont="1" applyFill="1" applyBorder="1" applyAlignment="1">
      <alignment horizontal="center"/>
    </xf>
    <xf numFmtId="49" fontId="37" fillId="4" borderId="2" xfId="0" applyNumberFormat="1" applyFont="1" applyFill="1" applyBorder="1" applyAlignment="1">
      <alignment horizontal="center"/>
    </xf>
    <xf numFmtId="49" fontId="14" fillId="0" borderId="1" xfId="0" applyNumberFormat="1" applyFont="1" applyBorder="1" applyAlignment="1">
      <alignment horizontal="center"/>
    </xf>
    <xf numFmtId="164" fontId="38" fillId="10" borderId="1" xfId="0" applyNumberFormat="1" applyFont="1" applyFill="1" applyBorder="1" applyAlignment="1">
      <alignment horizontal="right"/>
    </xf>
    <xf numFmtId="164" fontId="14" fillId="0" borderId="1" xfId="0" applyNumberFormat="1" applyFont="1" applyBorder="1" applyAlignment="1">
      <alignment horizontal="right"/>
    </xf>
    <xf numFmtId="49" fontId="25" fillId="4" borderId="1" xfId="0" applyNumberFormat="1" applyFont="1" applyFill="1" applyBorder="1" applyAlignment="1">
      <alignment horizontal="center"/>
    </xf>
    <xf numFmtId="0" fontId="37" fillId="4" borderId="0" xfId="0" applyFont="1" applyFill="1" applyAlignment="1">
      <alignment horizontal="center"/>
    </xf>
    <xf numFmtId="10" fontId="37" fillId="4" borderId="0" xfId="0" applyNumberFormat="1" applyFont="1" applyFill="1" applyAlignment="1">
      <alignment horizontal="center"/>
    </xf>
    <xf numFmtId="14" fontId="37" fillId="4" borderId="0" xfId="0" applyNumberFormat="1" applyFont="1" applyFill="1" applyAlignment="1">
      <alignment horizontal="center"/>
    </xf>
    <xf numFmtId="0" fontId="58" fillId="0" borderId="13" xfId="0" applyFont="1" applyBorder="1" applyAlignment="1">
      <alignment horizontal="center"/>
    </xf>
    <xf numFmtId="167" fontId="58" fillId="4" borderId="1" xfId="0" applyNumberFormat="1" applyFont="1" applyFill="1" applyBorder="1" applyAlignment="1">
      <alignment horizontal="center"/>
    </xf>
    <xf numFmtId="49" fontId="61" fillId="4" borderId="1" xfId="0" applyNumberFormat="1" applyFont="1" applyFill="1" applyBorder="1" applyAlignment="1">
      <alignment horizontal="center"/>
    </xf>
    <xf numFmtId="14" fontId="58" fillId="0" borderId="1" xfId="0" applyNumberFormat="1" applyFont="1" applyBorder="1" applyAlignment="1">
      <alignment horizontal="center"/>
    </xf>
    <xf numFmtId="14" fontId="58" fillId="4" borderId="1" xfId="0" applyNumberFormat="1" applyFont="1" applyFill="1" applyBorder="1" applyAlignment="1">
      <alignment horizontal="center"/>
    </xf>
    <xf numFmtId="14" fontId="14" fillId="4" borderId="1" xfId="0" applyNumberFormat="1" applyFont="1" applyFill="1" applyBorder="1" applyAlignment="1">
      <alignment horizontal="center"/>
    </xf>
    <xf numFmtId="0" fontId="14" fillId="4" borderId="1" xfId="0" applyFont="1" applyFill="1" applyBorder="1" applyAlignment="1">
      <alignment horizontal="center"/>
    </xf>
    <xf numFmtId="164" fontId="14" fillId="4" borderId="1" xfId="0" applyNumberFormat="1" applyFont="1" applyFill="1" applyBorder="1" applyAlignment="1">
      <alignment horizontal="right"/>
    </xf>
    <xf numFmtId="0" fontId="14" fillId="0" borderId="13" xfId="0" applyFont="1" applyBorder="1" applyAlignment="1">
      <alignment horizontal="center"/>
    </xf>
    <xf numFmtId="0" fontId="58" fillId="0" borderId="0" xfId="0" applyFont="1" applyAlignment="1">
      <alignment horizontal="center"/>
    </xf>
    <xf numFmtId="164" fontId="38" fillId="4" borderId="1" xfId="0" applyNumberFormat="1" applyFont="1" applyFill="1" applyBorder="1" applyAlignment="1">
      <alignment horizontal="right"/>
    </xf>
    <xf numFmtId="49" fontId="38" fillId="4" borderId="1" xfId="0" applyNumberFormat="1" applyFont="1" applyFill="1" applyBorder="1" applyAlignment="1">
      <alignment horizontal="center" vertical="center"/>
    </xf>
    <xf numFmtId="49" fontId="62" fillId="4" borderId="1" xfId="0" applyNumberFormat="1" applyFont="1" applyFill="1" applyBorder="1" applyAlignment="1">
      <alignment horizontal="center"/>
    </xf>
    <xf numFmtId="49" fontId="14" fillId="0" borderId="1" xfId="0" applyNumberFormat="1" applyFont="1" applyBorder="1" applyAlignment="1">
      <alignment horizontal="center" vertical="center"/>
    </xf>
    <xf numFmtId="164" fontId="58" fillId="0" borderId="1" xfId="0" applyNumberFormat="1" applyFont="1" applyBorder="1" applyAlignment="1">
      <alignment horizontal="right"/>
    </xf>
    <xf numFmtId="49" fontId="58" fillId="0" borderId="1" xfId="0" applyNumberFormat="1" applyFont="1" applyBorder="1" applyAlignment="1">
      <alignment horizontal="center"/>
    </xf>
    <xf numFmtId="0" fontId="58" fillId="4" borderId="0" xfId="0" applyFont="1" applyFill="1" applyAlignment="1">
      <alignment horizontal="center"/>
    </xf>
    <xf numFmtId="49" fontId="58" fillId="10" borderId="1" xfId="0" applyNumberFormat="1" applyFont="1" applyFill="1" applyBorder="1" applyAlignment="1">
      <alignment horizontal="center"/>
    </xf>
    <xf numFmtId="49" fontId="14" fillId="10" borderId="1" xfId="0" applyNumberFormat="1" applyFont="1" applyFill="1" applyBorder="1" applyAlignment="1">
      <alignment horizontal="center"/>
    </xf>
    <xf numFmtId="49" fontId="58" fillId="4" borderId="1" xfId="0" applyNumberFormat="1" applyFont="1" applyFill="1" applyBorder="1" applyAlignment="1">
      <alignment horizontal="center"/>
    </xf>
    <xf numFmtId="14" fontId="38" fillId="0" borderId="0" xfId="0" applyNumberFormat="1" applyFont="1" applyAlignment="1">
      <alignment horizontal="center"/>
    </xf>
    <xf numFmtId="49" fontId="37" fillId="10" borderId="1" xfId="0" applyNumberFormat="1" applyFont="1" applyFill="1" applyBorder="1" applyAlignment="1">
      <alignment horizontal="center"/>
    </xf>
    <xf numFmtId="164" fontId="38" fillId="19" borderId="1" xfId="0" applyNumberFormat="1" applyFont="1" applyFill="1" applyBorder="1" applyAlignment="1">
      <alignment horizontal="right"/>
    </xf>
    <xf numFmtId="49" fontId="25" fillId="10" borderId="1" xfId="0" applyNumberFormat="1" applyFont="1" applyFill="1" applyBorder="1" applyAlignment="1">
      <alignment horizontal="center"/>
    </xf>
    <xf numFmtId="0" fontId="58" fillId="4" borderId="2" xfId="0" applyFont="1" applyFill="1" applyBorder="1" applyAlignment="1">
      <alignment horizontal="center"/>
    </xf>
    <xf numFmtId="14" fontId="58" fillId="4" borderId="2" xfId="0" applyNumberFormat="1" applyFont="1" applyFill="1" applyBorder="1" applyAlignment="1">
      <alignment horizontal="center"/>
    </xf>
    <xf numFmtId="49" fontId="37" fillId="0" borderId="1" xfId="0" applyNumberFormat="1" applyFont="1" applyBorder="1" applyAlignment="1">
      <alignment horizontal="center"/>
    </xf>
    <xf numFmtId="49" fontId="38" fillId="0" borderId="1" xfId="0" applyNumberFormat="1" applyFont="1" applyBorder="1" applyAlignment="1">
      <alignment horizontal="center"/>
    </xf>
    <xf numFmtId="167" fontId="37" fillId="4" borderId="1" xfId="0" applyNumberFormat="1" applyFont="1" applyFill="1" applyBorder="1" applyAlignment="1">
      <alignment horizontal="center"/>
    </xf>
    <xf numFmtId="0" fontId="38" fillId="0" borderId="15" xfId="0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61" fillId="4" borderId="1" xfId="0" applyFont="1" applyFill="1" applyBorder="1" applyAlignment="1">
      <alignment horizontal="center"/>
    </xf>
    <xf numFmtId="0" fontId="58" fillId="10" borderId="1" xfId="0" applyFont="1" applyFill="1" applyBorder="1" applyAlignment="1">
      <alignment horizontal="center"/>
    </xf>
    <xf numFmtId="0" fontId="14" fillId="0" borderId="2" xfId="0" applyFont="1" applyBorder="1" applyAlignment="1">
      <alignment horizontal="center"/>
    </xf>
    <xf numFmtId="0" fontId="37" fillId="4" borderId="2" xfId="0" applyFont="1" applyFill="1" applyBorder="1" applyAlignment="1">
      <alignment horizontal="center"/>
    </xf>
    <xf numFmtId="164" fontId="37" fillId="4" borderId="2" xfId="0" applyNumberFormat="1" applyFont="1" applyFill="1" applyBorder="1" applyAlignment="1">
      <alignment horizontal="right"/>
    </xf>
    <xf numFmtId="14" fontId="37" fillId="4" borderId="2" xfId="0" applyNumberFormat="1" applyFont="1" applyFill="1" applyBorder="1" applyAlignment="1">
      <alignment horizontal="center"/>
    </xf>
    <xf numFmtId="49" fontId="14" fillId="4" borderId="1" xfId="0" applyNumberFormat="1" applyFont="1" applyFill="1" applyBorder="1" applyAlignment="1">
      <alignment horizontal="center"/>
    </xf>
    <xf numFmtId="0" fontId="25" fillId="4" borderId="2" xfId="0" applyFont="1" applyFill="1" applyBorder="1" applyAlignment="1">
      <alignment horizontal="center"/>
    </xf>
    <xf numFmtId="167" fontId="58" fillId="4" borderId="2" xfId="0" applyNumberFormat="1" applyFont="1" applyFill="1" applyBorder="1" applyAlignment="1">
      <alignment horizontal="center"/>
    </xf>
    <xf numFmtId="167" fontId="37" fillId="4" borderId="2" xfId="0" applyNumberFormat="1" applyFont="1" applyFill="1" applyBorder="1" applyAlignment="1">
      <alignment horizontal="center"/>
    </xf>
    <xf numFmtId="0" fontId="37" fillId="0" borderId="2" xfId="0" applyFont="1" applyBorder="1" applyAlignment="1">
      <alignment horizontal="center"/>
    </xf>
    <xf numFmtId="49" fontId="14" fillId="0" borderId="2" xfId="0" applyNumberFormat="1" applyFont="1" applyBorder="1" applyAlignment="1">
      <alignment horizontal="center"/>
    </xf>
    <xf numFmtId="0" fontId="14" fillId="4" borderId="2" xfId="0" applyFont="1" applyFill="1" applyBorder="1" applyAlignment="1">
      <alignment horizontal="center"/>
    </xf>
    <xf numFmtId="164" fontId="14" fillId="4" borderId="2" xfId="0" applyNumberFormat="1" applyFont="1" applyFill="1" applyBorder="1" applyAlignment="1">
      <alignment horizontal="right"/>
    </xf>
    <xf numFmtId="14" fontId="14" fillId="4" borderId="2" xfId="0" applyNumberFormat="1" applyFont="1" applyFill="1" applyBorder="1" applyAlignment="1">
      <alignment horizontal="center"/>
    </xf>
    <xf numFmtId="49" fontId="14" fillId="0" borderId="2" xfId="0" applyNumberFormat="1" applyFont="1" applyBorder="1" applyAlignment="1">
      <alignment horizontal="center" vertical="center"/>
    </xf>
    <xf numFmtId="0" fontId="38" fillId="4" borderId="2" xfId="0" applyFont="1" applyFill="1" applyBorder="1" applyAlignment="1">
      <alignment horizontal="center"/>
    </xf>
    <xf numFmtId="164" fontId="38" fillId="10" borderId="2" xfId="0" applyNumberFormat="1" applyFont="1" applyFill="1" applyBorder="1" applyAlignment="1">
      <alignment horizontal="right"/>
    </xf>
    <xf numFmtId="0" fontId="62" fillId="4" borderId="1" xfId="0" applyFont="1" applyFill="1" applyBorder="1" applyAlignment="1">
      <alignment horizontal="center"/>
    </xf>
    <xf numFmtId="164" fontId="37" fillId="10" borderId="1" xfId="0" applyNumberFormat="1" applyFont="1" applyFill="1" applyBorder="1" applyAlignment="1">
      <alignment horizontal="right"/>
    </xf>
    <xf numFmtId="14" fontId="37" fillId="0" borderId="1" xfId="0" applyNumberFormat="1" applyFont="1" applyBorder="1" applyAlignment="1">
      <alignment horizontal="center"/>
    </xf>
    <xf numFmtId="14" fontId="37" fillId="10" borderId="1" xfId="0" applyNumberFormat="1" applyFont="1" applyFill="1" applyBorder="1" applyAlignment="1">
      <alignment horizontal="center"/>
    </xf>
    <xf numFmtId="49" fontId="63" fillId="4" borderId="1" xfId="0" applyNumberFormat="1" applyFont="1" applyFill="1" applyBorder="1" applyAlignment="1">
      <alignment horizontal="center"/>
    </xf>
    <xf numFmtId="0" fontId="1" fillId="5" borderId="0" xfId="0" applyFont="1" applyFill="1" applyAlignment="1">
      <alignment horizontal="center" vertical="center"/>
    </xf>
    <xf numFmtId="0" fontId="0" fillId="0" borderId="0" xfId="0"/>
    <xf numFmtId="0" fontId="1" fillId="7" borderId="0" xfId="0" applyFont="1" applyFill="1" applyAlignment="1">
      <alignment horizontal="center" vertical="center"/>
    </xf>
    <xf numFmtId="0" fontId="1" fillId="5" borderId="13" xfId="0" applyFont="1" applyFill="1" applyBorder="1" applyAlignment="1">
      <alignment horizontal="center" vertical="center"/>
    </xf>
    <xf numFmtId="0" fontId="29" fillId="0" borderId="14" xfId="0" applyFont="1" applyBorder="1"/>
    <xf numFmtId="0" fontId="29" fillId="0" borderId="2" xfId="0" applyFont="1" applyBorder="1"/>
    <xf numFmtId="0" fontId="1" fillId="7" borderId="13" xfId="0" applyFont="1" applyFill="1" applyBorder="1" applyAlignment="1">
      <alignment horizontal="center" vertical="center"/>
    </xf>
    <xf numFmtId="0" fontId="5" fillId="8" borderId="14" xfId="0" applyFont="1" applyFill="1" applyBorder="1" applyAlignment="1">
      <alignment horizontal="center" vertical="center" wrapText="1"/>
    </xf>
    <xf numFmtId="0" fontId="33" fillId="5" borderId="0" xfId="0" applyFont="1" applyFill="1" applyAlignment="1">
      <alignment horizontal="center"/>
    </xf>
    <xf numFmtId="0" fontId="5" fillId="8" borderId="0" xfId="0" applyFont="1" applyFill="1" applyAlignment="1">
      <alignment horizontal="center" vertical="center" wrapText="1"/>
    </xf>
    <xf numFmtId="0" fontId="1" fillId="13" borderId="0" xfId="0" applyFont="1" applyFill="1" applyAlignment="1">
      <alignment horizontal="center" vertical="center"/>
    </xf>
    <xf numFmtId="0" fontId="5" fillId="8" borderId="13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50" fillId="0" borderId="0" xfId="0" applyNumberFormat="1" applyFont="1" applyAlignment="1">
      <alignment horizontal="center"/>
    </xf>
    <xf numFmtId="49" fontId="4" fillId="2" borderId="13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274"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ill>
        <patternFill patternType="solid">
          <fgColor theme="4"/>
          <bgColor theme="4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fill>
        <patternFill patternType="solid">
          <fgColor rgb="FF34A853"/>
          <bgColor rgb="FF34A85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000000"/>
      </font>
      <fill>
        <patternFill patternType="none"/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'Análise PL'!$A$8</c:f>
              <c:strCache>
                <c:ptCount val="1"/>
                <c:pt idx="0">
                  <c:v>Total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PL'!$B$2:$J$2</c:f>
              <c:strCache>
                <c:ptCount val="9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</c:strCache>
            </c:strRef>
          </c:cat>
          <c:val>
            <c:numRef>
              <c:f>'Análise PL'!$B$8:$J$8</c:f>
              <c:numCache>
                <c:formatCode>[$R$ -416]#,##0.00</c:formatCode>
                <c:ptCount val="9"/>
                <c:pt idx="0">
                  <c:v>343216538.61000037</c:v>
                </c:pt>
                <c:pt idx="1">
                  <c:v>343950903.63000005</c:v>
                </c:pt>
                <c:pt idx="2">
                  <c:v>340645626.87999988</c:v>
                </c:pt>
                <c:pt idx="3">
                  <c:v>356349737.57000011</c:v>
                </c:pt>
                <c:pt idx="4">
                  <c:v>364724516.57000017</c:v>
                </c:pt>
                <c:pt idx="5">
                  <c:v>372422595.20000011</c:v>
                </c:pt>
                <c:pt idx="6">
                  <c:v>317903851.59999973</c:v>
                </c:pt>
                <c:pt idx="7">
                  <c:v>297827654.25000006</c:v>
                </c:pt>
                <c:pt idx="8">
                  <c:v>291235198.06999987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FB1B-4AA1-899D-3262891F7B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11688457"/>
        <c:axId val="990220329"/>
      </c:lineChart>
      <c:catAx>
        <c:axId val="111168845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990220329"/>
        <c:crosses val="autoZero"/>
        <c:auto val="1"/>
        <c:lblAlgn val="ctr"/>
        <c:lblOffset val="100"/>
        <c:noMultiLvlLbl val="1"/>
      </c:catAx>
      <c:valAx>
        <c:axId val="99022032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[$R$ -416]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111688457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9525</xdr:colOff>
      <xdr:row>1</xdr:row>
      <xdr:rowOff>0</xdr:rowOff>
    </xdr:from>
    <xdr:ext cx="6734175" cy="4162425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DC25EB-F71B-4402-8BC0-F305B70407EC}">
  <dimension ref="A1"/>
  <sheetViews>
    <sheetView tabSelected="1" workbookViewId="0"/>
  </sheetViews>
  <sheetFormatPr defaultRowHeight="12.7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P1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55.42578125" customWidth="1"/>
    <col min="2" max="2" width="8.42578125" customWidth="1"/>
    <col min="3" max="3" width="13.85546875" customWidth="1"/>
    <col min="4" max="4" width="16.28515625" customWidth="1"/>
    <col min="5" max="5" width="5.7109375" customWidth="1"/>
    <col min="6" max="6" width="17.42578125" customWidth="1"/>
    <col min="7" max="7" width="11.140625" customWidth="1"/>
    <col min="8" max="8" width="40.5703125" customWidth="1"/>
    <col min="9" max="9" width="12.42578125" customWidth="1"/>
    <col min="10" max="10" width="13.5703125" customWidth="1"/>
    <col min="11" max="11" width="12.28515625" customWidth="1"/>
    <col min="12" max="12" width="10.140625" customWidth="1"/>
    <col min="13" max="13" width="15.5703125" customWidth="1"/>
    <col min="14" max="14" width="8.140625" customWidth="1"/>
    <col min="15" max="15" width="11.42578125" customWidth="1"/>
    <col min="16" max="16" width="88.28515625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</row>
    <row r="2" spans="1:16">
      <c r="A2" s="3" t="s">
        <v>16</v>
      </c>
      <c r="B2" s="4" t="s">
        <v>17</v>
      </c>
      <c r="C2" s="5" t="s">
        <v>18</v>
      </c>
      <c r="D2" s="6" t="s">
        <v>19</v>
      </c>
      <c r="E2" s="6" t="s">
        <v>20</v>
      </c>
      <c r="F2" s="7" t="s">
        <v>21</v>
      </c>
      <c r="G2" s="6" t="s">
        <v>22</v>
      </c>
      <c r="H2" s="8" t="s">
        <v>23</v>
      </c>
      <c r="I2" s="9" t="s">
        <v>24</v>
      </c>
      <c r="J2" s="10">
        <v>8.0000000000000002E-3</v>
      </c>
      <c r="K2" s="6" t="s">
        <v>25</v>
      </c>
      <c r="L2" s="11">
        <v>0</v>
      </c>
      <c r="M2" s="12" t="s">
        <v>26</v>
      </c>
      <c r="N2" s="12"/>
      <c r="O2" s="7"/>
      <c r="P2" s="13"/>
    </row>
    <row r="3" spans="1:16">
      <c r="A3" s="3" t="s">
        <v>27</v>
      </c>
      <c r="B3" s="4" t="s">
        <v>28</v>
      </c>
      <c r="C3" s="5" t="s">
        <v>29</v>
      </c>
      <c r="D3" s="6" t="s">
        <v>19</v>
      </c>
      <c r="E3" s="6" t="s">
        <v>20</v>
      </c>
      <c r="F3" s="7" t="s">
        <v>21</v>
      </c>
      <c r="G3" s="6" t="s">
        <v>22</v>
      </c>
      <c r="H3" s="8" t="s">
        <v>30</v>
      </c>
      <c r="I3" s="9" t="s">
        <v>31</v>
      </c>
      <c r="J3" s="10">
        <v>0</v>
      </c>
      <c r="K3" s="6" t="s">
        <v>25</v>
      </c>
      <c r="L3" s="11">
        <v>0</v>
      </c>
      <c r="M3" s="12"/>
      <c r="N3" s="12"/>
      <c r="O3" s="7"/>
      <c r="P3" s="13"/>
    </row>
    <row r="4" spans="1:16">
      <c r="A4" s="3" t="s">
        <v>32</v>
      </c>
      <c r="B4" s="4" t="s">
        <v>33</v>
      </c>
      <c r="C4" s="5" t="s">
        <v>29</v>
      </c>
      <c r="D4" s="6" t="s">
        <v>19</v>
      </c>
      <c r="E4" s="6" t="s">
        <v>34</v>
      </c>
      <c r="F4" s="7" t="s">
        <v>35</v>
      </c>
      <c r="G4" s="6" t="s">
        <v>22</v>
      </c>
      <c r="H4" s="8" t="s">
        <v>30</v>
      </c>
      <c r="I4" s="9" t="s">
        <v>36</v>
      </c>
      <c r="J4" s="10">
        <v>1.2E-2</v>
      </c>
      <c r="K4" s="6" t="s">
        <v>37</v>
      </c>
      <c r="L4" s="11">
        <v>0.1</v>
      </c>
      <c r="M4" s="12" t="s">
        <v>38</v>
      </c>
      <c r="N4" s="12" t="s">
        <v>39</v>
      </c>
      <c r="O4" s="7" t="s">
        <v>40</v>
      </c>
      <c r="P4" s="13"/>
    </row>
    <row r="5" spans="1:16">
      <c r="A5" s="3" t="s">
        <v>41</v>
      </c>
      <c r="B5" s="4" t="s">
        <v>33</v>
      </c>
      <c r="C5" s="5" t="s">
        <v>29</v>
      </c>
      <c r="D5" s="6" t="s">
        <v>19</v>
      </c>
      <c r="E5" s="6" t="s">
        <v>34</v>
      </c>
      <c r="F5" s="7" t="s">
        <v>35</v>
      </c>
      <c r="G5" s="6" t="s">
        <v>22</v>
      </c>
      <c r="H5" s="8" t="s">
        <v>30</v>
      </c>
      <c r="I5" s="9" t="s">
        <v>42</v>
      </c>
      <c r="J5" s="10">
        <v>1.2E-2</v>
      </c>
      <c r="K5" s="6" t="s">
        <v>25</v>
      </c>
      <c r="L5" s="11">
        <v>0</v>
      </c>
      <c r="M5" s="12" t="s">
        <v>43</v>
      </c>
      <c r="N5" s="12" t="s">
        <v>39</v>
      </c>
      <c r="O5" s="7"/>
      <c r="P5" s="13"/>
    </row>
    <row r="6" spans="1:16">
      <c r="A6" s="3" t="s">
        <v>44</v>
      </c>
      <c r="B6" s="4" t="s">
        <v>33</v>
      </c>
      <c r="C6" s="5" t="s">
        <v>29</v>
      </c>
      <c r="D6" s="6" t="s">
        <v>19</v>
      </c>
      <c r="E6" s="6" t="s">
        <v>34</v>
      </c>
      <c r="F6" s="7" t="s">
        <v>35</v>
      </c>
      <c r="G6" s="6" t="s">
        <v>22</v>
      </c>
      <c r="H6" s="8" t="s">
        <v>30</v>
      </c>
      <c r="I6" s="9" t="s">
        <v>42</v>
      </c>
      <c r="J6" s="10">
        <v>1.2E-2</v>
      </c>
      <c r="K6" s="6" t="s">
        <v>25</v>
      </c>
      <c r="L6" s="11">
        <v>0</v>
      </c>
      <c r="M6" s="12" t="s">
        <v>45</v>
      </c>
      <c r="N6" s="12" t="s">
        <v>46</v>
      </c>
      <c r="O6" s="7"/>
      <c r="P6" s="13"/>
    </row>
    <row r="7" spans="1:16">
      <c r="A7" s="3" t="s">
        <v>47</v>
      </c>
      <c r="B7" s="4" t="s">
        <v>48</v>
      </c>
      <c r="C7" s="5" t="s">
        <v>29</v>
      </c>
      <c r="D7" s="6" t="s">
        <v>19</v>
      </c>
      <c r="E7" s="6" t="s">
        <v>49</v>
      </c>
      <c r="F7" s="7" t="s">
        <v>50</v>
      </c>
      <c r="G7" s="6" t="s">
        <v>22</v>
      </c>
      <c r="H7" s="8" t="s">
        <v>51</v>
      </c>
      <c r="I7" s="9" t="s">
        <v>42</v>
      </c>
      <c r="J7" s="10">
        <v>1.2E-2</v>
      </c>
      <c r="K7" s="6" t="s">
        <v>25</v>
      </c>
      <c r="L7" s="11">
        <v>0</v>
      </c>
      <c r="M7" s="12"/>
      <c r="N7" s="12"/>
      <c r="O7" s="7" t="s">
        <v>52</v>
      </c>
      <c r="P7" s="13"/>
    </row>
    <row r="8" spans="1:16">
      <c r="A8" s="3" t="s">
        <v>53</v>
      </c>
      <c r="B8" s="4" t="s">
        <v>54</v>
      </c>
      <c r="C8" s="5" t="s">
        <v>29</v>
      </c>
      <c r="D8" s="6" t="s">
        <v>55</v>
      </c>
      <c r="E8" s="6" t="s">
        <v>34</v>
      </c>
      <c r="F8" s="7" t="s">
        <v>56</v>
      </c>
      <c r="G8" s="6" t="s">
        <v>22</v>
      </c>
      <c r="H8" s="8" t="s">
        <v>57</v>
      </c>
      <c r="I8" s="9" t="s">
        <v>58</v>
      </c>
      <c r="J8" s="10">
        <v>1.2E-2</v>
      </c>
      <c r="K8" s="6" t="s">
        <v>37</v>
      </c>
      <c r="L8" s="11">
        <v>0.1</v>
      </c>
      <c r="M8" s="12" t="s">
        <v>59</v>
      </c>
      <c r="N8" s="12" t="s">
        <v>60</v>
      </c>
      <c r="O8" s="7" t="s">
        <v>52</v>
      </c>
      <c r="P8" s="13" t="s">
        <v>61</v>
      </c>
    </row>
    <row r="9" spans="1:16">
      <c r="A9" s="3" t="s">
        <v>62</v>
      </c>
      <c r="B9" s="4" t="s">
        <v>63</v>
      </c>
      <c r="C9" s="5" t="s">
        <v>29</v>
      </c>
      <c r="D9" s="6" t="s">
        <v>64</v>
      </c>
      <c r="E9" s="6" t="s">
        <v>20</v>
      </c>
      <c r="F9" s="7" t="s">
        <v>65</v>
      </c>
      <c r="G9" s="6" t="s">
        <v>22</v>
      </c>
      <c r="H9" s="8" t="s">
        <v>57</v>
      </c>
      <c r="I9" s="9" t="s">
        <v>31</v>
      </c>
      <c r="J9" s="10">
        <v>3.0000000000000001E-3</v>
      </c>
      <c r="K9" s="6" t="s">
        <v>25</v>
      </c>
      <c r="L9" s="11">
        <v>0</v>
      </c>
      <c r="M9" s="12"/>
      <c r="N9" s="12" t="s">
        <v>46</v>
      </c>
      <c r="O9" s="7" t="s">
        <v>52</v>
      </c>
      <c r="P9" s="13" t="s">
        <v>66</v>
      </c>
    </row>
    <row r="10" spans="1:16">
      <c r="A10" s="3" t="s">
        <v>67</v>
      </c>
      <c r="B10" s="4" t="s">
        <v>68</v>
      </c>
      <c r="C10" s="5" t="s">
        <v>29</v>
      </c>
      <c r="D10" s="6" t="s">
        <v>64</v>
      </c>
      <c r="E10" s="6" t="s">
        <v>20</v>
      </c>
      <c r="F10" s="7" t="s">
        <v>65</v>
      </c>
      <c r="G10" s="6" t="s">
        <v>22</v>
      </c>
      <c r="H10" s="8" t="s">
        <v>57</v>
      </c>
      <c r="I10" s="9" t="s">
        <v>31</v>
      </c>
      <c r="J10" s="10">
        <v>3.0000000000000001E-3</v>
      </c>
      <c r="K10" s="6" t="s">
        <v>25</v>
      </c>
      <c r="L10" s="11">
        <v>0</v>
      </c>
      <c r="M10" s="12" t="s">
        <v>69</v>
      </c>
      <c r="N10" s="12" t="s">
        <v>46</v>
      </c>
      <c r="O10" s="7" t="s">
        <v>52</v>
      </c>
      <c r="P10" s="13" t="s">
        <v>66</v>
      </c>
    </row>
    <row r="11" spans="1:16">
      <c r="A11" s="3" t="s">
        <v>70</v>
      </c>
      <c r="B11" s="4" t="s">
        <v>71</v>
      </c>
      <c r="C11" s="5" t="s">
        <v>29</v>
      </c>
      <c r="D11" s="6" t="s">
        <v>72</v>
      </c>
      <c r="E11" s="6" t="s">
        <v>20</v>
      </c>
      <c r="F11" s="7" t="s">
        <v>73</v>
      </c>
      <c r="G11" s="6" t="s">
        <v>22</v>
      </c>
      <c r="H11" s="8" t="s">
        <v>57</v>
      </c>
      <c r="I11" s="9" t="s">
        <v>42</v>
      </c>
      <c r="J11" s="10">
        <v>1.2E-2</v>
      </c>
      <c r="K11" s="6" t="s">
        <v>25</v>
      </c>
      <c r="L11" s="11">
        <v>0</v>
      </c>
      <c r="M11" s="12" t="s">
        <v>74</v>
      </c>
      <c r="N11" s="12" t="s">
        <v>20</v>
      </c>
      <c r="O11" s="7" t="s">
        <v>52</v>
      </c>
      <c r="P11" s="13"/>
    </row>
    <row r="12" spans="1:16">
      <c r="A12" s="3" t="s">
        <v>75</v>
      </c>
      <c r="B12" s="4" t="s">
        <v>76</v>
      </c>
      <c r="C12" s="5" t="s">
        <v>29</v>
      </c>
      <c r="D12" s="6" t="s">
        <v>19</v>
      </c>
      <c r="E12" s="6" t="s">
        <v>49</v>
      </c>
      <c r="F12" s="7" t="s">
        <v>77</v>
      </c>
      <c r="G12" s="6" t="s">
        <v>22</v>
      </c>
      <c r="H12" s="8" t="s">
        <v>57</v>
      </c>
      <c r="I12" s="9" t="s">
        <v>58</v>
      </c>
      <c r="J12" s="10">
        <v>1.2E-2</v>
      </c>
      <c r="K12" s="6" t="s">
        <v>37</v>
      </c>
      <c r="L12" s="11">
        <v>0.1</v>
      </c>
      <c r="M12" s="12" t="s">
        <v>78</v>
      </c>
      <c r="N12" s="12" t="s">
        <v>49</v>
      </c>
      <c r="O12" s="7" t="s">
        <v>52</v>
      </c>
      <c r="P12" s="13"/>
    </row>
    <row r="13" spans="1:16">
      <c r="A13" s="3" t="s">
        <v>79</v>
      </c>
      <c r="B13" s="4" t="s">
        <v>33</v>
      </c>
      <c r="C13" s="5" t="s">
        <v>29</v>
      </c>
      <c r="D13" s="6" t="s">
        <v>80</v>
      </c>
      <c r="E13" s="6" t="s">
        <v>49</v>
      </c>
      <c r="F13" s="7" t="s">
        <v>81</v>
      </c>
      <c r="G13" s="6" t="s">
        <v>22</v>
      </c>
      <c r="H13" s="8" t="s">
        <v>82</v>
      </c>
      <c r="I13" s="9" t="s">
        <v>42</v>
      </c>
      <c r="J13" s="10">
        <v>1.2E-2</v>
      </c>
      <c r="K13" s="6" t="s">
        <v>25</v>
      </c>
      <c r="L13" s="11">
        <v>0</v>
      </c>
      <c r="M13" s="12" t="s">
        <v>83</v>
      </c>
      <c r="N13" s="12" t="s">
        <v>49</v>
      </c>
      <c r="O13" s="7" t="s">
        <v>52</v>
      </c>
      <c r="P13" s="13"/>
    </row>
    <row r="14" spans="1:16">
      <c r="A14" s="3" t="s">
        <v>84</v>
      </c>
      <c r="B14" s="4" t="s">
        <v>85</v>
      </c>
      <c r="C14" s="5" t="s">
        <v>29</v>
      </c>
      <c r="D14" s="6" t="s">
        <v>19</v>
      </c>
      <c r="E14" s="6" t="s">
        <v>60</v>
      </c>
      <c r="F14" s="7" t="s">
        <v>86</v>
      </c>
      <c r="G14" s="6" t="s">
        <v>22</v>
      </c>
      <c r="H14" s="8" t="s">
        <v>82</v>
      </c>
      <c r="I14" s="9" t="s">
        <v>87</v>
      </c>
      <c r="J14" s="10">
        <v>2.5000000000000001E-2</v>
      </c>
      <c r="K14" s="6" t="s">
        <v>88</v>
      </c>
      <c r="L14" s="11">
        <v>0.2</v>
      </c>
      <c r="M14" s="12" t="s">
        <v>89</v>
      </c>
      <c r="N14" s="12" t="s">
        <v>90</v>
      </c>
      <c r="O14" s="7" t="s">
        <v>91</v>
      </c>
      <c r="P14" s="13"/>
    </row>
  </sheetData>
  <customSheetViews>
    <customSheetView guid="{12AA7277-456D-451B-A499-389B87C6D872}" filter="1" showAutoFilter="1">
      <pageMargins left="0.511811024" right="0.511811024" top="0.78740157499999996" bottom="0.78740157499999996" header="0.31496062000000002" footer="0.31496062000000002"/>
      <autoFilter ref="A1:P1" xr:uid="{DFB8A2A4-204A-4D02-BA36-758BBF334DA9}"/>
    </customSheetView>
    <customSheetView guid="{BB552302-83D7-4E75-9721-4A908E1DD9C4}" filter="1" showAutoFilter="1">
      <pageMargins left="0.511811024" right="0.511811024" top="0.78740157499999996" bottom="0.78740157499999996" header="0.31496062000000002" footer="0.31496062000000002"/>
      <autoFilter ref="A1:I1" xr:uid="{9A70CCD4-F401-47C6-ADFC-0214332CCCDF}"/>
    </customSheetView>
    <customSheetView guid="{31BAD605-5612-4733-8F02-7FA30239EFFB}" filter="1" showAutoFilter="1">
      <pageMargins left="0.511811024" right="0.511811024" top="0.78740157499999996" bottom="0.78740157499999996" header="0.31496062000000002" footer="0.31496062000000002"/>
      <autoFilter ref="A1:P1" xr:uid="{F50FF298-AF42-4165-AE02-F7315F5BB670}"/>
    </customSheetView>
    <customSheetView guid="{8380BBA0-DD8B-4D15-9E68-25A55EF1EE83}" filter="1" showAutoFilter="1">
      <pageMargins left="0.511811024" right="0.511811024" top="0.78740157499999996" bottom="0.78740157499999996" header="0.31496062000000002" footer="0.31496062000000002"/>
      <autoFilter ref="A1:P1" xr:uid="{E14BA9CB-64AB-4A2D-845D-A13AEC7EFCCC}"/>
    </customSheetView>
    <customSheetView guid="{9E552739-72DD-45E8-8C7B-29F9FBD3645B}" filter="1" showAutoFilter="1">
      <pageMargins left="0.511811024" right="0.511811024" top="0.78740157499999996" bottom="0.78740157499999996" header="0.31496062000000002" footer="0.31496062000000002"/>
      <autoFilter ref="C1" xr:uid="{0432797C-F721-479F-B421-DD3AB7D53934}"/>
    </customSheetView>
  </customSheetViews>
  <conditionalFormatting sqref="D1:G1 M1:N1">
    <cfRule type="cellIs" dxfId="273" priority="2" operator="equal">
      <formula>"Conquest"</formula>
    </cfRule>
    <cfRule type="cellIs" dxfId="272" priority="3" operator="equal">
      <formula>"Voga"</formula>
    </cfRule>
  </conditionalFormatting>
  <conditionalFormatting sqref="O2:O14">
    <cfRule type="notContainsBlanks" dxfId="271" priority="1">
      <formula>LEN(TRIM(O2))&gt;0</formula>
    </cfRule>
  </conditionalFormatting>
  <dataValidations count="5">
    <dataValidation type="list" allowBlank="1" showErrorMessage="1" sqref="O2:O14" xr:uid="{00000000-0002-0000-0000-000000000000}">
      <formula1>"Conservador,Moderado,Arrojado"</formula1>
    </dataValidation>
    <dataValidation type="list" allowBlank="1" showErrorMessage="1" sqref="G2:G14" xr:uid="{00000000-0002-0000-0000-000001000000}">
      <formula1>"PIPE,EMAIL"</formula1>
    </dataValidation>
    <dataValidation type="list" allowBlank="1" showErrorMessage="1" sqref="D2:D14" xr:uid="{00000000-0002-0000-0000-000002000000}">
      <formula1>"Bluemetrix,Bluemetrix (MI),VcInvest,Voga,Altum,Poupinvista,Solution For Life"</formula1>
    </dataValidation>
    <dataValidation type="list" allowBlank="1" showErrorMessage="1" sqref="K2:K14" xr:uid="{00000000-0002-0000-0000-000003000000}">
      <formula1>"IBOV,CDI,------,IFIX,SMALL,S&amp;P 500"</formula1>
    </dataValidation>
    <dataValidation type="list" allowBlank="1" showErrorMessage="1" sqref="H2:H14" xr:uid="{00000000-0002-0000-0000-000004000000}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process"&amp;"o,Pendente assinaturas do Cliente,Aguardando Envio 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D966"/>
    <outlinePr summaryBelow="0" summaryRight="0"/>
    <pageSetUpPr fitToPage="1"/>
  </sheetPr>
  <dimension ref="A1:BA881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28" width="18.7109375" customWidth="1"/>
    <col min="29" max="37" width="18.7109375" hidden="1" customWidth="1"/>
    <col min="38" max="53" width="18.7109375" customWidth="1"/>
  </cols>
  <sheetData>
    <row r="1" spans="1:53" ht="15.75" customHeight="1">
      <c r="A1" s="646" t="s">
        <v>92</v>
      </c>
      <c r="B1" s="647"/>
      <c r="C1" s="647"/>
      <c r="D1" s="647"/>
      <c r="E1" s="647"/>
      <c r="F1" s="647"/>
      <c r="G1" s="15" t="s">
        <v>93</v>
      </c>
      <c r="H1" s="648" t="s">
        <v>94</v>
      </c>
      <c r="I1" s="647"/>
      <c r="J1" s="646" t="s">
        <v>92</v>
      </c>
      <c r="K1" s="647"/>
      <c r="L1" s="647"/>
      <c r="M1" s="647"/>
      <c r="N1" s="647"/>
      <c r="O1" s="647"/>
      <c r="P1" s="647"/>
      <c r="Q1" s="15" t="s">
        <v>93</v>
      </c>
      <c r="R1" s="17" t="s">
        <v>92</v>
      </c>
      <c r="S1" s="18" t="s">
        <v>95</v>
      </c>
      <c r="T1" s="18"/>
      <c r="U1" s="18"/>
      <c r="V1" s="18"/>
      <c r="W1" s="18"/>
      <c r="X1" s="18"/>
      <c r="Y1" s="18"/>
      <c r="Z1" s="18"/>
      <c r="AA1" s="18"/>
      <c r="AB1" s="18"/>
      <c r="AC1" s="19" t="s">
        <v>96</v>
      </c>
      <c r="AD1" s="19" t="s">
        <v>96</v>
      </c>
      <c r="AE1" s="19" t="s">
        <v>96</v>
      </c>
      <c r="AF1" s="19" t="s">
        <v>96</v>
      </c>
      <c r="AG1" s="19" t="s">
        <v>96</v>
      </c>
      <c r="AH1" s="19" t="s">
        <v>96</v>
      </c>
      <c r="AI1" s="19" t="s">
        <v>96</v>
      </c>
      <c r="AJ1" s="19" t="s">
        <v>96</v>
      </c>
      <c r="AK1" s="19" t="s">
        <v>96</v>
      </c>
      <c r="AL1" s="19" t="s">
        <v>96</v>
      </c>
      <c r="AM1" s="19" t="s">
        <v>96</v>
      </c>
      <c r="AN1" s="19" t="s">
        <v>96</v>
      </c>
      <c r="AO1" s="19" t="s">
        <v>96</v>
      </c>
      <c r="AP1" s="19" t="s">
        <v>96</v>
      </c>
      <c r="AQ1" s="19" t="s">
        <v>96</v>
      </c>
      <c r="AR1" s="19" t="s">
        <v>96</v>
      </c>
      <c r="AS1" s="19" t="s">
        <v>96</v>
      </c>
      <c r="AT1" s="19" t="s">
        <v>96</v>
      </c>
      <c r="AU1" s="19" t="s">
        <v>96</v>
      </c>
      <c r="AV1" s="19" t="s">
        <v>96</v>
      </c>
      <c r="AW1" s="19" t="s">
        <v>96</v>
      </c>
      <c r="AX1" s="19" t="s">
        <v>96</v>
      </c>
      <c r="AY1" s="19" t="s">
        <v>96</v>
      </c>
      <c r="AZ1" s="19" t="s">
        <v>96</v>
      </c>
      <c r="BA1" s="19" t="s">
        <v>96</v>
      </c>
    </row>
    <row r="2" spans="1:53" ht="15.75" customHeight="1">
      <c r="A2" s="20" t="s">
        <v>2</v>
      </c>
      <c r="B2" s="20" t="s">
        <v>97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98</v>
      </c>
      <c r="H2" s="20" t="s">
        <v>99</v>
      </c>
      <c r="I2" s="20" t="s">
        <v>100</v>
      </c>
      <c r="J2" s="20" t="s">
        <v>101</v>
      </c>
      <c r="K2" s="20" t="s">
        <v>102</v>
      </c>
      <c r="L2" s="20" t="s">
        <v>103</v>
      </c>
      <c r="M2" s="20" t="s">
        <v>8</v>
      </c>
      <c r="N2" s="20" t="s">
        <v>104</v>
      </c>
      <c r="O2" s="20" t="s">
        <v>105</v>
      </c>
      <c r="P2" s="20" t="s">
        <v>11</v>
      </c>
      <c r="Q2" s="21" t="s">
        <v>7</v>
      </c>
      <c r="R2" s="21" t="s">
        <v>106</v>
      </c>
      <c r="S2" s="20" t="s">
        <v>107</v>
      </c>
      <c r="T2" s="20" t="s">
        <v>12</v>
      </c>
      <c r="U2" s="20" t="s">
        <v>13</v>
      </c>
      <c r="V2" s="22" t="s">
        <v>108</v>
      </c>
      <c r="W2" s="20" t="s">
        <v>109</v>
      </c>
      <c r="X2" s="20" t="s">
        <v>110</v>
      </c>
      <c r="Y2" s="20" t="s">
        <v>111</v>
      </c>
      <c r="Z2" s="20" t="s">
        <v>112</v>
      </c>
      <c r="AA2" s="20" t="s">
        <v>113</v>
      </c>
      <c r="AB2" s="20" t="s">
        <v>114</v>
      </c>
      <c r="AC2" s="20" t="s">
        <v>115</v>
      </c>
      <c r="AD2" s="20" t="s">
        <v>116</v>
      </c>
      <c r="AE2" s="20" t="s">
        <v>117</v>
      </c>
      <c r="AF2" s="20" t="s">
        <v>118</v>
      </c>
      <c r="AG2" s="20" t="s">
        <v>119</v>
      </c>
      <c r="AH2" s="20" t="s">
        <v>120</v>
      </c>
      <c r="AI2" s="20" t="s">
        <v>121</v>
      </c>
      <c r="AJ2" s="20" t="s">
        <v>122</v>
      </c>
      <c r="AK2" s="20" t="s">
        <v>123</v>
      </c>
      <c r="AL2" s="20" t="s">
        <v>124</v>
      </c>
      <c r="AM2" s="20" t="s">
        <v>125</v>
      </c>
      <c r="AN2" s="20" t="s">
        <v>126</v>
      </c>
      <c r="AO2" s="20" t="s">
        <v>127</v>
      </c>
      <c r="AP2" s="20" t="s">
        <v>128</v>
      </c>
      <c r="AQ2" s="20" t="s">
        <v>129</v>
      </c>
      <c r="AR2" s="20" t="s">
        <v>130</v>
      </c>
      <c r="AS2" s="20" t="s">
        <v>131</v>
      </c>
      <c r="AT2" s="20" t="s">
        <v>132</v>
      </c>
      <c r="AU2" s="20" t="s">
        <v>133</v>
      </c>
      <c r="AV2" s="20" t="s">
        <v>134</v>
      </c>
      <c r="AW2" s="20" t="s">
        <v>135</v>
      </c>
      <c r="AX2" s="20" t="s">
        <v>136</v>
      </c>
      <c r="AY2" s="20" t="s">
        <v>137</v>
      </c>
      <c r="AZ2" s="20" t="s">
        <v>138</v>
      </c>
      <c r="BA2" s="20" t="s">
        <v>139</v>
      </c>
    </row>
    <row r="3" spans="1:53" ht="15.75" customHeight="1">
      <c r="A3" s="23" t="s">
        <v>29</v>
      </c>
      <c r="B3" s="3" t="s">
        <v>140</v>
      </c>
      <c r="C3" s="4" t="s">
        <v>141</v>
      </c>
      <c r="D3" s="7" t="s">
        <v>64</v>
      </c>
      <c r="E3" s="7" t="s">
        <v>20</v>
      </c>
      <c r="F3" s="7" t="s">
        <v>142</v>
      </c>
      <c r="G3" s="7" t="e">
        <f t="shared" ref="G3:G257" ca="1" si="0">_xludf.IFS($BA$3:$BA$864&lt;=500000,"Breno",$BA$3:$BA$864&lt;=20000000,"Bruno",$BA$3:$BA$864="","")</f>
        <v>#NAME?</v>
      </c>
      <c r="H3" s="24" t="s">
        <v>143</v>
      </c>
      <c r="I3" s="24" t="s">
        <v>25</v>
      </c>
      <c r="J3" s="7" t="str">
        <f t="shared" ref="J3:J10" si="1">IF(Q3=0,"Não","Sim")</f>
        <v>Não</v>
      </c>
      <c r="K3" s="25">
        <v>45105</v>
      </c>
      <c r="L3" s="25">
        <v>45552</v>
      </c>
      <c r="M3" s="7" t="s">
        <v>58</v>
      </c>
      <c r="N3" s="26">
        <v>1.2E-2</v>
      </c>
      <c r="O3" s="7" t="s">
        <v>37</v>
      </c>
      <c r="P3" s="27">
        <v>0.1</v>
      </c>
      <c r="Q3" s="28"/>
      <c r="R3" s="28" t="s">
        <v>144</v>
      </c>
      <c r="S3" s="7" t="s">
        <v>145</v>
      </c>
      <c r="T3" s="7" t="s">
        <v>146</v>
      </c>
      <c r="U3" s="7" t="s">
        <v>20</v>
      </c>
      <c r="V3" s="24" t="e">
        <f t="shared" ref="V3:V257" ca="1" si="2">_xludf.IFS(H:H="Encerrado","Encerrado",COUNTBLANK(AM3:AX3)&gt;0,"Ativo",SUM(AM3:AX3)=0,"Inativo",SUM(AM3:AX3)&gt;0,"Ativo")</f>
        <v>#NAME?</v>
      </c>
      <c r="W3" s="7"/>
      <c r="X3" s="7"/>
      <c r="Y3" s="29" t="s">
        <v>147</v>
      </c>
      <c r="Z3" s="30"/>
      <c r="AA3" s="31">
        <v>45105</v>
      </c>
      <c r="AB3" s="32">
        <v>49075100007179</v>
      </c>
      <c r="AC3" s="30"/>
      <c r="AD3" s="30"/>
      <c r="AE3" s="30"/>
      <c r="AF3" s="30"/>
      <c r="AG3" s="30"/>
      <c r="AH3" s="30"/>
      <c r="AI3" s="30"/>
      <c r="AJ3" s="30"/>
      <c r="AK3" s="30">
        <v>11645.25</v>
      </c>
      <c r="AL3" s="30">
        <v>101705.9</v>
      </c>
      <c r="AM3" s="30">
        <v>87680.81</v>
      </c>
      <c r="AN3" s="30">
        <v>97773.759999999995</v>
      </c>
      <c r="AO3" s="30">
        <v>94701.07</v>
      </c>
      <c r="AP3" s="30">
        <v>97855.43</v>
      </c>
      <c r="AQ3" s="30">
        <v>93543.64</v>
      </c>
      <c r="AR3" s="30">
        <v>346111.38</v>
      </c>
      <c r="AS3" s="30">
        <v>469765.42</v>
      </c>
      <c r="AT3" s="30">
        <v>504924.71</v>
      </c>
      <c r="AU3" s="30">
        <v>496452.34</v>
      </c>
      <c r="AV3" s="30">
        <v>471980.3</v>
      </c>
      <c r="AW3" s="30">
        <v>412836.6</v>
      </c>
      <c r="AX3" s="30">
        <v>399202.4</v>
      </c>
      <c r="AY3" s="30">
        <v>0</v>
      </c>
      <c r="AZ3" s="30">
        <v>0</v>
      </c>
      <c r="BA3" s="30" t="e">
        <f t="array" aca="1" ref="BA3" ca="1">_xludf.XLOOKUP(C3,'PL TOTAL D0'!A:A,'PL TOTAL D0'!C:C,"")</f>
        <v>#NAME?</v>
      </c>
    </row>
    <row r="4" spans="1:53" ht="15.75" customHeight="1">
      <c r="A4" s="23" t="s">
        <v>29</v>
      </c>
      <c r="B4" s="3" t="s">
        <v>148</v>
      </c>
      <c r="C4" s="4" t="s">
        <v>149</v>
      </c>
      <c r="D4" s="7" t="s">
        <v>150</v>
      </c>
      <c r="E4" s="7" t="s">
        <v>49</v>
      </c>
      <c r="F4" s="7" t="s">
        <v>151</v>
      </c>
      <c r="G4" s="7" t="e">
        <f t="shared" ca="1" si="0"/>
        <v>#NAME?</v>
      </c>
      <c r="H4" s="24" t="s">
        <v>152</v>
      </c>
      <c r="I4" s="24" t="s">
        <v>25</v>
      </c>
      <c r="J4" s="7" t="str">
        <f t="shared" si="1"/>
        <v>Sim</v>
      </c>
      <c r="K4" s="25">
        <v>45575</v>
      </c>
      <c r="L4" s="25"/>
      <c r="M4" s="7" t="s">
        <v>42</v>
      </c>
      <c r="N4" s="26">
        <v>1.2E-2</v>
      </c>
      <c r="O4" s="7" t="s">
        <v>25</v>
      </c>
      <c r="P4" s="27">
        <v>0</v>
      </c>
      <c r="Q4" s="28" t="s">
        <v>153</v>
      </c>
      <c r="R4" s="28"/>
      <c r="S4" s="7" t="s">
        <v>145</v>
      </c>
      <c r="T4" s="7" t="s">
        <v>154</v>
      </c>
      <c r="U4" s="7" t="s">
        <v>49</v>
      </c>
      <c r="V4" s="24" t="e">
        <f t="shared" ca="1" si="2"/>
        <v>#NAME?</v>
      </c>
      <c r="W4" s="7"/>
      <c r="X4" s="7" t="s">
        <v>40</v>
      </c>
      <c r="Y4" s="29"/>
      <c r="Z4" s="30"/>
      <c r="AA4" s="31"/>
      <c r="AB4" s="32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30"/>
      <c r="AU4" s="30"/>
      <c r="AV4" s="30"/>
      <c r="AW4" s="30"/>
      <c r="AX4" s="30"/>
      <c r="AY4" s="30"/>
      <c r="AZ4" s="30"/>
      <c r="BA4" s="30" t="e">
        <f t="array" aca="1" ref="BA4" ca="1">_xludf.XLOOKUP(C4,'PL TOTAL D0'!A:A,'PL TOTAL D0'!C:C,"")</f>
        <v>#NAME?</v>
      </c>
    </row>
    <row r="5" spans="1:53" ht="15.75" customHeight="1">
      <c r="A5" s="23" t="s">
        <v>29</v>
      </c>
      <c r="B5" s="3" t="s">
        <v>155</v>
      </c>
      <c r="C5" s="4" t="s">
        <v>156</v>
      </c>
      <c r="D5" s="7" t="s">
        <v>72</v>
      </c>
      <c r="E5" s="7" t="s">
        <v>20</v>
      </c>
      <c r="F5" s="7" t="s">
        <v>157</v>
      </c>
      <c r="G5" s="7" t="e">
        <f t="shared" ca="1" si="0"/>
        <v>#NAME?</v>
      </c>
      <c r="H5" s="24" t="s">
        <v>152</v>
      </c>
      <c r="I5" s="24" t="s">
        <v>25</v>
      </c>
      <c r="J5" s="7" t="str">
        <f t="shared" si="1"/>
        <v>Não</v>
      </c>
      <c r="K5" s="25">
        <v>45448</v>
      </c>
      <c r="L5" s="7"/>
      <c r="M5" s="7" t="s">
        <v>58</v>
      </c>
      <c r="N5" s="26">
        <v>1.2E-2</v>
      </c>
      <c r="O5" s="7" t="s">
        <v>37</v>
      </c>
      <c r="P5" s="27">
        <v>0.1</v>
      </c>
      <c r="Q5" s="28"/>
      <c r="R5" s="28"/>
      <c r="S5" s="7" t="s">
        <v>145</v>
      </c>
      <c r="T5" s="7" t="s">
        <v>158</v>
      </c>
      <c r="U5" s="7" t="s">
        <v>20</v>
      </c>
      <c r="V5" s="24" t="e">
        <f t="shared" ca="1" si="2"/>
        <v>#NAME?</v>
      </c>
      <c r="W5" s="7"/>
      <c r="X5" s="7" t="s">
        <v>52</v>
      </c>
      <c r="Y5" s="29" t="s">
        <v>147</v>
      </c>
      <c r="Z5" s="30"/>
      <c r="AA5" s="31">
        <v>45448</v>
      </c>
      <c r="AB5" s="32">
        <v>49075100015023</v>
      </c>
      <c r="AC5" s="30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0"/>
      <c r="AT5" s="30"/>
      <c r="AU5" s="30"/>
      <c r="AV5" s="30"/>
      <c r="AW5" s="30">
        <v>121700.5</v>
      </c>
      <c r="AX5" s="30">
        <v>123070.39999999999</v>
      </c>
      <c r="AY5" s="30">
        <v>123754.77</v>
      </c>
      <c r="AZ5" s="30">
        <v>127558.92</v>
      </c>
      <c r="BA5" s="30" t="e">
        <f t="array" aca="1" ref="BA5" ca="1">_xludf.XLOOKUP(C5,'PL TOTAL D0'!A:A,'PL TOTAL D0'!C:C,"")</f>
        <v>#NAME?</v>
      </c>
    </row>
    <row r="6" spans="1:53" ht="15.75" customHeight="1">
      <c r="A6" s="23" t="s">
        <v>29</v>
      </c>
      <c r="B6" s="3" t="s">
        <v>159</v>
      </c>
      <c r="C6" s="4" t="s">
        <v>160</v>
      </c>
      <c r="D6" s="7" t="s">
        <v>19</v>
      </c>
      <c r="E6" s="7" t="s">
        <v>49</v>
      </c>
      <c r="F6" s="7" t="s">
        <v>50</v>
      </c>
      <c r="G6" s="7" t="e">
        <f t="shared" ca="1" si="0"/>
        <v>#NAME?</v>
      </c>
      <c r="H6" s="24" t="s">
        <v>161</v>
      </c>
      <c r="I6" s="24" t="s">
        <v>162</v>
      </c>
      <c r="J6" s="7" t="str">
        <f t="shared" si="1"/>
        <v>Não</v>
      </c>
      <c r="K6" s="25">
        <v>45036</v>
      </c>
      <c r="L6" s="7"/>
      <c r="M6" s="7" t="s">
        <v>42</v>
      </c>
      <c r="N6" s="26">
        <v>1.2E-2</v>
      </c>
      <c r="O6" s="7" t="s">
        <v>25</v>
      </c>
      <c r="P6" s="27">
        <v>0</v>
      </c>
      <c r="Q6" s="28"/>
      <c r="R6" s="28"/>
      <c r="S6" s="7" t="s">
        <v>145</v>
      </c>
      <c r="T6" s="7" t="s">
        <v>163</v>
      </c>
      <c r="U6" s="7" t="s">
        <v>49</v>
      </c>
      <c r="V6" s="24" t="e">
        <f t="shared" ca="1" si="2"/>
        <v>#NAME?</v>
      </c>
      <c r="W6" s="7"/>
      <c r="X6" s="7"/>
      <c r="Y6" s="29" t="s">
        <v>147</v>
      </c>
      <c r="Z6" s="30"/>
      <c r="AA6" s="31">
        <v>45036</v>
      </c>
      <c r="AB6" s="32">
        <v>49075100008310</v>
      </c>
      <c r="AC6" s="30"/>
      <c r="AD6" s="30"/>
      <c r="AE6" s="30"/>
      <c r="AF6" s="30"/>
      <c r="AG6" s="30"/>
      <c r="AH6" s="30">
        <v>0</v>
      </c>
      <c r="AI6" s="30">
        <v>10017.879999999999</v>
      </c>
      <c r="AJ6" s="30">
        <v>10121.370000000001</v>
      </c>
      <c r="AK6" s="30">
        <v>10216.790000000001</v>
      </c>
      <c r="AL6" s="30">
        <v>10266.219999999999</v>
      </c>
      <c r="AM6" s="30">
        <v>10256.52</v>
      </c>
      <c r="AN6" s="30">
        <v>10245.370000000001</v>
      </c>
      <c r="AO6" s="30">
        <v>10303.299999999999</v>
      </c>
      <c r="AP6" s="30">
        <v>10380.65</v>
      </c>
      <c r="AQ6" s="30">
        <v>10461.92</v>
      </c>
      <c r="AR6" s="30">
        <v>10552.25</v>
      </c>
      <c r="AS6" s="30">
        <v>10641.25</v>
      </c>
      <c r="AT6" s="30">
        <v>10727.74</v>
      </c>
      <c r="AU6" s="30">
        <v>10819.52</v>
      </c>
      <c r="AV6" s="30">
        <v>10903.41</v>
      </c>
      <c r="AW6" s="30">
        <v>0</v>
      </c>
      <c r="AX6" s="30">
        <v>0</v>
      </c>
      <c r="AY6" s="30">
        <v>0.09</v>
      </c>
      <c r="AZ6" s="30">
        <v>0.09</v>
      </c>
      <c r="BA6" s="30" t="e">
        <f t="array" aca="1" ref="BA6" ca="1">_xludf.XLOOKUP(C6,'PL TOTAL D0'!A:A,'PL TOTAL D0'!C:C,"")</f>
        <v>#NAME?</v>
      </c>
    </row>
    <row r="7" spans="1:53" ht="15.75" customHeight="1">
      <c r="A7" s="23" t="s">
        <v>29</v>
      </c>
      <c r="B7" s="3" t="s">
        <v>164</v>
      </c>
      <c r="C7" s="4" t="s">
        <v>165</v>
      </c>
      <c r="D7" s="7" t="s">
        <v>19</v>
      </c>
      <c r="E7" s="7" t="s">
        <v>49</v>
      </c>
      <c r="F7" s="7" t="s">
        <v>166</v>
      </c>
      <c r="G7" s="7" t="e">
        <f t="shared" ca="1" si="0"/>
        <v>#NAME?</v>
      </c>
      <c r="H7" s="24" t="s">
        <v>167</v>
      </c>
      <c r="I7" s="24" t="s">
        <v>162</v>
      </c>
      <c r="J7" s="7" t="str">
        <f t="shared" si="1"/>
        <v>Não</v>
      </c>
      <c r="K7" s="25">
        <v>45474</v>
      </c>
      <c r="L7" s="7"/>
      <c r="M7" s="7" t="s">
        <v>42</v>
      </c>
      <c r="N7" s="26">
        <v>1.2E-2</v>
      </c>
      <c r="O7" s="7" t="s">
        <v>25</v>
      </c>
      <c r="P7" s="27">
        <v>0</v>
      </c>
      <c r="Q7" s="28"/>
      <c r="R7" s="28"/>
      <c r="S7" s="7" t="s">
        <v>145</v>
      </c>
      <c r="T7" s="7" t="s">
        <v>168</v>
      </c>
      <c r="U7" s="7" t="s">
        <v>49</v>
      </c>
      <c r="V7" s="24" t="e">
        <f t="shared" ca="1" si="2"/>
        <v>#NAME?</v>
      </c>
      <c r="W7" s="7"/>
      <c r="X7" s="7" t="s">
        <v>91</v>
      </c>
      <c r="Y7" s="29" t="s">
        <v>147</v>
      </c>
      <c r="Z7" s="30"/>
      <c r="AA7" s="31">
        <v>45474</v>
      </c>
      <c r="AB7" s="32">
        <v>49075100015503</v>
      </c>
      <c r="AC7" s="30"/>
      <c r="AD7" s="30"/>
      <c r="AE7" s="30"/>
      <c r="AF7" s="30"/>
      <c r="AG7" s="30"/>
      <c r="AH7" s="30"/>
      <c r="AI7" s="30"/>
      <c r="AJ7" s="30"/>
      <c r="AK7" s="30"/>
      <c r="AL7" s="30"/>
      <c r="AM7" s="30"/>
      <c r="AN7" s="30"/>
      <c r="AO7" s="30"/>
      <c r="AP7" s="30"/>
      <c r="AQ7" s="30"/>
      <c r="AR7" s="30"/>
      <c r="AS7" s="30"/>
      <c r="AT7" s="30"/>
      <c r="AU7" s="30"/>
      <c r="AV7" s="30"/>
      <c r="AW7" s="30"/>
      <c r="AX7" s="30">
        <v>0</v>
      </c>
      <c r="AY7" s="30">
        <v>0</v>
      </c>
      <c r="AZ7" s="30">
        <v>0</v>
      </c>
      <c r="BA7" s="30" t="e">
        <f t="array" aca="1" ref="BA7" ca="1">_xludf.XLOOKUP(C7,'PL TOTAL D0'!A:A,'PL TOTAL D0'!C:C,"")</f>
        <v>#NAME?</v>
      </c>
    </row>
    <row r="8" spans="1:53" ht="15.75" customHeight="1">
      <c r="A8" s="23" t="s">
        <v>29</v>
      </c>
      <c r="B8" s="3" t="s">
        <v>169</v>
      </c>
      <c r="C8" s="4" t="s">
        <v>170</v>
      </c>
      <c r="D8" s="7" t="s">
        <v>19</v>
      </c>
      <c r="E8" s="7" t="s">
        <v>20</v>
      </c>
      <c r="F8" s="7" t="s">
        <v>171</v>
      </c>
      <c r="G8" s="7" t="e">
        <f t="shared" ca="1" si="0"/>
        <v>#NAME?</v>
      </c>
      <c r="H8" s="24" t="s">
        <v>152</v>
      </c>
      <c r="I8" s="24" t="s">
        <v>25</v>
      </c>
      <c r="J8" s="7" t="str">
        <f t="shared" si="1"/>
        <v>Não</v>
      </c>
      <c r="K8" s="25">
        <v>45309</v>
      </c>
      <c r="L8" s="7"/>
      <c r="M8" s="7" t="s">
        <v>172</v>
      </c>
      <c r="N8" s="26">
        <v>0</v>
      </c>
      <c r="O8" s="7" t="s">
        <v>25</v>
      </c>
      <c r="P8" s="27">
        <v>0</v>
      </c>
      <c r="Q8" s="28"/>
      <c r="R8" s="28"/>
      <c r="S8" s="7" t="s">
        <v>145</v>
      </c>
      <c r="T8" s="7" t="s">
        <v>173</v>
      </c>
      <c r="U8" s="7" t="s">
        <v>20</v>
      </c>
      <c r="V8" s="24" t="e">
        <f t="shared" ca="1" si="2"/>
        <v>#NAME?</v>
      </c>
      <c r="W8" s="7"/>
      <c r="X8" s="7"/>
      <c r="Y8" s="29" t="s">
        <v>147</v>
      </c>
      <c r="Z8" s="30"/>
      <c r="AA8" s="31">
        <v>45309</v>
      </c>
      <c r="AB8" s="32">
        <v>49075100013111</v>
      </c>
      <c r="AC8" s="30"/>
      <c r="AD8" s="30"/>
      <c r="AE8" s="30"/>
      <c r="AF8" s="30"/>
      <c r="AG8" s="30"/>
      <c r="AH8" s="30"/>
      <c r="AI8" s="30"/>
      <c r="AJ8" s="30"/>
      <c r="AK8" s="30"/>
      <c r="AL8" s="30"/>
      <c r="AM8" s="30"/>
      <c r="AN8" s="30"/>
      <c r="AO8" s="30"/>
      <c r="AP8" s="30"/>
      <c r="AQ8" s="30"/>
      <c r="AR8" s="30">
        <v>1001.72</v>
      </c>
      <c r="AS8" s="30">
        <v>4019.27</v>
      </c>
      <c r="AT8" s="30">
        <v>1001.59</v>
      </c>
      <c r="AU8" s="30">
        <v>2014.05</v>
      </c>
      <c r="AV8" s="30">
        <v>2604.9299999999998</v>
      </c>
      <c r="AW8" s="30">
        <v>3315.03</v>
      </c>
      <c r="AX8" s="30">
        <v>3698.13</v>
      </c>
      <c r="AY8" s="30">
        <v>4081.22</v>
      </c>
      <c r="AZ8" s="30">
        <v>4615.3999999999996</v>
      </c>
      <c r="BA8" s="30" t="e">
        <f t="array" aca="1" ref="BA8" ca="1">_xludf.XLOOKUP(C8,'PL TOTAL D0'!A:A,'PL TOTAL D0'!C:C,"")</f>
        <v>#NAME?</v>
      </c>
    </row>
    <row r="9" spans="1:53" ht="15.75" customHeight="1">
      <c r="A9" s="23" t="s">
        <v>29</v>
      </c>
      <c r="B9" s="3" t="s">
        <v>174</v>
      </c>
      <c r="C9" s="4" t="s">
        <v>175</v>
      </c>
      <c r="D9" s="7" t="s">
        <v>19</v>
      </c>
      <c r="E9" s="7" t="s">
        <v>49</v>
      </c>
      <c r="F9" s="7" t="s">
        <v>50</v>
      </c>
      <c r="G9" s="7" t="e">
        <f t="shared" ca="1" si="0"/>
        <v>#NAME?</v>
      </c>
      <c r="H9" s="24" t="s">
        <v>152</v>
      </c>
      <c r="I9" s="24" t="s">
        <v>25</v>
      </c>
      <c r="J9" s="7" t="str">
        <f t="shared" si="1"/>
        <v>Não</v>
      </c>
      <c r="K9" s="25">
        <v>44974</v>
      </c>
      <c r="L9" s="7"/>
      <c r="M9" s="7" t="s">
        <v>42</v>
      </c>
      <c r="N9" s="26">
        <v>1.2E-2</v>
      </c>
      <c r="O9" s="7" t="s">
        <v>25</v>
      </c>
      <c r="P9" s="27">
        <v>0</v>
      </c>
      <c r="Q9" s="28"/>
      <c r="R9" s="28"/>
      <c r="S9" s="7" t="s">
        <v>145</v>
      </c>
      <c r="T9" s="7" t="s">
        <v>176</v>
      </c>
      <c r="U9" s="7" t="s">
        <v>49</v>
      </c>
      <c r="V9" s="24" t="e">
        <f t="shared" ca="1" si="2"/>
        <v>#NAME?</v>
      </c>
      <c r="W9" s="7"/>
      <c r="X9" s="7"/>
      <c r="Y9" s="29" t="s">
        <v>147</v>
      </c>
      <c r="Z9" s="30"/>
      <c r="AA9" s="31">
        <v>44974</v>
      </c>
      <c r="AB9" s="32">
        <v>49075100003300</v>
      </c>
      <c r="AC9" s="30"/>
      <c r="AD9" s="30"/>
      <c r="AE9" s="30"/>
      <c r="AF9" s="30"/>
      <c r="AG9" s="30">
        <v>0</v>
      </c>
      <c r="AH9" s="30">
        <v>831494.82</v>
      </c>
      <c r="AI9" s="30">
        <v>839282.3</v>
      </c>
      <c r="AJ9" s="30">
        <v>850795.67</v>
      </c>
      <c r="AK9" s="30">
        <v>861974.11</v>
      </c>
      <c r="AL9" s="30">
        <v>862874.84</v>
      </c>
      <c r="AM9" s="30">
        <v>838055.38</v>
      </c>
      <c r="AN9" s="30">
        <v>839394.89</v>
      </c>
      <c r="AO9" s="30">
        <v>844581.11</v>
      </c>
      <c r="AP9" s="30">
        <v>855717.31</v>
      </c>
      <c r="AQ9" s="30">
        <v>867240.53</v>
      </c>
      <c r="AR9" s="30">
        <v>875442.71</v>
      </c>
      <c r="AS9" s="30">
        <v>883735.44</v>
      </c>
      <c r="AT9" s="30">
        <v>889186.44</v>
      </c>
      <c r="AU9" s="30">
        <v>891932.67</v>
      </c>
      <c r="AV9" s="30">
        <v>900933.7</v>
      </c>
      <c r="AW9" s="30">
        <v>902936.8</v>
      </c>
      <c r="AX9" s="30">
        <v>910147.4</v>
      </c>
      <c r="AY9" s="30">
        <v>929204.87</v>
      </c>
      <c r="AZ9" s="30">
        <v>935280.85</v>
      </c>
      <c r="BA9" s="30" t="e">
        <f t="array" aca="1" ref="BA9" ca="1">_xludf.XLOOKUP(C9,'PL TOTAL D0'!A:A,'PL TOTAL D0'!C:C,"")</f>
        <v>#NAME?</v>
      </c>
    </row>
    <row r="10" spans="1:53" ht="15.75" customHeight="1">
      <c r="A10" s="23" t="s">
        <v>29</v>
      </c>
      <c r="B10" s="3" t="s">
        <v>177</v>
      </c>
      <c r="C10" s="4" t="s">
        <v>178</v>
      </c>
      <c r="D10" s="7" t="s">
        <v>80</v>
      </c>
      <c r="E10" s="7" t="s">
        <v>49</v>
      </c>
      <c r="F10" s="7" t="s">
        <v>81</v>
      </c>
      <c r="G10" s="7" t="e">
        <f t="shared" ca="1" si="0"/>
        <v>#NAME?</v>
      </c>
      <c r="H10" s="24" t="s">
        <v>152</v>
      </c>
      <c r="I10" s="24" t="s">
        <v>25</v>
      </c>
      <c r="J10" s="7" t="str">
        <f t="shared" si="1"/>
        <v>Não</v>
      </c>
      <c r="K10" s="25">
        <v>45450</v>
      </c>
      <c r="L10" s="7"/>
      <c r="M10" s="7" t="s">
        <v>42</v>
      </c>
      <c r="N10" s="26">
        <v>1.2E-2</v>
      </c>
      <c r="O10" s="7" t="s">
        <v>25</v>
      </c>
      <c r="P10" s="27">
        <v>0</v>
      </c>
      <c r="Q10" s="28"/>
      <c r="R10" s="28"/>
      <c r="S10" s="7" t="s">
        <v>145</v>
      </c>
      <c r="T10" s="7" t="s">
        <v>179</v>
      </c>
      <c r="U10" s="7" t="s">
        <v>49</v>
      </c>
      <c r="V10" s="24" t="e">
        <f t="shared" ca="1" si="2"/>
        <v>#NAME?</v>
      </c>
      <c r="W10" s="7"/>
      <c r="X10" s="7" t="s">
        <v>91</v>
      </c>
      <c r="Y10" s="29" t="s">
        <v>147</v>
      </c>
      <c r="Z10" s="30"/>
      <c r="AA10" s="31">
        <v>45450</v>
      </c>
      <c r="AB10" s="32">
        <v>49075100015090</v>
      </c>
      <c r="AC10" s="30"/>
      <c r="AD10" s="30"/>
      <c r="AE10" s="30"/>
      <c r="AF10" s="30"/>
      <c r="AG10" s="30"/>
      <c r="AH10" s="30"/>
      <c r="AI10" s="30"/>
      <c r="AJ10" s="30"/>
      <c r="AK10" s="30"/>
      <c r="AL10" s="30"/>
      <c r="AM10" s="30"/>
      <c r="AN10" s="30"/>
      <c r="AO10" s="30"/>
      <c r="AP10" s="30"/>
      <c r="AQ10" s="30"/>
      <c r="AR10" s="30"/>
      <c r="AS10" s="30"/>
      <c r="AT10" s="30"/>
      <c r="AU10" s="30"/>
      <c r="AV10" s="30"/>
      <c r="AW10" s="30">
        <v>778994.8</v>
      </c>
      <c r="AX10" s="30">
        <v>1000481</v>
      </c>
      <c r="AY10" s="30">
        <v>1009940.44</v>
      </c>
      <c r="AZ10" s="30">
        <v>1015213.23</v>
      </c>
      <c r="BA10" s="30" t="e">
        <f t="array" aca="1" ref="BA10" ca="1">_xludf.XLOOKUP(C10,'PL TOTAL D0'!A:A,'PL TOTAL D0'!C:C,"")</f>
        <v>#NAME?</v>
      </c>
    </row>
    <row r="11" spans="1:53" ht="15.75" customHeight="1">
      <c r="A11" s="23" t="s">
        <v>29</v>
      </c>
      <c r="B11" s="3" t="s">
        <v>177</v>
      </c>
      <c r="C11" s="4" t="s">
        <v>180</v>
      </c>
      <c r="D11" s="7" t="s">
        <v>80</v>
      </c>
      <c r="E11" s="7" t="s">
        <v>49</v>
      </c>
      <c r="F11" s="7" t="s">
        <v>81</v>
      </c>
      <c r="G11" s="7" t="e">
        <f t="shared" ca="1" si="0"/>
        <v>#NAME?</v>
      </c>
      <c r="H11" s="24" t="s">
        <v>152</v>
      </c>
      <c r="I11" s="24" t="s">
        <v>25</v>
      </c>
      <c r="J11" s="7" t="s">
        <v>181</v>
      </c>
      <c r="K11" s="25">
        <v>45450</v>
      </c>
      <c r="L11" s="7"/>
      <c r="M11" s="7" t="s">
        <v>182</v>
      </c>
      <c r="N11" s="26">
        <v>2.5000000000000001E-2</v>
      </c>
      <c r="O11" s="7" t="s">
        <v>183</v>
      </c>
      <c r="P11" s="27">
        <v>0.2</v>
      </c>
      <c r="Q11" s="28"/>
      <c r="R11" s="28"/>
      <c r="S11" s="7" t="s">
        <v>145</v>
      </c>
      <c r="T11" s="7" t="s">
        <v>179</v>
      </c>
      <c r="U11" s="7" t="s">
        <v>49</v>
      </c>
      <c r="V11" s="24" t="e">
        <f t="shared" ca="1" si="2"/>
        <v>#NAME?</v>
      </c>
      <c r="W11" s="7"/>
      <c r="X11" s="7" t="s">
        <v>91</v>
      </c>
      <c r="Y11" s="29" t="s">
        <v>147</v>
      </c>
      <c r="Z11" s="30"/>
      <c r="AA11" s="31">
        <v>45450</v>
      </c>
      <c r="AB11" s="32">
        <v>49075100015104</v>
      </c>
      <c r="AC11" s="30"/>
      <c r="AD11" s="30"/>
      <c r="AE11" s="30"/>
      <c r="AF11" s="30"/>
      <c r="AG11" s="30"/>
      <c r="AH11" s="30"/>
      <c r="AI11" s="30"/>
      <c r="AJ11" s="30"/>
      <c r="AK11" s="30"/>
      <c r="AL11" s="30"/>
      <c r="AM11" s="30"/>
      <c r="AN11" s="30"/>
      <c r="AO11" s="30"/>
      <c r="AP11" s="30"/>
      <c r="AQ11" s="30"/>
      <c r="AR11" s="30"/>
      <c r="AS11" s="30"/>
      <c r="AT11" s="30"/>
      <c r="AU11" s="30"/>
      <c r="AV11" s="30"/>
      <c r="AW11" s="30">
        <v>104571.6</v>
      </c>
      <c r="AX11" s="30">
        <v>87237.69</v>
      </c>
      <c r="AY11" s="30">
        <v>91041.85</v>
      </c>
      <c r="AZ11" s="30">
        <v>85312.49</v>
      </c>
      <c r="BA11" s="30" t="e">
        <f t="array" aca="1" ref="BA11" ca="1">_xludf.XLOOKUP(C11,'PL TOTAL D0'!A:A,'PL TOTAL D0'!C:C,"")</f>
        <v>#NAME?</v>
      </c>
    </row>
    <row r="12" spans="1:53" ht="15.75" customHeight="1">
      <c r="A12" s="23" t="s">
        <v>29</v>
      </c>
      <c r="B12" s="33" t="s">
        <v>184</v>
      </c>
      <c r="C12" s="34" t="s">
        <v>185</v>
      </c>
      <c r="D12" s="7" t="s">
        <v>55</v>
      </c>
      <c r="E12" s="7" t="s">
        <v>34</v>
      </c>
      <c r="F12" s="7" t="s">
        <v>56</v>
      </c>
      <c r="G12" s="7" t="e">
        <f t="shared" ca="1" si="0"/>
        <v>#NAME?</v>
      </c>
      <c r="H12" s="24" t="s">
        <v>161</v>
      </c>
      <c r="I12" s="24" t="s">
        <v>25</v>
      </c>
      <c r="J12" s="7" t="s">
        <v>181</v>
      </c>
      <c r="K12" s="25">
        <v>45582</v>
      </c>
      <c r="L12" s="7"/>
      <c r="M12" s="7" t="s">
        <v>58</v>
      </c>
      <c r="N12" s="26">
        <v>1.2E-2</v>
      </c>
      <c r="O12" s="7" t="s">
        <v>37</v>
      </c>
      <c r="P12" s="27">
        <v>0.1</v>
      </c>
      <c r="Q12" s="28" t="s">
        <v>186</v>
      </c>
      <c r="R12" s="28"/>
      <c r="S12" s="7" t="s">
        <v>187</v>
      </c>
      <c r="T12" s="7" t="s">
        <v>188</v>
      </c>
      <c r="U12" s="7" t="s">
        <v>60</v>
      </c>
      <c r="V12" s="24" t="e">
        <f t="shared" ca="1" si="2"/>
        <v>#NAME?</v>
      </c>
      <c r="W12" s="7"/>
      <c r="X12" s="7" t="s">
        <v>52</v>
      </c>
      <c r="Y12" s="29"/>
      <c r="Z12" s="30"/>
      <c r="AA12" s="31"/>
      <c r="AB12" s="32"/>
      <c r="AC12" s="30"/>
      <c r="AD12" s="30"/>
      <c r="AE12" s="30"/>
      <c r="AF12" s="30"/>
      <c r="AG12" s="30"/>
      <c r="AH12" s="30"/>
      <c r="AI12" s="30"/>
      <c r="AJ12" s="30"/>
      <c r="AK12" s="30"/>
      <c r="AL12" s="30"/>
      <c r="AM12" s="30"/>
      <c r="AN12" s="30"/>
      <c r="AO12" s="30"/>
      <c r="AP12" s="30"/>
      <c r="AQ12" s="30"/>
      <c r="AR12" s="30"/>
      <c r="AS12" s="30"/>
      <c r="AT12" s="30"/>
      <c r="AU12" s="30"/>
      <c r="AV12" s="30"/>
      <c r="AW12" s="30"/>
      <c r="AX12" s="30"/>
      <c r="AY12" s="30"/>
      <c r="AZ12" s="30"/>
      <c r="BA12" s="30" t="e">
        <f t="array" aca="1" ref="BA12" ca="1">_xludf.XLOOKUP(C12,'PL TOTAL D0'!A:A,'PL TOTAL D0'!C:C,"")</f>
        <v>#NAME?</v>
      </c>
    </row>
    <row r="13" spans="1:53" ht="15.75" customHeight="1">
      <c r="A13" s="23" t="s">
        <v>29</v>
      </c>
      <c r="B13" s="23" t="s">
        <v>189</v>
      </c>
      <c r="C13" s="35" t="s">
        <v>190</v>
      </c>
      <c r="D13" s="7" t="s">
        <v>19</v>
      </c>
      <c r="E13" s="7" t="s">
        <v>49</v>
      </c>
      <c r="F13" s="7" t="s">
        <v>50</v>
      </c>
      <c r="G13" s="7" t="e">
        <f t="shared" ca="1" si="0"/>
        <v>#NAME?</v>
      </c>
      <c r="H13" s="24" t="s">
        <v>152</v>
      </c>
      <c r="I13" s="24" t="s">
        <v>25</v>
      </c>
      <c r="J13" s="7" t="str">
        <f t="shared" ref="J13:J36" si="3">IF(Q13=0,"Não","Sim")</f>
        <v>Não</v>
      </c>
      <c r="K13" s="25">
        <v>45357</v>
      </c>
      <c r="L13" s="7"/>
      <c r="M13" s="7" t="s">
        <v>36</v>
      </c>
      <c r="N13" s="26">
        <v>1.2E-2</v>
      </c>
      <c r="O13" s="7" t="s">
        <v>37</v>
      </c>
      <c r="P13" s="27">
        <v>0.1</v>
      </c>
      <c r="Q13" s="28"/>
      <c r="R13" s="28"/>
      <c r="S13" s="7" t="s">
        <v>145</v>
      </c>
      <c r="T13" s="6" t="s">
        <v>191</v>
      </c>
      <c r="U13" s="7" t="s">
        <v>49</v>
      </c>
      <c r="V13" s="24" t="e">
        <f t="shared" ca="1" si="2"/>
        <v>#NAME?</v>
      </c>
      <c r="W13" s="7"/>
      <c r="X13" s="7"/>
      <c r="Y13" s="29" t="s">
        <v>147</v>
      </c>
      <c r="Z13" s="30"/>
      <c r="AA13" s="31">
        <v>45357</v>
      </c>
      <c r="AB13" s="32">
        <v>49075100013713</v>
      </c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>
        <v>0</v>
      </c>
      <c r="AT13" s="30">
        <v>33983.760000000002</v>
      </c>
      <c r="AU13" s="30">
        <v>98177.05</v>
      </c>
      <c r="AV13" s="30">
        <v>98794.34</v>
      </c>
      <c r="AW13" s="30">
        <v>98998.720000000001</v>
      </c>
      <c r="AX13" s="30">
        <v>100281</v>
      </c>
      <c r="AY13" s="30">
        <v>101463.62</v>
      </c>
      <c r="AZ13" s="30">
        <v>101825.97</v>
      </c>
      <c r="BA13" s="30" t="e">
        <f t="array" aca="1" ref="BA13" ca="1">_xludf.XLOOKUP(C13,'PL TOTAL D0'!A:A,'PL TOTAL D0'!C:C,"")</f>
        <v>#NAME?</v>
      </c>
    </row>
    <row r="14" spans="1:53" ht="15.75" customHeight="1">
      <c r="A14" s="23" t="s">
        <v>29</v>
      </c>
      <c r="B14" s="23" t="s">
        <v>192</v>
      </c>
      <c r="C14" s="35" t="s">
        <v>193</v>
      </c>
      <c r="D14" s="7" t="s">
        <v>194</v>
      </c>
      <c r="E14" s="7" t="s">
        <v>20</v>
      </c>
      <c r="F14" s="7" t="s">
        <v>195</v>
      </c>
      <c r="G14" s="7" t="e">
        <f t="shared" ca="1" si="0"/>
        <v>#NAME?</v>
      </c>
      <c r="H14" s="24" t="s">
        <v>152</v>
      </c>
      <c r="I14" s="24" t="s">
        <v>25</v>
      </c>
      <c r="J14" s="7" t="str">
        <f t="shared" si="3"/>
        <v>Não</v>
      </c>
      <c r="K14" s="25">
        <v>45546</v>
      </c>
      <c r="L14" s="7"/>
      <c r="M14" s="7" t="s">
        <v>42</v>
      </c>
      <c r="N14" s="26">
        <v>1.2E-2</v>
      </c>
      <c r="O14" s="7" t="s">
        <v>25</v>
      </c>
      <c r="P14" s="27">
        <v>0</v>
      </c>
      <c r="Q14" s="28"/>
      <c r="R14" s="28"/>
      <c r="S14" s="7" t="s">
        <v>145</v>
      </c>
      <c r="T14" s="6" t="s">
        <v>196</v>
      </c>
      <c r="U14" s="7" t="s">
        <v>20</v>
      </c>
      <c r="V14" s="24" t="e">
        <f t="shared" ca="1" si="2"/>
        <v>#NAME?</v>
      </c>
      <c r="W14" s="7"/>
      <c r="X14" s="7" t="s">
        <v>52</v>
      </c>
      <c r="Y14" s="29"/>
      <c r="Z14" s="30"/>
      <c r="AA14" s="30"/>
      <c r="AB14" s="32"/>
      <c r="AC14" s="30"/>
      <c r="AD14" s="30"/>
      <c r="AE14" s="30"/>
      <c r="AF14" s="30"/>
      <c r="AG14" s="30"/>
      <c r="AH14" s="30"/>
      <c r="AI14" s="30"/>
      <c r="AJ14" s="30"/>
      <c r="AK14" s="30"/>
      <c r="AL14" s="30"/>
      <c r="AM14" s="30"/>
      <c r="AN14" s="30"/>
      <c r="AO14" s="30"/>
      <c r="AP14" s="30"/>
      <c r="AQ14" s="30"/>
      <c r="AR14" s="30"/>
      <c r="AS14" s="30"/>
      <c r="AT14" s="30"/>
      <c r="AU14" s="30"/>
      <c r="AV14" s="30"/>
      <c r="AW14" s="30"/>
      <c r="AX14" s="30"/>
      <c r="AY14" s="30"/>
      <c r="AZ14" s="30">
        <v>401814.81</v>
      </c>
      <c r="BA14" s="30" t="e">
        <f t="array" aca="1" ref="BA14" ca="1">_xludf.XLOOKUP(C14,'PL TOTAL D0'!A:A,'PL TOTAL D0'!C:C,"")</f>
        <v>#NAME?</v>
      </c>
    </row>
    <row r="15" spans="1:53" ht="15.75" customHeight="1">
      <c r="A15" s="23" t="s">
        <v>29</v>
      </c>
      <c r="B15" s="3" t="s">
        <v>197</v>
      </c>
      <c r="C15" s="4" t="s">
        <v>198</v>
      </c>
      <c r="D15" s="7" t="s">
        <v>19</v>
      </c>
      <c r="E15" s="7" t="s">
        <v>20</v>
      </c>
      <c r="F15" s="7" t="s">
        <v>199</v>
      </c>
      <c r="G15" s="7" t="e">
        <f t="shared" ca="1" si="0"/>
        <v>#NAME?</v>
      </c>
      <c r="H15" s="24" t="s">
        <v>152</v>
      </c>
      <c r="I15" s="24" t="s">
        <v>25</v>
      </c>
      <c r="J15" s="7" t="str">
        <f t="shared" si="3"/>
        <v>Não</v>
      </c>
      <c r="K15" s="25">
        <v>44980</v>
      </c>
      <c r="L15" s="7"/>
      <c r="M15" s="7" t="s">
        <v>200</v>
      </c>
      <c r="N15" s="26">
        <v>1.4999999999999999E-2</v>
      </c>
      <c r="O15" s="7" t="s">
        <v>25</v>
      </c>
      <c r="P15" s="27">
        <v>0</v>
      </c>
      <c r="Q15" s="28"/>
      <c r="R15" s="28"/>
      <c r="S15" s="7" t="s">
        <v>145</v>
      </c>
      <c r="T15" s="7" t="s">
        <v>201</v>
      </c>
      <c r="U15" s="7" t="s">
        <v>20</v>
      </c>
      <c r="V15" s="24" t="e">
        <f t="shared" ca="1" si="2"/>
        <v>#NAME?</v>
      </c>
      <c r="W15" s="7"/>
      <c r="X15" s="7"/>
      <c r="Y15" s="29" t="s">
        <v>147</v>
      </c>
      <c r="Z15" s="30"/>
      <c r="AA15" s="31">
        <v>44980</v>
      </c>
      <c r="AB15" s="32">
        <v>49075100005400</v>
      </c>
      <c r="AC15" s="30"/>
      <c r="AD15" s="30"/>
      <c r="AE15" s="30"/>
      <c r="AF15" s="30">
        <v>0</v>
      </c>
      <c r="AG15" s="30">
        <v>172295.8</v>
      </c>
      <c r="AH15" s="30">
        <v>482402.02</v>
      </c>
      <c r="AI15" s="30">
        <v>483551.39</v>
      </c>
      <c r="AJ15" s="30">
        <v>534786.71</v>
      </c>
      <c r="AK15" s="30">
        <v>567339.85</v>
      </c>
      <c r="AL15" s="30">
        <v>565993.39</v>
      </c>
      <c r="AM15" s="30">
        <v>562995.44999999995</v>
      </c>
      <c r="AN15" s="30">
        <v>566653.1</v>
      </c>
      <c r="AO15" s="30">
        <v>564056.01</v>
      </c>
      <c r="AP15" s="30">
        <v>587232.97</v>
      </c>
      <c r="AQ15" s="30">
        <v>608841.44999999995</v>
      </c>
      <c r="AR15" s="30">
        <v>599756.89</v>
      </c>
      <c r="AS15" s="30">
        <v>605484</v>
      </c>
      <c r="AT15" s="30">
        <v>622694.76</v>
      </c>
      <c r="AU15" s="30">
        <v>580164.47</v>
      </c>
      <c r="AV15" s="30">
        <v>559654.40000000002</v>
      </c>
      <c r="AW15" s="30">
        <v>572944.1</v>
      </c>
      <c r="AX15" s="30">
        <v>585837</v>
      </c>
      <c r="AY15" s="30">
        <v>602819.49</v>
      </c>
      <c r="AZ15" s="30">
        <v>610879.04</v>
      </c>
      <c r="BA15" s="30" t="e">
        <f t="array" aca="1" ref="BA15" ca="1">_xludf.XLOOKUP(C15,'PL TOTAL D0'!A:A,'PL TOTAL D0'!C:C,"")</f>
        <v>#NAME?</v>
      </c>
    </row>
    <row r="16" spans="1:53" ht="15.75" customHeight="1">
      <c r="A16" s="23" t="s">
        <v>29</v>
      </c>
      <c r="B16" s="3" t="s">
        <v>202</v>
      </c>
      <c r="C16" s="4" t="s">
        <v>203</v>
      </c>
      <c r="D16" s="7" t="s">
        <v>64</v>
      </c>
      <c r="E16" s="7" t="s">
        <v>20</v>
      </c>
      <c r="F16" s="7" t="s">
        <v>204</v>
      </c>
      <c r="G16" s="7" t="e">
        <f t="shared" ca="1" si="0"/>
        <v>#NAME?</v>
      </c>
      <c r="H16" s="24" t="s">
        <v>161</v>
      </c>
      <c r="I16" s="24" t="s">
        <v>205</v>
      </c>
      <c r="J16" s="7" t="str">
        <f t="shared" si="3"/>
        <v>Sim</v>
      </c>
      <c r="K16" s="25">
        <v>45279</v>
      </c>
      <c r="L16" s="7"/>
      <c r="M16" s="7" t="s">
        <v>31</v>
      </c>
      <c r="N16" s="26">
        <v>3.0000000000000001E-3</v>
      </c>
      <c r="O16" s="7" t="s">
        <v>25</v>
      </c>
      <c r="P16" s="27">
        <v>0</v>
      </c>
      <c r="Q16" s="28" t="s">
        <v>206</v>
      </c>
      <c r="R16" s="36"/>
      <c r="S16" s="7" t="s">
        <v>145</v>
      </c>
      <c r="T16" s="7" t="s">
        <v>207</v>
      </c>
      <c r="U16" s="7" t="s">
        <v>46</v>
      </c>
      <c r="V16" s="24" t="e">
        <f t="shared" ca="1" si="2"/>
        <v>#NAME?</v>
      </c>
      <c r="W16" s="7"/>
      <c r="X16" s="7"/>
      <c r="Y16" s="29" t="s">
        <v>147</v>
      </c>
      <c r="Z16" s="30"/>
      <c r="AA16" s="31">
        <v>45279</v>
      </c>
      <c r="AB16" s="32">
        <v>49075100013268</v>
      </c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  <c r="AP16" s="30">
        <v>0</v>
      </c>
      <c r="AQ16" s="30">
        <v>0</v>
      </c>
      <c r="AR16" s="30">
        <v>0</v>
      </c>
      <c r="AS16" s="30">
        <v>551.13</v>
      </c>
      <c r="AT16" s="30">
        <v>551.26</v>
      </c>
      <c r="AU16" s="30">
        <v>551.37</v>
      </c>
      <c r="AV16" s="30">
        <v>551.48</v>
      </c>
      <c r="AW16" s="30">
        <v>555.33000000000004</v>
      </c>
      <c r="AX16" s="30">
        <v>380631.3</v>
      </c>
      <c r="AY16" s="30">
        <v>376347.14</v>
      </c>
      <c r="AZ16" s="30">
        <v>376252.33</v>
      </c>
      <c r="BA16" s="30" t="e">
        <f t="array" aca="1" ref="BA16" ca="1">_xludf.XLOOKUP(C16,'PL TOTAL D0'!A:A,'PL TOTAL D0'!C:C,"")</f>
        <v>#NAME?</v>
      </c>
    </row>
    <row r="17" spans="1:53" ht="15.75" customHeight="1">
      <c r="A17" s="23" t="s">
        <v>29</v>
      </c>
      <c r="B17" s="3" t="s">
        <v>208</v>
      </c>
      <c r="C17" s="4" t="s">
        <v>209</v>
      </c>
      <c r="D17" s="7" t="s">
        <v>19</v>
      </c>
      <c r="E17" s="7" t="s">
        <v>20</v>
      </c>
      <c r="F17" s="7" t="s">
        <v>210</v>
      </c>
      <c r="G17" s="7" t="e">
        <f t="shared" ca="1" si="0"/>
        <v>#NAME?</v>
      </c>
      <c r="H17" s="24" t="s">
        <v>161</v>
      </c>
      <c r="I17" s="24" t="s">
        <v>211</v>
      </c>
      <c r="J17" s="7" t="str">
        <f t="shared" si="3"/>
        <v>Não</v>
      </c>
      <c r="K17" s="25">
        <v>45036</v>
      </c>
      <c r="L17" s="7"/>
      <c r="M17" s="7" t="s">
        <v>42</v>
      </c>
      <c r="N17" s="26">
        <v>1.2E-2</v>
      </c>
      <c r="O17" s="7" t="s">
        <v>25</v>
      </c>
      <c r="P17" s="27">
        <v>0</v>
      </c>
      <c r="Q17" s="28"/>
      <c r="R17" s="28"/>
      <c r="S17" s="7" t="s">
        <v>145</v>
      </c>
      <c r="T17" s="7" t="s">
        <v>212</v>
      </c>
      <c r="U17" s="7" t="s">
        <v>20</v>
      </c>
      <c r="V17" s="24" t="e">
        <f t="shared" ca="1" si="2"/>
        <v>#NAME?</v>
      </c>
      <c r="W17" s="7"/>
      <c r="X17" s="7"/>
      <c r="Y17" s="29" t="s">
        <v>147</v>
      </c>
      <c r="Z17" s="30"/>
      <c r="AA17" s="31">
        <v>45036</v>
      </c>
      <c r="AB17" s="32">
        <v>49075100003963</v>
      </c>
      <c r="AC17" s="30"/>
      <c r="AD17" s="30"/>
      <c r="AE17" s="30"/>
      <c r="AF17" s="30"/>
      <c r="AG17" s="30"/>
      <c r="AH17" s="30"/>
      <c r="AI17" s="30">
        <v>20036.96</v>
      </c>
      <c r="AJ17" s="30">
        <v>20245.2</v>
      </c>
      <c r="AK17" s="30">
        <v>20421.27</v>
      </c>
      <c r="AL17" s="30">
        <v>103098.95</v>
      </c>
      <c r="AM17" s="30">
        <v>104109.61</v>
      </c>
      <c r="AN17" s="30">
        <v>104930.65</v>
      </c>
      <c r="AO17" s="30">
        <v>105845.33</v>
      </c>
      <c r="AP17" s="30">
        <v>106619.36</v>
      </c>
      <c r="AQ17" s="30">
        <v>107450.42</v>
      </c>
      <c r="AR17" s="30">
        <v>128227.68</v>
      </c>
      <c r="AS17" s="30">
        <v>129200.16</v>
      </c>
      <c r="AT17" s="30">
        <v>130282.38</v>
      </c>
      <c r="AU17" s="30">
        <v>131317.71</v>
      </c>
      <c r="AV17" s="30">
        <v>132328.29999999999</v>
      </c>
      <c r="AW17" s="30">
        <v>9998.49</v>
      </c>
      <c r="AX17" s="30">
        <v>10088.41</v>
      </c>
      <c r="AY17" s="30">
        <v>412821.05</v>
      </c>
      <c r="AZ17" s="30">
        <v>415876.47</v>
      </c>
      <c r="BA17" s="30" t="e">
        <f t="array" aca="1" ref="BA17" ca="1">_xludf.XLOOKUP(C17,'PL TOTAL D0'!A:A,'PL TOTAL D0'!C:C,"")</f>
        <v>#NAME?</v>
      </c>
    </row>
    <row r="18" spans="1:53" ht="15.75" customHeight="1">
      <c r="A18" s="23" t="s">
        <v>29</v>
      </c>
      <c r="B18" s="3" t="s">
        <v>213</v>
      </c>
      <c r="C18" s="4" t="s">
        <v>214</v>
      </c>
      <c r="D18" s="7" t="s">
        <v>19</v>
      </c>
      <c r="E18" s="7" t="s">
        <v>34</v>
      </c>
      <c r="F18" s="7" t="s">
        <v>35</v>
      </c>
      <c r="G18" s="7" t="e">
        <f t="shared" ca="1" si="0"/>
        <v>#NAME?</v>
      </c>
      <c r="H18" s="24" t="s">
        <v>167</v>
      </c>
      <c r="I18" s="24" t="s">
        <v>162</v>
      </c>
      <c r="J18" s="7" t="str">
        <f t="shared" si="3"/>
        <v>Não</v>
      </c>
      <c r="K18" s="25">
        <v>45544</v>
      </c>
      <c r="L18" s="7"/>
      <c r="M18" s="7" t="s">
        <v>215</v>
      </c>
      <c r="N18" s="26">
        <v>1.4999999999999999E-2</v>
      </c>
      <c r="O18" s="7" t="s">
        <v>37</v>
      </c>
      <c r="P18" s="27">
        <v>0.1</v>
      </c>
      <c r="Q18" s="28"/>
      <c r="R18" s="28"/>
      <c r="S18" s="7" t="s">
        <v>145</v>
      </c>
      <c r="T18" s="7" t="s">
        <v>216</v>
      </c>
      <c r="U18" s="7" t="s">
        <v>39</v>
      </c>
      <c r="V18" s="24" t="e">
        <f t="shared" ca="1" si="2"/>
        <v>#NAME?</v>
      </c>
      <c r="W18" s="7"/>
      <c r="X18" s="7" t="s">
        <v>52</v>
      </c>
      <c r="Y18" s="29"/>
      <c r="Z18" s="30"/>
      <c r="AA18" s="30"/>
      <c r="AB18" s="32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>
        <v>0</v>
      </c>
      <c r="BA18" s="30" t="e">
        <f t="array" aca="1" ref="BA18" ca="1">_xludf.XLOOKUP(C18,'PL TOTAL D0'!A:A,'PL TOTAL D0'!C:C,"")</f>
        <v>#NAME?</v>
      </c>
    </row>
    <row r="19" spans="1:53" ht="15.75" customHeight="1">
      <c r="A19" s="23" t="s">
        <v>29</v>
      </c>
      <c r="B19" s="3" t="s">
        <v>217</v>
      </c>
      <c r="C19" s="4" t="s">
        <v>218</v>
      </c>
      <c r="D19" s="7" t="s">
        <v>19</v>
      </c>
      <c r="E19" s="7" t="s">
        <v>20</v>
      </c>
      <c r="F19" s="7" t="s">
        <v>210</v>
      </c>
      <c r="G19" s="7" t="e">
        <f t="shared" ca="1" si="0"/>
        <v>#NAME?</v>
      </c>
      <c r="H19" s="24" t="s">
        <v>152</v>
      </c>
      <c r="I19" s="24" t="s">
        <v>25</v>
      </c>
      <c r="J19" s="7" t="str">
        <f t="shared" si="3"/>
        <v>Não</v>
      </c>
      <c r="K19" s="25">
        <v>45106</v>
      </c>
      <c r="L19" s="7"/>
      <c r="M19" s="7" t="s">
        <v>42</v>
      </c>
      <c r="N19" s="26">
        <v>1.2E-2</v>
      </c>
      <c r="O19" s="7" t="s">
        <v>25</v>
      </c>
      <c r="P19" s="27">
        <v>0</v>
      </c>
      <c r="Q19" s="28"/>
      <c r="R19" s="28"/>
      <c r="S19" s="7" t="s">
        <v>145</v>
      </c>
      <c r="T19" s="7" t="s">
        <v>219</v>
      </c>
      <c r="U19" s="7" t="s">
        <v>20</v>
      </c>
      <c r="V19" s="24" t="e">
        <f t="shared" ca="1" si="2"/>
        <v>#NAME?</v>
      </c>
      <c r="W19" s="7"/>
      <c r="X19" s="7"/>
      <c r="Y19" s="29" t="s">
        <v>147</v>
      </c>
      <c r="Z19" s="30"/>
      <c r="AA19" s="31">
        <v>45106</v>
      </c>
      <c r="AB19" s="32">
        <v>49075100006857</v>
      </c>
      <c r="AC19" s="30"/>
      <c r="AD19" s="30"/>
      <c r="AE19" s="30"/>
      <c r="AF19" s="30"/>
      <c r="AG19" s="30"/>
      <c r="AH19" s="30"/>
      <c r="AI19" s="30"/>
      <c r="AJ19" s="30"/>
      <c r="AK19" s="30">
        <v>70008.87</v>
      </c>
      <c r="AL19" s="30">
        <v>70636.990000000005</v>
      </c>
      <c r="AM19" s="30">
        <v>71354.759999999995</v>
      </c>
      <c r="AN19" s="30">
        <v>71920.45</v>
      </c>
      <c r="AO19" s="30">
        <v>72317.98</v>
      </c>
      <c r="AP19" s="30">
        <v>72834.210000000006</v>
      </c>
      <c r="AQ19" s="30">
        <v>73387.990000000005</v>
      </c>
      <c r="AR19" s="30">
        <v>167576.59</v>
      </c>
      <c r="AS19" s="30">
        <v>191999.9</v>
      </c>
      <c r="AT19" s="30">
        <v>193638.73</v>
      </c>
      <c r="AU19" s="30">
        <v>205029.58</v>
      </c>
      <c r="AV19" s="30">
        <v>206188.7</v>
      </c>
      <c r="AW19" s="30">
        <v>207731.3</v>
      </c>
      <c r="AX19" s="30">
        <v>209396.6</v>
      </c>
      <c r="AY19" s="30">
        <v>211112.7</v>
      </c>
      <c r="AZ19" s="30">
        <v>212369.64</v>
      </c>
      <c r="BA19" s="30" t="e">
        <f t="array" aca="1" ref="BA19" ca="1">_xludf.XLOOKUP(C19,'PL TOTAL D0'!A:A,'PL TOTAL D0'!C:C,"")</f>
        <v>#NAME?</v>
      </c>
    </row>
    <row r="20" spans="1:53" ht="15.75" customHeight="1">
      <c r="A20" s="23" t="s">
        <v>29</v>
      </c>
      <c r="B20" s="23" t="s">
        <v>220</v>
      </c>
      <c r="C20" s="4" t="s">
        <v>221</v>
      </c>
      <c r="D20" s="7" t="s">
        <v>19</v>
      </c>
      <c r="E20" s="7" t="s">
        <v>20</v>
      </c>
      <c r="F20" s="7" t="s">
        <v>210</v>
      </c>
      <c r="G20" s="7" t="e">
        <f t="shared" ca="1" si="0"/>
        <v>#NAME?</v>
      </c>
      <c r="H20" s="24" t="s">
        <v>161</v>
      </c>
      <c r="I20" s="24" t="s">
        <v>222</v>
      </c>
      <c r="J20" s="7" t="str">
        <f t="shared" si="3"/>
        <v>Não</v>
      </c>
      <c r="K20" s="25">
        <v>45356</v>
      </c>
      <c r="L20" s="7"/>
      <c r="M20" s="7" t="s">
        <v>58</v>
      </c>
      <c r="N20" s="26">
        <v>0.01</v>
      </c>
      <c r="O20" s="7" t="s">
        <v>37</v>
      </c>
      <c r="P20" s="27">
        <v>0.1</v>
      </c>
      <c r="Q20" s="28"/>
      <c r="R20" s="28"/>
      <c r="S20" s="7" t="s">
        <v>145</v>
      </c>
      <c r="T20" s="7" t="s">
        <v>219</v>
      </c>
      <c r="U20" s="7" t="s">
        <v>20</v>
      </c>
      <c r="V20" s="24" t="e">
        <f t="shared" ca="1" si="2"/>
        <v>#NAME?</v>
      </c>
      <c r="W20" s="7"/>
      <c r="X20" s="7"/>
      <c r="Y20" s="29" t="s">
        <v>147</v>
      </c>
      <c r="Z20" s="30"/>
      <c r="AA20" s="31">
        <v>45356</v>
      </c>
      <c r="AB20" s="32">
        <v>49075100013721</v>
      </c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  <c r="AO20" s="30"/>
      <c r="AP20" s="30"/>
      <c r="AQ20" s="30"/>
      <c r="AR20" s="30"/>
      <c r="AS20" s="30">
        <v>0</v>
      </c>
      <c r="AT20" s="30">
        <v>0</v>
      </c>
      <c r="AU20" s="30">
        <v>0</v>
      </c>
      <c r="AV20" s="30">
        <v>0</v>
      </c>
      <c r="AW20" s="30">
        <v>0</v>
      </c>
      <c r="AX20" s="30">
        <v>0</v>
      </c>
      <c r="AY20" s="30">
        <v>0</v>
      </c>
      <c r="AZ20" s="30">
        <v>0</v>
      </c>
      <c r="BA20" s="30" t="e">
        <f t="array" aca="1" ref="BA20" ca="1">_xludf.XLOOKUP(C20,'PL TOTAL D0'!A:A,'PL TOTAL D0'!C:C,"")</f>
        <v>#NAME?</v>
      </c>
    </row>
    <row r="21" spans="1:53" ht="15.75" customHeight="1">
      <c r="A21" s="23" t="s">
        <v>29</v>
      </c>
      <c r="B21" s="3" t="s">
        <v>223</v>
      </c>
      <c r="C21" s="4" t="s">
        <v>224</v>
      </c>
      <c r="D21" s="7" t="s">
        <v>64</v>
      </c>
      <c r="E21" s="7" t="s">
        <v>20</v>
      </c>
      <c r="F21" s="7" t="s">
        <v>142</v>
      </c>
      <c r="G21" s="7" t="e">
        <f t="shared" ca="1" si="0"/>
        <v>#NAME?</v>
      </c>
      <c r="H21" s="24" t="s">
        <v>143</v>
      </c>
      <c r="I21" s="24" t="s">
        <v>25</v>
      </c>
      <c r="J21" s="7" t="str">
        <f t="shared" si="3"/>
        <v>Não</v>
      </c>
      <c r="K21" s="25">
        <v>45148</v>
      </c>
      <c r="L21" s="25">
        <v>45513</v>
      </c>
      <c r="M21" s="7" t="s">
        <v>225</v>
      </c>
      <c r="N21" s="26">
        <v>0.01</v>
      </c>
      <c r="O21" s="7" t="s">
        <v>25</v>
      </c>
      <c r="P21" s="27">
        <v>0</v>
      </c>
      <c r="Q21" s="28"/>
      <c r="R21" s="28"/>
      <c r="S21" s="7" t="s">
        <v>145</v>
      </c>
      <c r="T21" s="7" t="s">
        <v>226</v>
      </c>
      <c r="U21" s="7" t="s">
        <v>20</v>
      </c>
      <c r="V21" s="24" t="e">
        <f t="shared" ca="1" si="2"/>
        <v>#NAME?</v>
      </c>
      <c r="W21" s="7"/>
      <c r="X21" s="7"/>
      <c r="Y21" s="29" t="s">
        <v>147</v>
      </c>
      <c r="Z21" s="30"/>
      <c r="AA21" s="31">
        <v>45148</v>
      </c>
      <c r="AB21" s="32">
        <v>49075100012156</v>
      </c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>
        <v>221510.59</v>
      </c>
      <c r="AN21" s="30">
        <v>242583.64</v>
      </c>
      <c r="AO21" s="30">
        <v>243545.23</v>
      </c>
      <c r="AP21" s="30">
        <v>249632.92</v>
      </c>
      <c r="AQ21" s="30">
        <v>267670.75</v>
      </c>
      <c r="AR21" s="30">
        <v>267143.19</v>
      </c>
      <c r="AS21" s="30">
        <v>272226.07</v>
      </c>
      <c r="AT21" s="30">
        <v>276789.02</v>
      </c>
      <c r="AU21" s="30">
        <v>291365.65000000002</v>
      </c>
      <c r="AV21" s="30">
        <v>293881.09999999998</v>
      </c>
      <c r="AW21" s="30">
        <v>295514.8</v>
      </c>
      <c r="AX21" s="30">
        <v>0</v>
      </c>
      <c r="AY21" s="30">
        <v>0</v>
      </c>
      <c r="AZ21" s="30">
        <v>0</v>
      </c>
      <c r="BA21" s="30" t="e">
        <f t="array" aca="1" ref="BA21" ca="1">_xludf.XLOOKUP(C21,'PL TOTAL D0'!A:A,'PL TOTAL D0'!C:C,"")</f>
        <v>#NAME?</v>
      </c>
    </row>
    <row r="22" spans="1:53" ht="15.75" customHeight="1">
      <c r="A22" s="23" t="s">
        <v>29</v>
      </c>
      <c r="B22" s="3" t="s">
        <v>227</v>
      </c>
      <c r="C22" s="4" t="s">
        <v>228</v>
      </c>
      <c r="D22" s="7" t="s">
        <v>19</v>
      </c>
      <c r="E22" s="7" t="s">
        <v>20</v>
      </c>
      <c r="F22" s="7" t="s">
        <v>199</v>
      </c>
      <c r="G22" s="7" t="e">
        <f t="shared" ca="1" si="0"/>
        <v>#NAME?</v>
      </c>
      <c r="H22" s="24" t="s">
        <v>152</v>
      </c>
      <c r="I22" s="24" t="s">
        <v>25</v>
      </c>
      <c r="J22" s="7" t="str">
        <f t="shared" si="3"/>
        <v>Não</v>
      </c>
      <c r="K22" s="25">
        <v>45488</v>
      </c>
      <c r="L22" s="7"/>
      <c r="M22" s="7" t="s">
        <v>42</v>
      </c>
      <c r="N22" s="26">
        <v>1.2E-2</v>
      </c>
      <c r="O22" s="7" t="s">
        <v>25</v>
      </c>
      <c r="P22" s="27">
        <v>0</v>
      </c>
      <c r="Q22" s="28"/>
      <c r="R22" s="28"/>
      <c r="S22" s="7" t="s">
        <v>145</v>
      </c>
      <c r="T22" s="7" t="s">
        <v>229</v>
      </c>
      <c r="U22" s="7" t="s">
        <v>20</v>
      </c>
      <c r="V22" s="24" t="e">
        <f t="shared" ca="1" si="2"/>
        <v>#NAME?</v>
      </c>
      <c r="W22" s="7"/>
      <c r="X22" s="7" t="s">
        <v>40</v>
      </c>
      <c r="Y22" s="29" t="s">
        <v>147</v>
      </c>
      <c r="Z22" s="30"/>
      <c r="AA22" s="31">
        <v>45488</v>
      </c>
      <c r="AB22" s="32">
        <v>49075100015473</v>
      </c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  <c r="AO22" s="30"/>
      <c r="AP22" s="30"/>
      <c r="AQ22" s="30"/>
      <c r="AR22" s="30"/>
      <c r="AS22" s="30"/>
      <c r="AT22" s="30"/>
      <c r="AU22" s="30"/>
      <c r="AV22" s="30"/>
      <c r="AW22" s="30"/>
      <c r="AX22" s="30">
        <v>80196.25</v>
      </c>
      <c r="AY22" s="30">
        <v>470775.27</v>
      </c>
      <c r="AZ22" s="30">
        <v>483335.63</v>
      </c>
      <c r="BA22" s="30" t="e">
        <f t="array" aca="1" ref="BA22" ca="1">_xludf.XLOOKUP(C22,'PL TOTAL D0'!A:A,'PL TOTAL D0'!C:C,"")</f>
        <v>#NAME?</v>
      </c>
    </row>
    <row r="23" spans="1:53" ht="15.75" customHeight="1">
      <c r="A23" s="23" t="s">
        <v>29</v>
      </c>
      <c r="B23" s="37" t="s">
        <v>230</v>
      </c>
      <c r="C23" s="4" t="s">
        <v>231</v>
      </c>
      <c r="D23" s="7" t="s">
        <v>19</v>
      </c>
      <c r="E23" s="7" t="s">
        <v>20</v>
      </c>
      <c r="F23" s="7" t="s">
        <v>21</v>
      </c>
      <c r="G23" s="7" t="e">
        <f t="shared" ca="1" si="0"/>
        <v>#NAME?</v>
      </c>
      <c r="H23" s="24" t="s">
        <v>152</v>
      </c>
      <c r="I23" s="24" t="s">
        <v>25</v>
      </c>
      <c r="J23" s="7" t="str">
        <f t="shared" si="3"/>
        <v>Não</v>
      </c>
      <c r="K23" s="25">
        <v>45160</v>
      </c>
      <c r="L23" s="7"/>
      <c r="M23" s="7" t="s">
        <v>42</v>
      </c>
      <c r="N23" s="26">
        <v>1.2E-2</v>
      </c>
      <c r="O23" s="7" t="s">
        <v>25</v>
      </c>
      <c r="P23" s="27">
        <v>0</v>
      </c>
      <c r="Q23" s="28"/>
      <c r="R23" s="28"/>
      <c r="S23" s="7" t="s">
        <v>145</v>
      </c>
      <c r="T23" s="7" t="s">
        <v>232</v>
      </c>
      <c r="U23" s="7" t="s">
        <v>20</v>
      </c>
      <c r="V23" s="24" t="e">
        <f t="shared" ca="1" si="2"/>
        <v>#NAME?</v>
      </c>
      <c r="W23" s="7"/>
      <c r="X23" s="7"/>
      <c r="Y23" s="29" t="s">
        <v>147</v>
      </c>
      <c r="Z23" s="30"/>
      <c r="AA23" s="31">
        <v>45160</v>
      </c>
      <c r="AB23" s="32">
        <v>49075100008019</v>
      </c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>
        <v>601175.9</v>
      </c>
      <c r="AN23" s="30">
        <v>606237.93999999994</v>
      </c>
      <c r="AO23" s="30">
        <v>611489.99</v>
      </c>
      <c r="AP23" s="30">
        <v>615841.54</v>
      </c>
      <c r="AQ23" s="30">
        <v>619579.86</v>
      </c>
      <c r="AR23" s="30">
        <v>625184.81000000006</v>
      </c>
      <c r="AS23" s="30">
        <v>629881.63</v>
      </c>
      <c r="AT23" s="30">
        <v>633953.26</v>
      </c>
      <c r="AU23" s="30">
        <v>638440.22</v>
      </c>
      <c r="AV23" s="30">
        <v>643538.6</v>
      </c>
      <c r="AW23" s="30">
        <v>648288.5</v>
      </c>
      <c r="AX23" s="30">
        <v>653705.9</v>
      </c>
      <c r="AY23" s="30">
        <v>654754.17000000004</v>
      </c>
      <c r="AZ23" s="30">
        <v>659134.65</v>
      </c>
      <c r="BA23" s="30" t="e">
        <f t="array" aca="1" ref="BA23" ca="1">_xludf.XLOOKUP(C23,'PL TOTAL D0'!A:A,'PL TOTAL D0'!C:C,"")</f>
        <v>#NAME?</v>
      </c>
    </row>
    <row r="24" spans="1:53" ht="15.75" customHeight="1">
      <c r="A24" s="23" t="s">
        <v>29</v>
      </c>
      <c r="B24" s="37" t="s">
        <v>233</v>
      </c>
      <c r="C24" s="4" t="s">
        <v>234</v>
      </c>
      <c r="D24" s="7" t="s">
        <v>19</v>
      </c>
      <c r="E24" s="7" t="s">
        <v>20</v>
      </c>
      <c r="F24" s="7" t="s">
        <v>199</v>
      </c>
      <c r="G24" s="7" t="e">
        <f t="shared" ca="1" si="0"/>
        <v>#NAME?</v>
      </c>
      <c r="H24" s="24" t="s">
        <v>152</v>
      </c>
      <c r="I24" s="24" t="s">
        <v>25</v>
      </c>
      <c r="J24" s="7" t="str">
        <f t="shared" si="3"/>
        <v>Sim</v>
      </c>
      <c r="K24" s="25">
        <v>45565</v>
      </c>
      <c r="L24" s="7"/>
      <c r="M24" s="7" t="s">
        <v>42</v>
      </c>
      <c r="N24" s="26">
        <v>1.2E-2</v>
      </c>
      <c r="O24" s="7" t="s">
        <v>25</v>
      </c>
      <c r="P24" s="27">
        <v>0</v>
      </c>
      <c r="Q24" s="28" t="s">
        <v>235</v>
      </c>
      <c r="R24" s="28"/>
      <c r="S24" s="7" t="s">
        <v>145</v>
      </c>
      <c r="T24" s="7" t="s">
        <v>236</v>
      </c>
      <c r="U24" s="7" t="s">
        <v>20</v>
      </c>
      <c r="V24" s="24" t="e">
        <f t="shared" ca="1" si="2"/>
        <v>#NAME?</v>
      </c>
      <c r="W24" s="7"/>
      <c r="X24" s="7" t="s">
        <v>40</v>
      </c>
      <c r="Y24" s="29"/>
      <c r="Z24" s="30"/>
      <c r="AA24" s="30"/>
      <c r="AB24" s="32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  <c r="AO24" s="30"/>
      <c r="AP24" s="30"/>
      <c r="AQ24" s="30"/>
      <c r="AR24" s="30"/>
      <c r="AS24" s="30"/>
      <c r="AT24" s="30"/>
      <c r="AU24" s="30"/>
      <c r="AV24" s="30"/>
      <c r="AW24" s="30"/>
      <c r="AX24" s="30"/>
      <c r="AY24" s="30"/>
      <c r="AZ24" s="30">
        <v>0</v>
      </c>
      <c r="BA24" s="30" t="e">
        <f t="array" aca="1" ref="BA24" ca="1">_xludf.XLOOKUP(C24,'PL TOTAL D0'!A:A,'PL TOTAL D0'!C:C,"")</f>
        <v>#NAME?</v>
      </c>
    </row>
    <row r="25" spans="1:53" ht="15.75" customHeight="1">
      <c r="A25" s="23" t="s">
        <v>29</v>
      </c>
      <c r="B25" s="3" t="s">
        <v>237</v>
      </c>
      <c r="C25" s="4" t="s">
        <v>238</v>
      </c>
      <c r="D25" s="7" t="s">
        <v>72</v>
      </c>
      <c r="E25" s="7" t="s">
        <v>20</v>
      </c>
      <c r="F25" s="7" t="s">
        <v>239</v>
      </c>
      <c r="G25" s="7" t="e">
        <f t="shared" ca="1" si="0"/>
        <v>#NAME?</v>
      </c>
      <c r="H25" s="24" t="s">
        <v>152</v>
      </c>
      <c r="I25" s="24" t="s">
        <v>25</v>
      </c>
      <c r="J25" s="7" t="str">
        <f t="shared" si="3"/>
        <v>Não</v>
      </c>
      <c r="K25" s="25">
        <v>44958</v>
      </c>
      <c r="L25" s="7"/>
      <c r="M25" s="7" t="s">
        <v>42</v>
      </c>
      <c r="N25" s="26">
        <v>1.2E-2</v>
      </c>
      <c r="O25" s="7" t="s">
        <v>25</v>
      </c>
      <c r="P25" s="27">
        <v>0</v>
      </c>
      <c r="Q25" s="28"/>
      <c r="R25" s="28"/>
      <c r="S25" s="7" t="s">
        <v>145</v>
      </c>
      <c r="T25" s="7" t="s">
        <v>240</v>
      </c>
      <c r="U25" s="7" t="s">
        <v>20</v>
      </c>
      <c r="V25" s="24" t="e">
        <f t="shared" ca="1" si="2"/>
        <v>#NAME?</v>
      </c>
      <c r="W25" s="7"/>
      <c r="X25" s="7"/>
      <c r="Y25" s="29" t="s">
        <v>147</v>
      </c>
      <c r="Z25" s="30"/>
      <c r="AA25" s="31">
        <v>44958</v>
      </c>
      <c r="AB25" s="32">
        <v>49075100010242</v>
      </c>
      <c r="AC25" s="30"/>
      <c r="AD25" s="30"/>
      <c r="AE25" s="30"/>
      <c r="AF25" s="30"/>
      <c r="AG25" s="30"/>
      <c r="AH25" s="30">
        <v>53545.8</v>
      </c>
      <c r="AI25" s="30">
        <v>54182.77</v>
      </c>
      <c r="AJ25" s="30">
        <v>288087.21999999997</v>
      </c>
      <c r="AK25" s="30">
        <v>344984.05</v>
      </c>
      <c r="AL25" s="30">
        <v>347862.28</v>
      </c>
      <c r="AM25" s="30">
        <v>400633.57</v>
      </c>
      <c r="AN25" s="30">
        <v>262688.84000000003</v>
      </c>
      <c r="AO25" s="30">
        <v>405398.15</v>
      </c>
      <c r="AP25" s="30">
        <v>408413</v>
      </c>
      <c r="AQ25" s="30">
        <v>411553.44</v>
      </c>
      <c r="AR25" s="30">
        <v>415212.78</v>
      </c>
      <c r="AS25" s="30">
        <v>418571.1</v>
      </c>
      <c r="AT25" s="30">
        <v>238572.2</v>
      </c>
      <c r="AU25" s="30">
        <v>239496.64</v>
      </c>
      <c r="AV25" s="30">
        <v>241378.1</v>
      </c>
      <c r="AW25" s="30">
        <v>242844.79999999999</v>
      </c>
      <c r="AX25" s="30">
        <v>244871.4</v>
      </c>
      <c r="AY25" s="30">
        <v>246300.96</v>
      </c>
      <c r="AZ25" s="30">
        <v>247154.56</v>
      </c>
      <c r="BA25" s="30" t="e">
        <f t="array" aca="1" ref="BA25" ca="1">_xludf.XLOOKUP(C25,'PL TOTAL D0'!A:A,'PL TOTAL D0'!C:C,"")</f>
        <v>#NAME?</v>
      </c>
    </row>
    <row r="26" spans="1:53" ht="15.75" customHeight="1">
      <c r="A26" s="23" t="s">
        <v>29</v>
      </c>
      <c r="B26" s="3" t="s">
        <v>241</v>
      </c>
      <c r="C26" s="4" t="s">
        <v>242</v>
      </c>
      <c r="D26" s="7" t="s">
        <v>19</v>
      </c>
      <c r="E26" s="7" t="s">
        <v>34</v>
      </c>
      <c r="F26" s="7" t="s">
        <v>35</v>
      </c>
      <c r="G26" s="7" t="e">
        <f t="shared" ca="1" si="0"/>
        <v>#NAME?</v>
      </c>
      <c r="H26" s="24" t="s">
        <v>161</v>
      </c>
      <c r="I26" s="24" t="s">
        <v>211</v>
      </c>
      <c r="J26" s="7" t="str">
        <f t="shared" si="3"/>
        <v>Não</v>
      </c>
      <c r="K26" s="25">
        <v>45166</v>
      </c>
      <c r="L26" s="25"/>
      <c r="M26" s="7" t="s">
        <v>200</v>
      </c>
      <c r="N26" s="26">
        <v>1.4999999999999999E-2</v>
      </c>
      <c r="O26" s="7" t="s">
        <v>37</v>
      </c>
      <c r="P26" s="27">
        <v>0.1</v>
      </c>
      <c r="Q26" s="28"/>
      <c r="R26" s="28" t="s">
        <v>243</v>
      </c>
      <c r="S26" s="7" t="s">
        <v>145</v>
      </c>
      <c r="T26" s="7" t="s">
        <v>244</v>
      </c>
      <c r="U26" s="7" t="s">
        <v>39</v>
      </c>
      <c r="V26" s="24" t="e">
        <f t="shared" ca="1" si="2"/>
        <v>#NAME?</v>
      </c>
      <c r="W26" s="7"/>
      <c r="X26" s="7"/>
      <c r="Y26" s="29" t="s">
        <v>147</v>
      </c>
      <c r="Z26" s="30"/>
      <c r="AA26" s="31">
        <v>45166</v>
      </c>
      <c r="AB26" s="32">
        <v>49075100011052</v>
      </c>
      <c r="AC26" s="30"/>
      <c r="AD26" s="30"/>
      <c r="AE26" s="30"/>
      <c r="AF26" s="30"/>
      <c r="AG26" s="30"/>
      <c r="AH26" s="30"/>
      <c r="AI26" s="30">
        <v>0</v>
      </c>
      <c r="AJ26" s="30">
        <v>0</v>
      </c>
      <c r="AK26" s="30">
        <v>0</v>
      </c>
      <c r="AL26" s="30">
        <v>0</v>
      </c>
      <c r="AM26" s="30">
        <v>0</v>
      </c>
      <c r="AN26" s="30">
        <v>238854.55</v>
      </c>
      <c r="AO26" s="30">
        <v>237988.82</v>
      </c>
      <c r="AP26" s="30">
        <v>243644.48</v>
      </c>
      <c r="AQ26" s="30">
        <v>248581.27</v>
      </c>
      <c r="AR26" s="30">
        <v>243901.96</v>
      </c>
      <c r="AS26" s="30">
        <v>22702.09</v>
      </c>
      <c r="AT26" s="30">
        <v>22583.51</v>
      </c>
      <c r="AU26" s="30">
        <v>22731.599999999999</v>
      </c>
      <c r="AV26" s="30">
        <v>22870.18</v>
      </c>
      <c r="AW26" s="30">
        <v>23007.81</v>
      </c>
      <c r="AX26" s="30">
        <v>23185.59</v>
      </c>
      <c r="AY26" s="30">
        <v>23352.68</v>
      </c>
      <c r="AZ26" s="30">
        <v>23514.39</v>
      </c>
      <c r="BA26" s="30" t="e">
        <f t="array" aca="1" ref="BA26" ca="1">_xludf.XLOOKUP(C26,'PL TOTAL D0'!A:A,'PL TOTAL D0'!C:C,"")</f>
        <v>#NAME?</v>
      </c>
    </row>
    <row r="27" spans="1:53" ht="15.75" customHeight="1">
      <c r="A27" s="23" t="s">
        <v>29</v>
      </c>
      <c r="B27" s="38" t="s">
        <v>245</v>
      </c>
      <c r="C27" s="39" t="s">
        <v>246</v>
      </c>
      <c r="D27" s="7" t="s">
        <v>72</v>
      </c>
      <c r="E27" s="7" t="s">
        <v>20</v>
      </c>
      <c r="F27" s="7" t="s">
        <v>247</v>
      </c>
      <c r="G27" s="7" t="e">
        <f t="shared" ca="1" si="0"/>
        <v>#NAME?</v>
      </c>
      <c r="H27" s="24" t="s">
        <v>152</v>
      </c>
      <c r="I27" s="24" t="s">
        <v>25</v>
      </c>
      <c r="J27" s="7" t="str">
        <f t="shared" si="3"/>
        <v>Não</v>
      </c>
      <c r="K27" s="25">
        <v>45426</v>
      </c>
      <c r="L27" s="25"/>
      <c r="M27" s="7" t="s">
        <v>42</v>
      </c>
      <c r="N27" s="26">
        <v>1.2E-2</v>
      </c>
      <c r="O27" s="7" t="s">
        <v>25</v>
      </c>
      <c r="P27" s="27">
        <v>0</v>
      </c>
      <c r="Q27" s="28"/>
      <c r="R27" s="28"/>
      <c r="S27" s="7" t="s">
        <v>145</v>
      </c>
      <c r="T27" s="12" t="s">
        <v>248</v>
      </c>
      <c r="U27" s="7" t="s">
        <v>20</v>
      </c>
      <c r="V27" s="24" t="e">
        <f t="shared" ca="1" si="2"/>
        <v>#NAME?</v>
      </c>
      <c r="W27" s="7"/>
      <c r="X27" s="7" t="s">
        <v>40</v>
      </c>
      <c r="Y27" s="29" t="s">
        <v>147</v>
      </c>
      <c r="Z27" s="30"/>
      <c r="AA27" s="31">
        <v>45426</v>
      </c>
      <c r="AB27" s="32">
        <v>49075100014401</v>
      </c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  <c r="AO27" s="30"/>
      <c r="AP27" s="30"/>
      <c r="AQ27" s="30"/>
      <c r="AR27" s="30"/>
      <c r="AS27" s="30"/>
      <c r="AT27" s="30"/>
      <c r="AU27" s="30"/>
      <c r="AV27" s="30">
        <v>100500.8</v>
      </c>
      <c r="AW27" s="30">
        <v>101325.3</v>
      </c>
      <c r="AX27" s="30">
        <v>102220.7</v>
      </c>
      <c r="AY27" s="30">
        <v>103033.35</v>
      </c>
      <c r="AZ27" s="30">
        <v>103776.92</v>
      </c>
      <c r="BA27" s="30" t="e">
        <f t="array" aca="1" ref="BA27" ca="1">_xludf.XLOOKUP(C27,'PL TOTAL D0'!A:A,'PL TOTAL D0'!C:C,"")</f>
        <v>#NAME?</v>
      </c>
    </row>
    <row r="28" spans="1:53" ht="15.75" customHeight="1">
      <c r="A28" s="23" t="s">
        <v>29</v>
      </c>
      <c r="B28" s="40" t="s">
        <v>249</v>
      </c>
      <c r="C28" s="41" t="s">
        <v>250</v>
      </c>
      <c r="D28" s="7" t="s">
        <v>19</v>
      </c>
      <c r="E28" s="7" t="s">
        <v>20</v>
      </c>
      <c r="F28" s="7" t="s">
        <v>210</v>
      </c>
      <c r="G28" s="7" t="e">
        <f t="shared" ca="1" si="0"/>
        <v>#NAME?</v>
      </c>
      <c r="H28" s="24" t="s">
        <v>143</v>
      </c>
      <c r="I28" s="24" t="s">
        <v>25</v>
      </c>
      <c r="J28" s="7" t="str">
        <f t="shared" si="3"/>
        <v>Não</v>
      </c>
      <c r="K28" s="25">
        <v>45201</v>
      </c>
      <c r="L28" s="25">
        <v>45414</v>
      </c>
      <c r="M28" s="7" t="s">
        <v>42</v>
      </c>
      <c r="N28" s="26">
        <v>0.01</v>
      </c>
      <c r="O28" s="7" t="s">
        <v>25</v>
      </c>
      <c r="P28" s="27">
        <v>0</v>
      </c>
      <c r="Q28" s="28"/>
      <c r="R28" s="23" t="s">
        <v>251</v>
      </c>
      <c r="S28" s="7" t="s">
        <v>145</v>
      </c>
      <c r="T28" s="7" t="s">
        <v>252</v>
      </c>
      <c r="U28" s="7" t="s">
        <v>20</v>
      </c>
      <c r="V28" s="24" t="e">
        <f t="shared" ca="1" si="2"/>
        <v>#NAME?</v>
      </c>
      <c r="W28" s="7"/>
      <c r="X28" s="7"/>
      <c r="Y28" s="29" t="s">
        <v>253</v>
      </c>
      <c r="Z28" s="30"/>
      <c r="AA28" s="31">
        <v>45201</v>
      </c>
      <c r="AB28" s="32">
        <v>49075100011079</v>
      </c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>
        <v>0</v>
      </c>
      <c r="AO28" s="30">
        <v>56301.66</v>
      </c>
      <c r="AP28" s="30">
        <v>56710.28</v>
      </c>
      <c r="AQ28" s="30">
        <v>57141.5</v>
      </c>
      <c r="AR28" s="30">
        <v>57124.59</v>
      </c>
      <c r="AS28" s="30">
        <v>57677.35</v>
      </c>
      <c r="AT28" s="30">
        <v>58076.04</v>
      </c>
      <c r="AU28" s="30">
        <v>0</v>
      </c>
      <c r="AV28" s="30">
        <v>0</v>
      </c>
      <c r="AW28" s="30">
        <v>1.7</v>
      </c>
      <c r="AX28" s="30">
        <v>1.7</v>
      </c>
      <c r="AY28" s="30">
        <v>1.7</v>
      </c>
      <c r="AZ28" s="30">
        <v>1.7</v>
      </c>
      <c r="BA28" s="30" t="e">
        <f t="array" aca="1" ref="BA28" ca="1">_xludf.XLOOKUP(C28,'PL TOTAL D0'!A:A,'PL TOTAL D0'!C:C,"")</f>
        <v>#NAME?</v>
      </c>
    </row>
    <row r="29" spans="1:53" ht="15.75" customHeight="1">
      <c r="A29" s="23" t="s">
        <v>29</v>
      </c>
      <c r="B29" s="40" t="s">
        <v>249</v>
      </c>
      <c r="C29" s="41" t="s">
        <v>254</v>
      </c>
      <c r="D29" s="7" t="s">
        <v>19</v>
      </c>
      <c r="E29" s="7" t="s">
        <v>20</v>
      </c>
      <c r="F29" s="7" t="s">
        <v>210</v>
      </c>
      <c r="G29" s="7" t="e">
        <f t="shared" ca="1" si="0"/>
        <v>#NAME?</v>
      </c>
      <c r="H29" s="24" t="s">
        <v>143</v>
      </c>
      <c r="I29" s="24" t="s">
        <v>25</v>
      </c>
      <c r="J29" s="7" t="str">
        <f t="shared" si="3"/>
        <v>Não</v>
      </c>
      <c r="K29" s="25">
        <v>45196</v>
      </c>
      <c r="L29" s="25">
        <v>45414</v>
      </c>
      <c r="M29" s="7" t="s">
        <v>87</v>
      </c>
      <c r="N29" s="26">
        <v>0.02</v>
      </c>
      <c r="O29" s="7" t="s">
        <v>183</v>
      </c>
      <c r="P29" s="27">
        <v>0.2</v>
      </c>
      <c r="Q29" s="28"/>
      <c r="R29" s="23" t="s">
        <v>255</v>
      </c>
      <c r="S29" s="7" t="s">
        <v>145</v>
      </c>
      <c r="T29" s="7" t="s">
        <v>252</v>
      </c>
      <c r="U29" s="7" t="s">
        <v>20</v>
      </c>
      <c r="V29" s="24" t="e">
        <f t="shared" ca="1" si="2"/>
        <v>#NAME?</v>
      </c>
      <c r="W29" s="7"/>
      <c r="X29" s="7"/>
      <c r="Y29" s="29" t="s">
        <v>253</v>
      </c>
      <c r="Z29" s="30"/>
      <c r="AA29" s="31">
        <v>45196</v>
      </c>
      <c r="AB29" s="32">
        <v>49075100011060</v>
      </c>
      <c r="AC29" s="30"/>
      <c r="AD29" s="30"/>
      <c r="AE29" s="30"/>
      <c r="AF29" s="30"/>
      <c r="AG29" s="30"/>
      <c r="AH29" s="30"/>
      <c r="AI29" s="30"/>
      <c r="AJ29" s="30"/>
      <c r="AK29" s="30"/>
      <c r="AL29" s="30"/>
      <c r="AM29" s="30"/>
      <c r="AN29" s="30">
        <v>0</v>
      </c>
      <c r="AO29" s="30">
        <v>0</v>
      </c>
      <c r="AP29" s="30">
        <v>0</v>
      </c>
      <c r="AQ29" s="30">
        <v>0</v>
      </c>
      <c r="AR29" s="30">
        <v>0</v>
      </c>
      <c r="AS29" s="30">
        <v>1.06</v>
      </c>
      <c r="AT29" s="30">
        <v>1.06</v>
      </c>
      <c r="AU29" s="30">
        <v>0</v>
      </c>
      <c r="AV29" s="30">
        <v>0</v>
      </c>
      <c r="AW29" s="30">
        <v>0</v>
      </c>
      <c r="AX29" s="30">
        <v>0</v>
      </c>
      <c r="AY29" s="30">
        <v>0</v>
      </c>
      <c r="AZ29" s="30">
        <v>0</v>
      </c>
      <c r="BA29" s="30" t="e">
        <f t="array" aca="1" ref="BA29" ca="1">_xludf.XLOOKUP(C29,'PL TOTAL D0'!A:A,'PL TOTAL D0'!C:C,"")</f>
        <v>#NAME?</v>
      </c>
    </row>
    <row r="30" spans="1:53" ht="15.75" customHeight="1">
      <c r="A30" s="23" t="s">
        <v>29</v>
      </c>
      <c r="B30" s="40" t="s">
        <v>249</v>
      </c>
      <c r="C30" s="42" t="s">
        <v>256</v>
      </c>
      <c r="D30" s="7" t="s">
        <v>19</v>
      </c>
      <c r="E30" s="7" t="s">
        <v>20</v>
      </c>
      <c r="F30" s="7" t="s">
        <v>210</v>
      </c>
      <c r="G30" s="7" t="e">
        <f t="shared" ca="1" si="0"/>
        <v>#NAME?</v>
      </c>
      <c r="H30" s="24" t="s">
        <v>143</v>
      </c>
      <c r="I30" s="24" t="s">
        <v>25</v>
      </c>
      <c r="J30" s="7" t="str">
        <f t="shared" si="3"/>
        <v>Não</v>
      </c>
      <c r="K30" s="25">
        <v>45202</v>
      </c>
      <c r="L30" s="25">
        <v>45414</v>
      </c>
      <c r="M30" s="7" t="s">
        <v>257</v>
      </c>
      <c r="N30" s="26">
        <v>8.0000000000000002E-3</v>
      </c>
      <c r="O30" s="7" t="s">
        <v>258</v>
      </c>
      <c r="P30" s="27">
        <v>0.1</v>
      </c>
      <c r="Q30" s="28"/>
      <c r="R30" s="43" t="s">
        <v>259</v>
      </c>
      <c r="S30" s="7" t="s">
        <v>145</v>
      </c>
      <c r="T30" s="7" t="s">
        <v>252</v>
      </c>
      <c r="U30" s="7" t="s">
        <v>20</v>
      </c>
      <c r="V30" s="24" t="e">
        <f t="shared" ca="1" si="2"/>
        <v>#NAME?</v>
      </c>
      <c r="W30" s="7"/>
      <c r="X30" s="7"/>
      <c r="Y30" s="29" t="s">
        <v>253</v>
      </c>
      <c r="Z30" s="30"/>
      <c r="AA30" s="31">
        <v>45202</v>
      </c>
      <c r="AB30" s="32">
        <v>49075100011087</v>
      </c>
      <c r="AC30" s="30"/>
      <c r="AD30" s="30"/>
      <c r="AE30" s="30"/>
      <c r="AF30" s="30"/>
      <c r="AG30" s="30"/>
      <c r="AH30" s="30"/>
      <c r="AI30" s="30"/>
      <c r="AJ30" s="30"/>
      <c r="AK30" s="30"/>
      <c r="AL30" s="30"/>
      <c r="AM30" s="30"/>
      <c r="AN30" s="30">
        <v>0</v>
      </c>
      <c r="AO30" s="30">
        <v>50.92</v>
      </c>
      <c r="AP30" s="30">
        <v>33.049999999999997</v>
      </c>
      <c r="AQ30" s="30">
        <v>33.049999999999997</v>
      </c>
      <c r="AR30" s="30">
        <v>33.049999999999997</v>
      </c>
      <c r="AS30" s="30">
        <v>33.049999999999997</v>
      </c>
      <c r="AT30" s="30">
        <v>33.049999999999997</v>
      </c>
      <c r="AU30" s="30">
        <v>0</v>
      </c>
      <c r="AV30" s="30">
        <v>0</v>
      </c>
      <c r="AW30" s="30">
        <v>0</v>
      </c>
      <c r="AX30" s="30">
        <v>0</v>
      </c>
      <c r="AY30" s="30">
        <v>0</v>
      </c>
      <c r="AZ30" s="30">
        <v>0</v>
      </c>
      <c r="BA30" s="30" t="e">
        <f t="array" aca="1" ref="BA30" ca="1">_xludf.XLOOKUP(C30,'PL TOTAL D0'!A:A,'PL TOTAL D0'!C:C,"")</f>
        <v>#NAME?</v>
      </c>
    </row>
    <row r="31" spans="1:53" ht="15.75" customHeight="1">
      <c r="A31" s="23" t="s">
        <v>29</v>
      </c>
      <c r="B31" s="3" t="s">
        <v>260</v>
      </c>
      <c r="C31" s="44" t="s">
        <v>261</v>
      </c>
      <c r="D31" s="7" t="s">
        <v>19</v>
      </c>
      <c r="E31" s="7" t="s">
        <v>34</v>
      </c>
      <c r="F31" s="7" t="s">
        <v>262</v>
      </c>
      <c r="G31" s="7" t="e">
        <f t="shared" ca="1" si="0"/>
        <v>#NAME?</v>
      </c>
      <c r="H31" s="24" t="s">
        <v>152</v>
      </c>
      <c r="I31" s="24" t="s">
        <v>25</v>
      </c>
      <c r="J31" s="7" t="str">
        <f t="shared" si="3"/>
        <v>Não</v>
      </c>
      <c r="K31" s="25">
        <v>45198</v>
      </c>
      <c r="L31" s="25"/>
      <c r="M31" s="7" t="s">
        <v>200</v>
      </c>
      <c r="N31" s="26">
        <v>1.4999999999999999E-2</v>
      </c>
      <c r="O31" s="7" t="s">
        <v>37</v>
      </c>
      <c r="P31" s="27">
        <v>0.1</v>
      </c>
      <c r="Q31" s="28"/>
      <c r="R31" s="45" t="s">
        <v>263</v>
      </c>
      <c r="S31" s="7" t="s">
        <v>145</v>
      </c>
      <c r="T31" s="7" t="s">
        <v>264</v>
      </c>
      <c r="U31" s="7" t="s">
        <v>39</v>
      </c>
      <c r="V31" s="24" t="e">
        <f t="shared" ca="1" si="2"/>
        <v>#NAME?</v>
      </c>
      <c r="W31" s="7"/>
      <c r="X31" s="7"/>
      <c r="Y31" s="29" t="s">
        <v>147</v>
      </c>
      <c r="Z31" s="30"/>
      <c r="AA31" s="31">
        <v>45198</v>
      </c>
      <c r="AB31" s="32">
        <v>49075100011095</v>
      </c>
      <c r="AC31" s="30"/>
      <c r="AD31" s="30"/>
      <c r="AE31" s="30"/>
      <c r="AF31" s="30"/>
      <c r="AG31" s="30"/>
      <c r="AH31" s="30"/>
      <c r="AI31" s="30"/>
      <c r="AJ31" s="30"/>
      <c r="AK31" s="30"/>
      <c r="AL31" s="30"/>
      <c r="AM31" s="30"/>
      <c r="AN31" s="30">
        <v>0</v>
      </c>
      <c r="AO31" s="30">
        <v>123194.03</v>
      </c>
      <c r="AP31" s="30">
        <v>125199.64</v>
      </c>
      <c r="AQ31" s="30">
        <v>127045.25</v>
      </c>
      <c r="AR31" s="30">
        <v>126759.44</v>
      </c>
      <c r="AS31" s="30">
        <v>127792.29</v>
      </c>
      <c r="AT31" s="30">
        <v>129147.26</v>
      </c>
      <c r="AU31" s="30">
        <v>129298.77</v>
      </c>
      <c r="AV31" s="30">
        <v>129527.5</v>
      </c>
      <c r="AW31" s="30">
        <v>130473.4</v>
      </c>
      <c r="AX31" s="30">
        <v>131745.5</v>
      </c>
      <c r="AY31" s="30">
        <v>147881.88</v>
      </c>
      <c r="AZ31" s="30">
        <v>147535.75</v>
      </c>
      <c r="BA31" s="30" t="e">
        <f t="array" aca="1" ref="BA31" ca="1">_xludf.XLOOKUP(C31,'PL TOTAL D0'!A:A,'PL TOTAL D0'!C:C,"")</f>
        <v>#NAME?</v>
      </c>
    </row>
    <row r="32" spans="1:53" ht="12.75">
      <c r="A32" s="23" t="s">
        <v>29</v>
      </c>
      <c r="B32" s="3" t="s">
        <v>265</v>
      </c>
      <c r="C32" s="4" t="s">
        <v>266</v>
      </c>
      <c r="D32" s="7" t="s">
        <v>19</v>
      </c>
      <c r="E32" s="7" t="s">
        <v>34</v>
      </c>
      <c r="F32" s="7" t="s">
        <v>262</v>
      </c>
      <c r="G32" s="7" t="e">
        <f t="shared" ca="1" si="0"/>
        <v>#NAME?</v>
      </c>
      <c r="H32" s="24" t="s">
        <v>143</v>
      </c>
      <c r="I32" s="24" t="s">
        <v>25</v>
      </c>
      <c r="J32" s="7" t="str">
        <f t="shared" si="3"/>
        <v>Não</v>
      </c>
      <c r="K32" s="25">
        <v>45131</v>
      </c>
      <c r="L32" s="25">
        <v>45163</v>
      </c>
      <c r="M32" s="7" t="s">
        <v>42</v>
      </c>
      <c r="N32" s="26">
        <v>1.2E-2</v>
      </c>
      <c r="O32" s="7" t="s">
        <v>25</v>
      </c>
      <c r="P32" s="27">
        <v>0</v>
      </c>
      <c r="Q32" s="28"/>
      <c r="R32" s="28"/>
      <c r="S32" s="7" t="s">
        <v>145</v>
      </c>
      <c r="T32" s="7" t="s">
        <v>264</v>
      </c>
      <c r="U32" s="7" t="s">
        <v>39</v>
      </c>
      <c r="V32" s="24" t="e">
        <f t="shared" ca="1" si="2"/>
        <v>#NAME?</v>
      </c>
      <c r="W32" s="7"/>
      <c r="X32" s="7"/>
      <c r="Y32" s="29"/>
      <c r="Z32" s="30"/>
      <c r="AA32" s="31">
        <v>45131</v>
      </c>
      <c r="AB32" s="32"/>
      <c r="AC32" s="30"/>
      <c r="AD32" s="30"/>
      <c r="AE32" s="30"/>
      <c r="AF32" s="30"/>
      <c r="AG32" s="30"/>
      <c r="AH32" s="30"/>
      <c r="AI32" s="30"/>
      <c r="AJ32" s="30"/>
      <c r="AK32" s="30"/>
      <c r="AL32" s="30">
        <v>0</v>
      </c>
      <c r="AM32" s="30">
        <v>0</v>
      </c>
      <c r="AN32" s="30">
        <v>0</v>
      </c>
      <c r="AO32" s="30">
        <v>0</v>
      </c>
      <c r="AP32" s="30">
        <v>0</v>
      </c>
      <c r="AQ32" s="30">
        <v>0</v>
      </c>
      <c r="AR32" s="30">
        <v>0</v>
      </c>
      <c r="AS32" s="30">
        <v>0</v>
      </c>
      <c r="AT32" s="30">
        <v>0</v>
      </c>
      <c r="AU32" s="30">
        <v>0</v>
      </c>
      <c r="AV32" s="30">
        <v>0</v>
      </c>
      <c r="AW32" s="30">
        <v>0</v>
      </c>
      <c r="AX32" s="30">
        <v>0</v>
      </c>
      <c r="AY32" s="30">
        <v>0</v>
      </c>
      <c r="AZ32" s="30">
        <v>0</v>
      </c>
      <c r="BA32" s="30" t="e">
        <f t="array" aca="1" ref="BA32" ca="1">_xludf.XLOOKUP(C32,'PL TOTAL D0'!A:A,'PL TOTAL D0'!C:C,"")</f>
        <v>#NAME?</v>
      </c>
    </row>
    <row r="33" spans="1:53" ht="12.75">
      <c r="A33" s="23" t="s">
        <v>29</v>
      </c>
      <c r="B33" s="38" t="s">
        <v>267</v>
      </c>
      <c r="C33" s="39" t="s">
        <v>268</v>
      </c>
      <c r="D33" s="7" t="s">
        <v>19</v>
      </c>
      <c r="E33" s="7" t="s">
        <v>20</v>
      </c>
      <c r="F33" s="7" t="s">
        <v>269</v>
      </c>
      <c r="G33" s="7" t="e">
        <f t="shared" ca="1" si="0"/>
        <v>#NAME?</v>
      </c>
      <c r="H33" s="24" t="s">
        <v>167</v>
      </c>
      <c r="I33" s="24" t="s">
        <v>222</v>
      </c>
      <c r="J33" s="7" t="str">
        <f t="shared" si="3"/>
        <v>Não</v>
      </c>
      <c r="K33" s="25">
        <v>45421</v>
      </c>
      <c r="L33" s="25"/>
      <c r="M33" s="7" t="s">
        <v>42</v>
      </c>
      <c r="N33" s="26">
        <v>1.2E-2</v>
      </c>
      <c r="O33" s="7" t="s">
        <v>25</v>
      </c>
      <c r="P33" s="27">
        <v>0</v>
      </c>
      <c r="Q33" s="28"/>
      <c r="R33" s="28"/>
      <c r="S33" s="7" t="s">
        <v>145</v>
      </c>
      <c r="T33" s="12" t="s">
        <v>270</v>
      </c>
      <c r="U33" s="7" t="s">
        <v>60</v>
      </c>
      <c r="V33" s="24" t="e">
        <f t="shared" ca="1" si="2"/>
        <v>#NAME?</v>
      </c>
      <c r="W33" s="7"/>
      <c r="X33" s="7" t="s">
        <v>52</v>
      </c>
      <c r="Y33" s="29" t="s">
        <v>147</v>
      </c>
      <c r="Z33" s="30"/>
      <c r="AA33" s="31">
        <v>45421</v>
      </c>
      <c r="AB33" s="32">
        <v>49075100014418</v>
      </c>
      <c r="AC33" s="30"/>
      <c r="AD33" s="30"/>
      <c r="AE33" s="30"/>
      <c r="AF33" s="30"/>
      <c r="AG33" s="30"/>
      <c r="AH33" s="30"/>
      <c r="AI33" s="30"/>
      <c r="AJ33" s="30"/>
      <c r="AK33" s="30"/>
      <c r="AL33" s="30"/>
      <c r="AM33" s="30"/>
      <c r="AN33" s="30"/>
      <c r="AO33" s="30"/>
      <c r="AP33" s="30"/>
      <c r="AQ33" s="30"/>
      <c r="AR33" s="30"/>
      <c r="AS33" s="30"/>
      <c r="AT33" s="30"/>
      <c r="AU33" s="30"/>
      <c r="AV33" s="30">
        <v>0</v>
      </c>
      <c r="AW33" s="30">
        <v>0</v>
      </c>
      <c r="AX33" s="30">
        <v>0</v>
      </c>
      <c r="AY33" s="30">
        <v>0</v>
      </c>
      <c r="AZ33" s="30">
        <v>0</v>
      </c>
      <c r="BA33" s="30" t="e">
        <f t="array" aca="1" ref="BA33" ca="1">_xludf.XLOOKUP(C33,'PL TOTAL D0'!A:A,'PL TOTAL D0'!C:C,"")</f>
        <v>#NAME?</v>
      </c>
    </row>
    <row r="34" spans="1:53" ht="15.75" customHeight="1">
      <c r="A34" s="23" t="s">
        <v>29</v>
      </c>
      <c r="B34" s="3" t="s">
        <v>271</v>
      </c>
      <c r="C34" s="46" t="s">
        <v>272</v>
      </c>
      <c r="D34" s="7" t="s">
        <v>64</v>
      </c>
      <c r="E34" s="7" t="s">
        <v>20</v>
      </c>
      <c r="F34" s="7" t="s">
        <v>273</v>
      </c>
      <c r="G34" s="7" t="e">
        <f t="shared" ca="1" si="0"/>
        <v>#NAME?</v>
      </c>
      <c r="H34" s="24" t="s">
        <v>152</v>
      </c>
      <c r="I34" s="24" t="s">
        <v>25</v>
      </c>
      <c r="J34" s="7" t="str">
        <f t="shared" si="3"/>
        <v>Não</v>
      </c>
      <c r="K34" s="25">
        <v>45208</v>
      </c>
      <c r="L34" s="25"/>
      <c r="M34" s="7" t="s">
        <v>87</v>
      </c>
      <c r="N34" s="26">
        <v>2.5000000000000001E-2</v>
      </c>
      <c r="O34" s="7" t="s">
        <v>183</v>
      </c>
      <c r="P34" s="27">
        <v>0.2</v>
      </c>
      <c r="Q34" s="28"/>
      <c r="R34" s="28"/>
      <c r="S34" s="7" t="s">
        <v>145</v>
      </c>
      <c r="T34" s="7" t="s">
        <v>274</v>
      </c>
      <c r="U34" s="7" t="s">
        <v>20</v>
      </c>
      <c r="V34" s="24" t="e">
        <f t="shared" ca="1" si="2"/>
        <v>#NAME?</v>
      </c>
      <c r="W34" s="7"/>
      <c r="X34" s="7"/>
      <c r="Y34" s="29" t="s">
        <v>147</v>
      </c>
      <c r="Z34" s="30"/>
      <c r="AA34" s="31">
        <v>45208</v>
      </c>
      <c r="AB34" s="32">
        <v>49075100011109</v>
      </c>
      <c r="AC34" s="30"/>
      <c r="AD34" s="30"/>
      <c r="AE34" s="30"/>
      <c r="AF34" s="30"/>
      <c r="AG34" s="30"/>
      <c r="AH34" s="30"/>
      <c r="AI34" s="30"/>
      <c r="AJ34" s="30"/>
      <c r="AK34" s="30"/>
      <c r="AL34" s="30"/>
      <c r="AM34" s="30"/>
      <c r="AN34" s="30">
        <v>300618.08</v>
      </c>
      <c r="AO34" s="30">
        <v>330730.58</v>
      </c>
      <c r="AP34" s="30">
        <v>374414.13</v>
      </c>
      <c r="AQ34" s="30">
        <v>391992.13</v>
      </c>
      <c r="AR34" s="30">
        <v>367539.74</v>
      </c>
      <c r="AS34" s="30">
        <v>373189.29</v>
      </c>
      <c r="AT34" s="30">
        <v>378431.57</v>
      </c>
      <c r="AU34" s="30">
        <v>356940.29</v>
      </c>
      <c r="AV34" s="30">
        <v>345480.6</v>
      </c>
      <c r="AW34" s="30">
        <v>346058.8</v>
      </c>
      <c r="AX34" s="30">
        <v>354935.5</v>
      </c>
      <c r="AY34" s="30">
        <v>363207.4</v>
      </c>
      <c r="AZ34" s="30">
        <v>356007.5</v>
      </c>
      <c r="BA34" s="30" t="e">
        <f t="array" aca="1" ref="BA34" ca="1">_xludf.XLOOKUP(C34,'PL TOTAL D0'!A:A,'PL TOTAL D0'!C:C,"")</f>
        <v>#NAME?</v>
      </c>
    </row>
    <row r="35" spans="1:53" ht="15.75" customHeight="1">
      <c r="A35" s="23" t="s">
        <v>29</v>
      </c>
      <c r="B35" s="3" t="s">
        <v>275</v>
      </c>
      <c r="C35" s="4" t="s">
        <v>276</v>
      </c>
      <c r="D35" s="7" t="s">
        <v>19</v>
      </c>
      <c r="E35" s="7" t="s">
        <v>49</v>
      </c>
      <c r="F35" s="7" t="s">
        <v>277</v>
      </c>
      <c r="G35" s="7" t="e">
        <f t="shared" ca="1" si="0"/>
        <v>#NAME?</v>
      </c>
      <c r="H35" s="24" t="s">
        <v>152</v>
      </c>
      <c r="I35" s="24" t="s">
        <v>25</v>
      </c>
      <c r="J35" s="7" t="str">
        <f t="shared" si="3"/>
        <v>Não</v>
      </c>
      <c r="K35" s="25">
        <v>45013</v>
      </c>
      <c r="L35" s="7"/>
      <c r="M35" s="7" t="s">
        <v>42</v>
      </c>
      <c r="N35" s="26">
        <v>1.2E-2</v>
      </c>
      <c r="O35" s="7" t="s">
        <v>25</v>
      </c>
      <c r="P35" s="27">
        <v>0</v>
      </c>
      <c r="Q35" s="28"/>
      <c r="R35" s="28"/>
      <c r="S35" s="7" t="s">
        <v>145</v>
      </c>
      <c r="T35" s="7" t="s">
        <v>278</v>
      </c>
      <c r="U35" s="7" t="s">
        <v>20</v>
      </c>
      <c r="V35" s="24" t="e">
        <f t="shared" ca="1" si="2"/>
        <v>#NAME?</v>
      </c>
      <c r="W35" s="7"/>
      <c r="X35" s="7"/>
      <c r="Y35" s="29" t="s">
        <v>147</v>
      </c>
      <c r="Z35" s="30"/>
      <c r="AA35" s="31">
        <v>45013</v>
      </c>
      <c r="AB35" s="32">
        <v>49075100007136</v>
      </c>
      <c r="AC35" s="30"/>
      <c r="AD35" s="30"/>
      <c r="AE35" s="30"/>
      <c r="AF35" s="30"/>
      <c r="AG35" s="30"/>
      <c r="AH35" s="30">
        <v>82017.27</v>
      </c>
      <c r="AI35" s="30">
        <v>82865.36</v>
      </c>
      <c r="AJ35" s="30">
        <v>83869.63</v>
      </c>
      <c r="AK35" s="30">
        <v>83223.64</v>
      </c>
      <c r="AL35" s="30">
        <v>84064.34</v>
      </c>
      <c r="AM35" s="30">
        <v>85059.73</v>
      </c>
      <c r="AN35" s="30">
        <v>85685.59</v>
      </c>
      <c r="AO35" s="30">
        <v>86280.89</v>
      </c>
      <c r="AP35" s="30">
        <v>66767.77</v>
      </c>
      <c r="AQ35" s="30">
        <v>67319.42</v>
      </c>
      <c r="AR35" s="30">
        <v>67963.360000000001</v>
      </c>
      <c r="AS35" s="30">
        <v>68519.33</v>
      </c>
      <c r="AT35" s="30">
        <v>69098.44</v>
      </c>
      <c r="AU35" s="30">
        <v>69719.360000000001</v>
      </c>
      <c r="AV35" s="30">
        <v>70283.63</v>
      </c>
      <c r="AW35" s="30">
        <v>69800.56</v>
      </c>
      <c r="AX35" s="30">
        <v>70388.91</v>
      </c>
      <c r="AY35" s="30">
        <v>70945.45</v>
      </c>
      <c r="AZ35" s="30">
        <v>30169.58</v>
      </c>
      <c r="BA35" s="30" t="e">
        <f t="array" aca="1" ref="BA35" ca="1">_xludf.XLOOKUP(C35,'PL TOTAL D0'!A:A,'PL TOTAL D0'!C:C,"")</f>
        <v>#NAME?</v>
      </c>
    </row>
    <row r="36" spans="1:53" ht="15.75" customHeight="1">
      <c r="A36" s="23" t="s">
        <v>29</v>
      </c>
      <c r="B36" s="3" t="s">
        <v>279</v>
      </c>
      <c r="C36" s="4" t="s">
        <v>280</v>
      </c>
      <c r="D36" s="7" t="s">
        <v>19</v>
      </c>
      <c r="E36" s="7" t="s">
        <v>20</v>
      </c>
      <c r="F36" s="7" t="s">
        <v>210</v>
      </c>
      <c r="G36" s="7" t="e">
        <f t="shared" ca="1" si="0"/>
        <v>#NAME?</v>
      </c>
      <c r="H36" s="24" t="s">
        <v>152</v>
      </c>
      <c r="I36" s="24" t="s">
        <v>25</v>
      </c>
      <c r="J36" s="7" t="str">
        <f t="shared" si="3"/>
        <v>Não</v>
      </c>
      <c r="K36" s="25">
        <v>45498</v>
      </c>
      <c r="L36" s="7"/>
      <c r="M36" s="7" t="s">
        <v>42</v>
      </c>
      <c r="N36" s="26">
        <v>1.2E-2</v>
      </c>
      <c r="O36" s="7" t="s">
        <v>25</v>
      </c>
      <c r="P36" s="27">
        <v>0</v>
      </c>
      <c r="Q36" s="28"/>
      <c r="R36" s="28"/>
      <c r="S36" s="7" t="s">
        <v>145</v>
      </c>
      <c r="T36" s="7" t="s">
        <v>281</v>
      </c>
      <c r="U36" s="7" t="s">
        <v>20</v>
      </c>
      <c r="V36" s="24" t="e">
        <f t="shared" ca="1" si="2"/>
        <v>#NAME?</v>
      </c>
      <c r="W36" s="7"/>
      <c r="X36" s="7" t="s">
        <v>40</v>
      </c>
      <c r="Y36" s="29" t="s">
        <v>147</v>
      </c>
      <c r="Z36" s="30"/>
      <c r="AA36" s="31">
        <v>45498</v>
      </c>
      <c r="AB36" s="32">
        <v>49075100015465</v>
      </c>
      <c r="AC36" s="30"/>
      <c r="AD36" s="30"/>
      <c r="AE36" s="30"/>
      <c r="AF36" s="30"/>
      <c r="AG36" s="30"/>
      <c r="AH36" s="30"/>
      <c r="AI36" s="30"/>
      <c r="AJ36" s="30"/>
      <c r="AK36" s="30"/>
      <c r="AL36" s="30"/>
      <c r="AM36" s="30"/>
      <c r="AN36" s="30"/>
      <c r="AO36" s="30"/>
      <c r="AP36" s="30"/>
      <c r="AQ36" s="30"/>
      <c r="AR36" s="30"/>
      <c r="AS36" s="30"/>
      <c r="AT36" s="30"/>
      <c r="AU36" s="30"/>
      <c r="AV36" s="30"/>
      <c r="AW36" s="30"/>
      <c r="AX36" s="30">
        <v>100133.4</v>
      </c>
      <c r="AY36" s="30">
        <v>131281.04999999999</v>
      </c>
      <c r="AZ36" s="30">
        <v>151363.49</v>
      </c>
      <c r="BA36" s="30" t="e">
        <f t="array" aca="1" ref="BA36" ca="1">_xludf.XLOOKUP(C36,'PL TOTAL D0'!A:A,'PL TOTAL D0'!C:C,"")</f>
        <v>#NAME?</v>
      </c>
    </row>
    <row r="37" spans="1:53" ht="15.75" customHeight="1">
      <c r="A37" s="23" t="s">
        <v>29</v>
      </c>
      <c r="B37" s="3" t="s">
        <v>282</v>
      </c>
      <c r="C37" s="4" t="s">
        <v>283</v>
      </c>
      <c r="D37" s="7" t="s">
        <v>64</v>
      </c>
      <c r="E37" s="7" t="s">
        <v>20</v>
      </c>
      <c r="F37" s="7" t="s">
        <v>142</v>
      </c>
      <c r="G37" s="7" t="e">
        <f t="shared" ca="1" si="0"/>
        <v>#NAME?</v>
      </c>
      <c r="H37" s="24" t="s">
        <v>143</v>
      </c>
      <c r="I37" s="24" t="s">
        <v>25</v>
      </c>
      <c r="J37" s="7" t="s">
        <v>181</v>
      </c>
      <c r="K37" s="25">
        <v>45355</v>
      </c>
      <c r="L37" s="25">
        <v>45513</v>
      </c>
      <c r="M37" s="7" t="s">
        <v>284</v>
      </c>
      <c r="N37" s="26">
        <v>0.01</v>
      </c>
      <c r="O37" s="7" t="s">
        <v>37</v>
      </c>
      <c r="P37" s="27">
        <v>0.1</v>
      </c>
      <c r="Q37" s="28"/>
      <c r="R37" s="28" t="s">
        <v>285</v>
      </c>
      <c r="S37" s="7" t="s">
        <v>187</v>
      </c>
      <c r="T37" s="7" t="s">
        <v>286</v>
      </c>
      <c r="U37" s="7" t="s">
        <v>60</v>
      </c>
      <c r="V37" s="24" t="e">
        <f t="shared" ca="1" si="2"/>
        <v>#NAME?</v>
      </c>
      <c r="W37" s="7"/>
      <c r="X37" s="7"/>
      <c r="Y37" s="29"/>
      <c r="Z37" s="30"/>
      <c r="AA37" s="31">
        <v>45355</v>
      </c>
      <c r="AB37" s="32">
        <v>49075100013942</v>
      </c>
      <c r="AC37" s="30"/>
      <c r="AD37" s="30"/>
      <c r="AE37" s="30"/>
      <c r="AF37" s="30"/>
      <c r="AG37" s="30"/>
      <c r="AH37" s="30"/>
      <c r="AI37" s="30"/>
      <c r="AJ37" s="30"/>
      <c r="AK37" s="30"/>
      <c r="AL37" s="30"/>
      <c r="AM37" s="30"/>
      <c r="AN37" s="30"/>
      <c r="AO37" s="30"/>
      <c r="AP37" s="30"/>
      <c r="AQ37" s="30"/>
      <c r="AR37" s="30"/>
      <c r="AS37" s="30"/>
      <c r="AT37" s="30"/>
      <c r="AU37" s="30">
        <v>3006379.39</v>
      </c>
      <c r="AV37" s="30">
        <v>3019379</v>
      </c>
      <c r="AW37" s="30">
        <v>7063776</v>
      </c>
      <c r="AX37" s="30">
        <v>0</v>
      </c>
      <c r="AY37" s="30">
        <v>0</v>
      </c>
      <c r="AZ37" s="30">
        <v>0</v>
      </c>
      <c r="BA37" s="30" t="e">
        <f t="array" aca="1" ref="BA37" ca="1">_xludf.XLOOKUP(C37,'PL TOTAL D0'!A:A,'PL TOTAL D0'!C:C,"")</f>
        <v>#NAME?</v>
      </c>
    </row>
    <row r="38" spans="1:53" ht="15.75" customHeight="1">
      <c r="A38" s="23" t="s">
        <v>29</v>
      </c>
      <c r="B38" s="3" t="s">
        <v>287</v>
      </c>
      <c r="C38" s="4" t="s">
        <v>288</v>
      </c>
      <c r="D38" s="7" t="s">
        <v>64</v>
      </c>
      <c r="E38" s="7" t="s">
        <v>20</v>
      </c>
      <c r="F38" s="7" t="s">
        <v>289</v>
      </c>
      <c r="G38" s="7" t="e">
        <f t="shared" ca="1" si="0"/>
        <v>#NAME?</v>
      </c>
      <c r="H38" s="24" t="s">
        <v>161</v>
      </c>
      <c r="I38" s="24" t="s">
        <v>162</v>
      </c>
      <c r="J38" s="7" t="str">
        <f t="shared" ref="J38:J43" si="4">IF(Q38=0,"Não","Sim")</f>
        <v>Não</v>
      </c>
      <c r="K38" s="25">
        <v>44973</v>
      </c>
      <c r="L38" s="7"/>
      <c r="M38" s="7" t="s">
        <v>200</v>
      </c>
      <c r="N38" s="26">
        <v>0.02</v>
      </c>
      <c r="O38" s="7" t="s">
        <v>37</v>
      </c>
      <c r="P38" s="27">
        <v>0.2</v>
      </c>
      <c r="Q38" s="28"/>
      <c r="R38" s="47"/>
      <c r="S38" s="7" t="s">
        <v>145</v>
      </c>
      <c r="T38" s="7" t="s">
        <v>290</v>
      </c>
      <c r="U38" s="7" t="s">
        <v>20</v>
      </c>
      <c r="V38" s="24" t="e">
        <f t="shared" ca="1" si="2"/>
        <v>#NAME?</v>
      </c>
      <c r="W38" s="7"/>
      <c r="X38" s="7"/>
      <c r="Y38" s="29" t="s">
        <v>147</v>
      </c>
      <c r="Z38" s="30"/>
      <c r="AA38" s="31">
        <v>44973</v>
      </c>
      <c r="AB38" s="32">
        <v>49075100011117</v>
      </c>
      <c r="AC38" s="30"/>
      <c r="AD38" s="30"/>
      <c r="AE38" s="30"/>
      <c r="AF38" s="30">
        <v>0</v>
      </c>
      <c r="AG38" s="30">
        <v>40303.5</v>
      </c>
      <c r="AH38" s="30">
        <v>68939.38</v>
      </c>
      <c r="AI38" s="30">
        <v>69815.350000000006</v>
      </c>
      <c r="AJ38" s="30">
        <v>107537.03</v>
      </c>
      <c r="AK38" s="30">
        <v>108917.8</v>
      </c>
      <c r="AL38" s="30">
        <v>109573.66</v>
      </c>
      <c r="AM38" s="30">
        <v>109854.09</v>
      </c>
      <c r="AN38" s="30">
        <v>17.86</v>
      </c>
      <c r="AO38" s="30">
        <v>17.86</v>
      </c>
      <c r="AP38" s="30">
        <v>17.86</v>
      </c>
      <c r="AQ38" s="30">
        <v>17.86</v>
      </c>
      <c r="AR38" s="30">
        <v>17.86</v>
      </c>
      <c r="AS38" s="30">
        <v>18.77</v>
      </c>
      <c r="AT38" s="30">
        <v>18.77</v>
      </c>
      <c r="AU38" s="30">
        <v>18.77</v>
      </c>
      <c r="AV38" s="30">
        <v>18.77</v>
      </c>
      <c r="AW38" s="30">
        <v>18.77</v>
      </c>
      <c r="AX38" s="30">
        <v>18.77</v>
      </c>
      <c r="AY38" s="30">
        <v>18.77</v>
      </c>
      <c r="AZ38" s="30">
        <v>18.77</v>
      </c>
      <c r="BA38" s="30" t="e">
        <f t="array" aca="1" ref="BA38" ca="1">_xludf.XLOOKUP(C38,'PL TOTAL D0'!A:A,'PL TOTAL D0'!C:C,"")</f>
        <v>#NAME?</v>
      </c>
    </row>
    <row r="39" spans="1:53" ht="15.75" customHeight="1">
      <c r="A39" s="23" t="s">
        <v>29</v>
      </c>
      <c r="B39" s="3" t="s">
        <v>291</v>
      </c>
      <c r="C39" s="4" t="s">
        <v>292</v>
      </c>
      <c r="D39" s="7" t="s">
        <v>19</v>
      </c>
      <c r="E39" s="7" t="s">
        <v>20</v>
      </c>
      <c r="F39" s="7" t="s">
        <v>199</v>
      </c>
      <c r="G39" s="7" t="e">
        <f t="shared" ca="1" si="0"/>
        <v>#NAME?</v>
      </c>
      <c r="H39" s="24" t="s">
        <v>152</v>
      </c>
      <c r="I39" s="24" t="s">
        <v>25</v>
      </c>
      <c r="J39" s="7" t="str">
        <f t="shared" si="4"/>
        <v>Não</v>
      </c>
      <c r="K39" s="25">
        <v>45301</v>
      </c>
      <c r="L39" s="7"/>
      <c r="M39" s="7" t="s">
        <v>200</v>
      </c>
      <c r="N39" s="26">
        <v>1.4999999999999999E-2</v>
      </c>
      <c r="O39" s="7" t="s">
        <v>25</v>
      </c>
      <c r="P39" s="27">
        <v>0</v>
      </c>
      <c r="Q39" s="28"/>
      <c r="R39" s="45"/>
      <c r="S39" s="7" t="s">
        <v>145</v>
      </c>
      <c r="T39" s="7" t="s">
        <v>293</v>
      </c>
      <c r="U39" s="7" t="s">
        <v>294</v>
      </c>
      <c r="V39" s="24" t="e">
        <f t="shared" ca="1" si="2"/>
        <v>#NAME?</v>
      </c>
      <c r="W39" s="7"/>
      <c r="X39" s="7"/>
      <c r="Y39" s="29" t="s">
        <v>147</v>
      </c>
      <c r="Z39" s="30"/>
      <c r="AA39" s="31">
        <v>45301</v>
      </c>
      <c r="AB39" s="32">
        <v>49075100013128</v>
      </c>
      <c r="AC39" s="30"/>
      <c r="AD39" s="30"/>
      <c r="AE39" s="30"/>
      <c r="AF39" s="30"/>
      <c r="AG39" s="30"/>
      <c r="AH39" s="30"/>
      <c r="AI39" s="30"/>
      <c r="AJ39" s="30"/>
      <c r="AK39" s="30"/>
      <c r="AL39" s="30"/>
      <c r="AM39" s="30"/>
      <c r="AN39" s="30"/>
      <c r="AO39" s="30"/>
      <c r="AP39" s="30"/>
      <c r="AQ39" s="30"/>
      <c r="AR39" s="30">
        <v>852917.92</v>
      </c>
      <c r="AS39" s="30">
        <v>861609.97</v>
      </c>
      <c r="AT39" s="30">
        <v>870146.9</v>
      </c>
      <c r="AU39" s="30">
        <v>855001.44</v>
      </c>
      <c r="AV39" s="30">
        <v>853811.19999999995</v>
      </c>
      <c r="AW39" s="30">
        <v>858755.8</v>
      </c>
      <c r="AX39" s="30">
        <v>871451.1</v>
      </c>
      <c r="AY39" s="30">
        <v>892575.51</v>
      </c>
      <c r="AZ39" s="30">
        <v>910861.8</v>
      </c>
      <c r="BA39" s="30" t="e">
        <f t="array" aca="1" ref="BA39" ca="1">_xludf.XLOOKUP(C39,'PL TOTAL D0'!A:A,'PL TOTAL D0'!C:C,"")</f>
        <v>#NAME?</v>
      </c>
    </row>
    <row r="40" spans="1:53" ht="16.5" customHeight="1">
      <c r="A40" s="23" t="s">
        <v>29</v>
      </c>
      <c r="B40" s="3" t="s">
        <v>295</v>
      </c>
      <c r="C40" s="4" t="s">
        <v>296</v>
      </c>
      <c r="D40" s="7" t="s">
        <v>19</v>
      </c>
      <c r="E40" s="7" t="s">
        <v>49</v>
      </c>
      <c r="F40" s="7" t="s">
        <v>50</v>
      </c>
      <c r="G40" s="7" t="e">
        <f t="shared" ca="1" si="0"/>
        <v>#NAME?</v>
      </c>
      <c r="H40" s="24" t="s">
        <v>152</v>
      </c>
      <c r="I40" s="24" t="s">
        <v>25</v>
      </c>
      <c r="J40" s="7" t="str">
        <f t="shared" si="4"/>
        <v>Não</v>
      </c>
      <c r="K40" s="25">
        <v>44938</v>
      </c>
      <c r="L40" s="7"/>
      <c r="M40" s="7" t="s">
        <v>42</v>
      </c>
      <c r="N40" s="26">
        <v>1.2E-2</v>
      </c>
      <c r="O40" s="7" t="s">
        <v>25</v>
      </c>
      <c r="P40" s="27">
        <v>0</v>
      </c>
      <c r="Q40" s="28"/>
      <c r="R40" s="28"/>
      <c r="S40" s="7" t="s">
        <v>145</v>
      </c>
      <c r="T40" s="7" t="s">
        <v>297</v>
      </c>
      <c r="U40" s="7" t="s">
        <v>49</v>
      </c>
      <c r="V40" s="24" t="e">
        <f t="shared" ca="1" si="2"/>
        <v>#NAME?</v>
      </c>
      <c r="W40" s="7"/>
      <c r="X40" s="7"/>
      <c r="Y40" s="29" t="s">
        <v>253</v>
      </c>
      <c r="Z40" s="30"/>
      <c r="AA40" s="31">
        <v>44938</v>
      </c>
      <c r="AB40" s="32">
        <v>49075100003661</v>
      </c>
      <c r="AC40" s="30"/>
      <c r="AD40" s="30"/>
      <c r="AE40" s="30"/>
      <c r="AF40" s="30">
        <v>108567.08</v>
      </c>
      <c r="AG40" s="30">
        <v>109412.19</v>
      </c>
      <c r="AH40" s="30">
        <v>110591.27</v>
      </c>
      <c r="AI40" s="30">
        <v>131524.98000000001</v>
      </c>
      <c r="AJ40" s="30">
        <v>117722.06</v>
      </c>
      <c r="AK40" s="30">
        <v>118731.32</v>
      </c>
      <c r="AL40" s="30">
        <v>139849.87</v>
      </c>
      <c r="AM40" s="30">
        <v>141196.37</v>
      </c>
      <c r="AN40" s="30">
        <v>162330.96</v>
      </c>
      <c r="AO40" s="30">
        <v>163717.89000000001</v>
      </c>
      <c r="AP40" s="30">
        <v>154515.38</v>
      </c>
      <c r="AQ40" s="30">
        <v>155660.59</v>
      </c>
      <c r="AR40" s="30">
        <v>156763.01</v>
      </c>
      <c r="AS40" s="30">
        <v>167964.34</v>
      </c>
      <c r="AT40" s="30">
        <v>169309.23</v>
      </c>
      <c r="AU40" s="30">
        <v>170521.51</v>
      </c>
      <c r="AV40" s="30">
        <v>171729.8</v>
      </c>
      <c r="AW40" s="30">
        <v>162558.9</v>
      </c>
      <c r="AX40" s="30">
        <v>163460</v>
      </c>
      <c r="AY40" s="30">
        <v>164847.32</v>
      </c>
      <c r="AZ40" s="30">
        <v>165531.13</v>
      </c>
      <c r="BA40" s="30" t="e">
        <f t="array" aca="1" ref="BA40" ca="1">_xludf.XLOOKUP(C40,'PL TOTAL D0'!A:A,'PL TOTAL D0'!C:C,"")</f>
        <v>#NAME?</v>
      </c>
    </row>
    <row r="41" spans="1:53" ht="16.5" customHeight="1">
      <c r="A41" s="23" t="s">
        <v>29</v>
      </c>
      <c r="B41" s="3" t="s">
        <v>298</v>
      </c>
      <c r="C41" s="4" t="s">
        <v>299</v>
      </c>
      <c r="D41" s="7" t="s">
        <v>19</v>
      </c>
      <c r="E41" s="7" t="s">
        <v>49</v>
      </c>
      <c r="F41" s="7" t="s">
        <v>166</v>
      </c>
      <c r="G41" s="7" t="e">
        <f t="shared" ca="1" si="0"/>
        <v>#NAME?</v>
      </c>
      <c r="H41" s="24" t="s">
        <v>161</v>
      </c>
      <c r="I41" s="24" t="s">
        <v>222</v>
      </c>
      <c r="J41" s="7" t="str">
        <f t="shared" si="4"/>
        <v>Não</v>
      </c>
      <c r="K41" s="25">
        <v>45247</v>
      </c>
      <c r="L41" s="7"/>
      <c r="M41" s="7" t="s">
        <v>42</v>
      </c>
      <c r="N41" s="26">
        <v>1.2E-2</v>
      </c>
      <c r="O41" s="7" t="s">
        <v>25</v>
      </c>
      <c r="P41" s="27">
        <v>0</v>
      </c>
      <c r="Q41" s="28"/>
      <c r="R41" s="28"/>
      <c r="S41" s="7" t="s">
        <v>145</v>
      </c>
      <c r="T41" s="7" t="s">
        <v>300</v>
      </c>
      <c r="U41" s="7" t="s">
        <v>49</v>
      </c>
      <c r="V41" s="24" t="e">
        <f t="shared" ca="1" si="2"/>
        <v>#NAME?</v>
      </c>
      <c r="W41" s="7"/>
      <c r="X41" s="7"/>
      <c r="Y41" s="29" t="s">
        <v>147</v>
      </c>
      <c r="Z41" s="30"/>
      <c r="AA41" s="31">
        <v>45247</v>
      </c>
      <c r="AB41" s="32">
        <v>49075100012164</v>
      </c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  <c r="AO41" s="30"/>
      <c r="AP41" s="30">
        <v>0</v>
      </c>
      <c r="AQ41" s="30">
        <v>0</v>
      </c>
      <c r="AR41" s="30">
        <v>0</v>
      </c>
      <c r="AS41" s="30">
        <v>0</v>
      </c>
      <c r="AT41" s="30">
        <v>0</v>
      </c>
      <c r="AU41" s="30">
        <v>0</v>
      </c>
      <c r="AV41" s="30">
        <v>0</v>
      </c>
      <c r="AW41" s="30">
        <v>0</v>
      </c>
      <c r="AX41" s="30">
        <v>0</v>
      </c>
      <c r="AY41" s="30">
        <v>0</v>
      </c>
      <c r="AZ41" s="30">
        <v>0</v>
      </c>
      <c r="BA41" s="30" t="e">
        <f t="array" aca="1" ref="BA41" ca="1">_xludf.XLOOKUP(C41,'PL TOTAL D0'!A:A,'PL TOTAL D0'!C:C,"")</f>
        <v>#NAME?</v>
      </c>
    </row>
    <row r="42" spans="1:53" ht="16.5" customHeight="1">
      <c r="A42" s="23" t="s">
        <v>29</v>
      </c>
      <c r="B42" s="38" t="s">
        <v>301</v>
      </c>
      <c r="C42" s="39" t="s">
        <v>302</v>
      </c>
      <c r="D42" s="7" t="s">
        <v>64</v>
      </c>
      <c r="E42" s="7" t="s">
        <v>20</v>
      </c>
      <c r="F42" s="7" t="s">
        <v>142</v>
      </c>
      <c r="G42" s="7" t="e">
        <f t="shared" ca="1" si="0"/>
        <v>#NAME?</v>
      </c>
      <c r="H42" s="24" t="s">
        <v>143</v>
      </c>
      <c r="I42" s="24" t="s">
        <v>25</v>
      </c>
      <c r="J42" s="7" t="str">
        <f t="shared" si="4"/>
        <v>Não</v>
      </c>
      <c r="K42" s="25">
        <v>45383</v>
      </c>
      <c r="L42" s="25">
        <v>45527</v>
      </c>
      <c r="M42" s="7" t="s">
        <v>31</v>
      </c>
      <c r="N42" s="26">
        <v>0</v>
      </c>
      <c r="O42" s="7" t="s">
        <v>25</v>
      </c>
      <c r="P42" s="27">
        <v>0</v>
      </c>
      <c r="Q42" s="28"/>
      <c r="R42" s="28"/>
      <c r="S42" s="7" t="s">
        <v>145</v>
      </c>
      <c r="T42" s="6" t="s">
        <v>303</v>
      </c>
      <c r="U42" s="7" t="s">
        <v>20</v>
      </c>
      <c r="V42" s="24" t="e">
        <f t="shared" ca="1" si="2"/>
        <v>#NAME?</v>
      </c>
      <c r="W42" s="7"/>
      <c r="X42" s="7"/>
      <c r="Y42" s="29"/>
      <c r="Z42" s="30"/>
      <c r="AA42" s="31">
        <v>45383</v>
      </c>
      <c r="AB42" s="32">
        <v>49075100014000</v>
      </c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/>
      <c r="AO42" s="30"/>
      <c r="AP42" s="30"/>
      <c r="AQ42" s="30"/>
      <c r="AR42" s="30"/>
      <c r="AS42" s="30"/>
      <c r="AT42" s="30">
        <v>450.54</v>
      </c>
      <c r="AU42" s="30">
        <v>454.49</v>
      </c>
      <c r="AV42" s="30">
        <v>457.01</v>
      </c>
      <c r="AW42" s="30">
        <v>460.58</v>
      </c>
      <c r="AX42" s="30">
        <v>0</v>
      </c>
      <c r="AY42" s="30">
        <v>0</v>
      </c>
      <c r="AZ42" s="30">
        <v>0</v>
      </c>
      <c r="BA42" s="30" t="e">
        <f t="array" aca="1" ref="BA42" ca="1">_xludf.XLOOKUP(C42,'PL TOTAL D0'!A:A,'PL TOTAL D0'!C:C,"")</f>
        <v>#NAME?</v>
      </c>
    </row>
    <row r="43" spans="1:53" ht="16.5" customHeight="1">
      <c r="A43" s="23" t="s">
        <v>29</v>
      </c>
      <c r="B43" s="48" t="s">
        <v>304</v>
      </c>
      <c r="C43" s="41" t="s">
        <v>305</v>
      </c>
      <c r="D43" s="7" t="s">
        <v>19</v>
      </c>
      <c r="E43" s="7" t="s">
        <v>34</v>
      </c>
      <c r="F43" s="7" t="s">
        <v>262</v>
      </c>
      <c r="G43" s="7" t="e">
        <f t="shared" ca="1" si="0"/>
        <v>#NAME?</v>
      </c>
      <c r="H43" s="24" t="s">
        <v>161</v>
      </c>
      <c r="I43" s="24" t="s">
        <v>211</v>
      </c>
      <c r="J43" s="7" t="str">
        <f t="shared" si="4"/>
        <v>Não</v>
      </c>
      <c r="K43" s="25">
        <v>45203</v>
      </c>
      <c r="L43" s="7"/>
      <c r="M43" s="7" t="s">
        <v>42</v>
      </c>
      <c r="N43" s="26">
        <v>1.2E-2</v>
      </c>
      <c r="O43" s="7" t="s">
        <v>25</v>
      </c>
      <c r="P43" s="27">
        <v>0</v>
      </c>
      <c r="Q43" s="28"/>
      <c r="R43" s="28"/>
      <c r="S43" s="7" t="s">
        <v>145</v>
      </c>
      <c r="T43" s="7" t="s">
        <v>306</v>
      </c>
      <c r="U43" s="7" t="s">
        <v>39</v>
      </c>
      <c r="V43" s="24" t="e">
        <f t="shared" ca="1" si="2"/>
        <v>#NAME?</v>
      </c>
      <c r="W43" s="7"/>
      <c r="X43" s="7"/>
      <c r="Y43" s="29" t="s">
        <v>147</v>
      </c>
      <c r="Z43" s="30"/>
      <c r="AA43" s="31">
        <v>45203</v>
      </c>
      <c r="AB43" s="32">
        <v>49075100011125</v>
      </c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>
        <v>0</v>
      </c>
      <c r="AO43" s="30">
        <v>0</v>
      </c>
      <c r="AP43" s="30">
        <v>10072.32</v>
      </c>
      <c r="AQ43" s="30">
        <v>20154.5</v>
      </c>
      <c r="AR43" s="30">
        <v>20328.419999999998</v>
      </c>
      <c r="AS43" s="30">
        <v>20490.560000000001</v>
      </c>
      <c r="AT43" s="30">
        <v>20653.07</v>
      </c>
      <c r="AU43" s="30">
        <v>20796.53</v>
      </c>
      <c r="AV43" s="30">
        <v>20931.7</v>
      </c>
      <c r="AW43" s="30">
        <v>21081.77</v>
      </c>
      <c r="AX43" s="30">
        <v>21242.82</v>
      </c>
      <c r="AY43" s="30">
        <v>21395.16</v>
      </c>
      <c r="AZ43" s="30">
        <v>21534.01</v>
      </c>
      <c r="BA43" s="30" t="e">
        <f t="array" aca="1" ref="BA43" ca="1">_xludf.XLOOKUP(C43,'PL TOTAL D0'!A:A,'PL TOTAL D0'!C:C,"")</f>
        <v>#NAME?</v>
      </c>
    </row>
    <row r="44" spans="1:53" ht="15.75" customHeight="1">
      <c r="A44" s="23" t="s">
        <v>29</v>
      </c>
      <c r="B44" s="3" t="s">
        <v>307</v>
      </c>
      <c r="C44" s="49" t="s">
        <v>308</v>
      </c>
      <c r="D44" s="7" t="s">
        <v>19</v>
      </c>
      <c r="E44" s="7" t="s">
        <v>20</v>
      </c>
      <c r="F44" s="7" t="s">
        <v>210</v>
      </c>
      <c r="G44" s="7" t="e">
        <f t="shared" ca="1" si="0"/>
        <v>#NAME?</v>
      </c>
      <c r="H44" s="24" t="s">
        <v>143</v>
      </c>
      <c r="I44" s="24" t="s">
        <v>25</v>
      </c>
      <c r="J44" s="7" t="str">
        <f t="shared" ref="J44:J45" si="5">IF(R44=0,"Não","Sim")</f>
        <v>Sim</v>
      </c>
      <c r="K44" s="25">
        <v>45042</v>
      </c>
      <c r="L44" s="25">
        <v>45449</v>
      </c>
      <c r="M44" s="7" t="s">
        <v>42</v>
      </c>
      <c r="N44" s="26">
        <v>0.01</v>
      </c>
      <c r="O44" s="7" t="s">
        <v>25</v>
      </c>
      <c r="P44" s="27">
        <v>0</v>
      </c>
      <c r="Q44" s="28"/>
      <c r="R44" s="45" t="s">
        <v>309</v>
      </c>
      <c r="S44" s="7" t="s">
        <v>145</v>
      </c>
      <c r="T44" s="7" t="s">
        <v>310</v>
      </c>
      <c r="U44" s="7" t="s">
        <v>20</v>
      </c>
      <c r="V44" s="24" t="e">
        <f t="shared" ca="1" si="2"/>
        <v>#NAME?</v>
      </c>
      <c r="W44" s="7"/>
      <c r="X44" s="7"/>
      <c r="Y44" s="29" t="s">
        <v>147</v>
      </c>
      <c r="Z44" s="30"/>
      <c r="AA44" s="31">
        <v>45042</v>
      </c>
      <c r="AB44" s="32">
        <v>49075100011133</v>
      </c>
      <c r="AC44" s="30"/>
      <c r="AD44" s="30"/>
      <c r="AE44" s="30"/>
      <c r="AF44" s="30"/>
      <c r="AG44" s="30"/>
      <c r="AH44" s="30"/>
      <c r="AI44" s="30">
        <v>1684755.32</v>
      </c>
      <c r="AJ44" s="30">
        <v>1644341.39</v>
      </c>
      <c r="AK44" s="30">
        <v>1637940.49</v>
      </c>
      <c r="AL44" s="30">
        <v>0</v>
      </c>
      <c r="AM44" s="30">
        <v>0</v>
      </c>
      <c r="AN44" s="30">
        <v>0</v>
      </c>
      <c r="AO44" s="30">
        <v>0</v>
      </c>
      <c r="AP44" s="30">
        <v>0</v>
      </c>
      <c r="AQ44" s="30">
        <v>0</v>
      </c>
      <c r="AR44" s="30">
        <v>0</v>
      </c>
      <c r="AS44" s="30">
        <v>0</v>
      </c>
      <c r="AT44" s="30">
        <v>0</v>
      </c>
      <c r="AU44" s="30">
        <v>0</v>
      </c>
      <c r="AV44" s="30">
        <v>0</v>
      </c>
      <c r="AW44" s="30">
        <v>0</v>
      </c>
      <c r="AX44" s="30">
        <v>0</v>
      </c>
      <c r="AY44" s="30">
        <v>0</v>
      </c>
      <c r="AZ44" s="30">
        <v>0</v>
      </c>
      <c r="BA44" s="30" t="e">
        <f t="array" aca="1" ref="BA44" ca="1">_xludf.XLOOKUP(C44,'PL TOTAL D0'!A:A,'PL TOTAL D0'!C:C,"")</f>
        <v>#NAME?</v>
      </c>
    </row>
    <row r="45" spans="1:53" ht="15.75" customHeight="1">
      <c r="A45" s="23" t="s">
        <v>29</v>
      </c>
      <c r="B45" s="3" t="s">
        <v>311</v>
      </c>
      <c r="C45" s="50" t="s">
        <v>312</v>
      </c>
      <c r="D45" s="7" t="s">
        <v>64</v>
      </c>
      <c r="E45" s="7" t="s">
        <v>20</v>
      </c>
      <c r="F45" s="7" t="s">
        <v>204</v>
      </c>
      <c r="G45" s="7" t="e">
        <f t="shared" ca="1" si="0"/>
        <v>#NAME?</v>
      </c>
      <c r="H45" s="24" t="s">
        <v>161</v>
      </c>
      <c r="I45" s="24" t="s">
        <v>205</v>
      </c>
      <c r="J45" s="7" t="str">
        <f t="shared" si="5"/>
        <v>Não</v>
      </c>
      <c r="K45" s="25">
        <v>45580</v>
      </c>
      <c r="L45" s="25"/>
      <c r="M45" s="7" t="s">
        <v>31</v>
      </c>
      <c r="N45" s="51">
        <v>3.0000000000000001E-3</v>
      </c>
      <c r="O45" s="52" t="s">
        <v>25</v>
      </c>
      <c r="P45" s="53">
        <v>0</v>
      </c>
      <c r="Q45" s="28" t="s">
        <v>66</v>
      </c>
      <c r="R45" s="45"/>
      <c r="S45" s="7" t="s">
        <v>145</v>
      </c>
      <c r="T45" s="7" t="s">
        <v>313</v>
      </c>
      <c r="U45" s="7" t="s">
        <v>46</v>
      </c>
      <c r="V45" s="24" t="e">
        <f t="shared" ca="1" si="2"/>
        <v>#NAME?</v>
      </c>
      <c r="W45" s="7"/>
      <c r="X45" s="7" t="s">
        <v>52</v>
      </c>
      <c r="Y45" s="29"/>
      <c r="Z45" s="30"/>
      <c r="AA45" s="31"/>
      <c r="AB45" s="32"/>
      <c r="AC45" s="30"/>
      <c r="AD45" s="30"/>
      <c r="AE45" s="30"/>
      <c r="AF45" s="30"/>
      <c r="AG45" s="30"/>
      <c r="AH45" s="30"/>
      <c r="AI45" s="30"/>
      <c r="AJ45" s="30"/>
      <c r="AK45" s="30"/>
      <c r="AL45" s="30"/>
      <c r="AM45" s="30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 t="e">
        <f t="array" aca="1" ref="BA45" ca="1">_xludf.XLOOKUP(C45,'PL TOTAL D0'!A:A,'PL TOTAL D0'!C:C,"")</f>
        <v>#NAME?</v>
      </c>
    </row>
    <row r="46" spans="1:53" ht="15.75" customHeight="1">
      <c r="A46" s="23" t="s">
        <v>29</v>
      </c>
      <c r="B46" s="54" t="s">
        <v>314</v>
      </c>
      <c r="C46" s="55" t="s">
        <v>315</v>
      </c>
      <c r="D46" s="7" t="s">
        <v>19</v>
      </c>
      <c r="E46" s="7" t="s">
        <v>34</v>
      </c>
      <c r="F46" s="7" t="s">
        <v>35</v>
      </c>
      <c r="G46" s="7" t="e">
        <f t="shared" ca="1" si="0"/>
        <v>#NAME?</v>
      </c>
      <c r="H46" s="24" t="s">
        <v>152</v>
      </c>
      <c r="I46" s="24" t="s">
        <v>25</v>
      </c>
      <c r="J46" s="7" t="str">
        <f t="shared" ref="J46:J54" si="6">IF(Q46=0,"Não","Sim")</f>
        <v>Não</v>
      </c>
      <c r="K46" s="25">
        <v>45279</v>
      </c>
      <c r="L46" s="7"/>
      <c r="M46" s="7" t="s">
        <v>42</v>
      </c>
      <c r="N46" s="56">
        <v>1.2E-2</v>
      </c>
      <c r="O46" s="57" t="s">
        <v>37</v>
      </c>
      <c r="P46" s="58">
        <v>0.1</v>
      </c>
      <c r="Q46" s="28"/>
      <c r="R46" s="45" t="s">
        <v>316</v>
      </c>
      <c r="S46" s="7" t="s">
        <v>145</v>
      </c>
      <c r="T46" s="7" t="s">
        <v>317</v>
      </c>
      <c r="U46" s="7" t="s">
        <v>39</v>
      </c>
      <c r="V46" s="24" t="e">
        <f t="shared" ca="1" si="2"/>
        <v>#NAME?</v>
      </c>
      <c r="W46" s="7"/>
      <c r="X46" s="7"/>
      <c r="Y46" s="29" t="s">
        <v>147</v>
      </c>
      <c r="Z46" s="30"/>
      <c r="AA46" s="31">
        <v>45279</v>
      </c>
      <c r="AB46" s="32">
        <v>49075100012911</v>
      </c>
      <c r="AC46" s="30"/>
      <c r="AD46" s="30"/>
      <c r="AE46" s="30"/>
      <c r="AF46" s="30"/>
      <c r="AG46" s="30"/>
      <c r="AH46" s="30"/>
      <c r="AI46" s="30"/>
      <c r="AJ46" s="30"/>
      <c r="AK46" s="30"/>
      <c r="AL46" s="30"/>
      <c r="AM46" s="30"/>
      <c r="AN46" s="30"/>
      <c r="AO46" s="30"/>
      <c r="AP46" s="30"/>
      <c r="AQ46" s="30">
        <v>0</v>
      </c>
      <c r="AR46" s="30">
        <v>157121.73000000001</v>
      </c>
      <c r="AS46" s="30">
        <v>158173.04999999999</v>
      </c>
      <c r="AT46" s="30">
        <v>158825.91</v>
      </c>
      <c r="AU46" s="30">
        <v>160025.75</v>
      </c>
      <c r="AV46" s="30">
        <v>161160.4</v>
      </c>
      <c r="AW46" s="30">
        <v>162345.4</v>
      </c>
      <c r="AX46" s="30">
        <v>163296.79999999999</v>
      </c>
      <c r="AY46" s="30">
        <v>164602.91</v>
      </c>
      <c r="AZ46" s="30">
        <v>165708.53</v>
      </c>
      <c r="BA46" s="30" t="e">
        <f t="array" aca="1" ref="BA46" ca="1">_xludf.XLOOKUP(C46,'PL TOTAL D0'!A:A,'PL TOTAL D0'!C:C,"")</f>
        <v>#NAME?</v>
      </c>
    </row>
    <row r="47" spans="1:53" ht="15.75" customHeight="1">
      <c r="A47" s="23" t="s">
        <v>29</v>
      </c>
      <c r="B47" s="37" t="s">
        <v>318</v>
      </c>
      <c r="C47" s="4" t="s">
        <v>319</v>
      </c>
      <c r="D47" s="7" t="s">
        <v>19</v>
      </c>
      <c r="E47" s="7" t="s">
        <v>34</v>
      </c>
      <c r="F47" s="7" t="s">
        <v>35</v>
      </c>
      <c r="G47" s="7" t="e">
        <f t="shared" ca="1" si="0"/>
        <v>#NAME?</v>
      </c>
      <c r="H47" s="24" t="s">
        <v>152</v>
      </c>
      <c r="I47" s="24" t="s">
        <v>25</v>
      </c>
      <c r="J47" s="7" t="str">
        <f t="shared" si="6"/>
        <v>Não</v>
      </c>
      <c r="K47" s="25">
        <v>45027</v>
      </c>
      <c r="L47" s="7"/>
      <c r="M47" s="7" t="s">
        <v>200</v>
      </c>
      <c r="N47" s="26">
        <v>1.4999999999999999E-2</v>
      </c>
      <c r="O47" s="7" t="s">
        <v>37</v>
      </c>
      <c r="P47" s="27">
        <v>0.1</v>
      </c>
      <c r="Q47" s="28"/>
      <c r="R47" s="28"/>
      <c r="S47" s="7" t="s">
        <v>145</v>
      </c>
      <c r="T47" s="7" t="s">
        <v>320</v>
      </c>
      <c r="U47" s="7" t="s">
        <v>39</v>
      </c>
      <c r="V47" s="24" t="e">
        <f t="shared" ca="1" si="2"/>
        <v>#NAME?</v>
      </c>
      <c r="W47" s="7"/>
      <c r="X47" s="7"/>
      <c r="Y47" s="29" t="s">
        <v>147</v>
      </c>
      <c r="Z47" s="30"/>
      <c r="AA47" s="31">
        <v>45027</v>
      </c>
      <c r="AB47" s="32">
        <v>49075100012172</v>
      </c>
      <c r="AC47" s="30"/>
      <c r="AD47" s="30"/>
      <c r="AE47" s="30"/>
      <c r="AF47" s="30"/>
      <c r="AG47" s="30"/>
      <c r="AH47" s="30">
        <v>0</v>
      </c>
      <c r="AI47" s="30">
        <v>194185.85</v>
      </c>
      <c r="AJ47" s="30">
        <v>461665.96</v>
      </c>
      <c r="AK47" s="30">
        <v>473644.04</v>
      </c>
      <c r="AL47" s="30">
        <v>276192.78999999998</v>
      </c>
      <c r="AM47" s="30">
        <v>274251.90000000002</v>
      </c>
      <c r="AN47" s="30">
        <v>276050.98</v>
      </c>
      <c r="AO47" s="30">
        <v>276097.3</v>
      </c>
      <c r="AP47" s="30">
        <v>282389.02</v>
      </c>
      <c r="AQ47" s="30">
        <v>287907.38</v>
      </c>
      <c r="AR47" s="30">
        <v>283734.05</v>
      </c>
      <c r="AS47" s="30">
        <v>286191.43</v>
      </c>
      <c r="AT47" s="30">
        <v>540494.52</v>
      </c>
      <c r="AU47" s="30">
        <v>465561.03</v>
      </c>
      <c r="AV47" s="30">
        <v>704252.2</v>
      </c>
      <c r="AW47" s="30">
        <v>708956.3</v>
      </c>
      <c r="AX47" s="30">
        <v>717389.2</v>
      </c>
      <c r="AY47" s="30">
        <v>724415.59</v>
      </c>
      <c r="AZ47" s="30">
        <v>744957.57</v>
      </c>
      <c r="BA47" s="30" t="e">
        <f t="array" aca="1" ref="BA47" ca="1">_xludf.XLOOKUP(C47,'PL TOTAL D0'!A:A,'PL TOTAL D0'!C:C,"")</f>
        <v>#NAME?</v>
      </c>
    </row>
    <row r="48" spans="1:53" ht="15.75" customHeight="1">
      <c r="A48" s="23" t="s">
        <v>29</v>
      </c>
      <c r="B48" s="3" t="s">
        <v>318</v>
      </c>
      <c r="C48" s="4" t="s">
        <v>321</v>
      </c>
      <c r="D48" s="7" t="s">
        <v>19</v>
      </c>
      <c r="E48" s="7" t="s">
        <v>34</v>
      </c>
      <c r="F48" s="7" t="s">
        <v>35</v>
      </c>
      <c r="G48" s="7" t="e">
        <f t="shared" ca="1" si="0"/>
        <v>#NAME?</v>
      </c>
      <c r="H48" s="24" t="s">
        <v>161</v>
      </c>
      <c r="I48" s="24" t="s">
        <v>162</v>
      </c>
      <c r="J48" s="7" t="str">
        <f t="shared" si="6"/>
        <v>Não</v>
      </c>
      <c r="K48" s="25">
        <v>44998</v>
      </c>
      <c r="L48" s="7"/>
      <c r="M48" s="7" t="s">
        <v>42</v>
      </c>
      <c r="N48" s="26">
        <v>1.2E-2</v>
      </c>
      <c r="O48" s="7" t="s">
        <v>25</v>
      </c>
      <c r="P48" s="27">
        <v>0</v>
      </c>
      <c r="Q48" s="28"/>
      <c r="R48" s="28"/>
      <c r="S48" s="7" t="s">
        <v>145</v>
      </c>
      <c r="T48" s="7" t="s">
        <v>320</v>
      </c>
      <c r="U48" s="7" t="s">
        <v>39</v>
      </c>
      <c r="V48" s="24" t="e">
        <f t="shared" ca="1" si="2"/>
        <v>#NAME?</v>
      </c>
      <c r="W48" s="7"/>
      <c r="X48" s="7"/>
      <c r="Y48" s="29" t="s">
        <v>147</v>
      </c>
      <c r="Z48" s="30"/>
      <c r="AA48" s="31">
        <v>44998</v>
      </c>
      <c r="AB48" s="32">
        <v>49075100008647</v>
      </c>
      <c r="AC48" s="30"/>
      <c r="AD48" s="30"/>
      <c r="AE48" s="30"/>
      <c r="AF48" s="30"/>
      <c r="AG48" s="30"/>
      <c r="AH48" s="30">
        <v>3571441.62</v>
      </c>
      <c r="AI48" s="30">
        <v>3908519.48</v>
      </c>
      <c r="AJ48" s="30">
        <v>3182425.32</v>
      </c>
      <c r="AK48" s="30">
        <v>2082493.54</v>
      </c>
      <c r="AL48" s="30">
        <v>1015957.57</v>
      </c>
      <c r="AM48" s="30">
        <v>657075.80000000005</v>
      </c>
      <c r="AN48" s="30">
        <v>296915.45</v>
      </c>
      <c r="AO48" s="30">
        <v>299398.27</v>
      </c>
      <c r="AP48" s="30">
        <v>99133.3</v>
      </c>
      <c r="AQ48" s="30">
        <v>99661.46</v>
      </c>
      <c r="AR48" s="30">
        <v>100730.48</v>
      </c>
      <c r="AS48" s="30">
        <v>101401.17</v>
      </c>
      <c r="AT48" s="30">
        <v>0</v>
      </c>
      <c r="AU48" s="30">
        <v>0</v>
      </c>
      <c r="AV48" s="30">
        <v>0</v>
      </c>
      <c r="AW48" s="30">
        <v>1.61</v>
      </c>
      <c r="AX48" s="30">
        <v>1.61</v>
      </c>
      <c r="AY48" s="30">
        <v>1.61</v>
      </c>
      <c r="AZ48" s="30">
        <v>0</v>
      </c>
      <c r="BA48" s="30" t="e">
        <f t="array" aca="1" ref="BA48" ca="1">_xludf.XLOOKUP(C48,'PL TOTAL D0'!A:A,'PL TOTAL D0'!C:C,"")</f>
        <v>#NAME?</v>
      </c>
    </row>
    <row r="49" spans="1:53" ht="15.75" customHeight="1">
      <c r="A49" s="23" t="s">
        <v>29</v>
      </c>
      <c r="B49" s="3" t="s">
        <v>322</v>
      </c>
      <c r="C49" s="4" t="s">
        <v>323</v>
      </c>
      <c r="D49" s="7" t="s">
        <v>19</v>
      </c>
      <c r="E49" s="7" t="s">
        <v>34</v>
      </c>
      <c r="F49" s="7" t="s">
        <v>35</v>
      </c>
      <c r="G49" s="7" t="e">
        <f t="shared" ca="1" si="0"/>
        <v>#NAME?</v>
      </c>
      <c r="H49" s="24" t="s">
        <v>152</v>
      </c>
      <c r="I49" s="24" t="s">
        <v>25</v>
      </c>
      <c r="J49" s="7" t="str">
        <f t="shared" si="6"/>
        <v>Não</v>
      </c>
      <c r="K49" s="25">
        <v>45020</v>
      </c>
      <c r="L49" s="7"/>
      <c r="M49" s="7" t="s">
        <v>58</v>
      </c>
      <c r="N49" s="26">
        <v>1.2E-2</v>
      </c>
      <c r="O49" s="7" t="s">
        <v>37</v>
      </c>
      <c r="P49" s="27">
        <v>0.1</v>
      </c>
      <c r="Q49" s="28"/>
      <c r="R49" s="28" t="s">
        <v>324</v>
      </c>
      <c r="S49" s="7" t="s">
        <v>145</v>
      </c>
      <c r="T49" s="7" t="s">
        <v>325</v>
      </c>
      <c r="U49" s="7" t="s">
        <v>39</v>
      </c>
      <c r="V49" s="24" t="e">
        <f t="shared" ca="1" si="2"/>
        <v>#NAME?</v>
      </c>
      <c r="W49" s="7"/>
      <c r="X49" s="7"/>
      <c r="Y49" s="29" t="s">
        <v>147</v>
      </c>
      <c r="Z49" s="30"/>
      <c r="AA49" s="31">
        <v>45020</v>
      </c>
      <c r="AB49" s="32">
        <v>49075100004544</v>
      </c>
      <c r="AC49" s="30"/>
      <c r="AD49" s="30"/>
      <c r="AE49" s="30"/>
      <c r="AF49" s="30"/>
      <c r="AG49" s="30"/>
      <c r="AH49" s="30">
        <v>0</v>
      </c>
      <c r="AI49" s="30">
        <v>60428.36</v>
      </c>
      <c r="AJ49" s="30">
        <v>81126.58</v>
      </c>
      <c r="AK49" s="30">
        <v>101955.21</v>
      </c>
      <c r="AL49" s="30">
        <v>102832.14</v>
      </c>
      <c r="AM49" s="30">
        <v>103894.93</v>
      </c>
      <c r="AN49" s="30">
        <v>104759.85</v>
      </c>
      <c r="AO49" s="30">
        <v>105447.51</v>
      </c>
      <c r="AP49" s="30">
        <v>106231.64</v>
      </c>
      <c r="AQ49" s="30">
        <v>156714.47</v>
      </c>
      <c r="AR49" s="30">
        <v>158148.68</v>
      </c>
      <c r="AS49" s="30">
        <v>159430.74</v>
      </c>
      <c r="AT49" s="30">
        <v>160710.31</v>
      </c>
      <c r="AU49" s="30">
        <v>161769.12</v>
      </c>
      <c r="AV49" s="30">
        <v>161921.1</v>
      </c>
      <c r="AW49" s="30">
        <v>162917.4</v>
      </c>
      <c r="AX49" s="30">
        <v>164692.1</v>
      </c>
      <c r="AY49" s="30">
        <v>166315.49</v>
      </c>
      <c r="AZ49" s="30">
        <v>166798.85</v>
      </c>
      <c r="BA49" s="30" t="e">
        <f t="array" aca="1" ref="BA49" ca="1">_xludf.XLOOKUP(C49,'PL TOTAL D0'!A:A,'PL TOTAL D0'!C:C,"")</f>
        <v>#NAME?</v>
      </c>
    </row>
    <row r="50" spans="1:53" ht="15.75" customHeight="1">
      <c r="A50" s="23" t="s">
        <v>29</v>
      </c>
      <c r="B50" s="3" t="s">
        <v>326</v>
      </c>
      <c r="C50" s="4" t="s">
        <v>327</v>
      </c>
      <c r="D50" s="7" t="s">
        <v>19</v>
      </c>
      <c r="E50" s="7" t="s">
        <v>49</v>
      </c>
      <c r="F50" s="7" t="s">
        <v>328</v>
      </c>
      <c r="G50" s="7" t="e">
        <f t="shared" ca="1" si="0"/>
        <v>#NAME?</v>
      </c>
      <c r="H50" s="24" t="s">
        <v>161</v>
      </c>
      <c r="I50" s="24" t="s">
        <v>162</v>
      </c>
      <c r="J50" s="7" t="str">
        <f t="shared" si="6"/>
        <v>Não</v>
      </c>
      <c r="K50" s="25">
        <v>45166</v>
      </c>
      <c r="L50" s="25"/>
      <c r="M50" s="7" t="s">
        <v>42</v>
      </c>
      <c r="N50" s="26">
        <v>1.2E-2</v>
      </c>
      <c r="O50" s="7" t="s">
        <v>25</v>
      </c>
      <c r="P50" s="27">
        <v>0</v>
      </c>
      <c r="Q50" s="28"/>
      <c r="R50" s="28" t="s">
        <v>329</v>
      </c>
      <c r="S50" s="7" t="s">
        <v>145</v>
      </c>
      <c r="T50" s="7" t="s">
        <v>330</v>
      </c>
      <c r="U50" s="7" t="s">
        <v>49</v>
      </c>
      <c r="V50" s="24" t="e">
        <f t="shared" ca="1" si="2"/>
        <v>#NAME?</v>
      </c>
      <c r="W50" s="7"/>
      <c r="X50" s="7"/>
      <c r="Y50" s="29" t="s">
        <v>147</v>
      </c>
      <c r="Z50" s="30"/>
      <c r="AA50" s="31">
        <v>45166</v>
      </c>
      <c r="AB50" s="32">
        <v>49075100011141</v>
      </c>
      <c r="AC50" s="30"/>
      <c r="AD50" s="30"/>
      <c r="AE50" s="30"/>
      <c r="AF50" s="30">
        <v>0</v>
      </c>
      <c r="AG50" s="30">
        <v>0</v>
      </c>
      <c r="AH50" s="30">
        <v>0</v>
      </c>
      <c r="AI50" s="30">
        <v>0</v>
      </c>
      <c r="AJ50" s="30">
        <v>0</v>
      </c>
      <c r="AK50" s="30">
        <v>0</v>
      </c>
      <c r="AL50" s="30">
        <v>0</v>
      </c>
      <c r="AM50" s="30">
        <v>0</v>
      </c>
      <c r="AN50" s="30">
        <v>0</v>
      </c>
      <c r="AO50" s="30">
        <v>0</v>
      </c>
      <c r="AP50" s="30">
        <v>0</v>
      </c>
      <c r="AQ50" s="30">
        <v>0</v>
      </c>
      <c r="AR50" s="30">
        <v>0</v>
      </c>
      <c r="AS50" s="30">
        <v>0</v>
      </c>
      <c r="AT50" s="30">
        <v>0</v>
      </c>
      <c r="AU50" s="30">
        <v>0</v>
      </c>
      <c r="AV50" s="30">
        <v>0</v>
      </c>
      <c r="AW50" s="30">
        <v>0</v>
      </c>
      <c r="AX50" s="30">
        <v>0</v>
      </c>
      <c r="AY50" s="30">
        <v>0</v>
      </c>
      <c r="AZ50" s="30">
        <v>0</v>
      </c>
      <c r="BA50" s="30" t="e">
        <f t="array" aca="1" ref="BA50" ca="1">_xludf.XLOOKUP(C50,'PL TOTAL D0'!A:A,'PL TOTAL D0'!C:C,"")</f>
        <v>#NAME?</v>
      </c>
    </row>
    <row r="51" spans="1:53" ht="15.75" customHeight="1">
      <c r="A51" s="23" t="s">
        <v>29</v>
      </c>
      <c r="B51" s="40" t="s">
        <v>331</v>
      </c>
      <c r="C51" s="59" t="s">
        <v>332</v>
      </c>
      <c r="D51" s="7" t="s">
        <v>19</v>
      </c>
      <c r="E51" s="7" t="s">
        <v>34</v>
      </c>
      <c r="F51" s="7" t="s">
        <v>262</v>
      </c>
      <c r="G51" s="7" t="e">
        <f t="shared" ca="1" si="0"/>
        <v>#NAME?</v>
      </c>
      <c r="H51" s="24" t="s">
        <v>152</v>
      </c>
      <c r="I51" s="24" t="s">
        <v>25</v>
      </c>
      <c r="J51" s="7" t="str">
        <f t="shared" si="6"/>
        <v>Não</v>
      </c>
      <c r="K51" s="25">
        <v>45190</v>
      </c>
      <c r="L51" s="25"/>
      <c r="M51" s="7" t="s">
        <v>42</v>
      </c>
      <c r="N51" s="26">
        <v>1.2E-2</v>
      </c>
      <c r="O51" s="7" t="s">
        <v>25</v>
      </c>
      <c r="P51" s="27">
        <v>0</v>
      </c>
      <c r="Q51" s="28"/>
      <c r="R51" s="45" t="s">
        <v>333</v>
      </c>
      <c r="S51" s="7" t="s">
        <v>145</v>
      </c>
      <c r="T51" s="7" t="s">
        <v>334</v>
      </c>
      <c r="U51" s="7" t="s">
        <v>39</v>
      </c>
      <c r="V51" s="24" t="e">
        <f t="shared" ca="1" si="2"/>
        <v>#NAME?</v>
      </c>
      <c r="W51" s="7"/>
      <c r="X51" s="7"/>
      <c r="Y51" s="29" t="s">
        <v>147</v>
      </c>
      <c r="Z51" s="30"/>
      <c r="AA51" s="31">
        <v>45190</v>
      </c>
      <c r="AB51" s="32">
        <v>49075100011151</v>
      </c>
      <c r="AC51" s="30"/>
      <c r="AD51" s="30"/>
      <c r="AE51" s="30"/>
      <c r="AF51" s="30"/>
      <c r="AG51" s="30"/>
      <c r="AH51" s="30"/>
      <c r="AI51" s="30"/>
      <c r="AJ51" s="30"/>
      <c r="AK51" s="30"/>
      <c r="AL51" s="30"/>
      <c r="AM51" s="30"/>
      <c r="AN51" s="30">
        <v>0</v>
      </c>
      <c r="AO51" s="30">
        <v>67426.7</v>
      </c>
      <c r="AP51" s="30">
        <v>68192.13</v>
      </c>
      <c r="AQ51" s="30">
        <v>68851.25</v>
      </c>
      <c r="AR51" s="30">
        <v>75391.259999999995</v>
      </c>
      <c r="AS51" s="30">
        <v>75875.320000000007</v>
      </c>
      <c r="AT51" s="30">
        <v>76475.19</v>
      </c>
      <c r="AU51" s="30">
        <v>76884.539999999994</v>
      </c>
      <c r="AV51" s="30">
        <v>76922.19</v>
      </c>
      <c r="AW51" s="30">
        <v>77386.570000000007</v>
      </c>
      <c r="AX51" s="30">
        <v>77924.929999999993</v>
      </c>
      <c r="AY51" s="30">
        <v>78469.179999999993</v>
      </c>
      <c r="AZ51" s="30">
        <v>79054.89</v>
      </c>
      <c r="BA51" s="30" t="e">
        <f t="array" aca="1" ref="BA51" ca="1">_xludf.XLOOKUP(C51,'PL TOTAL D0'!A:A,'PL TOTAL D0'!C:C,"")</f>
        <v>#NAME?</v>
      </c>
    </row>
    <row r="52" spans="1:53" ht="15.75" customHeight="1">
      <c r="A52" s="23" t="s">
        <v>29</v>
      </c>
      <c r="B52" s="40" t="s">
        <v>335</v>
      </c>
      <c r="C52" s="59" t="s">
        <v>336</v>
      </c>
      <c r="D52" s="7" t="s">
        <v>72</v>
      </c>
      <c r="E52" s="7" t="s">
        <v>20</v>
      </c>
      <c r="F52" s="7" t="s">
        <v>337</v>
      </c>
      <c r="G52" s="7" t="e">
        <f t="shared" ca="1" si="0"/>
        <v>#NAME?</v>
      </c>
      <c r="H52" s="24" t="s">
        <v>152</v>
      </c>
      <c r="I52" s="24" t="s">
        <v>25</v>
      </c>
      <c r="J52" s="7" t="str">
        <f t="shared" si="6"/>
        <v>Não</v>
      </c>
      <c r="K52" s="25">
        <v>45523</v>
      </c>
      <c r="L52" s="25"/>
      <c r="M52" s="7" t="s">
        <v>42</v>
      </c>
      <c r="N52" s="26">
        <v>8.9999999999999993E-3</v>
      </c>
      <c r="O52" s="7" t="s">
        <v>25</v>
      </c>
      <c r="P52" s="27">
        <v>0</v>
      </c>
      <c r="Q52" s="28"/>
      <c r="R52" s="45"/>
      <c r="S52" s="7" t="s">
        <v>145</v>
      </c>
      <c r="T52" s="7" t="s">
        <v>338</v>
      </c>
      <c r="U52" s="7" t="s">
        <v>20</v>
      </c>
      <c r="V52" s="24" t="e">
        <f t="shared" ca="1" si="2"/>
        <v>#NAME?</v>
      </c>
      <c r="W52" s="7"/>
      <c r="X52" s="7" t="s">
        <v>52</v>
      </c>
      <c r="Y52" s="29" t="s">
        <v>147</v>
      </c>
      <c r="Z52" s="30"/>
      <c r="AA52" s="30"/>
      <c r="AB52" s="32"/>
      <c r="AC52" s="30"/>
      <c r="AD52" s="30"/>
      <c r="AE52" s="30"/>
      <c r="AF52" s="30"/>
      <c r="AG52" s="30"/>
      <c r="AH52" s="30"/>
      <c r="AI52" s="30"/>
      <c r="AJ52" s="30"/>
      <c r="AK52" s="30"/>
      <c r="AL52" s="30"/>
      <c r="AM52" s="30"/>
      <c r="AN52" s="30"/>
      <c r="AO52" s="30"/>
      <c r="AP52" s="30"/>
      <c r="AQ52" s="30"/>
      <c r="AR52" s="30"/>
      <c r="AS52" s="30"/>
      <c r="AT52" s="30"/>
      <c r="AU52" s="30"/>
      <c r="AV52" s="30"/>
      <c r="AW52" s="30"/>
      <c r="AX52" s="30"/>
      <c r="AY52" s="30">
        <v>697441.25</v>
      </c>
      <c r="AZ52" s="30">
        <v>679986.27</v>
      </c>
      <c r="BA52" s="30" t="e">
        <f t="array" aca="1" ref="BA52" ca="1">_xludf.XLOOKUP(C52,'PL TOTAL D0'!A:A,'PL TOTAL D0'!C:C,"")</f>
        <v>#NAME?</v>
      </c>
    </row>
    <row r="53" spans="1:53" ht="15.75" customHeight="1">
      <c r="A53" s="23" t="s">
        <v>29</v>
      </c>
      <c r="B53" s="37" t="s">
        <v>339</v>
      </c>
      <c r="C53" s="4" t="s">
        <v>340</v>
      </c>
      <c r="D53" s="7" t="s">
        <v>19</v>
      </c>
      <c r="E53" s="7" t="s">
        <v>34</v>
      </c>
      <c r="F53" s="7" t="s">
        <v>35</v>
      </c>
      <c r="G53" s="7" t="e">
        <f t="shared" ca="1" si="0"/>
        <v>#NAME?</v>
      </c>
      <c r="H53" s="24" t="s">
        <v>152</v>
      </c>
      <c r="I53" s="24" t="s">
        <v>25</v>
      </c>
      <c r="J53" s="7" t="str">
        <f t="shared" si="6"/>
        <v>Sim</v>
      </c>
      <c r="K53" s="25">
        <v>45034</v>
      </c>
      <c r="L53" s="7"/>
      <c r="M53" s="7" t="s">
        <v>42</v>
      </c>
      <c r="N53" s="26">
        <v>1.2E-2</v>
      </c>
      <c r="O53" s="7" t="s">
        <v>25</v>
      </c>
      <c r="P53" s="27">
        <v>0</v>
      </c>
      <c r="Q53" s="28" t="s">
        <v>341</v>
      </c>
      <c r="R53" s="28"/>
      <c r="S53" s="7" t="s">
        <v>145</v>
      </c>
      <c r="T53" s="7" t="s">
        <v>342</v>
      </c>
      <c r="U53" s="7" t="s">
        <v>39</v>
      </c>
      <c r="V53" s="24" t="e">
        <f t="shared" ca="1" si="2"/>
        <v>#NAME?</v>
      </c>
      <c r="W53" s="7"/>
      <c r="X53" s="7"/>
      <c r="Y53" s="29" t="s">
        <v>147</v>
      </c>
      <c r="Z53" s="30"/>
      <c r="AA53" s="31">
        <v>45034</v>
      </c>
      <c r="AB53" s="32">
        <v>49075100008345</v>
      </c>
      <c r="AC53" s="30"/>
      <c r="AD53" s="30"/>
      <c r="AE53" s="30"/>
      <c r="AF53" s="30"/>
      <c r="AG53" s="30"/>
      <c r="AH53" s="30">
        <v>0</v>
      </c>
      <c r="AI53" s="30">
        <v>2005947.36</v>
      </c>
      <c r="AJ53" s="30">
        <v>2027949.47</v>
      </c>
      <c r="AK53" s="30">
        <v>1913063.17</v>
      </c>
      <c r="AL53" s="30">
        <v>1929869.86</v>
      </c>
      <c r="AM53" s="30">
        <v>1948995.52</v>
      </c>
      <c r="AN53" s="30">
        <v>1965765.18</v>
      </c>
      <c r="AO53" s="30">
        <v>1984304.2</v>
      </c>
      <c r="AP53" s="30">
        <v>1999758.85</v>
      </c>
      <c r="AQ53" s="30">
        <v>1812508.56</v>
      </c>
      <c r="AR53" s="30">
        <v>1828516.55</v>
      </c>
      <c r="AS53" s="30">
        <v>1513471.02</v>
      </c>
      <c r="AT53" s="30">
        <v>1485219.16</v>
      </c>
      <c r="AU53" s="30">
        <v>1439637.51</v>
      </c>
      <c r="AV53" s="30">
        <v>1449978</v>
      </c>
      <c r="AW53" s="30">
        <v>1459640</v>
      </c>
      <c r="AX53" s="30">
        <v>1471903</v>
      </c>
      <c r="AY53" s="30">
        <v>1475210.61</v>
      </c>
      <c r="AZ53" s="30">
        <v>1484970.8</v>
      </c>
      <c r="BA53" s="30" t="e">
        <f t="array" aca="1" ref="BA53" ca="1">_xludf.XLOOKUP(C53,'PL TOTAL D0'!A:A,'PL TOTAL D0'!C:C,"")</f>
        <v>#NAME?</v>
      </c>
    </row>
    <row r="54" spans="1:53" ht="15.75" customHeight="1">
      <c r="A54" s="23" t="s">
        <v>29</v>
      </c>
      <c r="B54" s="3" t="s">
        <v>343</v>
      </c>
      <c r="C54" s="4" t="s">
        <v>344</v>
      </c>
      <c r="D54" s="7" t="s">
        <v>64</v>
      </c>
      <c r="E54" s="7" t="s">
        <v>20</v>
      </c>
      <c r="F54" s="7" t="s">
        <v>142</v>
      </c>
      <c r="G54" s="7" t="e">
        <f t="shared" ca="1" si="0"/>
        <v>#NAME?</v>
      </c>
      <c r="H54" s="24" t="s">
        <v>143</v>
      </c>
      <c r="I54" s="24" t="s">
        <v>25</v>
      </c>
      <c r="J54" s="7" t="str">
        <f t="shared" si="6"/>
        <v>Não</v>
      </c>
      <c r="K54" s="25">
        <v>45098</v>
      </c>
      <c r="L54" s="25">
        <v>45525</v>
      </c>
      <c r="M54" s="7" t="s">
        <v>345</v>
      </c>
      <c r="N54" s="26">
        <v>6.0000000000000001E-3</v>
      </c>
      <c r="O54" s="7" t="s">
        <v>25</v>
      </c>
      <c r="P54" s="27">
        <v>0</v>
      </c>
      <c r="Q54" s="28"/>
      <c r="R54" s="28" t="s">
        <v>346</v>
      </c>
      <c r="S54" s="7" t="s">
        <v>145</v>
      </c>
      <c r="T54" s="7" t="s">
        <v>347</v>
      </c>
      <c r="U54" s="7" t="s">
        <v>60</v>
      </c>
      <c r="V54" s="24" t="e">
        <f t="shared" ca="1" si="2"/>
        <v>#NAME?</v>
      </c>
      <c r="W54" s="7"/>
      <c r="X54" s="7"/>
      <c r="Y54" s="29" t="s">
        <v>147</v>
      </c>
      <c r="Z54" s="30"/>
      <c r="AA54" s="31">
        <v>45098</v>
      </c>
      <c r="AB54" s="32">
        <v>49075100003114</v>
      </c>
      <c r="AC54" s="30"/>
      <c r="AD54" s="30"/>
      <c r="AE54" s="30"/>
      <c r="AF54" s="30"/>
      <c r="AG54" s="30"/>
      <c r="AH54" s="30"/>
      <c r="AI54" s="30"/>
      <c r="AJ54" s="30"/>
      <c r="AK54" s="30">
        <v>175858.96</v>
      </c>
      <c r="AL54" s="30">
        <v>394420.72</v>
      </c>
      <c r="AM54" s="30">
        <v>674215.24</v>
      </c>
      <c r="AN54" s="30">
        <v>706487.76</v>
      </c>
      <c r="AO54" s="30">
        <v>737416.96</v>
      </c>
      <c r="AP54" s="30">
        <v>779564.59</v>
      </c>
      <c r="AQ54" s="30">
        <v>791423.31</v>
      </c>
      <c r="AR54" s="30">
        <v>4701.33</v>
      </c>
      <c r="AS54" s="30">
        <v>4888.2700000000004</v>
      </c>
      <c r="AT54" s="30">
        <v>171.31</v>
      </c>
      <c r="AU54" s="30">
        <v>171.31</v>
      </c>
      <c r="AV54" s="30">
        <v>171.31</v>
      </c>
      <c r="AW54" s="30">
        <v>171.31</v>
      </c>
      <c r="AX54" s="30">
        <v>0</v>
      </c>
      <c r="AY54" s="30">
        <v>0</v>
      </c>
      <c r="AZ54" s="30">
        <v>0</v>
      </c>
      <c r="BA54" s="30" t="e">
        <f t="array" aca="1" ref="BA54" ca="1">_xludf.XLOOKUP(C54,'PL TOTAL D0'!A:A,'PL TOTAL D0'!C:C,"")</f>
        <v>#NAME?</v>
      </c>
    </row>
    <row r="55" spans="1:53" ht="15.75" customHeight="1">
      <c r="A55" s="23" t="s">
        <v>29</v>
      </c>
      <c r="B55" s="3" t="s">
        <v>348</v>
      </c>
      <c r="C55" s="60" t="s">
        <v>349</v>
      </c>
      <c r="D55" s="7" t="s">
        <v>64</v>
      </c>
      <c r="E55" s="7" t="s">
        <v>20</v>
      </c>
      <c r="F55" s="7" t="s">
        <v>142</v>
      </c>
      <c r="G55" s="7" t="e">
        <f t="shared" ca="1" si="0"/>
        <v>#NAME?</v>
      </c>
      <c r="H55" s="24" t="s">
        <v>143</v>
      </c>
      <c r="I55" s="24" t="s">
        <v>25</v>
      </c>
      <c r="J55" s="7" t="s">
        <v>181</v>
      </c>
      <c r="K55" s="25">
        <v>45296</v>
      </c>
      <c r="L55" s="25">
        <v>45492</v>
      </c>
      <c r="M55" s="7" t="s">
        <v>350</v>
      </c>
      <c r="N55" s="26">
        <v>6.0000000000000001E-3</v>
      </c>
      <c r="O55" s="7" t="s">
        <v>25</v>
      </c>
      <c r="P55" s="27">
        <v>0</v>
      </c>
      <c r="Q55" s="28"/>
      <c r="R55" s="61" t="s">
        <v>351</v>
      </c>
      <c r="S55" s="7" t="s">
        <v>145</v>
      </c>
      <c r="T55" s="7" t="s">
        <v>347</v>
      </c>
      <c r="U55" s="7" t="s">
        <v>60</v>
      </c>
      <c r="V55" s="24" t="e">
        <f t="shared" ca="1" si="2"/>
        <v>#NAME?</v>
      </c>
      <c r="W55" s="7"/>
      <c r="X55" s="7"/>
      <c r="Y55" s="29"/>
      <c r="Z55" s="30"/>
      <c r="AA55" s="31">
        <v>45296</v>
      </c>
      <c r="AB55" s="32">
        <v>49075100013551</v>
      </c>
      <c r="AC55" s="30"/>
      <c r="AD55" s="30"/>
      <c r="AE55" s="30"/>
      <c r="AF55" s="30"/>
      <c r="AG55" s="30"/>
      <c r="AH55" s="30"/>
      <c r="AI55" s="30"/>
      <c r="AJ55" s="30"/>
      <c r="AK55" s="30"/>
      <c r="AL55" s="30"/>
      <c r="AM55" s="30"/>
      <c r="AN55" s="30"/>
      <c r="AO55" s="30"/>
      <c r="AP55" s="30"/>
      <c r="AQ55" s="30"/>
      <c r="AR55" s="30">
        <v>788851.1</v>
      </c>
      <c r="AS55" s="30">
        <v>795557.28</v>
      </c>
      <c r="AT55" s="30">
        <v>807149.98</v>
      </c>
      <c r="AU55" s="30">
        <v>812679.39</v>
      </c>
      <c r="AV55" s="30">
        <v>826075.4</v>
      </c>
      <c r="AW55" s="30">
        <v>832664.4</v>
      </c>
      <c r="AX55" s="30">
        <v>0</v>
      </c>
      <c r="AY55" s="30">
        <v>0</v>
      </c>
      <c r="AZ55" s="30">
        <v>0</v>
      </c>
      <c r="BA55" s="30" t="e">
        <f t="array" aca="1" ref="BA55" ca="1">_xludf.XLOOKUP(C55,'PL TOTAL D0'!A:A,'PL TOTAL D0'!C:C,"")</f>
        <v>#NAME?</v>
      </c>
    </row>
    <row r="56" spans="1:53" ht="15.75" customHeight="1">
      <c r="A56" s="23" t="s">
        <v>29</v>
      </c>
      <c r="B56" s="38" t="s">
        <v>352</v>
      </c>
      <c r="C56" s="39" t="s">
        <v>353</v>
      </c>
      <c r="D56" s="7" t="s">
        <v>72</v>
      </c>
      <c r="E56" s="7" t="s">
        <v>20</v>
      </c>
      <c r="F56" s="7" t="s">
        <v>337</v>
      </c>
      <c r="G56" s="7" t="e">
        <f t="shared" ca="1" si="0"/>
        <v>#NAME?</v>
      </c>
      <c r="H56" s="24" t="s">
        <v>152</v>
      </c>
      <c r="I56" s="24" t="s">
        <v>25</v>
      </c>
      <c r="J56" s="7" t="str">
        <f t="shared" ref="J56:J80" si="7">IF(Q56=0,"Não","Sim")</f>
        <v>Não</v>
      </c>
      <c r="K56" s="25">
        <v>45383</v>
      </c>
      <c r="L56" s="7"/>
      <c r="M56" s="7" t="s">
        <v>42</v>
      </c>
      <c r="N56" s="26">
        <v>1.2E-2</v>
      </c>
      <c r="O56" s="7" t="s">
        <v>25</v>
      </c>
      <c r="P56" s="27">
        <v>0</v>
      </c>
      <c r="Q56" s="28"/>
      <c r="R56" s="28"/>
      <c r="S56" s="7" t="s">
        <v>145</v>
      </c>
      <c r="T56" s="7" t="s">
        <v>354</v>
      </c>
      <c r="U56" s="7" t="s">
        <v>20</v>
      </c>
      <c r="V56" s="24" t="e">
        <f t="shared" ca="1" si="2"/>
        <v>#NAME?</v>
      </c>
      <c r="W56" s="7"/>
      <c r="X56" s="7"/>
      <c r="Y56" s="29" t="s">
        <v>147</v>
      </c>
      <c r="Z56" s="30"/>
      <c r="AA56" s="31">
        <v>45383</v>
      </c>
      <c r="AB56" s="32">
        <v>49075100014019</v>
      </c>
      <c r="AC56" s="30"/>
      <c r="AD56" s="30"/>
      <c r="AE56" s="30"/>
      <c r="AF56" s="30"/>
      <c r="AG56" s="30"/>
      <c r="AH56" s="30"/>
      <c r="AI56" s="30"/>
      <c r="AJ56" s="30"/>
      <c r="AK56" s="30"/>
      <c r="AL56" s="30"/>
      <c r="AM56" s="30"/>
      <c r="AN56" s="30"/>
      <c r="AO56" s="30"/>
      <c r="AP56" s="30"/>
      <c r="AQ56" s="30"/>
      <c r="AR56" s="30"/>
      <c r="AS56" s="30"/>
      <c r="AT56" s="30"/>
      <c r="AU56" s="30">
        <v>452720.26</v>
      </c>
      <c r="AV56" s="30">
        <v>737235.4</v>
      </c>
      <c r="AW56" s="30">
        <v>742704.6</v>
      </c>
      <c r="AX56" s="30">
        <v>859814.5</v>
      </c>
      <c r="AY56" s="30">
        <v>864957.49</v>
      </c>
      <c r="AZ56" s="30">
        <v>869391.93</v>
      </c>
      <c r="BA56" s="30" t="e">
        <f t="array" aca="1" ref="BA56" ca="1">_xludf.XLOOKUP(C56,'PL TOTAL D0'!A:A,'PL TOTAL D0'!C:C,"")</f>
        <v>#NAME?</v>
      </c>
    </row>
    <row r="57" spans="1:53" ht="15.75" customHeight="1">
      <c r="A57" s="23" t="s">
        <v>29</v>
      </c>
      <c r="B57" s="3" t="s">
        <v>355</v>
      </c>
      <c r="C57" s="4" t="s">
        <v>356</v>
      </c>
      <c r="D57" s="7" t="s">
        <v>19</v>
      </c>
      <c r="E57" s="7" t="s">
        <v>20</v>
      </c>
      <c r="F57" s="7" t="s">
        <v>210</v>
      </c>
      <c r="G57" s="7" t="e">
        <f t="shared" ca="1" si="0"/>
        <v>#NAME?</v>
      </c>
      <c r="H57" s="24" t="s">
        <v>161</v>
      </c>
      <c r="I57" s="24" t="s">
        <v>162</v>
      </c>
      <c r="J57" s="7" t="str">
        <f t="shared" si="7"/>
        <v>Não</v>
      </c>
      <c r="K57" s="25">
        <v>45296</v>
      </c>
      <c r="L57" s="7"/>
      <c r="M57" s="9" t="s">
        <v>357</v>
      </c>
      <c r="N57" s="10">
        <v>7.0000000000000001E-3</v>
      </c>
      <c r="O57" s="6" t="s">
        <v>25</v>
      </c>
      <c r="P57" s="11">
        <v>0</v>
      </c>
      <c r="Q57" s="28"/>
      <c r="R57" s="28"/>
      <c r="S57" s="7" t="s">
        <v>145</v>
      </c>
      <c r="T57" s="7" t="s">
        <v>358</v>
      </c>
      <c r="U57" s="7" t="s">
        <v>20</v>
      </c>
      <c r="V57" s="24" t="e">
        <f t="shared" ca="1" si="2"/>
        <v>#NAME?</v>
      </c>
      <c r="W57" s="7"/>
      <c r="X57" s="7"/>
      <c r="Y57" s="29" t="s">
        <v>147</v>
      </c>
      <c r="Z57" s="30"/>
      <c r="AA57" s="31">
        <v>45296</v>
      </c>
      <c r="AB57" s="32">
        <v>49075100013276</v>
      </c>
      <c r="AC57" s="30"/>
      <c r="AD57" s="30"/>
      <c r="AE57" s="30"/>
      <c r="AF57" s="30"/>
      <c r="AG57" s="30"/>
      <c r="AH57" s="30"/>
      <c r="AI57" s="30"/>
      <c r="AJ57" s="30"/>
      <c r="AK57" s="30"/>
      <c r="AL57" s="30"/>
      <c r="AM57" s="30"/>
      <c r="AN57" s="30"/>
      <c r="AO57" s="30"/>
      <c r="AP57" s="30"/>
      <c r="AQ57" s="30"/>
      <c r="AR57" s="30">
        <v>0</v>
      </c>
      <c r="AS57" s="30">
        <v>0</v>
      </c>
      <c r="AT57" s="30">
        <v>0</v>
      </c>
      <c r="AU57" s="30">
        <v>0</v>
      </c>
      <c r="AV57" s="30">
        <v>0</v>
      </c>
      <c r="AW57" s="30">
        <v>0</v>
      </c>
      <c r="AX57" s="30">
        <v>0</v>
      </c>
      <c r="AY57" s="30">
        <v>0</v>
      </c>
      <c r="AZ57" s="30">
        <v>0</v>
      </c>
      <c r="BA57" s="30" t="e">
        <f t="array" aca="1" ref="BA57" ca="1">_xludf.XLOOKUP(C57,'PL TOTAL D0'!A:A,'PL TOTAL D0'!C:C,"")</f>
        <v>#NAME?</v>
      </c>
    </row>
    <row r="58" spans="1:53" ht="15.75" customHeight="1">
      <c r="A58" s="23" t="s">
        <v>29</v>
      </c>
      <c r="B58" s="36" t="s">
        <v>359</v>
      </c>
      <c r="C58" s="62" t="s">
        <v>360</v>
      </c>
      <c r="D58" s="7" t="s">
        <v>19</v>
      </c>
      <c r="E58" s="7" t="s">
        <v>49</v>
      </c>
      <c r="F58" s="7" t="s">
        <v>166</v>
      </c>
      <c r="G58" s="7" t="e">
        <f t="shared" ca="1" si="0"/>
        <v>#NAME?</v>
      </c>
      <c r="H58" s="24" t="s">
        <v>152</v>
      </c>
      <c r="I58" s="24" t="s">
        <v>25</v>
      </c>
      <c r="J58" s="7" t="str">
        <f t="shared" si="7"/>
        <v>Não</v>
      </c>
      <c r="K58" s="25">
        <v>45208</v>
      </c>
      <c r="L58" s="7"/>
      <c r="M58" s="7" t="s">
        <v>42</v>
      </c>
      <c r="N58" s="26">
        <v>1.2E-2</v>
      </c>
      <c r="O58" s="7" t="s">
        <v>25</v>
      </c>
      <c r="P58" s="27">
        <v>0</v>
      </c>
      <c r="Q58" s="28"/>
      <c r="R58" s="28"/>
      <c r="S58" s="7" t="s">
        <v>145</v>
      </c>
      <c r="T58" s="7" t="s">
        <v>361</v>
      </c>
      <c r="U58" s="7" t="s">
        <v>362</v>
      </c>
      <c r="V58" s="24" t="e">
        <f t="shared" ca="1" si="2"/>
        <v>#NAME?</v>
      </c>
      <c r="W58" s="7"/>
      <c r="X58" s="7"/>
      <c r="Y58" s="29" t="s">
        <v>147</v>
      </c>
      <c r="Z58" s="30"/>
      <c r="AA58" s="31">
        <v>45208</v>
      </c>
      <c r="AB58" s="32">
        <v>49075100011168</v>
      </c>
      <c r="AC58" s="30"/>
      <c r="AD58" s="30"/>
      <c r="AE58" s="30"/>
      <c r="AF58" s="30"/>
      <c r="AG58" s="30"/>
      <c r="AH58" s="30"/>
      <c r="AI58" s="30"/>
      <c r="AJ58" s="30"/>
      <c r="AK58" s="30"/>
      <c r="AL58" s="30"/>
      <c r="AM58" s="30"/>
      <c r="AN58" s="30">
        <v>0</v>
      </c>
      <c r="AO58" s="30">
        <v>100000</v>
      </c>
      <c r="AP58" s="30">
        <v>100890.32</v>
      </c>
      <c r="AQ58" s="30">
        <v>101746.1</v>
      </c>
      <c r="AR58" s="30">
        <v>172788.35</v>
      </c>
      <c r="AS58" s="30">
        <v>160874.85999999999</v>
      </c>
      <c r="AT58" s="30">
        <v>134780.95000000001</v>
      </c>
      <c r="AU58" s="30">
        <v>109895.79</v>
      </c>
      <c r="AV58" s="30">
        <v>81373.72</v>
      </c>
      <c r="AW58" s="30">
        <v>81892.740000000005</v>
      </c>
      <c r="AX58" s="30">
        <v>52354.03</v>
      </c>
      <c r="AY58" s="30">
        <v>52685.32</v>
      </c>
      <c r="AZ58" s="30">
        <v>53036.9</v>
      </c>
      <c r="BA58" s="30" t="e">
        <f t="array" aca="1" ref="BA58" ca="1">_xludf.XLOOKUP(C58,'PL TOTAL D0'!A:A,'PL TOTAL D0'!C:C,"")</f>
        <v>#NAME?</v>
      </c>
    </row>
    <row r="59" spans="1:53" ht="15.75" customHeight="1">
      <c r="A59" s="23" t="s">
        <v>29</v>
      </c>
      <c r="B59" s="3" t="s">
        <v>363</v>
      </c>
      <c r="C59" s="63" t="s">
        <v>364</v>
      </c>
      <c r="D59" s="7" t="s">
        <v>19</v>
      </c>
      <c r="E59" s="7" t="s">
        <v>34</v>
      </c>
      <c r="F59" s="7" t="s">
        <v>35</v>
      </c>
      <c r="G59" s="7" t="e">
        <f t="shared" ca="1" si="0"/>
        <v>#NAME?</v>
      </c>
      <c r="H59" s="24" t="s">
        <v>152</v>
      </c>
      <c r="I59" s="24" t="s">
        <v>25</v>
      </c>
      <c r="J59" s="7" t="str">
        <f t="shared" si="7"/>
        <v>Não</v>
      </c>
      <c r="K59" s="25">
        <v>44970</v>
      </c>
      <c r="L59" s="7"/>
      <c r="M59" s="7" t="s">
        <v>200</v>
      </c>
      <c r="N59" s="26">
        <v>8.9999999999999993E-3</v>
      </c>
      <c r="O59" s="7" t="s">
        <v>25</v>
      </c>
      <c r="P59" s="27">
        <v>0</v>
      </c>
      <c r="Q59" s="28"/>
      <c r="R59" s="28" t="s">
        <v>365</v>
      </c>
      <c r="S59" s="7" t="s">
        <v>145</v>
      </c>
      <c r="T59" s="7" t="s">
        <v>366</v>
      </c>
      <c r="U59" s="7" t="s">
        <v>39</v>
      </c>
      <c r="V59" s="24" t="e">
        <f t="shared" ca="1" si="2"/>
        <v>#NAME?</v>
      </c>
      <c r="W59" s="7"/>
      <c r="X59" s="7"/>
      <c r="Y59" s="29" t="s">
        <v>147</v>
      </c>
      <c r="Z59" s="30"/>
      <c r="AA59" s="31">
        <v>44970</v>
      </c>
      <c r="AB59" s="32">
        <v>49075100005443</v>
      </c>
      <c r="AC59" s="30"/>
      <c r="AD59" s="30"/>
      <c r="AE59" s="30"/>
      <c r="AF59" s="30">
        <v>1222961.01</v>
      </c>
      <c r="AG59" s="30">
        <v>1391813.01</v>
      </c>
      <c r="AH59" s="30">
        <v>1394564.19</v>
      </c>
      <c r="AI59" s="30">
        <v>1263788.53</v>
      </c>
      <c r="AJ59" s="30">
        <v>1307731.72</v>
      </c>
      <c r="AK59" s="30">
        <v>1320623.24</v>
      </c>
      <c r="AL59" s="30">
        <v>1332023.96</v>
      </c>
      <c r="AM59" s="30">
        <v>1360026.96</v>
      </c>
      <c r="AN59" s="30">
        <v>1371280.16</v>
      </c>
      <c r="AO59" s="30">
        <v>1366216.04</v>
      </c>
      <c r="AP59" s="30">
        <v>1370110.38</v>
      </c>
      <c r="AQ59" s="30">
        <v>1377123.7</v>
      </c>
      <c r="AR59" s="30">
        <v>1285051.8799999999</v>
      </c>
      <c r="AS59" s="30">
        <v>1295132.71</v>
      </c>
      <c r="AT59" s="30">
        <v>1303972.44</v>
      </c>
      <c r="AU59" s="30">
        <v>1615481.99</v>
      </c>
      <c r="AV59" s="30">
        <v>1602822</v>
      </c>
      <c r="AW59" s="30">
        <v>1613280</v>
      </c>
      <c r="AX59" s="30">
        <v>1635665</v>
      </c>
      <c r="AY59" s="30">
        <v>1656213.46</v>
      </c>
      <c r="AZ59" s="30">
        <v>1655185.01</v>
      </c>
      <c r="BA59" s="30" t="e">
        <f t="array" aca="1" ref="BA59" ca="1">_xludf.XLOOKUP(C59,'PL TOTAL D0'!A:A,'PL TOTAL D0'!C:C,"")</f>
        <v>#NAME?</v>
      </c>
    </row>
    <row r="60" spans="1:53" ht="15.75" customHeight="1">
      <c r="A60" s="23" t="s">
        <v>29</v>
      </c>
      <c r="B60" s="3" t="s">
        <v>363</v>
      </c>
      <c r="C60" s="4" t="s">
        <v>367</v>
      </c>
      <c r="D60" s="7" t="s">
        <v>19</v>
      </c>
      <c r="E60" s="7" t="s">
        <v>34</v>
      </c>
      <c r="F60" s="7" t="s">
        <v>35</v>
      </c>
      <c r="G60" s="7" t="e">
        <f t="shared" ca="1" si="0"/>
        <v>#NAME?</v>
      </c>
      <c r="H60" s="24" t="s">
        <v>143</v>
      </c>
      <c r="I60" s="24" t="s">
        <v>25</v>
      </c>
      <c r="J60" s="7" t="str">
        <f t="shared" si="7"/>
        <v>Não</v>
      </c>
      <c r="K60" s="25">
        <v>44970</v>
      </c>
      <c r="L60" s="25">
        <v>44661</v>
      </c>
      <c r="M60" s="7" t="s">
        <v>257</v>
      </c>
      <c r="N60" s="26">
        <v>8.0000000000000002E-3</v>
      </c>
      <c r="O60" s="7" t="s">
        <v>258</v>
      </c>
      <c r="P60" s="27">
        <v>0.1</v>
      </c>
      <c r="Q60" s="28"/>
      <c r="R60" s="28"/>
      <c r="S60" s="7" t="s">
        <v>145</v>
      </c>
      <c r="T60" s="7" t="s">
        <v>366</v>
      </c>
      <c r="U60" s="7" t="s">
        <v>39</v>
      </c>
      <c r="V60" s="24" t="e">
        <f t="shared" ca="1" si="2"/>
        <v>#NAME?</v>
      </c>
      <c r="W60" s="7"/>
      <c r="X60" s="7"/>
      <c r="Y60" s="29"/>
      <c r="Z60" s="30"/>
      <c r="AA60" s="31">
        <v>44970</v>
      </c>
      <c r="AB60" s="32"/>
      <c r="AC60" s="30"/>
      <c r="AD60" s="30"/>
      <c r="AE60" s="30"/>
      <c r="AF60" s="30"/>
      <c r="AG60" s="30">
        <v>0</v>
      </c>
      <c r="AH60" s="30">
        <v>0</v>
      </c>
      <c r="AI60" s="30">
        <v>0</v>
      </c>
      <c r="AJ60" s="30">
        <v>0</v>
      </c>
      <c r="AK60" s="30">
        <v>0</v>
      </c>
      <c r="AL60" s="30">
        <v>0</v>
      </c>
      <c r="AM60" s="30">
        <v>0</v>
      </c>
      <c r="AN60" s="30">
        <v>0</v>
      </c>
      <c r="AO60" s="30">
        <v>0</v>
      </c>
      <c r="AP60" s="30">
        <v>0</v>
      </c>
      <c r="AQ60" s="30">
        <v>0</v>
      </c>
      <c r="AR60" s="30">
        <v>0</v>
      </c>
      <c r="AS60" s="30">
        <v>0</v>
      </c>
      <c r="AT60" s="30">
        <v>0</v>
      </c>
      <c r="AU60" s="30">
        <v>0</v>
      </c>
      <c r="AV60" s="30">
        <v>0</v>
      </c>
      <c r="AW60" s="30">
        <v>0</v>
      </c>
      <c r="AX60" s="30">
        <v>0</v>
      </c>
      <c r="AY60" s="30">
        <v>0</v>
      </c>
      <c r="AZ60" s="30">
        <v>0</v>
      </c>
      <c r="BA60" s="30" t="e">
        <f t="array" aca="1" ref="BA60" ca="1">_xludf.XLOOKUP(C60,'PL TOTAL D0'!A:A,'PL TOTAL D0'!C:C,"")</f>
        <v>#NAME?</v>
      </c>
    </row>
    <row r="61" spans="1:53" ht="15.75" customHeight="1">
      <c r="A61" s="23" t="s">
        <v>29</v>
      </c>
      <c r="B61" s="3" t="s">
        <v>368</v>
      </c>
      <c r="C61" s="63" t="s">
        <v>369</v>
      </c>
      <c r="D61" s="7" t="s">
        <v>19</v>
      </c>
      <c r="E61" s="7" t="s">
        <v>34</v>
      </c>
      <c r="F61" s="7" t="s">
        <v>35</v>
      </c>
      <c r="G61" s="7" t="e">
        <f t="shared" ca="1" si="0"/>
        <v>#NAME?</v>
      </c>
      <c r="H61" s="24" t="s">
        <v>161</v>
      </c>
      <c r="I61" s="24" t="s">
        <v>162</v>
      </c>
      <c r="J61" s="7" t="str">
        <f t="shared" si="7"/>
        <v>Não</v>
      </c>
      <c r="K61" s="25">
        <v>45020</v>
      </c>
      <c r="L61" s="7"/>
      <c r="M61" s="7" t="s">
        <v>87</v>
      </c>
      <c r="N61" s="26">
        <v>2.5000000000000001E-2</v>
      </c>
      <c r="O61" s="7" t="s">
        <v>183</v>
      </c>
      <c r="P61" s="27">
        <v>0.2</v>
      </c>
      <c r="Q61" s="28"/>
      <c r="R61" s="28" t="s">
        <v>365</v>
      </c>
      <c r="S61" s="7" t="s">
        <v>145</v>
      </c>
      <c r="T61" s="7" t="s">
        <v>366</v>
      </c>
      <c r="U61" s="7" t="s">
        <v>39</v>
      </c>
      <c r="V61" s="24" t="e">
        <f t="shared" ca="1" si="2"/>
        <v>#NAME?</v>
      </c>
      <c r="W61" s="7"/>
      <c r="X61" s="7"/>
      <c r="Y61" s="29" t="s">
        <v>147</v>
      </c>
      <c r="Z61" s="30"/>
      <c r="AA61" s="31">
        <v>45020</v>
      </c>
      <c r="AB61" s="32">
        <v>49075100003246</v>
      </c>
      <c r="AC61" s="30"/>
      <c r="AD61" s="30"/>
      <c r="AE61" s="30"/>
      <c r="AF61" s="30">
        <v>0</v>
      </c>
      <c r="AG61" s="30">
        <v>0</v>
      </c>
      <c r="AH61" s="30">
        <v>0</v>
      </c>
      <c r="AI61" s="30">
        <v>155956.48000000001</v>
      </c>
      <c r="AJ61" s="30">
        <v>171559.12</v>
      </c>
      <c r="AK61" s="30">
        <v>185313.16</v>
      </c>
      <c r="AL61" s="30">
        <v>195637.75</v>
      </c>
      <c r="AM61" s="30">
        <v>205565.4</v>
      </c>
      <c r="AN61" s="30">
        <v>204852.83</v>
      </c>
      <c r="AO61" s="30">
        <v>196248.7</v>
      </c>
      <c r="AP61" s="30">
        <v>211119.27</v>
      </c>
      <c r="AQ61" s="30">
        <v>221616.84</v>
      </c>
      <c r="AR61" s="30">
        <v>303272.69</v>
      </c>
      <c r="AS61" s="30">
        <v>307694.40999999997</v>
      </c>
      <c r="AT61" s="30">
        <v>313646.34000000003</v>
      </c>
      <c r="AU61" s="30">
        <v>907.07</v>
      </c>
      <c r="AV61" s="30">
        <v>907.07</v>
      </c>
      <c r="AW61" s="30">
        <v>910.15</v>
      </c>
      <c r="AX61" s="30">
        <v>910.15</v>
      </c>
      <c r="AY61" s="30">
        <v>910.15</v>
      </c>
      <c r="AZ61" s="30">
        <v>910.46</v>
      </c>
      <c r="BA61" s="30" t="e">
        <f t="array" aca="1" ref="BA61" ca="1">_xludf.XLOOKUP(C61,'PL TOTAL D0'!A:A,'PL TOTAL D0'!C:C,"")</f>
        <v>#NAME?</v>
      </c>
    </row>
    <row r="62" spans="1:53" ht="15.75" customHeight="1">
      <c r="A62" s="23" t="s">
        <v>29</v>
      </c>
      <c r="B62" s="3" t="s">
        <v>370</v>
      </c>
      <c r="C62" s="64" t="s">
        <v>371</v>
      </c>
      <c r="D62" s="7" t="s">
        <v>19</v>
      </c>
      <c r="E62" s="7" t="s">
        <v>20</v>
      </c>
      <c r="F62" s="7" t="s">
        <v>372</v>
      </c>
      <c r="G62" s="7" t="e">
        <f t="shared" ca="1" si="0"/>
        <v>#NAME?</v>
      </c>
      <c r="H62" s="24" t="s">
        <v>161</v>
      </c>
      <c r="I62" s="24" t="s">
        <v>211</v>
      </c>
      <c r="J62" s="7" t="str">
        <f t="shared" si="7"/>
        <v>Não</v>
      </c>
      <c r="K62" s="25">
        <v>45447</v>
      </c>
      <c r="L62" s="7"/>
      <c r="M62" s="7" t="s">
        <v>42</v>
      </c>
      <c r="N62" s="26">
        <v>1.0999999999999999E-2</v>
      </c>
      <c r="O62" s="7" t="s">
        <v>25</v>
      </c>
      <c r="P62" s="27">
        <v>0</v>
      </c>
      <c r="Q62" s="28"/>
      <c r="R62" s="28"/>
      <c r="S62" s="7" t="s">
        <v>145</v>
      </c>
      <c r="T62" s="7" t="s">
        <v>373</v>
      </c>
      <c r="U62" s="7" t="s">
        <v>20</v>
      </c>
      <c r="V62" s="24" t="e">
        <f t="shared" ca="1" si="2"/>
        <v>#NAME?</v>
      </c>
      <c r="W62" s="7"/>
      <c r="X62" s="7" t="s">
        <v>52</v>
      </c>
      <c r="Y62" s="29" t="s">
        <v>147</v>
      </c>
      <c r="Z62" s="30"/>
      <c r="AA62" s="31">
        <v>45447</v>
      </c>
      <c r="AB62" s="32">
        <v>49075100015007</v>
      </c>
      <c r="AC62" s="30"/>
      <c r="AD62" s="30"/>
      <c r="AE62" s="30"/>
      <c r="AF62" s="30"/>
      <c r="AG62" s="30"/>
      <c r="AH62" s="30"/>
      <c r="AI62" s="30"/>
      <c r="AJ62" s="30"/>
      <c r="AK62" s="30"/>
      <c r="AL62" s="30"/>
      <c r="AM62" s="30"/>
      <c r="AN62" s="30"/>
      <c r="AO62" s="30"/>
      <c r="AP62" s="30"/>
      <c r="AQ62" s="30"/>
      <c r="AR62" s="30"/>
      <c r="AS62" s="30"/>
      <c r="AT62" s="30"/>
      <c r="AU62" s="30"/>
      <c r="AV62" s="30"/>
      <c r="AW62" s="30">
        <v>334241.8</v>
      </c>
      <c r="AX62" s="30">
        <v>337347.5</v>
      </c>
      <c r="AY62" s="30">
        <v>340143.86</v>
      </c>
      <c r="AZ62" s="30">
        <v>347758.49</v>
      </c>
      <c r="BA62" s="30" t="e">
        <f t="array" aca="1" ref="BA62" ca="1">_xludf.XLOOKUP(C62,'PL TOTAL D0'!A:A,'PL TOTAL D0'!C:C,"")</f>
        <v>#NAME?</v>
      </c>
    </row>
    <row r="63" spans="1:53" ht="15.75" customHeight="1">
      <c r="A63" s="23" t="s">
        <v>29</v>
      </c>
      <c r="B63" s="3" t="s">
        <v>374</v>
      </c>
      <c r="C63" s="4" t="s">
        <v>375</v>
      </c>
      <c r="D63" s="7" t="s">
        <v>19</v>
      </c>
      <c r="E63" s="7" t="s">
        <v>34</v>
      </c>
      <c r="F63" s="7" t="s">
        <v>262</v>
      </c>
      <c r="G63" s="7" t="e">
        <f t="shared" ca="1" si="0"/>
        <v>#NAME?</v>
      </c>
      <c r="H63" s="24" t="s">
        <v>152</v>
      </c>
      <c r="I63" s="24" t="s">
        <v>25</v>
      </c>
      <c r="J63" s="7" t="str">
        <f t="shared" si="7"/>
        <v>Não</v>
      </c>
      <c r="K63" s="25">
        <v>45166</v>
      </c>
      <c r="L63" s="25"/>
      <c r="M63" s="7" t="s">
        <v>200</v>
      </c>
      <c r="N63" s="26">
        <v>1.4999999999999999E-2</v>
      </c>
      <c r="O63" s="7" t="s">
        <v>37</v>
      </c>
      <c r="P63" s="27">
        <v>0.1</v>
      </c>
      <c r="Q63" s="28"/>
      <c r="R63" s="28" t="s">
        <v>376</v>
      </c>
      <c r="S63" s="7" t="s">
        <v>145</v>
      </c>
      <c r="T63" s="7" t="s">
        <v>377</v>
      </c>
      <c r="U63" s="7" t="s">
        <v>39</v>
      </c>
      <c r="V63" s="24" t="e">
        <f t="shared" ca="1" si="2"/>
        <v>#NAME?</v>
      </c>
      <c r="W63" s="7"/>
      <c r="X63" s="7"/>
      <c r="Y63" s="29" t="s">
        <v>147</v>
      </c>
      <c r="Z63" s="30"/>
      <c r="AA63" s="31">
        <v>45166</v>
      </c>
      <c r="AB63" s="32">
        <v>49075100006830</v>
      </c>
      <c r="AC63" s="30"/>
      <c r="AD63" s="30"/>
      <c r="AE63" s="30"/>
      <c r="AF63" s="30"/>
      <c r="AG63" s="30"/>
      <c r="AH63" s="30"/>
      <c r="AI63" s="30">
        <v>0</v>
      </c>
      <c r="AJ63" s="30">
        <v>0</v>
      </c>
      <c r="AK63" s="30">
        <v>0</v>
      </c>
      <c r="AL63" s="30">
        <v>0</v>
      </c>
      <c r="AM63" s="30">
        <v>95343.18</v>
      </c>
      <c r="AN63" s="30">
        <v>103773.77</v>
      </c>
      <c r="AO63" s="30">
        <v>103586.63</v>
      </c>
      <c r="AP63" s="30">
        <v>105703.53</v>
      </c>
      <c r="AQ63" s="30">
        <v>107753.21</v>
      </c>
      <c r="AR63" s="30">
        <v>106220.49</v>
      </c>
      <c r="AS63" s="30">
        <v>107091.21</v>
      </c>
      <c r="AT63" s="30">
        <v>108303.4</v>
      </c>
      <c r="AU63" s="30">
        <v>107556.65</v>
      </c>
      <c r="AV63" s="30">
        <v>107101.3</v>
      </c>
      <c r="AW63" s="30">
        <v>107674</v>
      </c>
      <c r="AX63" s="30">
        <v>109133.6</v>
      </c>
      <c r="AY63" s="30">
        <v>110448.89</v>
      </c>
      <c r="AZ63" s="30">
        <v>110362.14</v>
      </c>
      <c r="BA63" s="30" t="e">
        <f t="array" aca="1" ref="BA63" ca="1">_xludf.XLOOKUP(C63,'PL TOTAL D0'!A:A,'PL TOTAL D0'!C:C,"")</f>
        <v>#NAME?</v>
      </c>
    </row>
    <row r="64" spans="1:53" ht="15.75" customHeight="1">
      <c r="A64" s="23" t="s">
        <v>29</v>
      </c>
      <c r="B64" s="36" t="s">
        <v>378</v>
      </c>
      <c r="C64" s="44" t="s">
        <v>379</v>
      </c>
      <c r="D64" s="7" t="s">
        <v>19</v>
      </c>
      <c r="E64" s="7" t="s">
        <v>20</v>
      </c>
      <c r="F64" s="9" t="s">
        <v>171</v>
      </c>
      <c r="G64" s="7" t="e">
        <f t="shared" ca="1" si="0"/>
        <v>#NAME?</v>
      </c>
      <c r="H64" s="24" t="s">
        <v>152</v>
      </c>
      <c r="I64" s="24" t="s">
        <v>25</v>
      </c>
      <c r="J64" s="7" t="str">
        <f t="shared" si="7"/>
        <v>Não</v>
      </c>
      <c r="K64" s="25">
        <v>45222</v>
      </c>
      <c r="L64" s="7"/>
      <c r="M64" s="7" t="s">
        <v>42</v>
      </c>
      <c r="N64" s="26">
        <v>7.0000000000000001E-3</v>
      </c>
      <c r="O64" s="7" t="s">
        <v>25</v>
      </c>
      <c r="P64" s="27">
        <v>0</v>
      </c>
      <c r="Q64" s="28"/>
      <c r="R64" s="28" t="s">
        <v>380</v>
      </c>
      <c r="S64" s="7" t="s">
        <v>145</v>
      </c>
      <c r="T64" s="7" t="s">
        <v>381</v>
      </c>
      <c r="U64" s="7" t="s">
        <v>20</v>
      </c>
      <c r="V64" s="24" t="e">
        <f t="shared" ca="1" si="2"/>
        <v>#NAME?</v>
      </c>
      <c r="W64" s="7"/>
      <c r="X64" s="7"/>
      <c r="Y64" s="29" t="s">
        <v>147</v>
      </c>
      <c r="Z64" s="30"/>
      <c r="AA64" s="31">
        <v>45222</v>
      </c>
      <c r="AB64" s="32">
        <v>49075100012180</v>
      </c>
      <c r="AC64" s="30"/>
      <c r="AD64" s="30"/>
      <c r="AE64" s="30"/>
      <c r="AF64" s="30"/>
      <c r="AG64" s="30"/>
      <c r="AH64" s="30"/>
      <c r="AI64" s="30"/>
      <c r="AJ64" s="30"/>
      <c r="AK64" s="30"/>
      <c r="AL64" s="30"/>
      <c r="AM64" s="30"/>
      <c r="AN64" s="30"/>
      <c r="AO64" s="30">
        <v>48822.53</v>
      </c>
      <c r="AP64" s="30">
        <v>75424.98</v>
      </c>
      <c r="AQ64" s="30">
        <v>81632.83</v>
      </c>
      <c r="AR64" s="30">
        <v>75566.95</v>
      </c>
      <c r="AS64" s="30">
        <v>72113.039999999994</v>
      </c>
      <c r="AT64" s="30">
        <v>79278.759999999995</v>
      </c>
      <c r="AU64" s="30">
        <v>82893.789999999994</v>
      </c>
      <c r="AV64" s="30">
        <v>4132.46</v>
      </c>
      <c r="AW64" s="30">
        <v>4165.21</v>
      </c>
      <c r="AX64" s="30">
        <v>4191.55</v>
      </c>
      <c r="AY64" s="30">
        <v>4221.83</v>
      </c>
      <c r="AZ64" s="30">
        <v>4236.21</v>
      </c>
      <c r="BA64" s="30" t="e">
        <f t="array" aca="1" ref="BA64" ca="1">_xludf.XLOOKUP(C64,'PL TOTAL D0'!A:A,'PL TOTAL D0'!C:C,"")</f>
        <v>#NAME?</v>
      </c>
    </row>
    <row r="65" spans="1:53" ht="15.75" customHeight="1">
      <c r="A65" s="23" t="s">
        <v>29</v>
      </c>
      <c r="B65" s="3" t="s">
        <v>378</v>
      </c>
      <c r="C65" s="4" t="s">
        <v>382</v>
      </c>
      <c r="D65" s="7" t="s">
        <v>19</v>
      </c>
      <c r="E65" s="7" t="s">
        <v>20</v>
      </c>
      <c r="F65" s="9" t="s">
        <v>171</v>
      </c>
      <c r="G65" s="7" t="e">
        <f t="shared" ca="1" si="0"/>
        <v>#NAME?</v>
      </c>
      <c r="H65" s="24" t="s">
        <v>161</v>
      </c>
      <c r="I65" s="24" t="s">
        <v>205</v>
      </c>
      <c r="J65" s="7" t="str">
        <f t="shared" si="7"/>
        <v>Não</v>
      </c>
      <c r="K65" s="25">
        <v>45293</v>
      </c>
      <c r="L65" s="7"/>
      <c r="M65" s="7" t="s">
        <v>31</v>
      </c>
      <c r="N65" s="26">
        <v>0</v>
      </c>
      <c r="O65" s="7" t="s">
        <v>25</v>
      </c>
      <c r="P65" s="27">
        <v>0</v>
      </c>
      <c r="Q65" s="28"/>
      <c r="R65" s="65" t="s">
        <v>383</v>
      </c>
      <c r="S65" s="7" t="s">
        <v>145</v>
      </c>
      <c r="T65" s="7" t="s">
        <v>381</v>
      </c>
      <c r="U65" s="7" t="s">
        <v>20</v>
      </c>
      <c r="V65" s="24" t="e">
        <f t="shared" ca="1" si="2"/>
        <v>#NAME?</v>
      </c>
      <c r="W65" s="7"/>
      <c r="X65" s="7"/>
      <c r="Y65" s="29" t="s">
        <v>147</v>
      </c>
      <c r="Z65" s="30"/>
      <c r="AA65" s="31">
        <v>45293</v>
      </c>
      <c r="AB65" s="32">
        <v>49075100013284</v>
      </c>
      <c r="AC65" s="30"/>
      <c r="AD65" s="30"/>
      <c r="AE65" s="30"/>
      <c r="AF65" s="30"/>
      <c r="AG65" s="30"/>
      <c r="AH65" s="30"/>
      <c r="AI65" s="30"/>
      <c r="AJ65" s="30"/>
      <c r="AK65" s="30"/>
      <c r="AL65" s="30"/>
      <c r="AM65" s="30"/>
      <c r="AN65" s="30"/>
      <c r="AO65" s="30"/>
      <c r="AP65" s="30"/>
      <c r="AQ65" s="30">
        <v>0</v>
      </c>
      <c r="AR65" s="30">
        <v>16116.88</v>
      </c>
      <c r="AS65" s="30">
        <v>21365.67</v>
      </c>
      <c r="AT65" s="30">
        <v>28193.34</v>
      </c>
      <c r="AU65" s="30">
        <v>30082.51</v>
      </c>
      <c r="AV65" s="30">
        <v>21100.83</v>
      </c>
      <c r="AW65" s="30">
        <v>27090.560000000001</v>
      </c>
      <c r="AX65" s="30">
        <v>27951.61</v>
      </c>
      <c r="AY65" s="30">
        <v>28896.18</v>
      </c>
      <c r="AZ65" s="30">
        <v>27203.09</v>
      </c>
      <c r="BA65" s="30" t="e">
        <f t="array" aca="1" ref="BA65" ca="1">_xludf.XLOOKUP(C65,'PL TOTAL D0'!A:A,'PL TOTAL D0'!C:C,"")</f>
        <v>#NAME?</v>
      </c>
    </row>
    <row r="66" spans="1:53" ht="15.75" customHeight="1">
      <c r="A66" s="23" t="s">
        <v>29</v>
      </c>
      <c r="B66" s="3" t="s">
        <v>384</v>
      </c>
      <c r="C66" s="4" t="s">
        <v>385</v>
      </c>
      <c r="D66" s="7" t="s">
        <v>72</v>
      </c>
      <c r="E66" s="7" t="s">
        <v>20</v>
      </c>
      <c r="F66" s="9" t="s">
        <v>386</v>
      </c>
      <c r="G66" s="7" t="e">
        <f t="shared" ca="1" si="0"/>
        <v>#NAME?</v>
      </c>
      <c r="H66" s="24" t="s">
        <v>167</v>
      </c>
      <c r="I66" s="24" t="s">
        <v>222</v>
      </c>
      <c r="J66" s="7" t="str">
        <f t="shared" si="7"/>
        <v>Não</v>
      </c>
      <c r="K66" s="25">
        <v>45475</v>
      </c>
      <c r="L66" s="7"/>
      <c r="M66" s="7" t="s">
        <v>42</v>
      </c>
      <c r="N66" s="26">
        <v>1.2E-2</v>
      </c>
      <c r="O66" s="7" t="s">
        <v>25</v>
      </c>
      <c r="P66" s="27">
        <v>0</v>
      </c>
      <c r="Q66" s="28"/>
      <c r="R66" s="65"/>
      <c r="S66" s="7" t="s">
        <v>145</v>
      </c>
      <c r="T66" s="7" t="s">
        <v>387</v>
      </c>
      <c r="U66" s="7" t="s">
        <v>20</v>
      </c>
      <c r="V66" s="24" t="e">
        <f t="shared" ca="1" si="2"/>
        <v>#NAME?</v>
      </c>
      <c r="W66" s="7"/>
      <c r="X66" s="7" t="s">
        <v>40</v>
      </c>
      <c r="Y66" s="29" t="s">
        <v>147</v>
      </c>
      <c r="Z66" s="30"/>
      <c r="AA66" s="31">
        <v>45475</v>
      </c>
      <c r="AB66" s="32">
        <v>49075100015511</v>
      </c>
      <c r="AC66" s="30"/>
      <c r="AD66" s="30"/>
      <c r="AE66" s="30"/>
      <c r="AF66" s="30"/>
      <c r="AG66" s="30"/>
      <c r="AH66" s="30"/>
      <c r="AI66" s="30"/>
      <c r="AJ66" s="30"/>
      <c r="AK66" s="30"/>
      <c r="AL66" s="30"/>
      <c r="AM66" s="30"/>
      <c r="AN66" s="30"/>
      <c r="AO66" s="30"/>
      <c r="AP66" s="30"/>
      <c r="AQ66" s="30"/>
      <c r="AR66" s="30"/>
      <c r="AS66" s="30"/>
      <c r="AT66" s="30"/>
      <c r="AU66" s="30"/>
      <c r="AV66" s="30"/>
      <c r="AW66" s="30"/>
      <c r="AX66" s="30">
        <v>0</v>
      </c>
      <c r="AY66" s="30">
        <v>0</v>
      </c>
      <c r="AZ66" s="30">
        <v>0</v>
      </c>
      <c r="BA66" s="30" t="e">
        <f t="array" aca="1" ref="BA66" ca="1">_xludf.XLOOKUP(C66,'PL TOTAL D0'!A:A,'PL TOTAL D0'!C:C,"")</f>
        <v>#NAME?</v>
      </c>
    </row>
    <row r="67" spans="1:53" ht="15.75" customHeight="1">
      <c r="A67" s="23" t="s">
        <v>29</v>
      </c>
      <c r="B67" s="3" t="s">
        <v>388</v>
      </c>
      <c r="C67" s="66" t="s">
        <v>389</v>
      </c>
      <c r="D67" s="7" t="s">
        <v>19</v>
      </c>
      <c r="E67" s="7" t="s">
        <v>20</v>
      </c>
      <c r="F67" s="7" t="s">
        <v>199</v>
      </c>
      <c r="G67" s="7" t="e">
        <f t="shared" ca="1" si="0"/>
        <v>#NAME?</v>
      </c>
      <c r="H67" s="24" t="s">
        <v>152</v>
      </c>
      <c r="I67" s="24" t="s">
        <v>25</v>
      </c>
      <c r="J67" s="7" t="str">
        <f t="shared" si="7"/>
        <v>Não</v>
      </c>
      <c r="K67" s="25">
        <v>45202</v>
      </c>
      <c r="L67" s="25"/>
      <c r="M67" s="7" t="s">
        <v>42</v>
      </c>
      <c r="N67" s="26">
        <v>0</v>
      </c>
      <c r="O67" s="7" t="s">
        <v>25</v>
      </c>
      <c r="P67" s="27">
        <v>0</v>
      </c>
      <c r="Q67" s="28"/>
      <c r="R67" s="23"/>
      <c r="S67" s="7" t="s">
        <v>145</v>
      </c>
      <c r="T67" s="7" t="s">
        <v>390</v>
      </c>
      <c r="U67" s="7" t="s">
        <v>20</v>
      </c>
      <c r="V67" s="24" t="e">
        <f t="shared" ca="1" si="2"/>
        <v>#NAME?</v>
      </c>
      <c r="W67" s="7"/>
      <c r="X67" s="7"/>
      <c r="Y67" s="29" t="s">
        <v>147</v>
      </c>
      <c r="Z67" s="30"/>
      <c r="AA67" s="31">
        <v>45202</v>
      </c>
      <c r="AB67" s="32">
        <v>49075100011176</v>
      </c>
      <c r="AC67" s="30"/>
      <c r="AD67" s="30"/>
      <c r="AE67" s="30"/>
      <c r="AF67" s="30"/>
      <c r="AG67" s="30"/>
      <c r="AH67" s="30"/>
      <c r="AI67" s="30"/>
      <c r="AJ67" s="30"/>
      <c r="AK67" s="30"/>
      <c r="AL67" s="30"/>
      <c r="AM67" s="30"/>
      <c r="AN67" s="30">
        <v>0</v>
      </c>
      <c r="AO67" s="30">
        <v>194378.52</v>
      </c>
      <c r="AP67" s="30">
        <v>674378.81</v>
      </c>
      <c r="AQ67" s="30">
        <v>681890.11</v>
      </c>
      <c r="AR67" s="30">
        <v>677840.76</v>
      </c>
      <c r="AS67" s="30">
        <v>682786.1</v>
      </c>
      <c r="AT67" s="30">
        <v>688196.81</v>
      </c>
      <c r="AU67" s="30">
        <v>682735.49</v>
      </c>
      <c r="AV67" s="30">
        <v>682566.4</v>
      </c>
      <c r="AW67" s="30">
        <v>687302.1</v>
      </c>
      <c r="AX67" s="30">
        <v>693824.3</v>
      </c>
      <c r="AY67" s="30">
        <v>700759.12</v>
      </c>
      <c r="AZ67" s="30">
        <v>705618.56</v>
      </c>
      <c r="BA67" s="30" t="e">
        <f t="array" aca="1" ref="BA67" ca="1">_xludf.XLOOKUP(C67,'PL TOTAL D0'!A:A,'PL TOTAL D0'!C:C,"")</f>
        <v>#NAME?</v>
      </c>
    </row>
    <row r="68" spans="1:53" ht="15.75" customHeight="1">
      <c r="A68" s="23" t="s">
        <v>29</v>
      </c>
      <c r="B68" s="3" t="s">
        <v>391</v>
      </c>
      <c r="C68" s="66" t="s">
        <v>392</v>
      </c>
      <c r="D68" s="7" t="s">
        <v>19</v>
      </c>
      <c r="E68" s="7" t="s">
        <v>49</v>
      </c>
      <c r="F68" s="7" t="s">
        <v>166</v>
      </c>
      <c r="G68" s="7" t="e">
        <f t="shared" ca="1" si="0"/>
        <v>#NAME?</v>
      </c>
      <c r="H68" s="24" t="s">
        <v>152</v>
      </c>
      <c r="I68" s="24" t="s">
        <v>25</v>
      </c>
      <c r="J68" s="7" t="str">
        <f t="shared" si="7"/>
        <v>Não</v>
      </c>
      <c r="K68" s="25">
        <v>45576</v>
      </c>
      <c r="L68" s="25"/>
      <c r="M68" s="7" t="s">
        <v>42</v>
      </c>
      <c r="N68" s="26">
        <v>1.2E-2</v>
      </c>
      <c r="O68" s="7" t="s">
        <v>25</v>
      </c>
      <c r="P68" s="27">
        <v>0</v>
      </c>
      <c r="Q68" s="28"/>
      <c r="R68" s="23"/>
      <c r="S68" s="7" t="s">
        <v>145</v>
      </c>
      <c r="T68" s="7" t="s">
        <v>393</v>
      </c>
      <c r="U68" s="7" t="s">
        <v>49</v>
      </c>
      <c r="V68" s="24" t="e">
        <f t="shared" ca="1" si="2"/>
        <v>#NAME?</v>
      </c>
      <c r="W68" s="7"/>
      <c r="X68" s="7" t="s">
        <v>52</v>
      </c>
      <c r="Y68" s="29"/>
      <c r="Z68" s="30"/>
      <c r="AA68" s="31"/>
      <c r="AB68" s="32"/>
      <c r="AC68" s="30"/>
      <c r="AD68" s="30"/>
      <c r="AE68" s="30"/>
      <c r="AF68" s="30"/>
      <c r="AG68" s="30"/>
      <c r="AH68" s="30"/>
      <c r="AI68" s="30"/>
      <c r="AJ68" s="30"/>
      <c r="AK68" s="30"/>
      <c r="AL68" s="30"/>
      <c r="AM68" s="30"/>
      <c r="AN68" s="30"/>
      <c r="AO68" s="30"/>
      <c r="AP68" s="30"/>
      <c r="AQ68" s="30"/>
      <c r="AR68" s="30"/>
      <c r="AS68" s="30"/>
      <c r="AT68" s="30"/>
      <c r="AU68" s="30"/>
      <c r="AV68" s="30"/>
      <c r="AW68" s="30"/>
      <c r="AX68" s="30"/>
      <c r="AY68" s="30"/>
      <c r="AZ68" s="30"/>
      <c r="BA68" s="30" t="e">
        <f t="array" aca="1" ref="BA68" ca="1">_xludf.XLOOKUP(C68,'PL TOTAL D0'!A:A,'PL TOTAL D0'!C:C,"")</f>
        <v>#NAME?</v>
      </c>
    </row>
    <row r="69" spans="1:53" ht="15.75" customHeight="1">
      <c r="A69" s="23" t="s">
        <v>29</v>
      </c>
      <c r="B69" s="3" t="s">
        <v>394</v>
      </c>
      <c r="C69" s="4" t="s">
        <v>395</v>
      </c>
      <c r="D69" s="7" t="s">
        <v>19</v>
      </c>
      <c r="E69" s="7" t="s">
        <v>20</v>
      </c>
      <c r="F69" s="7" t="s">
        <v>372</v>
      </c>
      <c r="G69" s="7" t="e">
        <f t="shared" ca="1" si="0"/>
        <v>#NAME?</v>
      </c>
      <c r="H69" s="24" t="s">
        <v>161</v>
      </c>
      <c r="I69" s="24" t="s">
        <v>162</v>
      </c>
      <c r="J69" s="7" t="str">
        <f t="shared" si="7"/>
        <v>Não</v>
      </c>
      <c r="K69" s="25">
        <v>44973</v>
      </c>
      <c r="L69" s="7"/>
      <c r="M69" s="7" t="s">
        <v>42</v>
      </c>
      <c r="N69" s="26">
        <v>1.2E-2</v>
      </c>
      <c r="O69" s="7" t="s">
        <v>25</v>
      </c>
      <c r="P69" s="27">
        <v>0</v>
      </c>
      <c r="Q69" s="28"/>
      <c r="R69" s="28"/>
      <c r="S69" s="7" t="s">
        <v>145</v>
      </c>
      <c r="T69" s="7" t="s">
        <v>396</v>
      </c>
      <c r="U69" s="7" t="s">
        <v>20</v>
      </c>
      <c r="V69" s="24" t="e">
        <f t="shared" ca="1" si="2"/>
        <v>#NAME?</v>
      </c>
      <c r="W69" s="7"/>
      <c r="X69" s="7"/>
      <c r="Y69" s="29" t="s">
        <v>147</v>
      </c>
      <c r="Z69" s="30"/>
      <c r="AA69" s="31">
        <v>44973</v>
      </c>
      <c r="AB69" s="32">
        <v>49075100009211</v>
      </c>
      <c r="AC69" s="30"/>
      <c r="AD69" s="30"/>
      <c r="AE69" s="30"/>
      <c r="AF69" s="30">
        <v>0</v>
      </c>
      <c r="AG69" s="30">
        <v>205400.95999999999</v>
      </c>
      <c r="AH69" s="30">
        <v>207992.18</v>
      </c>
      <c r="AI69" s="30">
        <v>191564.02</v>
      </c>
      <c r="AJ69" s="30">
        <v>178117.61</v>
      </c>
      <c r="AK69" s="30">
        <v>179706.97</v>
      </c>
      <c r="AL69" s="30">
        <v>161227.32999999999</v>
      </c>
      <c r="AM69" s="30">
        <v>139805.06</v>
      </c>
      <c r="AN69" s="30">
        <v>114175.85</v>
      </c>
      <c r="AO69" s="30">
        <v>114006.86</v>
      </c>
      <c r="AP69" s="30">
        <v>97661.65</v>
      </c>
      <c r="AQ69" s="30">
        <v>98971.16</v>
      </c>
      <c r="AR69" s="30">
        <v>84112.58</v>
      </c>
      <c r="AS69" s="30">
        <v>69883.429999999993</v>
      </c>
      <c r="AT69" s="30">
        <v>0</v>
      </c>
      <c r="AU69" s="30">
        <v>26.37</v>
      </c>
      <c r="AV69" s="30">
        <v>26.37</v>
      </c>
      <c r="AW69" s="30">
        <v>28.73</v>
      </c>
      <c r="AX69" s="30">
        <v>28.73</v>
      </c>
      <c r="AY69" s="30">
        <v>28.73</v>
      </c>
      <c r="AZ69" s="30">
        <v>28.73</v>
      </c>
      <c r="BA69" s="30" t="e">
        <f t="array" aca="1" ref="BA69" ca="1">_xludf.XLOOKUP(C69,'PL TOTAL D0'!A:A,'PL TOTAL D0'!C:C,"")</f>
        <v>#NAME?</v>
      </c>
    </row>
    <row r="70" spans="1:53" ht="15.75" customHeight="1">
      <c r="A70" s="23" t="s">
        <v>29</v>
      </c>
      <c r="B70" s="3" t="s">
        <v>397</v>
      </c>
      <c r="C70" s="4" t="s">
        <v>398</v>
      </c>
      <c r="D70" s="7" t="s">
        <v>19</v>
      </c>
      <c r="E70" s="7" t="s">
        <v>49</v>
      </c>
      <c r="F70" s="7" t="s">
        <v>277</v>
      </c>
      <c r="G70" s="7" t="e">
        <f t="shared" ca="1" si="0"/>
        <v>#NAME?</v>
      </c>
      <c r="H70" s="24" t="s">
        <v>161</v>
      </c>
      <c r="I70" s="24" t="s">
        <v>162</v>
      </c>
      <c r="J70" s="7" t="str">
        <f t="shared" si="7"/>
        <v>Não</v>
      </c>
      <c r="K70" s="25">
        <v>44949</v>
      </c>
      <c r="L70" s="7"/>
      <c r="M70" s="7" t="s">
        <v>42</v>
      </c>
      <c r="N70" s="26">
        <v>1.2E-2</v>
      </c>
      <c r="O70" s="7" t="s">
        <v>25</v>
      </c>
      <c r="P70" s="27">
        <v>0</v>
      </c>
      <c r="Q70" s="28"/>
      <c r="R70" s="28"/>
      <c r="S70" s="7" t="s">
        <v>145</v>
      </c>
      <c r="T70" s="7" t="s">
        <v>399</v>
      </c>
      <c r="U70" s="7" t="s">
        <v>49</v>
      </c>
      <c r="V70" s="24" t="e">
        <f t="shared" ca="1" si="2"/>
        <v>#NAME?</v>
      </c>
      <c r="W70" s="7"/>
      <c r="X70" s="7"/>
      <c r="Y70" s="29" t="s">
        <v>253</v>
      </c>
      <c r="Z70" s="30"/>
      <c r="AA70" s="31">
        <v>44949</v>
      </c>
      <c r="AB70" s="32">
        <v>49075100005461</v>
      </c>
      <c r="AC70" s="30"/>
      <c r="AD70" s="30"/>
      <c r="AE70" s="30"/>
      <c r="AF70" s="30">
        <v>488327.59</v>
      </c>
      <c r="AG70" s="30">
        <v>497674.32</v>
      </c>
      <c r="AH70" s="30">
        <v>487428.52</v>
      </c>
      <c r="AI70" s="30">
        <v>490845.49</v>
      </c>
      <c r="AJ70" s="30">
        <v>414552.97</v>
      </c>
      <c r="AK70" s="30">
        <v>417043.39</v>
      </c>
      <c r="AL70" s="30">
        <v>419792.77</v>
      </c>
      <c r="AM70" s="30">
        <v>391724.01</v>
      </c>
      <c r="AN70" s="30">
        <v>394426.75</v>
      </c>
      <c r="AO70" s="30">
        <v>384393.43</v>
      </c>
      <c r="AP70" s="30">
        <v>880468.69</v>
      </c>
      <c r="AQ70" s="30">
        <v>481718.89</v>
      </c>
      <c r="AR70" s="30">
        <v>56915.16</v>
      </c>
      <c r="AS70" s="30">
        <v>50642.57</v>
      </c>
      <c r="AT70" s="30">
        <v>51013.45</v>
      </c>
      <c r="AU70" s="30">
        <v>85.13</v>
      </c>
      <c r="AV70" s="30">
        <v>72.95</v>
      </c>
      <c r="AW70" s="30">
        <v>80306.81</v>
      </c>
      <c r="AX70" s="30">
        <v>0</v>
      </c>
      <c r="AY70" s="30">
        <v>31.25</v>
      </c>
      <c r="AZ70" s="30">
        <v>31.25</v>
      </c>
      <c r="BA70" s="30" t="e">
        <f t="array" aca="1" ref="BA70" ca="1">_xludf.XLOOKUP(C70,'PL TOTAL D0'!A:A,'PL TOTAL D0'!C:C,"")</f>
        <v>#NAME?</v>
      </c>
    </row>
    <row r="71" spans="1:53" ht="15.75" customHeight="1">
      <c r="A71" s="23" t="s">
        <v>29</v>
      </c>
      <c r="B71" s="3" t="s">
        <v>400</v>
      </c>
      <c r="C71" s="4" t="s">
        <v>401</v>
      </c>
      <c r="D71" s="7" t="s">
        <v>19</v>
      </c>
      <c r="E71" s="7" t="s">
        <v>49</v>
      </c>
      <c r="F71" s="7" t="s">
        <v>50</v>
      </c>
      <c r="G71" s="7" t="e">
        <f t="shared" ca="1" si="0"/>
        <v>#NAME?</v>
      </c>
      <c r="H71" s="24" t="s">
        <v>143</v>
      </c>
      <c r="I71" s="24" t="s">
        <v>25</v>
      </c>
      <c r="J71" s="7" t="str">
        <f t="shared" si="7"/>
        <v>Não</v>
      </c>
      <c r="K71" s="25">
        <v>44988</v>
      </c>
      <c r="L71" s="25">
        <v>45174</v>
      </c>
      <c r="M71" s="7" t="s">
        <v>42</v>
      </c>
      <c r="N71" s="26">
        <v>2E-3</v>
      </c>
      <c r="O71" s="7" t="s">
        <v>25</v>
      </c>
      <c r="P71" s="27">
        <v>0</v>
      </c>
      <c r="Q71" s="28"/>
      <c r="R71" s="48" t="s">
        <v>402</v>
      </c>
      <c r="S71" s="7" t="s">
        <v>145</v>
      </c>
      <c r="T71" s="7" t="s">
        <v>403</v>
      </c>
      <c r="U71" s="7" t="s">
        <v>49</v>
      </c>
      <c r="V71" s="24" t="e">
        <f t="shared" ca="1" si="2"/>
        <v>#NAME?</v>
      </c>
      <c r="W71" s="7"/>
      <c r="X71" s="7"/>
      <c r="Y71" s="29"/>
      <c r="Z71" s="30"/>
      <c r="AA71" s="31">
        <v>44988</v>
      </c>
      <c r="AB71" s="32"/>
      <c r="AC71" s="30"/>
      <c r="AD71" s="30"/>
      <c r="AE71" s="30"/>
      <c r="AF71" s="30">
        <v>0</v>
      </c>
      <c r="AG71" s="30">
        <v>0</v>
      </c>
      <c r="AH71" s="30">
        <v>100841.03</v>
      </c>
      <c r="AI71" s="30">
        <v>101642.93</v>
      </c>
      <c r="AJ71" s="30">
        <v>102937.17</v>
      </c>
      <c r="AK71" s="30">
        <v>104060.87</v>
      </c>
      <c r="AL71" s="30">
        <v>105138.59</v>
      </c>
      <c r="AM71" s="30">
        <v>0</v>
      </c>
      <c r="AN71" s="30">
        <v>0</v>
      </c>
      <c r="AO71" s="30">
        <v>0</v>
      </c>
      <c r="AP71" s="30">
        <v>0</v>
      </c>
      <c r="AQ71" s="30">
        <v>0</v>
      </c>
      <c r="AR71" s="30">
        <v>0</v>
      </c>
      <c r="AS71" s="30">
        <v>0</v>
      </c>
      <c r="AT71" s="30">
        <v>0</v>
      </c>
      <c r="AU71" s="30">
        <v>0</v>
      </c>
      <c r="AV71" s="30">
        <v>0</v>
      </c>
      <c r="AW71" s="30">
        <v>0</v>
      </c>
      <c r="AX71" s="30">
        <v>0</v>
      </c>
      <c r="AY71" s="30">
        <v>0</v>
      </c>
      <c r="AZ71" s="30">
        <v>0</v>
      </c>
      <c r="BA71" s="30" t="e">
        <f t="array" aca="1" ref="BA71" ca="1">_xludf.XLOOKUP(C71,'PL TOTAL D0'!A:A,'PL TOTAL D0'!C:C,"")</f>
        <v>#NAME?</v>
      </c>
    </row>
    <row r="72" spans="1:53" ht="15.75" customHeight="1">
      <c r="A72" s="23" t="s">
        <v>29</v>
      </c>
      <c r="B72" s="3" t="s">
        <v>47</v>
      </c>
      <c r="C72" s="4" t="s">
        <v>48</v>
      </c>
      <c r="D72" s="7" t="s">
        <v>19</v>
      </c>
      <c r="E72" s="7" t="s">
        <v>49</v>
      </c>
      <c r="F72" s="7" t="s">
        <v>50</v>
      </c>
      <c r="G72" s="7" t="e">
        <f t="shared" ca="1" si="0"/>
        <v>#NAME?</v>
      </c>
      <c r="H72" s="24" t="s">
        <v>161</v>
      </c>
      <c r="I72" s="24" t="s">
        <v>404</v>
      </c>
      <c r="J72" s="7" t="str">
        <f t="shared" si="7"/>
        <v>Não</v>
      </c>
      <c r="K72" s="25">
        <v>44973</v>
      </c>
      <c r="L72" s="7"/>
      <c r="M72" s="7" t="s">
        <v>200</v>
      </c>
      <c r="N72" s="26">
        <v>1.4999999999999999E-2</v>
      </c>
      <c r="O72" s="7" t="s">
        <v>37</v>
      </c>
      <c r="P72" s="27">
        <v>0.1</v>
      </c>
      <c r="Q72" s="28"/>
      <c r="R72" s="28"/>
      <c r="S72" s="7" t="s">
        <v>145</v>
      </c>
      <c r="T72" s="7" t="s">
        <v>405</v>
      </c>
      <c r="U72" s="7" t="s">
        <v>49</v>
      </c>
      <c r="V72" s="24" t="e">
        <f t="shared" ca="1" si="2"/>
        <v>#NAME?</v>
      </c>
      <c r="W72" s="7"/>
      <c r="X72" s="7"/>
      <c r="Y72" s="29" t="s">
        <v>147</v>
      </c>
      <c r="Z72" s="30"/>
      <c r="AA72" s="31">
        <v>44973</v>
      </c>
      <c r="AB72" s="32">
        <v>49075100005478</v>
      </c>
      <c r="AC72" s="30"/>
      <c r="AD72" s="30"/>
      <c r="AE72" s="30"/>
      <c r="AF72" s="30"/>
      <c r="AG72" s="30">
        <v>378063.59</v>
      </c>
      <c r="AH72" s="30">
        <v>412014.46</v>
      </c>
      <c r="AI72" s="30">
        <v>415110.81</v>
      </c>
      <c r="AJ72" s="30">
        <v>627525.17000000004</v>
      </c>
      <c r="AK72" s="30">
        <v>640821.67000000004</v>
      </c>
      <c r="AL72" s="30">
        <v>648299.81000000006</v>
      </c>
      <c r="AM72" s="30">
        <v>645446.74</v>
      </c>
      <c r="AN72" s="30">
        <v>647232.4</v>
      </c>
      <c r="AO72" s="30">
        <v>648936.31000000006</v>
      </c>
      <c r="AP72" s="30">
        <v>658994.24</v>
      </c>
      <c r="AQ72" s="30">
        <v>668204.47</v>
      </c>
      <c r="AR72" s="30">
        <v>670288.78</v>
      </c>
      <c r="AS72" s="30">
        <v>673873.7</v>
      </c>
      <c r="AT72" s="30">
        <v>680459.13</v>
      </c>
      <c r="AU72" s="30">
        <v>670476.35</v>
      </c>
      <c r="AV72" s="30">
        <v>671584.1</v>
      </c>
      <c r="AW72" s="30">
        <v>573746.1</v>
      </c>
      <c r="AX72" s="30">
        <v>482425.7</v>
      </c>
      <c r="AY72" s="30">
        <v>497468.63</v>
      </c>
      <c r="AZ72" s="30">
        <v>498449.51</v>
      </c>
      <c r="BA72" s="30" t="e">
        <f t="array" aca="1" ref="BA72" ca="1">_xludf.XLOOKUP(C72,'PL TOTAL D0'!A:A,'PL TOTAL D0'!C:C,"")</f>
        <v>#NAME?</v>
      </c>
    </row>
    <row r="73" spans="1:53" ht="15.75" customHeight="1">
      <c r="A73" s="23" t="s">
        <v>29</v>
      </c>
      <c r="B73" s="3" t="s">
        <v>406</v>
      </c>
      <c r="C73" s="4" t="s">
        <v>407</v>
      </c>
      <c r="D73" s="7" t="s">
        <v>19</v>
      </c>
      <c r="E73" s="7" t="s">
        <v>49</v>
      </c>
      <c r="F73" s="7" t="s">
        <v>166</v>
      </c>
      <c r="G73" s="7" t="e">
        <f t="shared" ca="1" si="0"/>
        <v>#NAME?</v>
      </c>
      <c r="H73" s="24" t="s">
        <v>152</v>
      </c>
      <c r="I73" s="24" t="s">
        <v>25</v>
      </c>
      <c r="J73" s="7" t="str">
        <f t="shared" si="7"/>
        <v>Não</v>
      </c>
      <c r="K73" s="25">
        <v>45086</v>
      </c>
      <c r="L73" s="25"/>
      <c r="M73" s="7" t="s">
        <v>42</v>
      </c>
      <c r="N73" s="26">
        <v>1.2E-2</v>
      </c>
      <c r="O73" s="7" t="s">
        <v>25</v>
      </c>
      <c r="P73" s="27">
        <v>0</v>
      </c>
      <c r="Q73" s="28"/>
      <c r="R73" s="28"/>
      <c r="S73" s="7" t="s">
        <v>145</v>
      </c>
      <c r="T73" s="7" t="s">
        <v>408</v>
      </c>
      <c r="U73" s="7" t="s">
        <v>20</v>
      </c>
      <c r="V73" s="24" t="e">
        <f t="shared" ca="1" si="2"/>
        <v>#NAME?</v>
      </c>
      <c r="W73" s="7"/>
      <c r="X73" s="7"/>
      <c r="Y73" s="29" t="s">
        <v>147</v>
      </c>
      <c r="Z73" s="30"/>
      <c r="AA73" s="31">
        <v>45086</v>
      </c>
      <c r="AB73" s="32">
        <v>49075100008280</v>
      </c>
      <c r="AC73" s="30"/>
      <c r="AD73" s="30"/>
      <c r="AE73" s="30"/>
      <c r="AF73" s="30"/>
      <c r="AG73" s="30"/>
      <c r="AH73" s="30"/>
      <c r="AI73" s="30"/>
      <c r="AJ73" s="30"/>
      <c r="AK73" s="30">
        <v>100410.67</v>
      </c>
      <c r="AL73" s="30">
        <v>101431.94</v>
      </c>
      <c r="AM73" s="30">
        <v>102078.59</v>
      </c>
      <c r="AN73" s="30">
        <v>97069.759999999995</v>
      </c>
      <c r="AO73" s="30">
        <v>97860.25</v>
      </c>
      <c r="AP73" s="30">
        <v>98666.32</v>
      </c>
      <c r="AQ73" s="30">
        <v>99541.39</v>
      </c>
      <c r="AR73" s="30">
        <v>90200.82</v>
      </c>
      <c r="AS73" s="30">
        <v>90926.93</v>
      </c>
      <c r="AT73" s="30">
        <v>43467.77</v>
      </c>
      <c r="AU73" s="30">
        <v>43687.14</v>
      </c>
      <c r="AV73" s="30">
        <v>44032.35</v>
      </c>
      <c r="AW73" s="30">
        <v>36453.730000000003</v>
      </c>
      <c r="AX73" s="30">
        <v>36768.29</v>
      </c>
      <c r="AY73" s="30">
        <v>37068.69</v>
      </c>
      <c r="AZ73" s="30">
        <v>37288.18</v>
      </c>
      <c r="BA73" s="30" t="e">
        <f t="array" aca="1" ref="BA73" ca="1">_xludf.XLOOKUP(C73,'PL TOTAL D0'!A:A,'PL TOTAL D0'!C:C,"")</f>
        <v>#NAME?</v>
      </c>
    </row>
    <row r="74" spans="1:53" ht="15.75" customHeight="1">
      <c r="A74" s="23" t="s">
        <v>29</v>
      </c>
      <c r="B74" s="3" t="s">
        <v>409</v>
      </c>
      <c r="C74" s="4" t="s">
        <v>410</v>
      </c>
      <c r="D74" s="7" t="s">
        <v>19</v>
      </c>
      <c r="E74" s="7" t="s">
        <v>20</v>
      </c>
      <c r="F74" s="7" t="s">
        <v>337</v>
      </c>
      <c r="G74" s="7" t="e">
        <f t="shared" ca="1" si="0"/>
        <v>#NAME?</v>
      </c>
      <c r="H74" s="24" t="s">
        <v>167</v>
      </c>
      <c r="I74" s="24" t="s">
        <v>222</v>
      </c>
      <c r="J74" s="7" t="str">
        <f t="shared" si="7"/>
        <v>Não</v>
      </c>
      <c r="K74" s="25">
        <v>45454</v>
      </c>
      <c r="L74" s="25"/>
      <c r="M74" s="7" t="s">
        <v>42</v>
      </c>
      <c r="N74" s="26">
        <v>1.2E-2</v>
      </c>
      <c r="O74" s="7" t="s">
        <v>25</v>
      </c>
      <c r="P74" s="27">
        <v>0</v>
      </c>
      <c r="Q74" s="28"/>
      <c r="R74" s="28"/>
      <c r="S74" s="7" t="s">
        <v>145</v>
      </c>
      <c r="T74" s="7" t="s">
        <v>411</v>
      </c>
      <c r="U74" s="7" t="s">
        <v>20</v>
      </c>
      <c r="V74" s="24" t="e">
        <f t="shared" ca="1" si="2"/>
        <v>#NAME?</v>
      </c>
      <c r="W74" s="7"/>
      <c r="X74" s="7" t="s">
        <v>52</v>
      </c>
      <c r="Y74" s="29" t="s">
        <v>147</v>
      </c>
      <c r="Z74" s="30"/>
      <c r="AA74" s="31">
        <v>45454</v>
      </c>
      <c r="AB74" s="32">
        <v>49075100014868</v>
      </c>
      <c r="AC74" s="30"/>
      <c r="AD74" s="30"/>
      <c r="AE74" s="30"/>
      <c r="AF74" s="30"/>
      <c r="AG74" s="30"/>
      <c r="AH74" s="30"/>
      <c r="AI74" s="30"/>
      <c r="AJ74" s="30"/>
      <c r="AK74" s="30"/>
      <c r="AL74" s="30"/>
      <c r="AM74" s="30"/>
      <c r="AN74" s="30"/>
      <c r="AO74" s="30"/>
      <c r="AP74" s="30"/>
      <c r="AQ74" s="30"/>
      <c r="AR74" s="30"/>
      <c r="AS74" s="30"/>
      <c r="AT74" s="30"/>
      <c r="AU74" s="30"/>
      <c r="AV74" s="30"/>
      <c r="AW74" s="30">
        <v>0</v>
      </c>
      <c r="AX74" s="30">
        <v>0</v>
      </c>
      <c r="AY74" s="30">
        <v>0</v>
      </c>
      <c r="AZ74" s="30">
        <v>0</v>
      </c>
      <c r="BA74" s="30" t="e">
        <f t="array" aca="1" ref="BA74" ca="1">_xludf.XLOOKUP(C74,'PL TOTAL D0'!A:A,'PL TOTAL D0'!C:C,"")</f>
        <v>#NAME?</v>
      </c>
    </row>
    <row r="75" spans="1:53" ht="15.75" customHeight="1">
      <c r="A75" s="23" t="s">
        <v>29</v>
      </c>
      <c r="B75" s="3" t="s">
        <v>412</v>
      </c>
      <c r="C75" s="4" t="s">
        <v>413</v>
      </c>
      <c r="D75" s="7" t="s">
        <v>19</v>
      </c>
      <c r="E75" s="7" t="s">
        <v>49</v>
      </c>
      <c r="F75" s="7" t="s">
        <v>166</v>
      </c>
      <c r="G75" s="7" t="e">
        <f t="shared" ca="1" si="0"/>
        <v>#NAME?</v>
      </c>
      <c r="H75" s="24" t="s">
        <v>161</v>
      </c>
      <c r="I75" s="24" t="s">
        <v>162</v>
      </c>
      <c r="J75" s="7" t="str">
        <f t="shared" si="7"/>
        <v>Não</v>
      </c>
      <c r="K75" s="25">
        <v>45012</v>
      </c>
      <c r="L75" s="7"/>
      <c r="M75" s="7" t="s">
        <v>42</v>
      </c>
      <c r="N75" s="26">
        <v>1.2E-2</v>
      </c>
      <c r="O75" s="7" t="s">
        <v>25</v>
      </c>
      <c r="P75" s="27">
        <v>0</v>
      </c>
      <c r="Q75" s="28"/>
      <c r="R75" s="28"/>
      <c r="S75" s="7" t="s">
        <v>145</v>
      </c>
      <c r="T75" s="7" t="s">
        <v>414</v>
      </c>
      <c r="U75" s="7" t="s">
        <v>49</v>
      </c>
      <c r="V75" s="24" t="e">
        <f t="shared" ca="1" si="2"/>
        <v>#NAME?</v>
      </c>
      <c r="W75" s="7"/>
      <c r="X75" s="7"/>
      <c r="Y75" s="29" t="s">
        <v>147</v>
      </c>
      <c r="Z75" s="30"/>
      <c r="AA75" s="31">
        <v>45012</v>
      </c>
      <c r="AB75" s="32">
        <v>49075100011184</v>
      </c>
      <c r="AC75" s="30"/>
      <c r="AD75" s="30"/>
      <c r="AE75" s="30"/>
      <c r="AF75" s="30"/>
      <c r="AG75" s="30">
        <v>0</v>
      </c>
      <c r="AH75" s="30">
        <v>1348.85</v>
      </c>
      <c r="AI75" s="30">
        <v>0</v>
      </c>
      <c r="AJ75" s="30">
        <v>0</v>
      </c>
      <c r="AK75" s="30">
        <v>0</v>
      </c>
      <c r="AL75" s="30">
        <v>0</v>
      </c>
      <c r="AM75" s="30">
        <v>0</v>
      </c>
      <c r="AN75" s="30">
        <v>0</v>
      </c>
      <c r="AO75" s="30">
        <v>0</v>
      </c>
      <c r="AP75" s="30">
        <v>0</v>
      </c>
      <c r="AQ75" s="30">
        <v>0</v>
      </c>
      <c r="AR75" s="30">
        <v>0</v>
      </c>
      <c r="AS75" s="30">
        <v>0</v>
      </c>
      <c r="AT75" s="30">
        <v>0</v>
      </c>
      <c r="AU75" s="30">
        <v>0</v>
      </c>
      <c r="AV75" s="30">
        <v>0</v>
      </c>
      <c r="AW75" s="30">
        <v>0</v>
      </c>
      <c r="AX75" s="30">
        <v>0</v>
      </c>
      <c r="AY75" s="30">
        <v>0</v>
      </c>
      <c r="AZ75" s="30">
        <v>0</v>
      </c>
      <c r="BA75" s="30" t="e">
        <f t="array" aca="1" ref="BA75" ca="1">_xludf.XLOOKUP(C75,'PL TOTAL D0'!A:A,'PL TOTAL D0'!C:C,"")</f>
        <v>#NAME?</v>
      </c>
    </row>
    <row r="76" spans="1:53" ht="15.75" customHeight="1">
      <c r="A76" s="23" t="s">
        <v>29</v>
      </c>
      <c r="B76" s="3" t="s">
        <v>415</v>
      </c>
      <c r="C76" s="4" t="s">
        <v>416</v>
      </c>
      <c r="D76" s="7" t="s">
        <v>72</v>
      </c>
      <c r="E76" s="7" t="s">
        <v>20</v>
      </c>
      <c r="F76" s="7" t="s">
        <v>386</v>
      </c>
      <c r="G76" s="7" t="e">
        <f t="shared" ca="1" si="0"/>
        <v>#NAME?</v>
      </c>
      <c r="H76" s="24" t="s">
        <v>152</v>
      </c>
      <c r="I76" s="24" t="s">
        <v>25</v>
      </c>
      <c r="J76" s="7" t="str">
        <f t="shared" si="7"/>
        <v>Sim</v>
      </c>
      <c r="K76" s="25">
        <v>45323</v>
      </c>
      <c r="L76" s="7"/>
      <c r="M76" s="7" t="s">
        <v>42</v>
      </c>
      <c r="N76" s="26">
        <v>1.2E-2</v>
      </c>
      <c r="O76" s="7" t="s">
        <v>25</v>
      </c>
      <c r="P76" s="27">
        <v>0</v>
      </c>
      <c r="Q76" s="28" t="s">
        <v>417</v>
      </c>
      <c r="R76" s="28"/>
      <c r="S76" s="7" t="s">
        <v>145</v>
      </c>
      <c r="T76" s="7" t="s">
        <v>418</v>
      </c>
      <c r="U76" s="7" t="s">
        <v>20</v>
      </c>
      <c r="V76" s="24" t="e">
        <f t="shared" ca="1" si="2"/>
        <v>#NAME?</v>
      </c>
      <c r="W76" s="7"/>
      <c r="X76" s="7"/>
      <c r="Y76" s="29" t="s">
        <v>147</v>
      </c>
      <c r="Z76" s="30"/>
      <c r="AA76" s="31">
        <v>45323</v>
      </c>
      <c r="AB76" s="32">
        <v>49075100013292</v>
      </c>
      <c r="AC76" s="30"/>
      <c r="AD76" s="30"/>
      <c r="AE76" s="30"/>
      <c r="AF76" s="30"/>
      <c r="AG76" s="30"/>
      <c r="AH76" s="30"/>
      <c r="AI76" s="30"/>
      <c r="AJ76" s="30"/>
      <c r="AK76" s="30"/>
      <c r="AL76" s="30"/>
      <c r="AM76" s="30"/>
      <c r="AN76" s="30"/>
      <c r="AO76" s="30"/>
      <c r="AP76" s="30"/>
      <c r="AQ76" s="30"/>
      <c r="AR76" s="30">
        <v>428703.97</v>
      </c>
      <c r="AS76" s="30">
        <v>603129.68999999994</v>
      </c>
      <c r="AT76" s="30">
        <v>607761.38</v>
      </c>
      <c r="AU76" s="30">
        <v>611000</v>
      </c>
      <c r="AV76" s="30">
        <v>615584.5</v>
      </c>
      <c r="AW76" s="30">
        <v>619982.19999999995</v>
      </c>
      <c r="AX76" s="30">
        <v>625209.30000000005</v>
      </c>
      <c r="AY76" s="30">
        <v>630141.14</v>
      </c>
      <c r="AZ76" s="30">
        <v>632242.28</v>
      </c>
      <c r="BA76" s="30" t="e">
        <f t="array" aca="1" ref="BA76" ca="1">_xludf.XLOOKUP(C76,'PL TOTAL D0'!A:A,'PL TOTAL D0'!C:C,"")</f>
        <v>#NAME?</v>
      </c>
    </row>
    <row r="77" spans="1:53" ht="15.75" customHeight="1">
      <c r="A77" s="23" t="s">
        <v>29</v>
      </c>
      <c r="B77" s="37" t="s">
        <v>419</v>
      </c>
      <c r="C77" s="4" t="s">
        <v>420</v>
      </c>
      <c r="D77" s="7" t="s">
        <v>19</v>
      </c>
      <c r="E77" s="7" t="s">
        <v>34</v>
      </c>
      <c r="F77" s="7" t="s">
        <v>35</v>
      </c>
      <c r="G77" s="7" t="e">
        <f t="shared" ca="1" si="0"/>
        <v>#NAME?</v>
      </c>
      <c r="H77" s="24" t="s">
        <v>152</v>
      </c>
      <c r="I77" s="24" t="s">
        <v>25</v>
      </c>
      <c r="J77" s="7" t="str">
        <f t="shared" si="7"/>
        <v>Não</v>
      </c>
      <c r="K77" s="25">
        <v>45035</v>
      </c>
      <c r="L77" s="7"/>
      <c r="M77" s="7" t="s">
        <v>58</v>
      </c>
      <c r="N77" s="26">
        <v>1.2E-2</v>
      </c>
      <c r="O77" s="7" t="s">
        <v>25</v>
      </c>
      <c r="P77" s="27">
        <v>0</v>
      </c>
      <c r="Q77" s="28"/>
      <c r="R77" s="28" t="s">
        <v>421</v>
      </c>
      <c r="S77" s="7" t="s">
        <v>145</v>
      </c>
      <c r="T77" s="7" t="s">
        <v>422</v>
      </c>
      <c r="U77" s="7" t="s">
        <v>46</v>
      </c>
      <c r="V77" s="24" t="e">
        <f t="shared" ca="1" si="2"/>
        <v>#NAME?</v>
      </c>
      <c r="W77" s="7"/>
      <c r="X77" s="7"/>
      <c r="Y77" s="29" t="s">
        <v>147</v>
      </c>
      <c r="Z77" s="30"/>
      <c r="AA77" s="31">
        <v>45035</v>
      </c>
      <c r="AB77" s="32">
        <v>49075100011192</v>
      </c>
      <c r="AC77" s="30"/>
      <c r="AD77" s="30"/>
      <c r="AE77" s="30"/>
      <c r="AF77" s="30"/>
      <c r="AG77" s="30"/>
      <c r="AH77" s="30">
        <v>0</v>
      </c>
      <c r="AI77" s="30">
        <v>2338313.8199999998</v>
      </c>
      <c r="AJ77" s="30">
        <v>2484801.5499999998</v>
      </c>
      <c r="AK77" s="30">
        <v>2522741.14</v>
      </c>
      <c r="AL77" s="30">
        <v>5935459.3499999996</v>
      </c>
      <c r="AM77" s="30">
        <v>5957345.3200000003</v>
      </c>
      <c r="AN77" s="30">
        <v>6005596.1799999997</v>
      </c>
      <c r="AO77" s="30">
        <v>6026667.0199999996</v>
      </c>
      <c r="AP77" s="30">
        <v>6098388.9199999999</v>
      </c>
      <c r="AQ77" s="30">
        <v>6183506.4699999997</v>
      </c>
      <c r="AR77" s="30">
        <v>6198048.0300000003</v>
      </c>
      <c r="AS77" s="30">
        <v>6242860.7400000002</v>
      </c>
      <c r="AT77" s="30">
        <v>6273001.6200000001</v>
      </c>
      <c r="AU77" s="30">
        <v>6221345.0599999996</v>
      </c>
      <c r="AV77" s="30">
        <v>6244633</v>
      </c>
      <c r="AW77" s="30">
        <v>6274035</v>
      </c>
      <c r="AX77" s="30">
        <v>6335268</v>
      </c>
      <c r="AY77" s="30">
        <v>6399683.4100000001</v>
      </c>
      <c r="AZ77" s="30">
        <v>6437574.1600000001</v>
      </c>
      <c r="BA77" s="30" t="e">
        <f t="array" aca="1" ref="BA77" ca="1">_xludf.XLOOKUP(C77,'PL TOTAL D0'!A:A,'PL TOTAL D0'!C:C,"")</f>
        <v>#NAME?</v>
      </c>
    </row>
    <row r="78" spans="1:53" ht="15.75" customHeight="1">
      <c r="A78" s="23" t="s">
        <v>29</v>
      </c>
      <c r="B78" s="3" t="s">
        <v>423</v>
      </c>
      <c r="C78" s="4" t="s">
        <v>424</v>
      </c>
      <c r="D78" s="7" t="s">
        <v>19</v>
      </c>
      <c r="E78" s="7" t="s">
        <v>20</v>
      </c>
      <c r="F78" s="7" t="s">
        <v>21</v>
      </c>
      <c r="G78" s="7" t="e">
        <f t="shared" ca="1" si="0"/>
        <v>#NAME?</v>
      </c>
      <c r="H78" s="24" t="s">
        <v>152</v>
      </c>
      <c r="I78" s="24" t="s">
        <v>25</v>
      </c>
      <c r="J78" s="7" t="str">
        <f t="shared" si="7"/>
        <v>Não</v>
      </c>
      <c r="K78" s="25">
        <v>44985</v>
      </c>
      <c r="L78" s="7"/>
      <c r="M78" s="7" t="s">
        <v>42</v>
      </c>
      <c r="N78" s="26">
        <v>1.2E-2</v>
      </c>
      <c r="O78" s="7" t="s">
        <v>25</v>
      </c>
      <c r="P78" s="27">
        <v>0</v>
      </c>
      <c r="Q78" s="28"/>
      <c r="R78" s="28"/>
      <c r="S78" s="7" t="s">
        <v>145</v>
      </c>
      <c r="T78" s="7" t="s">
        <v>425</v>
      </c>
      <c r="U78" s="7" t="s">
        <v>20</v>
      </c>
      <c r="V78" s="24" t="e">
        <f t="shared" ca="1" si="2"/>
        <v>#NAME?</v>
      </c>
      <c r="W78" s="7"/>
      <c r="X78" s="7"/>
      <c r="Y78" s="29" t="s">
        <v>147</v>
      </c>
      <c r="Z78" s="30"/>
      <c r="AA78" s="31">
        <v>44985</v>
      </c>
      <c r="AB78" s="32">
        <v>49075100005486</v>
      </c>
      <c r="AC78" s="30"/>
      <c r="AD78" s="30"/>
      <c r="AE78" s="30"/>
      <c r="AF78" s="30"/>
      <c r="AG78" s="30">
        <v>560421.18999999994</v>
      </c>
      <c r="AH78" s="30">
        <v>916687.06</v>
      </c>
      <c r="AI78" s="30">
        <v>922926.96</v>
      </c>
      <c r="AJ78" s="30">
        <v>930674.54</v>
      </c>
      <c r="AK78" s="30">
        <v>939224.97</v>
      </c>
      <c r="AL78" s="30">
        <v>946529.43</v>
      </c>
      <c r="AM78" s="30">
        <v>678596.76</v>
      </c>
      <c r="AN78" s="30">
        <v>684079.55</v>
      </c>
      <c r="AO78" s="30">
        <v>690269.86</v>
      </c>
      <c r="AP78" s="30">
        <v>694735.41</v>
      </c>
      <c r="AQ78" s="30">
        <v>700472.95</v>
      </c>
      <c r="AR78" s="30">
        <v>706805.5</v>
      </c>
      <c r="AS78" s="30">
        <v>712203.48</v>
      </c>
      <c r="AT78" s="30">
        <v>718812.51</v>
      </c>
      <c r="AU78" s="30">
        <v>724821.85</v>
      </c>
      <c r="AV78" s="30">
        <v>729942.1</v>
      </c>
      <c r="AW78" s="30">
        <v>730139.3</v>
      </c>
      <c r="AX78" s="30">
        <v>583088</v>
      </c>
      <c r="AY78" s="30">
        <v>586649.13</v>
      </c>
      <c r="AZ78" s="30">
        <v>590059.74</v>
      </c>
      <c r="BA78" s="30" t="e">
        <f t="array" aca="1" ref="BA78" ca="1">_xludf.XLOOKUP(C78,'PL TOTAL D0'!A:A,'PL TOTAL D0'!C:C,"")</f>
        <v>#NAME?</v>
      </c>
    </row>
    <row r="79" spans="1:53" ht="15.75" customHeight="1">
      <c r="A79" s="23" t="s">
        <v>29</v>
      </c>
      <c r="B79" s="3" t="s">
        <v>426</v>
      </c>
      <c r="C79" s="4" t="s">
        <v>427</v>
      </c>
      <c r="D79" s="7" t="s">
        <v>19</v>
      </c>
      <c r="E79" s="7" t="s">
        <v>34</v>
      </c>
      <c r="F79" s="7" t="s">
        <v>262</v>
      </c>
      <c r="G79" s="7" t="e">
        <f t="shared" ca="1" si="0"/>
        <v>#NAME?</v>
      </c>
      <c r="H79" s="24" t="s">
        <v>152</v>
      </c>
      <c r="I79" s="24" t="s">
        <v>25</v>
      </c>
      <c r="J79" s="7" t="str">
        <f t="shared" si="7"/>
        <v>Não</v>
      </c>
      <c r="K79" s="25">
        <v>45096</v>
      </c>
      <c r="L79" s="7"/>
      <c r="M79" s="7" t="s">
        <v>200</v>
      </c>
      <c r="N79" s="26">
        <v>1.4999999999999999E-2</v>
      </c>
      <c r="O79" s="7" t="s">
        <v>37</v>
      </c>
      <c r="P79" s="27">
        <v>0.1</v>
      </c>
      <c r="Q79" s="28"/>
      <c r="R79" s="28"/>
      <c r="S79" s="7" t="s">
        <v>145</v>
      </c>
      <c r="T79" s="7" t="s">
        <v>428</v>
      </c>
      <c r="U79" s="7" t="s">
        <v>39</v>
      </c>
      <c r="V79" s="24" t="e">
        <f t="shared" ca="1" si="2"/>
        <v>#NAME?</v>
      </c>
      <c r="W79" s="7"/>
      <c r="X79" s="7"/>
      <c r="Y79" s="29" t="s">
        <v>147</v>
      </c>
      <c r="Z79" s="30"/>
      <c r="AA79" s="31">
        <v>45096</v>
      </c>
      <c r="AB79" s="32">
        <v>49075100004811</v>
      </c>
      <c r="AC79" s="30"/>
      <c r="AD79" s="30"/>
      <c r="AE79" s="30"/>
      <c r="AF79" s="30"/>
      <c r="AG79" s="30"/>
      <c r="AH79" s="30"/>
      <c r="AI79" s="30">
        <v>0</v>
      </c>
      <c r="AJ79" s="30">
        <v>0</v>
      </c>
      <c r="AK79" s="30">
        <v>1903309.48</v>
      </c>
      <c r="AL79" s="30">
        <v>1910989.17</v>
      </c>
      <c r="AM79" s="30">
        <v>1904031.27</v>
      </c>
      <c r="AN79" s="30">
        <v>1911128.37</v>
      </c>
      <c r="AO79" s="30">
        <v>1905968.81</v>
      </c>
      <c r="AP79" s="30">
        <v>1953970.63</v>
      </c>
      <c r="AQ79" s="30">
        <v>1991456.49</v>
      </c>
      <c r="AR79" s="30">
        <v>1962597.82</v>
      </c>
      <c r="AS79" s="30">
        <v>1976819.21</v>
      </c>
      <c r="AT79" s="30">
        <v>1998699.75</v>
      </c>
      <c r="AU79" s="30">
        <v>1962590.62</v>
      </c>
      <c r="AV79" s="30">
        <v>1954476</v>
      </c>
      <c r="AW79" s="30">
        <v>1967081</v>
      </c>
      <c r="AX79" s="30">
        <v>1994497</v>
      </c>
      <c r="AY79" s="30">
        <v>2018985.77</v>
      </c>
      <c r="AZ79" s="30">
        <v>2015014.3</v>
      </c>
      <c r="BA79" s="30" t="e">
        <f t="array" aca="1" ref="BA79" ca="1">_xludf.XLOOKUP(C79,'PL TOTAL D0'!A:A,'PL TOTAL D0'!C:C,"")</f>
        <v>#NAME?</v>
      </c>
    </row>
    <row r="80" spans="1:53" ht="15.75" customHeight="1">
      <c r="A80" s="23" t="s">
        <v>29</v>
      </c>
      <c r="B80" s="33" t="s">
        <v>429</v>
      </c>
      <c r="C80" s="67" t="s">
        <v>430</v>
      </c>
      <c r="D80" s="7" t="s">
        <v>64</v>
      </c>
      <c r="E80" s="7" t="s">
        <v>20</v>
      </c>
      <c r="F80" s="7" t="s">
        <v>431</v>
      </c>
      <c r="G80" s="7" t="e">
        <f t="shared" ca="1" si="0"/>
        <v>#NAME?</v>
      </c>
      <c r="H80" s="24" t="s">
        <v>152</v>
      </c>
      <c r="I80" s="24" t="s">
        <v>25</v>
      </c>
      <c r="J80" s="7" t="str">
        <f t="shared" si="7"/>
        <v>Não</v>
      </c>
      <c r="K80" s="25">
        <v>45432</v>
      </c>
      <c r="L80" s="7"/>
      <c r="M80" s="7" t="s">
        <v>58</v>
      </c>
      <c r="N80" s="26">
        <v>1.4E-2</v>
      </c>
      <c r="O80" s="7" t="s">
        <v>37</v>
      </c>
      <c r="P80" s="27">
        <v>0.1</v>
      </c>
      <c r="Q80" s="28"/>
      <c r="R80" s="28"/>
      <c r="S80" s="7" t="s">
        <v>145</v>
      </c>
      <c r="T80" s="12" t="s">
        <v>432</v>
      </c>
      <c r="U80" s="7" t="s">
        <v>20</v>
      </c>
      <c r="V80" s="24" t="e">
        <f t="shared" ca="1" si="2"/>
        <v>#NAME?</v>
      </c>
      <c r="W80" s="7"/>
      <c r="X80" s="7" t="s">
        <v>91</v>
      </c>
      <c r="Y80" s="29" t="s">
        <v>433</v>
      </c>
      <c r="Z80" s="30"/>
      <c r="AA80" s="31">
        <v>45432</v>
      </c>
      <c r="AB80" s="32">
        <v>49075100014426</v>
      </c>
      <c r="AC80" s="30"/>
      <c r="AD80" s="30"/>
      <c r="AE80" s="30"/>
      <c r="AF80" s="30"/>
      <c r="AG80" s="30"/>
      <c r="AH80" s="30"/>
      <c r="AI80" s="30"/>
      <c r="AJ80" s="30"/>
      <c r="AK80" s="30"/>
      <c r="AL80" s="30"/>
      <c r="AM80" s="30"/>
      <c r="AN80" s="30"/>
      <c r="AO80" s="30"/>
      <c r="AP80" s="30"/>
      <c r="AQ80" s="30"/>
      <c r="AR80" s="30"/>
      <c r="AS80" s="30"/>
      <c r="AT80" s="30"/>
      <c r="AU80" s="30"/>
      <c r="AV80" s="30">
        <v>169168.6</v>
      </c>
      <c r="AW80" s="30">
        <v>170497.2</v>
      </c>
      <c r="AX80" s="30">
        <v>303700.40000000002</v>
      </c>
      <c r="AY80" s="30">
        <v>396787.20000000001</v>
      </c>
      <c r="AZ80" s="30">
        <v>465783.06</v>
      </c>
      <c r="BA80" s="30" t="e">
        <f t="array" aca="1" ref="BA80" ca="1">_xludf.XLOOKUP(C80,'PL TOTAL D0'!A:A,'PL TOTAL D0'!C:C,"")</f>
        <v>#NAME?</v>
      </c>
    </row>
    <row r="81" spans="1:53" ht="15.75" customHeight="1">
      <c r="A81" s="23" t="s">
        <v>29</v>
      </c>
      <c r="B81" s="33" t="s">
        <v>434</v>
      </c>
      <c r="C81" s="67" t="s">
        <v>435</v>
      </c>
      <c r="D81" s="7" t="s">
        <v>64</v>
      </c>
      <c r="E81" s="7" t="s">
        <v>20</v>
      </c>
      <c r="F81" s="7" t="s">
        <v>142</v>
      </c>
      <c r="G81" s="7" t="e">
        <f t="shared" ca="1" si="0"/>
        <v>#NAME?</v>
      </c>
      <c r="H81" s="24" t="s">
        <v>143</v>
      </c>
      <c r="I81" s="24" t="s">
        <v>25</v>
      </c>
      <c r="J81" s="7" t="s">
        <v>181</v>
      </c>
      <c r="K81" s="25">
        <v>45113</v>
      </c>
      <c r="L81" s="25">
        <v>45513</v>
      </c>
      <c r="M81" s="7" t="s">
        <v>350</v>
      </c>
      <c r="N81" s="26">
        <v>6.0000000000000001E-3</v>
      </c>
      <c r="O81" s="7" t="s">
        <v>25</v>
      </c>
      <c r="P81" s="27">
        <v>0</v>
      </c>
      <c r="Q81" s="28"/>
      <c r="R81" s="28" t="s">
        <v>285</v>
      </c>
      <c r="S81" s="7" t="s">
        <v>187</v>
      </c>
      <c r="T81" s="12" t="s">
        <v>436</v>
      </c>
      <c r="U81" s="7"/>
      <c r="V81" s="24" t="e">
        <f t="shared" ca="1" si="2"/>
        <v>#NAME?</v>
      </c>
      <c r="W81" s="7"/>
      <c r="X81" s="7"/>
      <c r="Y81" s="29"/>
      <c r="Z81" s="30"/>
      <c r="AA81" s="31">
        <v>45113</v>
      </c>
      <c r="AB81" s="32">
        <v>49075100013561</v>
      </c>
      <c r="AC81" s="30"/>
      <c r="AD81" s="30"/>
      <c r="AE81" s="30"/>
      <c r="AF81" s="30"/>
      <c r="AG81" s="30"/>
      <c r="AH81" s="30"/>
      <c r="AI81" s="30"/>
      <c r="AJ81" s="30"/>
      <c r="AK81" s="30"/>
      <c r="AL81" s="30"/>
      <c r="AM81" s="30"/>
      <c r="AN81" s="30"/>
      <c r="AO81" s="30"/>
      <c r="AP81" s="30"/>
      <c r="AQ81" s="30"/>
      <c r="AR81" s="68">
        <v>336615.92</v>
      </c>
      <c r="AS81" s="68">
        <v>339106.59</v>
      </c>
      <c r="AT81" s="68">
        <v>336551.07</v>
      </c>
      <c r="AU81" s="68">
        <v>339151.2</v>
      </c>
      <c r="AV81" s="68">
        <v>341248.2</v>
      </c>
      <c r="AW81" s="68">
        <v>343610.6</v>
      </c>
      <c r="AX81" s="68">
        <v>0</v>
      </c>
      <c r="AY81" s="30">
        <v>0</v>
      </c>
      <c r="AZ81" s="30">
        <v>0</v>
      </c>
      <c r="BA81" s="30" t="e">
        <f t="array" aca="1" ref="BA81" ca="1">_xludf.XLOOKUP(C81,'PL TOTAL D0'!A:A,'PL TOTAL D0'!C:C,"")</f>
        <v>#NAME?</v>
      </c>
    </row>
    <row r="82" spans="1:53" ht="15.75" customHeight="1">
      <c r="A82" s="23" t="s">
        <v>29</v>
      </c>
      <c r="B82" s="3" t="s">
        <v>437</v>
      </c>
      <c r="C82" s="4" t="s">
        <v>438</v>
      </c>
      <c r="D82" s="7" t="s">
        <v>19</v>
      </c>
      <c r="E82" s="7" t="s">
        <v>34</v>
      </c>
      <c r="F82" s="7" t="s">
        <v>35</v>
      </c>
      <c r="G82" s="7" t="e">
        <f t="shared" ca="1" si="0"/>
        <v>#NAME?</v>
      </c>
      <c r="H82" s="24" t="s">
        <v>152</v>
      </c>
      <c r="I82" s="24" t="s">
        <v>25</v>
      </c>
      <c r="J82" s="7" t="str">
        <f t="shared" ref="J82:J133" si="8">IF(Q82=0,"Não","Sim")</f>
        <v>Não</v>
      </c>
      <c r="K82" s="25">
        <v>45139</v>
      </c>
      <c r="L82" s="7"/>
      <c r="M82" s="7" t="s">
        <v>87</v>
      </c>
      <c r="N82" s="26">
        <v>6.4999999999999997E-3</v>
      </c>
      <c r="O82" s="7" t="s">
        <v>183</v>
      </c>
      <c r="P82" s="27">
        <v>0.2</v>
      </c>
      <c r="Q82" s="28"/>
      <c r="R82" s="28"/>
      <c r="S82" s="7" t="s">
        <v>145</v>
      </c>
      <c r="T82" s="7" t="s">
        <v>439</v>
      </c>
      <c r="U82" s="7" t="s">
        <v>39</v>
      </c>
      <c r="V82" s="24" t="e">
        <f t="shared" ca="1" si="2"/>
        <v>#NAME?</v>
      </c>
      <c r="W82" s="7"/>
      <c r="X82" s="7"/>
      <c r="Y82" s="29" t="s">
        <v>147</v>
      </c>
      <c r="Z82" s="30"/>
      <c r="AA82" s="31">
        <v>45139</v>
      </c>
      <c r="AB82" s="32">
        <v>49075100010171</v>
      </c>
      <c r="AC82" s="30"/>
      <c r="AD82" s="30"/>
      <c r="AE82" s="30"/>
      <c r="AF82" s="30"/>
      <c r="AG82" s="30"/>
      <c r="AH82" s="30"/>
      <c r="AI82" s="30"/>
      <c r="AJ82" s="30"/>
      <c r="AK82" s="30"/>
      <c r="AL82" s="30">
        <v>0</v>
      </c>
      <c r="AM82" s="30">
        <v>773124.25</v>
      </c>
      <c r="AN82" s="30">
        <v>771807.13</v>
      </c>
      <c r="AO82" s="30">
        <v>738799.22</v>
      </c>
      <c r="AP82" s="30">
        <v>795165.85</v>
      </c>
      <c r="AQ82" s="30">
        <v>835269.28</v>
      </c>
      <c r="AR82" s="30">
        <v>777749.68</v>
      </c>
      <c r="AS82" s="30">
        <v>789707.18</v>
      </c>
      <c r="AT82" s="30">
        <v>803507.43</v>
      </c>
      <c r="AU82" s="30">
        <v>771158.64</v>
      </c>
      <c r="AV82" s="30">
        <v>746237.7</v>
      </c>
      <c r="AW82" s="30">
        <v>748438.8</v>
      </c>
      <c r="AX82" s="30">
        <v>769831</v>
      </c>
      <c r="AY82" s="30">
        <v>788088.67</v>
      </c>
      <c r="AZ82" s="30">
        <v>775478.95</v>
      </c>
      <c r="BA82" s="30" t="e">
        <f t="array" aca="1" ref="BA82" ca="1">_xludf.XLOOKUP(C82,'PL TOTAL D0'!A:A,'PL TOTAL D0'!C:C,"")</f>
        <v>#NAME?</v>
      </c>
    </row>
    <row r="83" spans="1:53" ht="15.75" customHeight="1">
      <c r="A83" s="23" t="s">
        <v>29</v>
      </c>
      <c r="B83" s="37" t="s">
        <v>437</v>
      </c>
      <c r="C83" s="4" t="s">
        <v>440</v>
      </c>
      <c r="D83" s="7" t="s">
        <v>19</v>
      </c>
      <c r="E83" s="7" t="s">
        <v>34</v>
      </c>
      <c r="F83" s="7" t="s">
        <v>35</v>
      </c>
      <c r="G83" s="7" t="e">
        <f t="shared" ca="1" si="0"/>
        <v>#NAME?</v>
      </c>
      <c r="H83" s="24" t="s">
        <v>152</v>
      </c>
      <c r="I83" s="24" t="s">
        <v>25</v>
      </c>
      <c r="J83" s="7" t="str">
        <f t="shared" si="8"/>
        <v>Não</v>
      </c>
      <c r="K83" s="25">
        <v>45012</v>
      </c>
      <c r="L83" s="7"/>
      <c r="M83" s="7" t="s">
        <v>42</v>
      </c>
      <c r="N83" s="26">
        <v>6.4999999999999997E-3</v>
      </c>
      <c r="O83" s="7" t="s">
        <v>25</v>
      </c>
      <c r="P83" s="27">
        <v>0</v>
      </c>
      <c r="Q83" s="28"/>
      <c r="R83" s="28" t="s">
        <v>441</v>
      </c>
      <c r="S83" s="7" t="s">
        <v>145</v>
      </c>
      <c r="T83" s="7" t="s">
        <v>439</v>
      </c>
      <c r="U83" s="7" t="s">
        <v>39</v>
      </c>
      <c r="V83" s="24" t="e">
        <f t="shared" ca="1" si="2"/>
        <v>#NAME?</v>
      </c>
      <c r="W83" s="7"/>
      <c r="X83" s="7"/>
      <c r="Y83" s="29" t="s">
        <v>147</v>
      </c>
      <c r="Z83" s="30"/>
      <c r="AA83" s="31">
        <v>45012</v>
      </c>
      <c r="AB83" s="32">
        <v>49075100007268</v>
      </c>
      <c r="AC83" s="30"/>
      <c r="AD83" s="30"/>
      <c r="AE83" s="30"/>
      <c r="AF83" s="30"/>
      <c r="AG83" s="30"/>
      <c r="AH83" s="30">
        <v>7449482.6799999997</v>
      </c>
      <c r="AI83" s="30">
        <v>7434949.6100000003</v>
      </c>
      <c r="AJ83" s="30">
        <v>8788058.6199999992</v>
      </c>
      <c r="AK83" s="30">
        <v>8874098.4299999997</v>
      </c>
      <c r="AL83" s="30">
        <v>8956806</v>
      </c>
      <c r="AM83" s="30">
        <v>8235068.7999999998</v>
      </c>
      <c r="AN83" s="30">
        <v>8286387.7000000002</v>
      </c>
      <c r="AO83" s="30">
        <v>8338874.4699999997</v>
      </c>
      <c r="AP83" s="30">
        <v>8101725.9400000004</v>
      </c>
      <c r="AQ83" s="30">
        <v>8169228.5</v>
      </c>
      <c r="AR83" s="30">
        <v>8236926.3600000003</v>
      </c>
      <c r="AS83" s="30">
        <v>8294948.2599999998</v>
      </c>
      <c r="AT83" s="30">
        <v>8080494.5899999999</v>
      </c>
      <c r="AU83" s="30">
        <v>8140955.2599999998</v>
      </c>
      <c r="AV83" s="30">
        <v>8199969</v>
      </c>
      <c r="AW83" s="30">
        <v>8268411</v>
      </c>
      <c r="AX83" s="30">
        <v>8340392</v>
      </c>
      <c r="AY83" s="30">
        <v>8408338.2699999996</v>
      </c>
      <c r="AZ83" s="30">
        <v>8465661.2300000004</v>
      </c>
      <c r="BA83" s="30" t="e">
        <f t="array" aca="1" ref="BA83" ca="1">_xludf.XLOOKUP(C83,'PL TOTAL D0'!A:A,'PL TOTAL D0'!C:C,"")</f>
        <v>#NAME?</v>
      </c>
    </row>
    <row r="84" spans="1:53" ht="15.75" customHeight="1">
      <c r="A84" s="23" t="s">
        <v>29</v>
      </c>
      <c r="B84" s="3" t="s">
        <v>437</v>
      </c>
      <c r="C84" s="4" t="s">
        <v>442</v>
      </c>
      <c r="D84" s="7" t="s">
        <v>19</v>
      </c>
      <c r="E84" s="7" t="s">
        <v>34</v>
      </c>
      <c r="F84" s="7" t="s">
        <v>35</v>
      </c>
      <c r="G84" s="7" t="e">
        <f t="shared" ca="1" si="0"/>
        <v>#NAME?</v>
      </c>
      <c r="H84" s="24" t="s">
        <v>161</v>
      </c>
      <c r="I84" s="24" t="s">
        <v>211</v>
      </c>
      <c r="J84" s="7" t="str">
        <f t="shared" si="8"/>
        <v>Não</v>
      </c>
      <c r="K84" s="25">
        <v>45163</v>
      </c>
      <c r="L84" s="7"/>
      <c r="M84" s="7" t="s">
        <v>87</v>
      </c>
      <c r="N84" s="26">
        <v>0</v>
      </c>
      <c r="O84" s="7" t="s">
        <v>25</v>
      </c>
      <c r="P84" s="27">
        <v>0</v>
      </c>
      <c r="Q84" s="28"/>
      <c r="R84" s="28" t="s">
        <v>443</v>
      </c>
      <c r="S84" s="7" t="s">
        <v>145</v>
      </c>
      <c r="T84" s="7" t="s">
        <v>439</v>
      </c>
      <c r="U84" s="7" t="s">
        <v>39</v>
      </c>
      <c r="V84" s="24" t="e">
        <f t="shared" ca="1" si="2"/>
        <v>#NAME?</v>
      </c>
      <c r="W84" s="7"/>
      <c r="X84" s="7"/>
      <c r="Y84" s="29" t="s">
        <v>147</v>
      </c>
      <c r="Z84" s="30"/>
      <c r="AA84" s="31">
        <v>45163</v>
      </c>
      <c r="AB84" s="32">
        <v>49075100011206</v>
      </c>
      <c r="AC84" s="30"/>
      <c r="AD84" s="30"/>
      <c r="AE84" s="30"/>
      <c r="AF84" s="30"/>
      <c r="AG84" s="30"/>
      <c r="AH84" s="30"/>
      <c r="AI84" s="30"/>
      <c r="AJ84" s="30"/>
      <c r="AK84" s="30"/>
      <c r="AL84" s="30"/>
      <c r="AM84" s="30">
        <v>0</v>
      </c>
      <c r="AN84" s="30">
        <v>6102</v>
      </c>
      <c r="AO84" s="30">
        <v>7514.41</v>
      </c>
      <c r="AP84" s="30">
        <v>9904.51</v>
      </c>
      <c r="AQ84" s="30">
        <v>12040.4</v>
      </c>
      <c r="AR84" s="30">
        <v>12904.64</v>
      </c>
      <c r="AS84" s="30">
        <v>14539.84</v>
      </c>
      <c r="AT84" s="30">
        <v>15935.1</v>
      </c>
      <c r="AU84" s="30">
        <v>17176.7</v>
      </c>
      <c r="AV84" s="30">
        <v>18069.89</v>
      </c>
      <c r="AW84" s="30">
        <v>19852.560000000001</v>
      </c>
      <c r="AX84" s="30">
        <v>22022.06</v>
      </c>
      <c r="AY84" s="30">
        <v>0</v>
      </c>
      <c r="AZ84" s="30">
        <v>0</v>
      </c>
      <c r="BA84" s="30" t="e">
        <f t="array" aca="1" ref="BA84" ca="1">_xludf.XLOOKUP(C84,'PL TOTAL D0'!A:A,'PL TOTAL D0'!C:C,"")</f>
        <v>#NAME?</v>
      </c>
    </row>
    <row r="85" spans="1:53" ht="15.75" customHeight="1">
      <c r="A85" s="23" t="s">
        <v>29</v>
      </c>
      <c r="B85" s="3" t="s">
        <v>444</v>
      </c>
      <c r="C85" s="4" t="s">
        <v>445</v>
      </c>
      <c r="D85" s="7" t="s">
        <v>19</v>
      </c>
      <c r="E85" s="7" t="s">
        <v>49</v>
      </c>
      <c r="F85" s="7" t="s">
        <v>50</v>
      </c>
      <c r="G85" s="7" t="e">
        <f t="shared" ca="1" si="0"/>
        <v>#NAME?</v>
      </c>
      <c r="H85" s="24" t="s">
        <v>152</v>
      </c>
      <c r="I85" s="24" t="s">
        <v>25</v>
      </c>
      <c r="J85" s="7" t="str">
        <f t="shared" si="8"/>
        <v>Não</v>
      </c>
      <c r="K85" s="25">
        <v>45006</v>
      </c>
      <c r="L85" s="7"/>
      <c r="M85" s="7" t="s">
        <v>42</v>
      </c>
      <c r="N85" s="26">
        <v>1.2E-2</v>
      </c>
      <c r="O85" s="7" t="s">
        <v>25</v>
      </c>
      <c r="P85" s="27">
        <v>0</v>
      </c>
      <c r="Q85" s="28"/>
      <c r="R85" s="28"/>
      <c r="S85" s="7" t="s">
        <v>187</v>
      </c>
      <c r="T85" s="7" t="s">
        <v>446</v>
      </c>
      <c r="U85" s="7" t="s">
        <v>49</v>
      </c>
      <c r="V85" s="24" t="e">
        <f t="shared" ca="1" si="2"/>
        <v>#NAME?</v>
      </c>
      <c r="W85" s="7"/>
      <c r="X85" s="7"/>
      <c r="Y85" s="29" t="s">
        <v>147</v>
      </c>
      <c r="Z85" s="30"/>
      <c r="AA85" s="31">
        <v>45006</v>
      </c>
      <c r="AB85" s="32">
        <v>49075100006881</v>
      </c>
      <c r="AC85" s="30"/>
      <c r="AD85" s="30"/>
      <c r="AE85" s="30"/>
      <c r="AF85" s="30"/>
      <c r="AG85" s="30"/>
      <c r="AH85" s="30">
        <v>140275.53</v>
      </c>
      <c r="AI85" s="30">
        <v>142994.82999999999</v>
      </c>
      <c r="AJ85" s="30">
        <v>146491.67000000001</v>
      </c>
      <c r="AK85" s="30">
        <v>149699.12</v>
      </c>
      <c r="AL85" s="30">
        <v>151065.74</v>
      </c>
      <c r="AM85" s="30">
        <v>151119.76999999999</v>
      </c>
      <c r="AN85" s="30">
        <v>149512.97</v>
      </c>
      <c r="AO85" s="30">
        <v>239681</v>
      </c>
      <c r="AP85" s="30">
        <v>242849.11</v>
      </c>
      <c r="AQ85" s="30">
        <v>246542.64</v>
      </c>
      <c r="AR85" s="30">
        <v>248220.18</v>
      </c>
      <c r="AS85" s="30">
        <v>251027.22</v>
      </c>
      <c r="AT85" s="30">
        <v>252228.48000000001</v>
      </c>
      <c r="AU85" s="30">
        <v>250223.77</v>
      </c>
      <c r="AV85" s="30">
        <v>252643</v>
      </c>
      <c r="AW85" s="30">
        <v>252054.2</v>
      </c>
      <c r="AX85" s="30">
        <v>255773.5</v>
      </c>
      <c r="AY85" s="30">
        <v>276203.34000000003</v>
      </c>
      <c r="AZ85" s="30">
        <v>274425.64</v>
      </c>
      <c r="BA85" s="30" t="e">
        <f t="array" aca="1" ref="BA85" ca="1">_xludf.XLOOKUP(C85,'PL TOTAL D0'!A:A,'PL TOTAL D0'!C:C,"")</f>
        <v>#NAME?</v>
      </c>
    </row>
    <row r="86" spans="1:53" ht="15.75" customHeight="1">
      <c r="A86" s="23" t="s">
        <v>29</v>
      </c>
      <c r="B86" s="3" t="s">
        <v>447</v>
      </c>
      <c r="C86" s="4" t="s">
        <v>448</v>
      </c>
      <c r="D86" s="7" t="s">
        <v>19</v>
      </c>
      <c r="E86" s="7" t="s">
        <v>20</v>
      </c>
      <c r="F86" s="7" t="s">
        <v>449</v>
      </c>
      <c r="G86" s="7" t="e">
        <f t="shared" ca="1" si="0"/>
        <v>#NAME?</v>
      </c>
      <c r="H86" s="24" t="s">
        <v>161</v>
      </c>
      <c r="I86" s="24" t="s">
        <v>205</v>
      </c>
      <c r="J86" s="7" t="str">
        <f t="shared" si="8"/>
        <v>Sim</v>
      </c>
      <c r="K86" s="25">
        <v>44988</v>
      </c>
      <c r="L86" s="7"/>
      <c r="M86" s="7" t="s">
        <v>31</v>
      </c>
      <c r="N86" s="26">
        <v>0</v>
      </c>
      <c r="O86" s="7" t="s">
        <v>25</v>
      </c>
      <c r="P86" s="27">
        <v>0</v>
      </c>
      <c r="Q86" s="28" t="s">
        <v>450</v>
      </c>
      <c r="R86" s="28"/>
      <c r="S86" s="7" t="s">
        <v>187</v>
      </c>
      <c r="T86" s="7" t="s">
        <v>451</v>
      </c>
      <c r="U86" s="7" t="s">
        <v>60</v>
      </c>
      <c r="V86" s="24" t="e">
        <f t="shared" ca="1" si="2"/>
        <v>#NAME?</v>
      </c>
      <c r="W86" s="7"/>
      <c r="X86" s="7"/>
      <c r="Y86" s="29" t="s">
        <v>452</v>
      </c>
      <c r="Z86" s="30"/>
      <c r="AA86" s="31">
        <v>44988</v>
      </c>
      <c r="AB86" s="32">
        <v>49075100011214</v>
      </c>
      <c r="AC86" s="30"/>
      <c r="AD86" s="30"/>
      <c r="AE86" s="30"/>
      <c r="AF86" s="30"/>
      <c r="AG86" s="30"/>
      <c r="AH86" s="30">
        <v>10067355.42</v>
      </c>
      <c r="AI86" s="30">
        <v>10181812.380000001</v>
      </c>
      <c r="AJ86" s="30">
        <v>3332193.62</v>
      </c>
      <c r="AK86" s="30">
        <v>3378633.61</v>
      </c>
      <c r="AL86" s="30">
        <v>3417528.18</v>
      </c>
      <c r="AM86" s="30">
        <v>3461095.04</v>
      </c>
      <c r="AN86" s="30">
        <v>3449103.61</v>
      </c>
      <c r="AO86" s="30">
        <v>3468512.14</v>
      </c>
      <c r="AP86" s="30">
        <v>3513893.33</v>
      </c>
      <c r="AQ86" s="30">
        <v>3558685.77</v>
      </c>
      <c r="AR86" s="30">
        <v>3589657.17</v>
      </c>
      <c r="AS86" s="30">
        <v>3609855.72</v>
      </c>
      <c r="AT86" s="30">
        <v>2277301.5099999998</v>
      </c>
      <c r="AU86" s="30">
        <v>2297292.34</v>
      </c>
      <c r="AV86" s="30">
        <v>2319695</v>
      </c>
      <c r="AW86" s="30">
        <v>0</v>
      </c>
      <c r="AX86" s="30">
        <v>0</v>
      </c>
      <c r="AY86" s="30">
        <v>0</v>
      </c>
      <c r="AZ86" s="30">
        <v>0</v>
      </c>
      <c r="BA86" s="30" t="e">
        <f t="array" aca="1" ref="BA86" ca="1">_xludf.XLOOKUP(C86,'PL TOTAL D0'!A:A,'PL TOTAL D0'!C:C,"")</f>
        <v>#NAME?</v>
      </c>
    </row>
    <row r="87" spans="1:53" ht="15.75" customHeight="1">
      <c r="A87" s="23" t="s">
        <v>29</v>
      </c>
      <c r="B87" s="3" t="s">
        <v>453</v>
      </c>
      <c r="C87" s="4" t="s">
        <v>454</v>
      </c>
      <c r="D87" s="7" t="s">
        <v>19</v>
      </c>
      <c r="E87" s="7" t="s">
        <v>49</v>
      </c>
      <c r="F87" s="7" t="s">
        <v>50</v>
      </c>
      <c r="G87" s="7" t="e">
        <f t="shared" ca="1" si="0"/>
        <v>#NAME?</v>
      </c>
      <c r="H87" s="24" t="s">
        <v>152</v>
      </c>
      <c r="I87" s="24" t="s">
        <v>25</v>
      </c>
      <c r="J87" s="7" t="str">
        <f t="shared" si="8"/>
        <v>Não</v>
      </c>
      <c r="K87" s="25">
        <v>44960</v>
      </c>
      <c r="L87" s="7"/>
      <c r="M87" s="7" t="s">
        <v>200</v>
      </c>
      <c r="N87" s="26">
        <v>1.4999999999999999E-2</v>
      </c>
      <c r="O87" s="7" t="s">
        <v>37</v>
      </c>
      <c r="P87" s="27">
        <v>0.1</v>
      </c>
      <c r="Q87" s="28"/>
      <c r="R87" s="28"/>
      <c r="S87" s="7" t="s">
        <v>145</v>
      </c>
      <c r="T87" s="7" t="s">
        <v>455</v>
      </c>
      <c r="U87" s="7" t="s">
        <v>49</v>
      </c>
      <c r="V87" s="24" t="e">
        <f t="shared" ca="1" si="2"/>
        <v>#NAME?</v>
      </c>
      <c r="W87" s="7"/>
      <c r="X87" s="7"/>
      <c r="Y87" s="29" t="s">
        <v>147</v>
      </c>
      <c r="Z87" s="30"/>
      <c r="AA87" s="31">
        <v>44960</v>
      </c>
      <c r="AB87" s="32">
        <v>49075100005494</v>
      </c>
      <c r="AC87" s="30"/>
      <c r="AD87" s="30"/>
      <c r="AE87" s="30"/>
      <c r="AF87" s="30">
        <v>80004.47</v>
      </c>
      <c r="AG87" s="30">
        <v>80773.53</v>
      </c>
      <c r="AH87" s="30">
        <v>81445.48</v>
      </c>
      <c r="AI87" s="30">
        <v>81833.22</v>
      </c>
      <c r="AJ87" s="30">
        <v>83333.429999999993</v>
      </c>
      <c r="AK87" s="30">
        <v>84647.01</v>
      </c>
      <c r="AL87" s="30">
        <v>86692.7</v>
      </c>
      <c r="AM87" s="30">
        <v>115422.5</v>
      </c>
      <c r="AN87" s="30">
        <v>115882.48</v>
      </c>
      <c r="AO87" s="30">
        <v>114698.6</v>
      </c>
      <c r="AP87" s="30">
        <v>118054.86</v>
      </c>
      <c r="AQ87" s="30">
        <v>120387.71</v>
      </c>
      <c r="AR87" s="30">
        <v>117585.39</v>
      </c>
      <c r="AS87" s="30">
        <v>118751.93</v>
      </c>
      <c r="AT87" s="30">
        <v>119901.52</v>
      </c>
      <c r="AU87" s="30">
        <v>118975.26</v>
      </c>
      <c r="AV87" s="30">
        <v>118480.1</v>
      </c>
      <c r="AW87" s="30">
        <v>119193.5</v>
      </c>
      <c r="AX87" s="30">
        <v>120833.8</v>
      </c>
      <c r="AY87" s="30">
        <v>121974.61</v>
      </c>
      <c r="AZ87" s="30">
        <v>121805.96</v>
      </c>
      <c r="BA87" s="30" t="e">
        <f t="array" aca="1" ref="BA87" ca="1">_xludf.XLOOKUP(C87,'PL TOTAL D0'!A:A,'PL TOTAL D0'!C:C,"")</f>
        <v>#NAME?</v>
      </c>
    </row>
    <row r="88" spans="1:53" ht="15.75" customHeight="1">
      <c r="A88" s="23" t="s">
        <v>29</v>
      </c>
      <c r="B88" s="3" t="s">
        <v>456</v>
      </c>
      <c r="C88" s="4" t="s">
        <v>457</v>
      </c>
      <c r="D88" s="7" t="s">
        <v>19</v>
      </c>
      <c r="E88" s="7" t="s">
        <v>49</v>
      </c>
      <c r="F88" s="7" t="s">
        <v>50</v>
      </c>
      <c r="G88" s="7" t="e">
        <f t="shared" ca="1" si="0"/>
        <v>#NAME?</v>
      </c>
      <c r="H88" s="24" t="s">
        <v>152</v>
      </c>
      <c r="I88" s="24" t="s">
        <v>25</v>
      </c>
      <c r="J88" s="7" t="str">
        <f t="shared" si="8"/>
        <v>Não</v>
      </c>
      <c r="K88" s="25">
        <v>45001</v>
      </c>
      <c r="L88" s="7"/>
      <c r="M88" s="7" t="s">
        <v>42</v>
      </c>
      <c r="N88" s="26">
        <v>0.01</v>
      </c>
      <c r="O88" s="7" t="s">
        <v>25</v>
      </c>
      <c r="P88" s="27">
        <v>0</v>
      </c>
      <c r="Q88" s="28"/>
      <c r="R88" s="28"/>
      <c r="S88" s="7" t="s">
        <v>145</v>
      </c>
      <c r="T88" s="7" t="s">
        <v>458</v>
      </c>
      <c r="U88" s="7" t="s">
        <v>49</v>
      </c>
      <c r="V88" s="24" t="e">
        <f t="shared" ca="1" si="2"/>
        <v>#NAME?</v>
      </c>
      <c r="W88" s="7"/>
      <c r="X88" s="7"/>
      <c r="Y88" s="29" t="s">
        <v>147</v>
      </c>
      <c r="Z88" s="30"/>
      <c r="AA88" s="31">
        <v>45001</v>
      </c>
      <c r="AB88" s="32">
        <v>49075100010234</v>
      </c>
      <c r="AC88" s="30"/>
      <c r="AD88" s="30"/>
      <c r="AE88" s="30"/>
      <c r="AF88" s="30">
        <v>0</v>
      </c>
      <c r="AG88" s="30">
        <v>0</v>
      </c>
      <c r="AH88" s="30">
        <v>48822.54</v>
      </c>
      <c r="AI88" s="30">
        <v>84549.19</v>
      </c>
      <c r="AJ88" s="30">
        <v>107103.66</v>
      </c>
      <c r="AK88" s="30">
        <v>108032.27</v>
      </c>
      <c r="AL88" s="30">
        <v>224043.27</v>
      </c>
      <c r="AM88" s="30">
        <v>238446.53</v>
      </c>
      <c r="AN88" s="30">
        <v>243260.86</v>
      </c>
      <c r="AO88" s="30">
        <v>258437.49</v>
      </c>
      <c r="AP88" s="30">
        <v>260336.98</v>
      </c>
      <c r="AQ88" s="30">
        <v>265381.57</v>
      </c>
      <c r="AR88" s="30">
        <v>274443.32</v>
      </c>
      <c r="AS88" s="30">
        <v>278310.59000000003</v>
      </c>
      <c r="AT88" s="30">
        <v>282668.5</v>
      </c>
      <c r="AU88" s="30">
        <v>287205.11</v>
      </c>
      <c r="AV88" s="30">
        <v>291116.2</v>
      </c>
      <c r="AW88" s="30">
        <v>296289.3</v>
      </c>
      <c r="AX88" s="30">
        <v>301185.40000000002</v>
      </c>
      <c r="AY88" s="30">
        <v>304535.37</v>
      </c>
      <c r="AZ88" s="30">
        <v>308158.71999999997</v>
      </c>
      <c r="BA88" s="30" t="e">
        <f t="array" aca="1" ref="BA88" ca="1">_xludf.XLOOKUP(C88,'PL TOTAL D0'!A:A,'PL TOTAL D0'!C:C,"")</f>
        <v>#NAME?</v>
      </c>
    </row>
    <row r="89" spans="1:53" ht="15.75" customHeight="1">
      <c r="A89" s="23" t="s">
        <v>29</v>
      </c>
      <c r="B89" s="3" t="s">
        <v>459</v>
      </c>
      <c r="C89" s="41" t="s">
        <v>460</v>
      </c>
      <c r="D89" s="7" t="s">
        <v>19</v>
      </c>
      <c r="E89" s="7" t="s">
        <v>49</v>
      </c>
      <c r="F89" s="7" t="s">
        <v>50</v>
      </c>
      <c r="G89" s="7" t="e">
        <f t="shared" ca="1" si="0"/>
        <v>#NAME?</v>
      </c>
      <c r="H89" s="24" t="s">
        <v>152</v>
      </c>
      <c r="I89" s="24" t="s">
        <v>25</v>
      </c>
      <c r="J89" s="7" t="str">
        <f t="shared" si="8"/>
        <v>Sim</v>
      </c>
      <c r="K89" s="25">
        <v>45183</v>
      </c>
      <c r="L89" s="7"/>
      <c r="M89" s="7" t="s">
        <v>42</v>
      </c>
      <c r="N89" s="26">
        <v>1.2E-2</v>
      </c>
      <c r="O89" s="7" t="s">
        <v>25</v>
      </c>
      <c r="P89" s="27">
        <v>0</v>
      </c>
      <c r="Q89" s="69" t="s">
        <v>461</v>
      </c>
      <c r="R89" s="28"/>
      <c r="S89" s="7" t="s">
        <v>145</v>
      </c>
      <c r="T89" s="7" t="s">
        <v>462</v>
      </c>
      <c r="U89" s="7" t="s">
        <v>49</v>
      </c>
      <c r="V89" s="24" t="e">
        <f t="shared" ca="1" si="2"/>
        <v>#NAME?</v>
      </c>
      <c r="W89" s="7"/>
      <c r="X89" s="7"/>
      <c r="Y89" s="29" t="s">
        <v>147</v>
      </c>
      <c r="Z89" s="30"/>
      <c r="AA89" s="31">
        <v>45183</v>
      </c>
      <c r="AB89" s="32">
        <v>49075100011222</v>
      </c>
      <c r="AC89" s="30"/>
      <c r="AD89" s="30"/>
      <c r="AE89" s="30"/>
      <c r="AF89" s="30"/>
      <c r="AG89" s="30"/>
      <c r="AH89" s="30"/>
      <c r="AI89" s="30"/>
      <c r="AJ89" s="30"/>
      <c r="AK89" s="30"/>
      <c r="AL89" s="30"/>
      <c r="AM89" s="30"/>
      <c r="AN89" s="30">
        <v>70254.3</v>
      </c>
      <c r="AO89" s="30">
        <v>71890.2</v>
      </c>
      <c r="AP89" s="30">
        <v>72434.009999999995</v>
      </c>
      <c r="AQ89" s="30">
        <v>72968.67</v>
      </c>
      <c r="AR89" s="30">
        <v>73597.210000000006</v>
      </c>
      <c r="AS89" s="30">
        <v>74171.41</v>
      </c>
      <c r="AT89" s="30">
        <v>74734.14</v>
      </c>
      <c r="AU89" s="30">
        <v>75319.83</v>
      </c>
      <c r="AV89" s="30">
        <v>75857.87</v>
      </c>
      <c r="AW89" s="30">
        <v>76423.100000000006</v>
      </c>
      <c r="AX89" s="30">
        <v>77073.64</v>
      </c>
      <c r="AY89" s="30">
        <v>77718.66</v>
      </c>
      <c r="AZ89" s="30">
        <v>77799.42</v>
      </c>
      <c r="BA89" s="30" t="e">
        <f t="array" aca="1" ref="BA89" ca="1">_xludf.XLOOKUP(C89,'PL TOTAL D0'!A:A,'PL TOTAL D0'!C:C,"")</f>
        <v>#NAME?</v>
      </c>
    </row>
    <row r="90" spans="1:53" ht="15.75" customHeight="1">
      <c r="A90" s="23" t="s">
        <v>29</v>
      </c>
      <c r="B90" s="40" t="s">
        <v>463</v>
      </c>
      <c r="C90" s="41" t="s">
        <v>464</v>
      </c>
      <c r="D90" s="7" t="s">
        <v>19</v>
      </c>
      <c r="E90" s="7" t="s">
        <v>49</v>
      </c>
      <c r="F90" s="70" t="s">
        <v>465</v>
      </c>
      <c r="G90" s="7" t="e">
        <f t="shared" ca="1" si="0"/>
        <v>#NAME?</v>
      </c>
      <c r="H90" s="24" t="s">
        <v>161</v>
      </c>
      <c r="I90" s="24" t="s">
        <v>162</v>
      </c>
      <c r="J90" s="7" t="str">
        <f t="shared" si="8"/>
        <v>Não</v>
      </c>
      <c r="K90" s="25">
        <v>45191</v>
      </c>
      <c r="L90" s="7"/>
      <c r="M90" s="7" t="s">
        <v>466</v>
      </c>
      <c r="N90" s="26">
        <v>7.0000000000000001E-3</v>
      </c>
      <c r="O90" s="7" t="s">
        <v>25</v>
      </c>
      <c r="P90" s="27">
        <v>0</v>
      </c>
      <c r="Q90" s="69"/>
      <c r="R90" s="28"/>
      <c r="S90" s="7" t="s">
        <v>187</v>
      </c>
      <c r="T90" s="7" t="s">
        <v>467</v>
      </c>
      <c r="U90" s="7" t="s">
        <v>49</v>
      </c>
      <c r="V90" s="24" t="e">
        <f t="shared" ca="1" si="2"/>
        <v>#NAME?</v>
      </c>
      <c r="W90" s="7"/>
      <c r="X90" s="7"/>
      <c r="Y90" s="29" t="s">
        <v>147</v>
      </c>
      <c r="Z90" s="30"/>
      <c r="AA90" s="31">
        <v>45191</v>
      </c>
      <c r="AB90" s="32">
        <v>49075100011230</v>
      </c>
      <c r="AC90" s="30"/>
      <c r="AD90" s="30"/>
      <c r="AE90" s="30"/>
      <c r="AF90" s="30"/>
      <c r="AG90" s="30"/>
      <c r="AH90" s="30"/>
      <c r="AI90" s="30"/>
      <c r="AJ90" s="30"/>
      <c r="AK90" s="30"/>
      <c r="AL90" s="30"/>
      <c r="AM90" s="30"/>
      <c r="AN90" s="30">
        <v>3001534.49</v>
      </c>
      <c r="AO90" s="30">
        <v>3031897.57</v>
      </c>
      <c r="AP90" s="30">
        <v>3052799.55</v>
      </c>
      <c r="AQ90" s="30">
        <v>3079102.94</v>
      </c>
      <c r="AR90" s="30">
        <v>3103296.77</v>
      </c>
      <c r="AS90" s="30">
        <v>3124030.29</v>
      </c>
      <c r="AT90" s="30">
        <v>2130656.17</v>
      </c>
      <c r="AU90" s="30">
        <v>0</v>
      </c>
      <c r="AV90" s="30">
        <v>0</v>
      </c>
      <c r="AW90" s="30">
        <v>300.27999999999997</v>
      </c>
      <c r="AX90" s="30">
        <v>302.39999999999998</v>
      </c>
      <c r="AY90" s="30">
        <v>305</v>
      </c>
      <c r="AZ90" s="30">
        <v>307.54000000000002</v>
      </c>
      <c r="BA90" s="30" t="e">
        <f t="array" aca="1" ref="BA90" ca="1">_xludf.XLOOKUP(C90,'PL TOTAL D0'!A:A,'PL TOTAL D0'!C:C,"")</f>
        <v>#NAME?</v>
      </c>
    </row>
    <row r="91" spans="1:53" ht="15.75" customHeight="1">
      <c r="A91" s="23" t="s">
        <v>29</v>
      </c>
      <c r="B91" s="3" t="s">
        <v>468</v>
      </c>
      <c r="C91" s="4" t="s">
        <v>469</v>
      </c>
      <c r="D91" s="7" t="s">
        <v>19</v>
      </c>
      <c r="E91" s="7" t="s">
        <v>34</v>
      </c>
      <c r="F91" s="7" t="s">
        <v>35</v>
      </c>
      <c r="G91" s="7" t="e">
        <f t="shared" ca="1" si="0"/>
        <v>#NAME?</v>
      </c>
      <c r="H91" s="24" t="s">
        <v>143</v>
      </c>
      <c r="I91" s="24" t="s">
        <v>25</v>
      </c>
      <c r="J91" s="7" t="str">
        <f t="shared" si="8"/>
        <v>Não</v>
      </c>
      <c r="K91" s="25">
        <v>45163</v>
      </c>
      <c r="L91" s="25">
        <v>45383</v>
      </c>
      <c r="M91" s="7" t="s">
        <v>87</v>
      </c>
      <c r="N91" s="26">
        <v>2.5000000000000001E-2</v>
      </c>
      <c r="O91" s="7" t="s">
        <v>183</v>
      </c>
      <c r="P91" s="27">
        <v>0.2</v>
      </c>
      <c r="Q91" s="23"/>
      <c r="R91" s="28" t="s">
        <v>470</v>
      </c>
      <c r="S91" s="7" t="s">
        <v>145</v>
      </c>
      <c r="T91" s="7" t="s">
        <v>471</v>
      </c>
      <c r="U91" s="7" t="s">
        <v>39</v>
      </c>
      <c r="V91" s="24" t="e">
        <f t="shared" ca="1" si="2"/>
        <v>#NAME?</v>
      </c>
      <c r="W91" s="7"/>
      <c r="X91" s="7"/>
      <c r="Y91" s="29" t="s">
        <v>147</v>
      </c>
      <c r="Z91" s="30"/>
      <c r="AA91" s="31">
        <v>45163</v>
      </c>
      <c r="AB91" s="32"/>
      <c r="AC91" s="30"/>
      <c r="AD91" s="30"/>
      <c r="AE91" s="30"/>
      <c r="AF91" s="30"/>
      <c r="AG91" s="30"/>
      <c r="AH91" s="30"/>
      <c r="AI91" s="30"/>
      <c r="AJ91" s="30"/>
      <c r="AK91" s="30"/>
      <c r="AL91" s="30"/>
      <c r="AM91" s="30">
        <v>639942.68000000005</v>
      </c>
      <c r="AN91" s="30">
        <v>670430.24</v>
      </c>
      <c r="AO91" s="30">
        <v>420511.08</v>
      </c>
      <c r="AP91" s="30">
        <v>425435.34</v>
      </c>
      <c r="AQ91" s="30">
        <v>446569.35</v>
      </c>
      <c r="AR91" s="30">
        <v>409645.1</v>
      </c>
      <c r="AS91" s="30">
        <v>414810.38</v>
      </c>
      <c r="AT91" s="30">
        <v>0</v>
      </c>
      <c r="AU91" s="30">
        <v>0</v>
      </c>
      <c r="AV91" s="30">
        <v>0</v>
      </c>
      <c r="AW91" s="30">
        <v>0</v>
      </c>
      <c r="AX91" s="30">
        <v>0</v>
      </c>
      <c r="AY91" s="30">
        <v>0</v>
      </c>
      <c r="AZ91" s="30">
        <v>0</v>
      </c>
      <c r="BA91" s="30" t="e">
        <f t="array" aca="1" ref="BA91" ca="1">_xludf.XLOOKUP(C91,'PL TOTAL D0'!A:A,'PL TOTAL D0'!C:C,"")</f>
        <v>#NAME?</v>
      </c>
    </row>
    <row r="92" spans="1:53" ht="15.75" customHeight="1">
      <c r="A92" s="23" t="s">
        <v>29</v>
      </c>
      <c r="B92" s="3" t="s">
        <v>468</v>
      </c>
      <c r="C92" s="4" t="s">
        <v>472</v>
      </c>
      <c r="D92" s="7" t="s">
        <v>19</v>
      </c>
      <c r="E92" s="7" t="s">
        <v>34</v>
      </c>
      <c r="F92" s="7" t="s">
        <v>35</v>
      </c>
      <c r="G92" s="7" t="e">
        <f t="shared" ca="1" si="0"/>
        <v>#NAME?</v>
      </c>
      <c r="H92" s="24" t="s">
        <v>143</v>
      </c>
      <c r="I92" s="24" t="s">
        <v>25</v>
      </c>
      <c r="J92" s="7" t="str">
        <f t="shared" si="8"/>
        <v>Não</v>
      </c>
      <c r="K92" s="25">
        <v>45163</v>
      </c>
      <c r="L92" s="25">
        <v>45383</v>
      </c>
      <c r="M92" s="7" t="s">
        <v>42</v>
      </c>
      <c r="N92" s="26">
        <v>1.2E-2</v>
      </c>
      <c r="O92" s="7" t="s">
        <v>25</v>
      </c>
      <c r="P92" s="27">
        <v>0</v>
      </c>
      <c r="Q92" s="28"/>
      <c r="R92" s="28" t="s">
        <v>470</v>
      </c>
      <c r="S92" s="7" t="s">
        <v>145</v>
      </c>
      <c r="T92" s="7" t="s">
        <v>471</v>
      </c>
      <c r="U92" s="7" t="s">
        <v>39</v>
      </c>
      <c r="V92" s="24" t="e">
        <f t="shared" ca="1" si="2"/>
        <v>#NAME?</v>
      </c>
      <c r="W92" s="7"/>
      <c r="X92" s="7"/>
      <c r="Y92" s="29" t="s">
        <v>147</v>
      </c>
      <c r="Z92" s="30"/>
      <c r="AA92" s="31">
        <v>45163</v>
      </c>
      <c r="AB92" s="32"/>
      <c r="AC92" s="30"/>
      <c r="AD92" s="30"/>
      <c r="AE92" s="30"/>
      <c r="AF92" s="30"/>
      <c r="AG92" s="30"/>
      <c r="AH92" s="30"/>
      <c r="AI92" s="30"/>
      <c r="AJ92" s="30"/>
      <c r="AK92" s="30"/>
      <c r="AL92" s="30"/>
      <c r="AM92" s="30">
        <v>1155551.7</v>
      </c>
      <c r="AN92" s="30">
        <v>1186917.76</v>
      </c>
      <c r="AO92" s="30">
        <v>437400.25</v>
      </c>
      <c r="AP92" s="30">
        <v>440335.02</v>
      </c>
      <c r="AQ92" s="30">
        <v>443817.26</v>
      </c>
      <c r="AR92" s="30">
        <v>447861.32</v>
      </c>
      <c r="AS92" s="30">
        <v>91645.86</v>
      </c>
      <c r="AT92" s="30">
        <v>0</v>
      </c>
      <c r="AU92" s="30">
        <v>0</v>
      </c>
      <c r="AV92" s="30">
        <v>0</v>
      </c>
      <c r="AW92" s="30">
        <v>0</v>
      </c>
      <c r="AX92" s="30">
        <v>0</v>
      </c>
      <c r="AY92" s="30">
        <v>0</v>
      </c>
      <c r="AZ92" s="30">
        <v>0</v>
      </c>
      <c r="BA92" s="30" t="e">
        <f t="array" aca="1" ref="BA92" ca="1">_xludf.XLOOKUP(C92,'PL TOTAL D0'!A:A,'PL TOTAL D0'!C:C,"")</f>
        <v>#NAME?</v>
      </c>
    </row>
    <row r="93" spans="1:53" ht="15.75" customHeight="1">
      <c r="A93" s="23" t="s">
        <v>29</v>
      </c>
      <c r="B93" s="40" t="s">
        <v>468</v>
      </c>
      <c r="C93" s="41" t="s">
        <v>473</v>
      </c>
      <c r="D93" s="7" t="s">
        <v>19</v>
      </c>
      <c r="E93" s="7" t="s">
        <v>34</v>
      </c>
      <c r="F93" s="7" t="s">
        <v>35</v>
      </c>
      <c r="G93" s="7" t="e">
        <f t="shared" ca="1" si="0"/>
        <v>#NAME?</v>
      </c>
      <c r="H93" s="24" t="s">
        <v>143</v>
      </c>
      <c r="I93" s="24" t="s">
        <v>25</v>
      </c>
      <c r="J93" s="7" t="str">
        <f t="shared" si="8"/>
        <v>Não</v>
      </c>
      <c r="K93" s="25">
        <v>45197</v>
      </c>
      <c r="L93" s="25">
        <v>45383</v>
      </c>
      <c r="M93" s="7" t="s">
        <v>31</v>
      </c>
      <c r="N93" s="26">
        <v>0</v>
      </c>
      <c r="O93" s="7" t="s">
        <v>25</v>
      </c>
      <c r="P93" s="27">
        <v>0</v>
      </c>
      <c r="Q93" s="28"/>
      <c r="R93" s="28"/>
      <c r="S93" s="7" t="s">
        <v>145</v>
      </c>
      <c r="T93" s="7" t="s">
        <v>471</v>
      </c>
      <c r="U93" s="7" t="s">
        <v>39</v>
      </c>
      <c r="V93" s="24" t="e">
        <f t="shared" ca="1" si="2"/>
        <v>#NAME?</v>
      </c>
      <c r="W93" s="7"/>
      <c r="X93" s="7"/>
      <c r="Y93" s="29" t="s">
        <v>147</v>
      </c>
      <c r="Z93" s="30"/>
      <c r="AA93" s="31">
        <v>45197</v>
      </c>
      <c r="AB93" s="32"/>
      <c r="AC93" s="30"/>
      <c r="AD93" s="30"/>
      <c r="AE93" s="30"/>
      <c r="AF93" s="30"/>
      <c r="AG93" s="30"/>
      <c r="AH93" s="30"/>
      <c r="AI93" s="30"/>
      <c r="AJ93" s="30"/>
      <c r="AK93" s="30"/>
      <c r="AL93" s="30"/>
      <c r="AM93" s="30"/>
      <c r="AN93" s="30">
        <v>0</v>
      </c>
      <c r="AO93" s="30">
        <v>994268.77</v>
      </c>
      <c r="AP93" s="30">
        <v>1018728.75</v>
      </c>
      <c r="AQ93" s="30">
        <v>1051464.1299999999</v>
      </c>
      <c r="AR93" s="30">
        <v>1074749.3899999999</v>
      </c>
      <c r="AS93" s="30">
        <v>290707.78999999998</v>
      </c>
      <c r="AT93" s="30">
        <v>0</v>
      </c>
      <c r="AU93" s="30">
        <v>0</v>
      </c>
      <c r="AV93" s="30">
        <v>0</v>
      </c>
      <c r="AW93" s="30">
        <v>0</v>
      </c>
      <c r="AX93" s="30">
        <v>0</v>
      </c>
      <c r="AY93" s="30">
        <v>0</v>
      </c>
      <c r="AZ93" s="30">
        <v>0</v>
      </c>
      <c r="BA93" s="30" t="e">
        <f t="array" aca="1" ref="BA93" ca="1">_xludf.XLOOKUP(C93,'PL TOTAL D0'!A:A,'PL TOTAL D0'!C:C,"")</f>
        <v>#NAME?</v>
      </c>
    </row>
    <row r="94" spans="1:53" ht="15.75" customHeight="1">
      <c r="A94" s="23" t="s">
        <v>29</v>
      </c>
      <c r="B94" s="37" t="s">
        <v>474</v>
      </c>
      <c r="C94" s="4" t="s">
        <v>475</v>
      </c>
      <c r="D94" s="7" t="s">
        <v>19</v>
      </c>
      <c r="E94" s="7" t="s">
        <v>20</v>
      </c>
      <c r="F94" s="7" t="s">
        <v>199</v>
      </c>
      <c r="G94" s="7" t="e">
        <f t="shared" ca="1" si="0"/>
        <v>#NAME?</v>
      </c>
      <c r="H94" s="24" t="s">
        <v>152</v>
      </c>
      <c r="I94" s="24" t="s">
        <v>25</v>
      </c>
      <c r="J94" s="7" t="str">
        <f t="shared" si="8"/>
        <v>Não</v>
      </c>
      <c r="K94" s="25">
        <v>45364</v>
      </c>
      <c r="L94" s="7"/>
      <c r="M94" s="7" t="s">
        <v>172</v>
      </c>
      <c r="N94" s="26">
        <v>0</v>
      </c>
      <c r="O94" s="7" t="s">
        <v>25</v>
      </c>
      <c r="P94" s="27">
        <v>0</v>
      </c>
      <c r="Q94" s="28"/>
      <c r="R94" s="28"/>
      <c r="S94" s="7" t="s">
        <v>145</v>
      </c>
      <c r="T94" s="6" t="s">
        <v>476</v>
      </c>
      <c r="U94" s="7" t="s">
        <v>20</v>
      </c>
      <c r="V94" s="24" t="e">
        <f t="shared" ca="1" si="2"/>
        <v>#NAME?</v>
      </c>
      <c r="W94" s="7"/>
      <c r="X94" s="7"/>
      <c r="Y94" s="29" t="s">
        <v>147</v>
      </c>
      <c r="Z94" s="30"/>
      <c r="AA94" s="31">
        <v>45364</v>
      </c>
      <c r="AB94" s="32">
        <v>49075100013731</v>
      </c>
      <c r="AC94" s="30"/>
      <c r="AD94" s="30"/>
      <c r="AE94" s="30"/>
      <c r="AF94" s="30"/>
      <c r="AG94" s="30"/>
      <c r="AH94" s="30"/>
      <c r="AI94" s="30"/>
      <c r="AJ94" s="30"/>
      <c r="AK94" s="30"/>
      <c r="AL94" s="30"/>
      <c r="AM94" s="30"/>
      <c r="AN94" s="30"/>
      <c r="AO94" s="30"/>
      <c r="AP94" s="30"/>
      <c r="AQ94" s="30"/>
      <c r="AR94" s="30"/>
      <c r="AS94" s="30"/>
      <c r="AT94" s="30">
        <v>6000</v>
      </c>
      <c r="AU94" s="30">
        <v>12048.81</v>
      </c>
      <c r="AV94" s="30">
        <v>12143.78</v>
      </c>
      <c r="AW94" s="30">
        <v>12219.3</v>
      </c>
      <c r="AX94" s="30">
        <v>12333.62</v>
      </c>
      <c r="AY94" s="30">
        <v>12438.93</v>
      </c>
      <c r="AZ94" s="30">
        <v>12537.15</v>
      </c>
      <c r="BA94" s="30" t="e">
        <f t="array" aca="1" ref="BA94" ca="1">_xludf.XLOOKUP(C94,'PL TOTAL D0'!A:A,'PL TOTAL D0'!C:C,"")</f>
        <v>#NAME?</v>
      </c>
    </row>
    <row r="95" spans="1:53" ht="15.75" customHeight="1">
      <c r="A95" s="23" t="s">
        <v>29</v>
      </c>
      <c r="B95" s="38" t="s">
        <v>477</v>
      </c>
      <c r="C95" s="39" t="s">
        <v>478</v>
      </c>
      <c r="D95" s="7" t="s">
        <v>64</v>
      </c>
      <c r="E95" s="7" t="s">
        <v>20</v>
      </c>
      <c r="F95" s="7" t="s">
        <v>204</v>
      </c>
      <c r="G95" s="7" t="e">
        <f t="shared" ca="1" si="0"/>
        <v>#NAME?</v>
      </c>
      <c r="H95" s="24" t="s">
        <v>161</v>
      </c>
      <c r="I95" s="24" t="s">
        <v>205</v>
      </c>
      <c r="J95" s="7" t="str">
        <f t="shared" si="8"/>
        <v>Sim</v>
      </c>
      <c r="K95" s="25">
        <v>45414</v>
      </c>
      <c r="L95" s="7"/>
      <c r="M95" s="7" t="s">
        <v>31</v>
      </c>
      <c r="N95" s="26">
        <v>3.0000000000000001E-3</v>
      </c>
      <c r="O95" s="7" t="s">
        <v>25</v>
      </c>
      <c r="P95" s="27">
        <v>0</v>
      </c>
      <c r="Q95" s="71" t="s">
        <v>206</v>
      </c>
      <c r="R95" s="28"/>
      <c r="S95" s="7" t="s">
        <v>145</v>
      </c>
      <c r="T95" s="12" t="s">
        <v>479</v>
      </c>
      <c r="U95" s="7" t="s">
        <v>60</v>
      </c>
      <c r="V95" s="24" t="e">
        <f t="shared" ca="1" si="2"/>
        <v>#NAME?</v>
      </c>
      <c r="W95" s="7"/>
      <c r="X95" s="7" t="s">
        <v>52</v>
      </c>
      <c r="Y95" s="29" t="s">
        <v>147</v>
      </c>
      <c r="Z95" s="30"/>
      <c r="AA95" s="31">
        <v>45414</v>
      </c>
      <c r="AB95" s="32">
        <v>49075100014434</v>
      </c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>
        <v>0</v>
      </c>
      <c r="AW95" s="30">
        <v>0</v>
      </c>
      <c r="AX95" s="30">
        <v>0</v>
      </c>
      <c r="AY95" s="30">
        <v>0</v>
      </c>
      <c r="AZ95" s="30">
        <v>0</v>
      </c>
      <c r="BA95" s="30" t="e">
        <f t="array" aca="1" ref="BA95" ca="1">_xludf.XLOOKUP(C95,'PL TOTAL D0'!A:A,'PL TOTAL D0'!C:C,"")</f>
        <v>#NAME?</v>
      </c>
    </row>
    <row r="96" spans="1:53" ht="15.75" customHeight="1">
      <c r="A96" s="23" t="s">
        <v>29</v>
      </c>
      <c r="B96" s="3" t="s">
        <v>480</v>
      </c>
      <c r="C96" s="4" t="s">
        <v>481</v>
      </c>
      <c r="D96" s="7" t="s">
        <v>19</v>
      </c>
      <c r="E96" s="7" t="s">
        <v>34</v>
      </c>
      <c r="F96" s="7" t="s">
        <v>35</v>
      </c>
      <c r="G96" s="7" t="e">
        <f t="shared" ca="1" si="0"/>
        <v>#NAME?</v>
      </c>
      <c r="H96" s="24" t="s">
        <v>152</v>
      </c>
      <c r="I96" s="24" t="s">
        <v>25</v>
      </c>
      <c r="J96" s="7" t="str">
        <f t="shared" si="8"/>
        <v>Não</v>
      </c>
      <c r="K96" s="25">
        <v>45315</v>
      </c>
      <c r="L96" s="7"/>
      <c r="M96" s="7" t="s">
        <v>172</v>
      </c>
      <c r="N96" s="26">
        <v>0</v>
      </c>
      <c r="O96" s="7" t="s">
        <v>25</v>
      </c>
      <c r="P96" s="27">
        <v>0</v>
      </c>
      <c r="Q96" s="28"/>
      <c r="R96" s="28"/>
      <c r="S96" s="7" t="s">
        <v>145</v>
      </c>
      <c r="T96" s="7" t="s">
        <v>482</v>
      </c>
      <c r="U96" s="7" t="s">
        <v>39</v>
      </c>
      <c r="V96" s="24" t="e">
        <f t="shared" ca="1" si="2"/>
        <v>#NAME?</v>
      </c>
      <c r="W96" s="7"/>
      <c r="X96" s="7"/>
      <c r="Y96" s="29" t="s">
        <v>147</v>
      </c>
      <c r="Z96" s="30"/>
      <c r="AA96" s="31">
        <v>45315</v>
      </c>
      <c r="AB96" s="32">
        <v>49075100013136</v>
      </c>
      <c r="AC96" s="30"/>
      <c r="AD96" s="30"/>
      <c r="AE96" s="30"/>
      <c r="AF96" s="30"/>
      <c r="AG96" s="30"/>
      <c r="AH96" s="30"/>
      <c r="AI96" s="30"/>
      <c r="AJ96" s="30"/>
      <c r="AK96" s="30"/>
      <c r="AL96" s="30"/>
      <c r="AM96" s="30"/>
      <c r="AN96" s="30"/>
      <c r="AO96" s="30"/>
      <c r="AP96" s="30"/>
      <c r="AQ96" s="30"/>
      <c r="AR96" s="30">
        <v>0</v>
      </c>
      <c r="AS96" s="30">
        <v>0</v>
      </c>
      <c r="AT96" s="30">
        <v>7188.3</v>
      </c>
      <c r="AU96" s="30">
        <v>7220.99</v>
      </c>
      <c r="AV96" s="30">
        <v>7277.91</v>
      </c>
      <c r="AW96" s="30">
        <v>7321.3</v>
      </c>
      <c r="AX96" s="30">
        <v>7389.79</v>
      </c>
      <c r="AY96" s="30">
        <v>7452.89</v>
      </c>
      <c r="AZ96" s="30">
        <v>7511.74</v>
      </c>
      <c r="BA96" s="30" t="e">
        <f t="array" aca="1" ref="BA96" ca="1">_xludf.XLOOKUP(C96,'PL TOTAL D0'!A:A,'PL TOTAL D0'!C:C,"")</f>
        <v>#NAME?</v>
      </c>
    </row>
    <row r="97" spans="1:53" ht="15.75" customHeight="1">
      <c r="A97" s="23" t="s">
        <v>29</v>
      </c>
      <c r="B97" s="48" t="s">
        <v>483</v>
      </c>
      <c r="C97" s="62" t="s">
        <v>484</v>
      </c>
      <c r="D97" s="7" t="s">
        <v>19</v>
      </c>
      <c r="E97" s="7" t="s">
        <v>34</v>
      </c>
      <c r="F97" s="7" t="s">
        <v>262</v>
      </c>
      <c r="G97" s="7" t="e">
        <f t="shared" ca="1" si="0"/>
        <v>#NAME?</v>
      </c>
      <c r="H97" s="24" t="s">
        <v>152</v>
      </c>
      <c r="I97" s="24" t="s">
        <v>25</v>
      </c>
      <c r="J97" s="7" t="str">
        <f t="shared" si="8"/>
        <v>Não</v>
      </c>
      <c r="K97" s="25">
        <v>45212</v>
      </c>
      <c r="L97" s="7"/>
      <c r="M97" s="7" t="s">
        <v>58</v>
      </c>
      <c r="N97" s="26">
        <v>1.2E-2</v>
      </c>
      <c r="O97" s="7" t="s">
        <v>37</v>
      </c>
      <c r="P97" s="27">
        <v>0.1</v>
      </c>
      <c r="Q97" s="23"/>
      <c r="R97" s="28" t="s">
        <v>485</v>
      </c>
      <c r="S97" s="7" t="s">
        <v>145</v>
      </c>
      <c r="T97" s="7" t="s">
        <v>486</v>
      </c>
      <c r="U97" s="7" t="s">
        <v>39</v>
      </c>
      <c r="V97" s="24" t="e">
        <f t="shared" ca="1" si="2"/>
        <v>#NAME?</v>
      </c>
      <c r="W97" s="7"/>
      <c r="X97" s="7"/>
      <c r="Y97" s="29" t="s">
        <v>147</v>
      </c>
      <c r="Z97" s="30"/>
      <c r="AA97" s="31">
        <v>45212</v>
      </c>
      <c r="AB97" s="32">
        <v>49075100012199</v>
      </c>
      <c r="AC97" s="30"/>
      <c r="AD97" s="30"/>
      <c r="AE97" s="30"/>
      <c r="AF97" s="30"/>
      <c r="AG97" s="30"/>
      <c r="AH97" s="30"/>
      <c r="AI97" s="30"/>
      <c r="AJ97" s="30"/>
      <c r="AK97" s="30"/>
      <c r="AL97" s="30"/>
      <c r="AM97" s="30"/>
      <c r="AN97" s="30"/>
      <c r="AO97" s="30">
        <v>100266.31</v>
      </c>
      <c r="AP97" s="30">
        <v>142155.29</v>
      </c>
      <c r="AQ97" s="30">
        <v>164016.57</v>
      </c>
      <c r="AR97" s="30">
        <v>183966.57</v>
      </c>
      <c r="AS97" s="30">
        <v>205524.11</v>
      </c>
      <c r="AT97" s="30">
        <v>227436.61</v>
      </c>
      <c r="AU97" s="30">
        <v>227492.11</v>
      </c>
      <c r="AV97" s="30">
        <v>248080.3</v>
      </c>
      <c r="AW97" s="30">
        <v>249776.6</v>
      </c>
      <c r="AX97" s="30">
        <v>242034.3</v>
      </c>
      <c r="AY97" s="30">
        <v>244423.35</v>
      </c>
      <c r="AZ97" s="30">
        <v>275345.39</v>
      </c>
      <c r="BA97" s="30" t="e">
        <f t="array" aca="1" ref="BA97" ca="1">_xludf.XLOOKUP(C97,'PL TOTAL D0'!A:A,'PL TOTAL D0'!C:C,"")</f>
        <v>#NAME?</v>
      </c>
    </row>
    <row r="98" spans="1:53" ht="15.75" customHeight="1">
      <c r="A98" s="23" t="s">
        <v>29</v>
      </c>
      <c r="B98" s="3" t="s">
        <v>487</v>
      </c>
      <c r="C98" s="4" t="s">
        <v>488</v>
      </c>
      <c r="D98" s="7" t="s">
        <v>64</v>
      </c>
      <c r="E98" s="7" t="s">
        <v>20</v>
      </c>
      <c r="F98" s="7" t="s">
        <v>489</v>
      </c>
      <c r="G98" s="7" t="e">
        <f t="shared" ca="1" si="0"/>
        <v>#NAME?</v>
      </c>
      <c r="H98" s="24" t="s">
        <v>143</v>
      </c>
      <c r="I98" s="24" t="s">
        <v>25</v>
      </c>
      <c r="J98" s="7" t="str">
        <f t="shared" si="8"/>
        <v>Não</v>
      </c>
      <c r="K98" s="25">
        <v>45083</v>
      </c>
      <c r="L98" s="25">
        <v>45565</v>
      </c>
      <c r="M98" s="7" t="s">
        <v>42</v>
      </c>
      <c r="N98" s="26">
        <v>7.0000000000000001E-3</v>
      </c>
      <c r="O98" s="7" t="s">
        <v>25</v>
      </c>
      <c r="P98" s="27">
        <v>0</v>
      </c>
      <c r="Q98" s="28"/>
      <c r="R98" s="28"/>
      <c r="S98" s="7" t="s">
        <v>145</v>
      </c>
      <c r="T98" s="7" t="s">
        <v>490</v>
      </c>
      <c r="U98" s="7" t="s">
        <v>20</v>
      </c>
      <c r="V98" s="24" t="e">
        <f t="shared" ca="1" si="2"/>
        <v>#NAME?</v>
      </c>
      <c r="W98" s="7"/>
      <c r="X98" s="7"/>
      <c r="Y98" s="29" t="s">
        <v>147</v>
      </c>
      <c r="Z98" s="30"/>
      <c r="AA98" s="31">
        <v>45083</v>
      </c>
      <c r="AB98" s="32">
        <v>49075100007871</v>
      </c>
      <c r="AC98" s="30"/>
      <c r="AD98" s="30"/>
      <c r="AE98" s="30"/>
      <c r="AF98" s="30"/>
      <c r="AG98" s="30"/>
      <c r="AH98" s="30"/>
      <c r="AI98" s="30"/>
      <c r="AJ98" s="30"/>
      <c r="AK98" s="30">
        <v>3553838.57</v>
      </c>
      <c r="AL98" s="30">
        <v>3583128.63</v>
      </c>
      <c r="AM98" s="30">
        <v>3606773.39</v>
      </c>
      <c r="AN98" s="30">
        <v>3627523.86</v>
      </c>
      <c r="AO98" s="30">
        <v>3653413.64</v>
      </c>
      <c r="AP98" s="30">
        <v>3688194.04</v>
      </c>
      <c r="AQ98" s="30">
        <v>3717376.72</v>
      </c>
      <c r="AR98" s="30">
        <v>3749944.01</v>
      </c>
      <c r="AS98" s="30">
        <v>3780231.62</v>
      </c>
      <c r="AT98" s="30">
        <v>3819221.34</v>
      </c>
      <c r="AU98" s="30">
        <v>3828588.27</v>
      </c>
      <c r="AV98" s="30">
        <v>3822686</v>
      </c>
      <c r="AW98" s="30">
        <v>3850951</v>
      </c>
      <c r="AX98" s="30">
        <v>3888839</v>
      </c>
      <c r="AY98" s="30">
        <v>0</v>
      </c>
      <c r="AZ98" s="30">
        <v>0</v>
      </c>
      <c r="BA98" s="30" t="e">
        <f t="array" aca="1" ref="BA98" ca="1">_xludf.XLOOKUP(C98,'PL TOTAL D0'!A:A,'PL TOTAL D0'!C:C,"")</f>
        <v>#NAME?</v>
      </c>
    </row>
    <row r="99" spans="1:53" ht="15.75" customHeight="1">
      <c r="A99" s="23" t="s">
        <v>29</v>
      </c>
      <c r="B99" s="3" t="s">
        <v>491</v>
      </c>
      <c r="C99" s="4" t="s">
        <v>492</v>
      </c>
      <c r="D99" s="7" t="s">
        <v>19</v>
      </c>
      <c r="E99" s="7" t="s">
        <v>20</v>
      </c>
      <c r="F99" s="7" t="s">
        <v>372</v>
      </c>
      <c r="G99" s="7" t="e">
        <f t="shared" ca="1" si="0"/>
        <v>#NAME?</v>
      </c>
      <c r="H99" s="24" t="s">
        <v>161</v>
      </c>
      <c r="I99" s="24" t="s">
        <v>211</v>
      </c>
      <c r="J99" s="7" t="str">
        <f t="shared" si="8"/>
        <v>Não</v>
      </c>
      <c r="K99" s="25">
        <v>44909</v>
      </c>
      <c r="L99" s="7"/>
      <c r="M99" s="7" t="s">
        <v>87</v>
      </c>
      <c r="N99" s="26">
        <v>2.5000000000000001E-2</v>
      </c>
      <c r="O99" s="7" t="s">
        <v>183</v>
      </c>
      <c r="P99" s="27">
        <v>0.2</v>
      </c>
      <c r="Q99" s="28"/>
      <c r="R99" s="28"/>
      <c r="S99" s="7" t="s">
        <v>145</v>
      </c>
      <c r="T99" s="7" t="s">
        <v>493</v>
      </c>
      <c r="U99" s="7" t="s">
        <v>20</v>
      </c>
      <c r="V99" s="24" t="e">
        <f t="shared" ca="1" si="2"/>
        <v>#NAME?</v>
      </c>
      <c r="W99" s="7"/>
      <c r="X99" s="7"/>
      <c r="Y99" s="29" t="s">
        <v>253</v>
      </c>
      <c r="Z99" s="30"/>
      <c r="AA99" s="31">
        <v>44909</v>
      </c>
      <c r="AB99" s="32">
        <v>49075100009732</v>
      </c>
      <c r="AC99" s="30"/>
      <c r="AD99" s="30"/>
      <c r="AE99" s="30">
        <v>208225.34</v>
      </c>
      <c r="AF99" s="30">
        <v>199132.11</v>
      </c>
      <c r="AG99" s="30">
        <v>445715.68</v>
      </c>
      <c r="AH99" s="30">
        <v>484136.36</v>
      </c>
      <c r="AI99" s="30">
        <v>292820.86</v>
      </c>
      <c r="AJ99" s="30">
        <v>430183.62</v>
      </c>
      <c r="AK99" s="30">
        <v>458436.4</v>
      </c>
      <c r="AL99" s="30">
        <v>480581.05</v>
      </c>
      <c r="AM99" s="30">
        <v>460141.61</v>
      </c>
      <c r="AN99" s="30">
        <v>454523.52</v>
      </c>
      <c r="AO99" s="30">
        <v>432464.51</v>
      </c>
      <c r="AP99" s="30">
        <v>464777.09</v>
      </c>
      <c r="AQ99" s="30">
        <v>486661.08</v>
      </c>
      <c r="AR99" s="30">
        <v>452304.01</v>
      </c>
      <c r="AS99" s="30">
        <v>458425.63</v>
      </c>
      <c r="AT99" s="30">
        <v>466830.27</v>
      </c>
      <c r="AU99" s="30">
        <v>448658.28</v>
      </c>
      <c r="AV99" s="30">
        <v>434181.2</v>
      </c>
      <c r="AW99" s="30">
        <v>435247.7</v>
      </c>
      <c r="AX99" s="30">
        <v>446535.8</v>
      </c>
      <c r="AY99" s="30">
        <v>505731.73</v>
      </c>
      <c r="AZ99" s="30">
        <v>497974.23</v>
      </c>
      <c r="BA99" s="30" t="e">
        <f t="array" aca="1" ref="BA99" ca="1">_xludf.XLOOKUP(C99,'PL TOTAL D0'!A:A,'PL TOTAL D0'!C:C,"")</f>
        <v>#NAME?</v>
      </c>
    </row>
    <row r="100" spans="1:53" ht="15.75" customHeight="1">
      <c r="A100" s="23" t="s">
        <v>29</v>
      </c>
      <c r="B100" s="3" t="s">
        <v>491</v>
      </c>
      <c r="C100" s="4" t="s">
        <v>494</v>
      </c>
      <c r="D100" s="7" t="s">
        <v>19</v>
      </c>
      <c r="E100" s="7" t="s">
        <v>20</v>
      </c>
      <c r="F100" s="7" t="s">
        <v>372</v>
      </c>
      <c r="G100" s="7" t="e">
        <f t="shared" ca="1" si="0"/>
        <v>#NAME?</v>
      </c>
      <c r="H100" s="24" t="s">
        <v>161</v>
      </c>
      <c r="I100" s="24" t="s">
        <v>211</v>
      </c>
      <c r="J100" s="7" t="str">
        <f t="shared" si="8"/>
        <v>Não</v>
      </c>
      <c r="K100" s="25">
        <v>45000</v>
      </c>
      <c r="L100" s="7"/>
      <c r="M100" s="7" t="s">
        <v>495</v>
      </c>
      <c r="N100" s="26">
        <v>0.02</v>
      </c>
      <c r="O100" s="7" t="s">
        <v>183</v>
      </c>
      <c r="P100" s="27">
        <v>0.2</v>
      </c>
      <c r="Q100" s="28"/>
      <c r="R100" s="28"/>
      <c r="S100" s="7" t="s">
        <v>145</v>
      </c>
      <c r="T100" s="7" t="s">
        <v>493</v>
      </c>
      <c r="U100" s="7" t="s">
        <v>20</v>
      </c>
      <c r="V100" s="24" t="e">
        <f t="shared" ca="1" si="2"/>
        <v>#NAME?</v>
      </c>
      <c r="W100" s="7"/>
      <c r="X100" s="7"/>
      <c r="Y100" s="29" t="s">
        <v>253</v>
      </c>
      <c r="Z100" s="30"/>
      <c r="AA100" s="31">
        <v>45000</v>
      </c>
      <c r="AB100" s="32">
        <v>49075100008655</v>
      </c>
      <c r="AC100" s="30"/>
      <c r="AD100" s="30"/>
      <c r="AE100" s="30"/>
      <c r="AF100" s="30">
        <v>0</v>
      </c>
      <c r="AG100" s="30">
        <v>0</v>
      </c>
      <c r="AH100" s="30">
        <v>38619.74</v>
      </c>
      <c r="AI100" s="30">
        <v>39585.71</v>
      </c>
      <c r="AJ100" s="30">
        <v>43353.84</v>
      </c>
      <c r="AK100" s="30">
        <v>46351.99</v>
      </c>
      <c r="AL100" s="30">
        <v>50159.6</v>
      </c>
      <c r="AM100" s="30">
        <v>51186.8</v>
      </c>
      <c r="AN100" s="30">
        <v>50747.86</v>
      </c>
      <c r="AO100" s="30">
        <v>46192.47</v>
      </c>
      <c r="AP100" s="30">
        <v>49495</v>
      </c>
      <c r="AQ100" s="30">
        <v>52418.97</v>
      </c>
      <c r="AR100" s="30">
        <v>49646.1</v>
      </c>
      <c r="AS100" s="30">
        <v>49063.18</v>
      </c>
      <c r="AT100" s="30">
        <v>51054.53</v>
      </c>
      <c r="AU100" s="30">
        <v>47973.39</v>
      </c>
      <c r="AV100" s="30">
        <v>44787.31</v>
      </c>
      <c r="AW100" s="30">
        <v>44765.22</v>
      </c>
      <c r="AX100" s="30">
        <v>47476.75</v>
      </c>
      <c r="AY100" s="30">
        <v>48270.03</v>
      </c>
      <c r="AZ100" s="30">
        <v>46154.53</v>
      </c>
      <c r="BA100" s="30" t="e">
        <f t="array" aca="1" ref="BA100" ca="1">_xludf.XLOOKUP(C100,'PL TOTAL D0'!A:A,'PL TOTAL D0'!C:C,"")</f>
        <v>#NAME?</v>
      </c>
    </row>
    <row r="101" spans="1:53" ht="15.75" customHeight="1">
      <c r="A101" s="23" t="s">
        <v>29</v>
      </c>
      <c r="B101" s="3" t="s">
        <v>491</v>
      </c>
      <c r="C101" s="4" t="s">
        <v>496</v>
      </c>
      <c r="D101" s="7" t="s">
        <v>19</v>
      </c>
      <c r="E101" s="7" t="s">
        <v>20</v>
      </c>
      <c r="F101" s="7" t="s">
        <v>372</v>
      </c>
      <c r="G101" s="7" t="e">
        <f t="shared" ca="1" si="0"/>
        <v>#NAME?</v>
      </c>
      <c r="H101" s="24" t="s">
        <v>161</v>
      </c>
      <c r="I101" s="24" t="s">
        <v>211</v>
      </c>
      <c r="J101" s="7" t="str">
        <f t="shared" si="8"/>
        <v>Não</v>
      </c>
      <c r="K101" s="25">
        <v>44914</v>
      </c>
      <c r="L101" s="7"/>
      <c r="M101" s="7" t="s">
        <v>497</v>
      </c>
      <c r="N101" s="26">
        <v>7.0000000000000001E-3</v>
      </c>
      <c r="O101" s="7" t="s">
        <v>25</v>
      </c>
      <c r="P101" s="27">
        <v>0</v>
      </c>
      <c r="Q101" s="28"/>
      <c r="R101" s="28"/>
      <c r="S101" s="7" t="s">
        <v>145</v>
      </c>
      <c r="T101" s="7" t="s">
        <v>493</v>
      </c>
      <c r="U101" s="7" t="s">
        <v>20</v>
      </c>
      <c r="V101" s="24" t="e">
        <f t="shared" ca="1" si="2"/>
        <v>#NAME?</v>
      </c>
      <c r="W101" s="7"/>
      <c r="X101" s="7"/>
      <c r="Y101" s="29" t="s">
        <v>253</v>
      </c>
      <c r="Z101" s="30"/>
      <c r="AA101" s="31">
        <v>44914</v>
      </c>
      <c r="AB101" s="32">
        <v>49075100005516</v>
      </c>
      <c r="AC101" s="30"/>
      <c r="AD101" s="30"/>
      <c r="AE101" s="30">
        <v>251665.93</v>
      </c>
      <c r="AF101" s="30">
        <v>253101.08</v>
      </c>
      <c r="AG101" s="30">
        <v>253309.58</v>
      </c>
      <c r="AH101" s="30">
        <v>254947.94</v>
      </c>
      <c r="AI101" s="30">
        <v>256691.1</v>
      </c>
      <c r="AJ101" s="30">
        <v>259544.42</v>
      </c>
      <c r="AK101" s="30">
        <v>262967.65000000002</v>
      </c>
      <c r="AL101" s="30">
        <v>266291.46999999997</v>
      </c>
      <c r="AM101" s="30">
        <v>267662.59000000003</v>
      </c>
      <c r="AN101" s="30">
        <v>268625.62</v>
      </c>
      <c r="AO101" s="30">
        <v>269955.31</v>
      </c>
      <c r="AP101" s="30">
        <v>275516.03000000003</v>
      </c>
      <c r="AQ101" s="30">
        <v>281427.46000000002</v>
      </c>
      <c r="AR101" s="30">
        <v>282605.19</v>
      </c>
      <c r="AS101" s="30">
        <v>284292.03999999998</v>
      </c>
      <c r="AT101" s="30">
        <v>286943.12</v>
      </c>
      <c r="AU101" s="30">
        <v>287652.28000000003</v>
      </c>
      <c r="AV101" s="30">
        <v>289949.09999999998</v>
      </c>
      <c r="AW101" s="30">
        <v>292522.59999999998</v>
      </c>
      <c r="AX101" s="30">
        <v>295898.5</v>
      </c>
      <c r="AY101" s="30">
        <v>297135.75</v>
      </c>
      <c r="AZ101" s="30">
        <v>300088.24</v>
      </c>
      <c r="BA101" s="30" t="e">
        <f t="array" aca="1" ref="BA101" ca="1">_xludf.XLOOKUP(C101,'PL TOTAL D0'!A:A,'PL TOTAL D0'!C:C,"")</f>
        <v>#NAME?</v>
      </c>
    </row>
    <row r="102" spans="1:53" ht="15.75" customHeight="1">
      <c r="A102" s="23" t="s">
        <v>29</v>
      </c>
      <c r="B102" s="3" t="s">
        <v>491</v>
      </c>
      <c r="C102" s="4" t="s">
        <v>498</v>
      </c>
      <c r="D102" s="7" t="s">
        <v>19</v>
      </c>
      <c r="E102" s="7" t="s">
        <v>20</v>
      </c>
      <c r="F102" s="7" t="s">
        <v>372</v>
      </c>
      <c r="G102" s="7" t="e">
        <f t="shared" ca="1" si="0"/>
        <v>#NAME?</v>
      </c>
      <c r="H102" s="24" t="s">
        <v>161</v>
      </c>
      <c r="I102" s="24" t="s">
        <v>211</v>
      </c>
      <c r="J102" s="7" t="str">
        <f t="shared" si="8"/>
        <v>Não</v>
      </c>
      <c r="K102" s="25">
        <v>45026</v>
      </c>
      <c r="L102" s="7"/>
      <c r="M102" s="7" t="s">
        <v>42</v>
      </c>
      <c r="N102" s="26">
        <v>1.2E-2</v>
      </c>
      <c r="O102" s="7" t="s">
        <v>25</v>
      </c>
      <c r="P102" s="27">
        <v>0</v>
      </c>
      <c r="Q102" s="28"/>
      <c r="R102" s="28"/>
      <c r="S102" s="7" t="s">
        <v>145</v>
      </c>
      <c r="T102" s="7" t="s">
        <v>493</v>
      </c>
      <c r="U102" s="7" t="s">
        <v>20</v>
      </c>
      <c r="V102" s="24" t="e">
        <f t="shared" ca="1" si="2"/>
        <v>#NAME?</v>
      </c>
      <c r="W102" s="7"/>
      <c r="X102" s="7"/>
      <c r="Y102" s="29" t="s">
        <v>253</v>
      </c>
      <c r="Z102" s="30"/>
      <c r="AA102" s="31">
        <v>45026</v>
      </c>
      <c r="AB102" s="32">
        <v>49075100012202</v>
      </c>
      <c r="AC102" s="30"/>
      <c r="AD102" s="30"/>
      <c r="AE102" s="30"/>
      <c r="AF102" s="30">
        <v>0</v>
      </c>
      <c r="AG102" s="30">
        <v>0</v>
      </c>
      <c r="AH102" s="30">
        <v>0</v>
      </c>
      <c r="AI102" s="30">
        <v>180408.94</v>
      </c>
      <c r="AJ102" s="30">
        <v>182350.83</v>
      </c>
      <c r="AK102" s="30">
        <v>184021.08</v>
      </c>
      <c r="AL102" s="30">
        <v>185673.7</v>
      </c>
      <c r="AM102" s="30">
        <v>187477.34</v>
      </c>
      <c r="AN102" s="30">
        <v>189009.11</v>
      </c>
      <c r="AO102" s="30">
        <v>190678.08</v>
      </c>
      <c r="AP102" s="30">
        <v>192060.09</v>
      </c>
      <c r="AQ102" s="30">
        <v>193515.77</v>
      </c>
      <c r="AR102" s="30">
        <v>192079.67</v>
      </c>
      <c r="AS102" s="30">
        <v>193429.54</v>
      </c>
      <c r="AT102" s="30">
        <v>194882.55</v>
      </c>
      <c r="AU102" s="30">
        <v>195978.42</v>
      </c>
      <c r="AV102" s="30">
        <v>197386.4</v>
      </c>
      <c r="AW102" s="30">
        <v>198823.4</v>
      </c>
      <c r="AX102" s="30">
        <v>200003.7</v>
      </c>
      <c r="AY102" s="30">
        <v>201499.45</v>
      </c>
      <c r="AZ102" s="30">
        <v>303546.38</v>
      </c>
      <c r="BA102" s="30" t="e">
        <f t="array" aca="1" ref="BA102" ca="1">_xludf.XLOOKUP(C102,'PL TOTAL D0'!A:A,'PL TOTAL D0'!C:C,"")</f>
        <v>#NAME?</v>
      </c>
    </row>
    <row r="103" spans="1:53" ht="15.75" customHeight="1">
      <c r="A103" s="23" t="s">
        <v>29</v>
      </c>
      <c r="B103" s="3" t="s">
        <v>491</v>
      </c>
      <c r="C103" s="4" t="s">
        <v>499</v>
      </c>
      <c r="D103" s="7" t="s">
        <v>19</v>
      </c>
      <c r="E103" s="7" t="s">
        <v>20</v>
      </c>
      <c r="F103" s="7" t="s">
        <v>372</v>
      </c>
      <c r="G103" s="7" t="e">
        <f t="shared" ca="1" si="0"/>
        <v>#NAME?</v>
      </c>
      <c r="H103" s="24" t="s">
        <v>161</v>
      </c>
      <c r="I103" s="24" t="s">
        <v>211</v>
      </c>
      <c r="J103" s="7" t="str">
        <f t="shared" si="8"/>
        <v>Não</v>
      </c>
      <c r="K103" s="25">
        <v>45166</v>
      </c>
      <c r="L103" s="25"/>
      <c r="M103" s="7" t="s">
        <v>257</v>
      </c>
      <c r="N103" s="26">
        <v>8.0000000000000002E-3</v>
      </c>
      <c r="O103" s="7" t="s">
        <v>258</v>
      </c>
      <c r="P103" s="27">
        <v>0.1</v>
      </c>
      <c r="Q103" s="45"/>
      <c r="R103" s="28" t="s">
        <v>500</v>
      </c>
      <c r="S103" s="7" t="s">
        <v>145</v>
      </c>
      <c r="T103" s="7" t="s">
        <v>493</v>
      </c>
      <c r="U103" s="7" t="s">
        <v>20</v>
      </c>
      <c r="V103" s="24" t="e">
        <f t="shared" ca="1" si="2"/>
        <v>#NAME?</v>
      </c>
      <c r="W103" s="7"/>
      <c r="X103" s="7"/>
      <c r="Y103" s="29" t="s">
        <v>253</v>
      </c>
      <c r="Z103" s="30"/>
      <c r="AA103" s="31">
        <v>45166</v>
      </c>
      <c r="AB103" s="32">
        <v>49075100011257</v>
      </c>
      <c r="AC103" s="30"/>
      <c r="AD103" s="30"/>
      <c r="AE103" s="30"/>
      <c r="AF103" s="30">
        <v>0</v>
      </c>
      <c r="AG103" s="30">
        <v>0</v>
      </c>
      <c r="AH103" s="30">
        <v>0</v>
      </c>
      <c r="AI103" s="30">
        <v>0</v>
      </c>
      <c r="AJ103" s="30">
        <v>0</v>
      </c>
      <c r="AK103" s="30">
        <v>0</v>
      </c>
      <c r="AL103" s="30">
        <v>0</v>
      </c>
      <c r="AM103" s="30">
        <v>0</v>
      </c>
      <c r="AN103" s="30">
        <v>0</v>
      </c>
      <c r="AO103" s="30">
        <v>0</v>
      </c>
      <c r="AP103" s="30">
        <v>0</v>
      </c>
      <c r="AQ103" s="30">
        <v>0</v>
      </c>
      <c r="AR103" s="30">
        <v>0</v>
      </c>
      <c r="AS103" s="30">
        <v>0</v>
      </c>
      <c r="AT103" s="30">
        <v>0</v>
      </c>
      <c r="AU103" s="30">
        <v>0</v>
      </c>
      <c r="AV103" s="30">
        <v>0</v>
      </c>
      <c r="AW103" s="30">
        <v>0</v>
      </c>
      <c r="AX103" s="30">
        <v>0</v>
      </c>
      <c r="AY103" s="30">
        <v>0</v>
      </c>
      <c r="AZ103" s="30">
        <v>0</v>
      </c>
      <c r="BA103" s="30" t="e">
        <f t="array" aca="1" ref="BA103" ca="1">_xludf.XLOOKUP(C103,'PL TOTAL D0'!A:A,'PL TOTAL D0'!C:C,"")</f>
        <v>#NAME?</v>
      </c>
    </row>
    <row r="104" spans="1:53" ht="15.75" customHeight="1">
      <c r="A104" s="23" t="s">
        <v>29</v>
      </c>
      <c r="B104" s="3" t="s">
        <v>501</v>
      </c>
      <c r="C104" s="44" t="s">
        <v>502</v>
      </c>
      <c r="D104" s="7" t="s">
        <v>19</v>
      </c>
      <c r="E104" s="7" t="s">
        <v>20</v>
      </c>
      <c r="F104" s="7" t="s">
        <v>372</v>
      </c>
      <c r="G104" s="7" t="e">
        <f t="shared" ca="1" si="0"/>
        <v>#NAME?</v>
      </c>
      <c r="H104" s="24" t="s">
        <v>152</v>
      </c>
      <c r="I104" s="24" t="s">
        <v>25</v>
      </c>
      <c r="J104" s="7" t="str">
        <f t="shared" si="8"/>
        <v>Sim</v>
      </c>
      <c r="K104" s="25">
        <v>45350</v>
      </c>
      <c r="L104" s="7"/>
      <c r="M104" s="7" t="s">
        <v>42</v>
      </c>
      <c r="N104" s="26">
        <v>1.2E-2</v>
      </c>
      <c r="O104" s="7" t="s">
        <v>25</v>
      </c>
      <c r="P104" s="27">
        <v>0</v>
      </c>
      <c r="Q104" s="28" t="s">
        <v>503</v>
      </c>
      <c r="R104" s="28" t="s">
        <v>504</v>
      </c>
      <c r="S104" s="7" t="s">
        <v>145</v>
      </c>
      <c r="T104" s="12" t="s">
        <v>505</v>
      </c>
      <c r="U104" s="7" t="s">
        <v>60</v>
      </c>
      <c r="V104" s="24" t="e">
        <f t="shared" ca="1" si="2"/>
        <v>#NAME?</v>
      </c>
      <c r="W104" s="7"/>
      <c r="X104" s="7"/>
      <c r="Y104" s="29" t="s">
        <v>147</v>
      </c>
      <c r="Z104" s="30"/>
      <c r="AA104" s="31">
        <v>45350</v>
      </c>
      <c r="AB104" s="32">
        <v>49075100013306</v>
      </c>
      <c r="AC104" s="30"/>
      <c r="AD104" s="30"/>
      <c r="AE104" s="30"/>
      <c r="AF104" s="30"/>
      <c r="AG104" s="30"/>
      <c r="AH104" s="30"/>
      <c r="AI104" s="30"/>
      <c r="AJ104" s="30"/>
      <c r="AK104" s="30"/>
      <c r="AL104" s="30"/>
      <c r="AM104" s="30"/>
      <c r="AN104" s="30"/>
      <c r="AO104" s="30"/>
      <c r="AP104" s="30"/>
      <c r="AQ104" s="30"/>
      <c r="AR104" s="30"/>
      <c r="AS104" s="30">
        <v>397851.93</v>
      </c>
      <c r="AT104" s="30">
        <v>1000991.59</v>
      </c>
      <c r="AU104" s="30">
        <v>998239.39</v>
      </c>
      <c r="AV104" s="30">
        <v>1001239</v>
      </c>
      <c r="AW104" s="30">
        <v>1008290</v>
      </c>
      <c r="AX104" s="30">
        <v>1036785</v>
      </c>
      <c r="AY104" s="30">
        <v>1043968.84</v>
      </c>
      <c r="AZ104" s="30">
        <v>1013749.31</v>
      </c>
      <c r="BA104" s="30" t="e">
        <f t="array" aca="1" ref="BA104" ca="1">_xludf.XLOOKUP(C104,'PL TOTAL D0'!A:A,'PL TOTAL D0'!C:C,"")</f>
        <v>#NAME?</v>
      </c>
    </row>
    <row r="105" spans="1:53" ht="15.75" customHeight="1">
      <c r="A105" s="23" t="s">
        <v>29</v>
      </c>
      <c r="B105" s="3" t="s">
        <v>506</v>
      </c>
      <c r="C105" s="72" t="s">
        <v>507</v>
      </c>
      <c r="D105" s="7" t="s">
        <v>19</v>
      </c>
      <c r="E105" s="7" t="s">
        <v>20</v>
      </c>
      <c r="F105" s="7" t="s">
        <v>508</v>
      </c>
      <c r="G105" s="7" t="e">
        <f t="shared" ca="1" si="0"/>
        <v>#NAME?</v>
      </c>
      <c r="H105" s="24" t="s">
        <v>161</v>
      </c>
      <c r="I105" s="24" t="s">
        <v>205</v>
      </c>
      <c r="J105" s="7" t="str">
        <f t="shared" si="8"/>
        <v>Não</v>
      </c>
      <c r="K105" s="25">
        <v>45573</v>
      </c>
      <c r="L105" s="7"/>
      <c r="M105" s="7" t="s">
        <v>31</v>
      </c>
      <c r="N105" s="26">
        <v>0</v>
      </c>
      <c r="O105" s="7" t="s">
        <v>25</v>
      </c>
      <c r="P105" s="27">
        <v>0</v>
      </c>
      <c r="Q105" s="28"/>
      <c r="R105" s="28"/>
      <c r="S105" s="7" t="s">
        <v>145</v>
      </c>
      <c r="T105" s="12" t="s">
        <v>509</v>
      </c>
      <c r="U105" s="7" t="s">
        <v>20</v>
      </c>
      <c r="V105" s="24" t="e">
        <f t="shared" ca="1" si="2"/>
        <v>#NAME?</v>
      </c>
      <c r="W105" s="7"/>
      <c r="X105" s="7" t="s">
        <v>91</v>
      </c>
      <c r="Y105" s="29"/>
      <c r="Z105" s="30"/>
      <c r="AA105" s="30"/>
      <c r="AB105" s="32"/>
      <c r="AC105" s="30"/>
      <c r="AD105" s="30"/>
      <c r="AE105" s="30"/>
      <c r="AF105" s="30"/>
      <c r="AG105" s="30"/>
      <c r="AH105" s="30"/>
      <c r="AI105" s="30"/>
      <c r="AJ105" s="30"/>
      <c r="AK105" s="30"/>
      <c r="AL105" s="30"/>
      <c r="AM105" s="30"/>
      <c r="AN105" s="30"/>
      <c r="AO105" s="30"/>
      <c r="AP105" s="30"/>
      <c r="AQ105" s="30"/>
      <c r="AR105" s="30"/>
      <c r="AS105" s="30"/>
      <c r="AT105" s="30"/>
      <c r="AU105" s="30"/>
      <c r="AV105" s="30"/>
      <c r="AW105" s="30"/>
      <c r="AX105" s="30"/>
      <c r="AY105" s="30"/>
      <c r="AZ105" s="30"/>
      <c r="BA105" s="30" t="e">
        <f t="array" aca="1" ref="BA105" ca="1">_xludf.XLOOKUP(C105,'PL TOTAL D0'!A:A,'PL TOTAL D0'!C:C,"")</f>
        <v>#NAME?</v>
      </c>
    </row>
    <row r="106" spans="1:53" ht="15.75" customHeight="1">
      <c r="A106" s="23" t="s">
        <v>29</v>
      </c>
      <c r="B106" s="38" t="s">
        <v>510</v>
      </c>
      <c r="C106" s="39" t="s">
        <v>511</v>
      </c>
      <c r="D106" s="7" t="s">
        <v>19</v>
      </c>
      <c r="E106" s="7" t="s">
        <v>20</v>
      </c>
      <c r="F106" s="7" t="s">
        <v>199</v>
      </c>
      <c r="G106" s="7" t="e">
        <f t="shared" ca="1" si="0"/>
        <v>#NAME?</v>
      </c>
      <c r="H106" s="24" t="s">
        <v>152</v>
      </c>
      <c r="I106" s="24" t="s">
        <v>25</v>
      </c>
      <c r="J106" s="7" t="str">
        <f t="shared" si="8"/>
        <v>Não</v>
      </c>
      <c r="K106" s="25">
        <v>45390</v>
      </c>
      <c r="L106" s="7"/>
      <c r="M106" s="7" t="s">
        <v>200</v>
      </c>
      <c r="N106" s="26">
        <v>1.4999999999999999E-2</v>
      </c>
      <c r="O106" s="7" t="s">
        <v>37</v>
      </c>
      <c r="P106" s="27">
        <v>0.1</v>
      </c>
      <c r="Q106" s="28"/>
      <c r="R106" s="28"/>
      <c r="S106" s="7" t="s">
        <v>145</v>
      </c>
      <c r="T106" s="6" t="s">
        <v>512</v>
      </c>
      <c r="U106" s="7" t="s">
        <v>20</v>
      </c>
      <c r="V106" s="24" t="e">
        <f t="shared" ca="1" si="2"/>
        <v>#NAME?</v>
      </c>
      <c r="W106" s="7"/>
      <c r="X106" s="7" t="s">
        <v>52</v>
      </c>
      <c r="Y106" s="29" t="s">
        <v>147</v>
      </c>
      <c r="Z106" s="30"/>
      <c r="AA106" s="31">
        <v>45390</v>
      </c>
      <c r="AB106" s="32">
        <v>49075100014027</v>
      </c>
      <c r="AC106" s="30"/>
      <c r="AD106" s="30"/>
      <c r="AE106" s="30"/>
      <c r="AF106" s="30"/>
      <c r="AG106" s="30"/>
      <c r="AH106" s="30"/>
      <c r="AI106" s="30"/>
      <c r="AJ106" s="30"/>
      <c r="AK106" s="30"/>
      <c r="AL106" s="30"/>
      <c r="AM106" s="30"/>
      <c r="AN106" s="30"/>
      <c r="AO106" s="30"/>
      <c r="AP106" s="30"/>
      <c r="AQ106" s="30"/>
      <c r="AR106" s="30"/>
      <c r="AS106" s="30"/>
      <c r="AT106" s="30"/>
      <c r="AU106" s="30">
        <v>211189.07</v>
      </c>
      <c r="AV106" s="30">
        <v>200754.9</v>
      </c>
      <c r="AW106" s="30">
        <v>201925.5</v>
      </c>
      <c r="AX106" s="30">
        <v>204803.1</v>
      </c>
      <c r="AY106" s="30">
        <v>207257.87</v>
      </c>
      <c r="AZ106" s="30">
        <v>206351.39</v>
      </c>
      <c r="BA106" s="30" t="e">
        <f t="array" aca="1" ref="BA106" ca="1">_xludf.XLOOKUP(C106,'PL TOTAL D0'!A:A,'PL TOTAL D0'!C:C,"")</f>
        <v>#NAME?</v>
      </c>
    </row>
    <row r="107" spans="1:53" ht="15.75" customHeight="1">
      <c r="A107" s="23" t="s">
        <v>29</v>
      </c>
      <c r="B107" s="37" t="s">
        <v>513</v>
      </c>
      <c r="C107" s="4" t="s">
        <v>514</v>
      </c>
      <c r="D107" s="7" t="s">
        <v>19</v>
      </c>
      <c r="E107" s="7" t="s">
        <v>49</v>
      </c>
      <c r="F107" s="7" t="s">
        <v>50</v>
      </c>
      <c r="G107" s="7" t="e">
        <f t="shared" ca="1" si="0"/>
        <v>#NAME?</v>
      </c>
      <c r="H107" s="24" t="s">
        <v>152</v>
      </c>
      <c r="I107" s="24" t="s">
        <v>25</v>
      </c>
      <c r="J107" s="7" t="str">
        <f t="shared" si="8"/>
        <v>Não</v>
      </c>
      <c r="K107" s="25">
        <v>44964</v>
      </c>
      <c r="L107" s="7"/>
      <c r="M107" s="7" t="s">
        <v>200</v>
      </c>
      <c r="N107" s="26">
        <v>1.4999999999999999E-2</v>
      </c>
      <c r="O107" s="7" t="s">
        <v>37</v>
      </c>
      <c r="P107" s="27">
        <v>0.1</v>
      </c>
      <c r="Q107" s="28"/>
      <c r="R107" s="28"/>
      <c r="S107" s="7" t="s">
        <v>187</v>
      </c>
      <c r="T107" s="7" t="s">
        <v>515</v>
      </c>
      <c r="U107" s="7" t="s">
        <v>49</v>
      </c>
      <c r="V107" s="24" t="e">
        <f t="shared" ca="1" si="2"/>
        <v>#NAME?</v>
      </c>
      <c r="W107" s="7"/>
      <c r="X107" s="7"/>
      <c r="Y107" s="29" t="s">
        <v>253</v>
      </c>
      <c r="Z107" s="30"/>
      <c r="AA107" s="31">
        <v>44964</v>
      </c>
      <c r="AB107" s="32">
        <v>49075100009708</v>
      </c>
      <c r="AC107" s="30"/>
      <c r="AD107" s="30"/>
      <c r="AE107" s="30"/>
      <c r="AF107" s="30">
        <v>0</v>
      </c>
      <c r="AG107" s="30">
        <v>424706.47</v>
      </c>
      <c r="AH107" s="30">
        <v>428705.7</v>
      </c>
      <c r="AI107" s="30">
        <v>431156.36</v>
      </c>
      <c r="AJ107" s="30">
        <v>439840.02</v>
      </c>
      <c r="AK107" s="30">
        <v>446395.97</v>
      </c>
      <c r="AL107" s="30">
        <v>449077.62</v>
      </c>
      <c r="AM107" s="30">
        <v>447110.31</v>
      </c>
      <c r="AN107" s="30">
        <v>449892.29</v>
      </c>
      <c r="AO107" s="30">
        <v>449202.07</v>
      </c>
      <c r="AP107" s="30">
        <v>458954.86</v>
      </c>
      <c r="AQ107" s="30">
        <v>618719.07999999996</v>
      </c>
      <c r="AR107" s="30">
        <v>613591.21</v>
      </c>
      <c r="AS107" s="30">
        <v>619436.47</v>
      </c>
      <c r="AT107" s="30">
        <v>626479.97</v>
      </c>
      <c r="AU107" s="30">
        <v>622178.18999999994</v>
      </c>
      <c r="AV107" s="30">
        <v>619409.80000000005</v>
      </c>
      <c r="AW107" s="30">
        <v>621983.19999999995</v>
      </c>
      <c r="AX107" s="30">
        <v>630768.80000000005</v>
      </c>
      <c r="AY107" s="30">
        <v>635184.64000000001</v>
      </c>
      <c r="AZ107" s="30">
        <v>634705.64</v>
      </c>
      <c r="BA107" s="30" t="e">
        <f t="array" aca="1" ref="BA107" ca="1">_xludf.XLOOKUP(C107,'PL TOTAL D0'!A:A,'PL TOTAL D0'!C:C,"")</f>
        <v>#NAME?</v>
      </c>
    </row>
    <row r="108" spans="1:53" ht="15.75" customHeight="1">
      <c r="A108" s="23" t="s">
        <v>29</v>
      </c>
      <c r="B108" s="37" t="s">
        <v>516</v>
      </c>
      <c r="C108" s="4" t="s">
        <v>517</v>
      </c>
      <c r="D108" s="7" t="s">
        <v>19</v>
      </c>
      <c r="E108" s="7" t="s">
        <v>20</v>
      </c>
      <c r="F108" s="7" t="s">
        <v>19</v>
      </c>
      <c r="G108" s="7" t="e">
        <f t="shared" ca="1" si="0"/>
        <v>#NAME?</v>
      </c>
      <c r="H108" s="24" t="s">
        <v>161</v>
      </c>
      <c r="I108" s="24" t="s">
        <v>205</v>
      </c>
      <c r="J108" s="7" t="str">
        <f t="shared" si="8"/>
        <v>Não</v>
      </c>
      <c r="K108" s="73">
        <v>45415</v>
      </c>
      <c r="L108" s="7"/>
      <c r="M108" s="7" t="s">
        <v>31</v>
      </c>
      <c r="N108" s="26">
        <v>0</v>
      </c>
      <c r="O108" s="7" t="s">
        <v>25</v>
      </c>
      <c r="P108" s="7">
        <v>0</v>
      </c>
      <c r="Q108" s="28"/>
      <c r="R108" s="28"/>
      <c r="S108" s="7" t="s">
        <v>187</v>
      </c>
      <c r="T108" s="7" t="s">
        <v>518</v>
      </c>
      <c r="U108" s="7" t="s">
        <v>20</v>
      </c>
      <c r="V108" s="24" t="e">
        <f t="shared" ca="1" si="2"/>
        <v>#NAME?</v>
      </c>
      <c r="W108" s="7"/>
      <c r="X108" s="7"/>
      <c r="Y108" s="29" t="s">
        <v>433</v>
      </c>
      <c r="Z108" s="30"/>
      <c r="AA108" s="74">
        <v>45415</v>
      </c>
      <c r="AB108" s="32">
        <v>49075100014442</v>
      </c>
      <c r="AC108" s="30"/>
      <c r="AD108" s="30"/>
      <c r="AE108" s="30"/>
      <c r="AF108" s="30"/>
      <c r="AG108" s="30"/>
      <c r="AH108" s="30"/>
      <c r="AI108" s="30"/>
      <c r="AJ108" s="30"/>
      <c r="AK108" s="30"/>
      <c r="AL108" s="30"/>
      <c r="AM108" s="30"/>
      <c r="AN108" s="30"/>
      <c r="AO108" s="30"/>
      <c r="AP108" s="30"/>
      <c r="AQ108" s="30"/>
      <c r="AR108" s="30"/>
      <c r="AS108" s="30"/>
      <c r="AT108" s="30"/>
      <c r="AU108" s="30"/>
      <c r="AV108" s="30">
        <v>5233.53</v>
      </c>
      <c r="AW108" s="30">
        <v>713.12</v>
      </c>
      <c r="AX108" s="30">
        <v>9826.69</v>
      </c>
      <c r="AY108" s="30">
        <v>24552.58</v>
      </c>
      <c r="AZ108" s="30">
        <v>21641.69</v>
      </c>
      <c r="BA108" s="30" t="e">
        <f t="array" aca="1" ref="BA108" ca="1">_xludf.XLOOKUP(C108,'PL TOTAL D0'!A:A,'PL TOTAL D0'!C:C,"")</f>
        <v>#NAME?</v>
      </c>
    </row>
    <row r="109" spans="1:53" ht="15.75" customHeight="1">
      <c r="A109" s="23" t="s">
        <v>29</v>
      </c>
      <c r="B109" s="37" t="s">
        <v>519</v>
      </c>
      <c r="C109" s="4" t="s">
        <v>520</v>
      </c>
      <c r="D109" s="7" t="s">
        <v>72</v>
      </c>
      <c r="E109" s="7" t="s">
        <v>20</v>
      </c>
      <c r="F109" s="7" t="s">
        <v>337</v>
      </c>
      <c r="G109" s="7" t="e">
        <f t="shared" ca="1" si="0"/>
        <v>#NAME?</v>
      </c>
      <c r="H109" s="24" t="s">
        <v>152</v>
      </c>
      <c r="I109" s="24" t="s">
        <v>25</v>
      </c>
      <c r="J109" s="7" t="str">
        <f t="shared" si="8"/>
        <v>Não</v>
      </c>
      <c r="K109" s="25">
        <v>44993</v>
      </c>
      <c r="L109" s="7"/>
      <c r="M109" s="7" t="s">
        <v>345</v>
      </c>
      <c r="N109" s="26">
        <v>0.02</v>
      </c>
      <c r="O109" s="7" t="s">
        <v>37</v>
      </c>
      <c r="P109" s="27">
        <v>0.2</v>
      </c>
      <c r="Q109" s="28"/>
      <c r="R109" s="28"/>
      <c r="S109" s="7" t="s">
        <v>187</v>
      </c>
      <c r="T109" s="7" t="s">
        <v>521</v>
      </c>
      <c r="U109" s="7" t="s">
        <v>20</v>
      </c>
      <c r="V109" s="24" t="e">
        <f t="shared" ca="1" si="2"/>
        <v>#NAME?</v>
      </c>
      <c r="W109" s="7"/>
      <c r="X109" s="7"/>
      <c r="Y109" s="29" t="s">
        <v>147</v>
      </c>
      <c r="Z109" s="30"/>
      <c r="AA109" s="31">
        <v>44993</v>
      </c>
      <c r="AB109" s="32">
        <v>49075100009491</v>
      </c>
      <c r="AC109" s="30"/>
      <c r="AD109" s="30"/>
      <c r="AE109" s="30"/>
      <c r="AF109" s="30"/>
      <c r="AG109" s="30"/>
      <c r="AH109" s="30">
        <v>2346598.11</v>
      </c>
      <c r="AI109" s="30">
        <v>3047635.57</v>
      </c>
      <c r="AJ109" s="30">
        <v>3122146.91</v>
      </c>
      <c r="AK109" s="30">
        <v>3243875.86</v>
      </c>
      <c r="AL109" s="30">
        <v>3303894.64</v>
      </c>
      <c r="AM109" s="30">
        <v>3242700.75</v>
      </c>
      <c r="AN109" s="30">
        <v>3246859.38</v>
      </c>
      <c r="AO109" s="30">
        <v>4104623.12</v>
      </c>
      <c r="AP109" s="30">
        <v>4251143.04</v>
      </c>
      <c r="AQ109" s="30">
        <v>4357260.2</v>
      </c>
      <c r="AR109" s="30">
        <v>4220625.0599999996</v>
      </c>
      <c r="AS109" s="30">
        <v>4260472.45</v>
      </c>
      <c r="AT109" s="30">
        <v>4312662.84</v>
      </c>
      <c r="AU109" s="30">
        <v>4234923.8600000003</v>
      </c>
      <c r="AV109" s="30">
        <v>4187826</v>
      </c>
      <c r="AW109" s="30">
        <v>4205193</v>
      </c>
      <c r="AX109" s="30">
        <v>4268893</v>
      </c>
      <c r="AY109" s="30">
        <v>4327970.47</v>
      </c>
      <c r="AZ109" s="30">
        <v>4298658.34</v>
      </c>
      <c r="BA109" s="30" t="e">
        <f t="array" aca="1" ref="BA109" ca="1">_xludf.XLOOKUP(C109,'PL TOTAL D0'!A:A,'PL TOTAL D0'!C:C,"")</f>
        <v>#NAME?</v>
      </c>
    </row>
    <row r="110" spans="1:53" ht="15.75" customHeight="1">
      <c r="A110" s="23" t="s">
        <v>29</v>
      </c>
      <c r="B110" s="3" t="s">
        <v>522</v>
      </c>
      <c r="C110" s="4" t="s">
        <v>523</v>
      </c>
      <c r="D110" s="7" t="s">
        <v>19</v>
      </c>
      <c r="E110" s="7" t="s">
        <v>49</v>
      </c>
      <c r="F110" s="7" t="s">
        <v>50</v>
      </c>
      <c r="G110" s="7" t="e">
        <f t="shared" ca="1" si="0"/>
        <v>#NAME?</v>
      </c>
      <c r="H110" s="24" t="s">
        <v>152</v>
      </c>
      <c r="I110" s="24" t="s">
        <v>25</v>
      </c>
      <c r="J110" s="7" t="str">
        <f t="shared" si="8"/>
        <v>Não</v>
      </c>
      <c r="K110" s="25">
        <v>45261</v>
      </c>
      <c r="L110" s="7"/>
      <c r="M110" s="7" t="s">
        <v>42</v>
      </c>
      <c r="N110" s="10">
        <v>1.2E-2</v>
      </c>
      <c r="O110" s="6" t="s">
        <v>25</v>
      </c>
      <c r="P110" s="11">
        <v>0</v>
      </c>
      <c r="Q110" s="28"/>
      <c r="R110" s="28"/>
      <c r="S110" s="7" t="s">
        <v>187</v>
      </c>
      <c r="T110" s="7" t="s">
        <v>524</v>
      </c>
      <c r="U110" s="7" t="s">
        <v>49</v>
      </c>
      <c r="V110" s="24" t="e">
        <f t="shared" ca="1" si="2"/>
        <v>#NAME?</v>
      </c>
      <c r="W110" s="7"/>
      <c r="X110" s="7"/>
      <c r="Y110" s="29" t="s">
        <v>147</v>
      </c>
      <c r="Z110" s="30"/>
      <c r="AA110" s="31">
        <v>45261</v>
      </c>
      <c r="AB110" s="32">
        <v>49075100012921</v>
      </c>
      <c r="AC110" s="30"/>
      <c r="AD110" s="30"/>
      <c r="AE110" s="30"/>
      <c r="AF110" s="30"/>
      <c r="AG110" s="30"/>
      <c r="AH110" s="30"/>
      <c r="AI110" s="30"/>
      <c r="AJ110" s="30"/>
      <c r="AK110" s="30"/>
      <c r="AL110" s="30"/>
      <c r="AM110" s="30"/>
      <c r="AN110" s="30"/>
      <c r="AO110" s="30"/>
      <c r="AP110" s="30">
        <v>0</v>
      </c>
      <c r="AQ110" s="30">
        <v>533982.56999999995</v>
      </c>
      <c r="AR110" s="30">
        <v>539299.94999999995</v>
      </c>
      <c r="AS110" s="30">
        <v>2632293.06</v>
      </c>
      <c r="AT110" s="30">
        <v>2756883.68</v>
      </c>
      <c r="AU110" s="30">
        <v>2845937.21</v>
      </c>
      <c r="AV110" s="30">
        <v>2868951</v>
      </c>
      <c r="AW110" s="30">
        <v>2892247</v>
      </c>
      <c r="AX110" s="30">
        <v>2916364</v>
      </c>
      <c r="AY110" s="30">
        <v>2936960.82</v>
      </c>
      <c r="AZ110" s="30">
        <v>2955328.36</v>
      </c>
      <c r="BA110" s="30" t="e">
        <f t="array" aca="1" ref="BA110" ca="1">_xludf.XLOOKUP(C110,'PL TOTAL D0'!A:A,'PL TOTAL D0'!C:C,"")</f>
        <v>#NAME?</v>
      </c>
    </row>
    <row r="111" spans="1:53" ht="15.75" customHeight="1">
      <c r="A111" s="23" t="s">
        <v>29</v>
      </c>
      <c r="B111" s="75" t="s">
        <v>525</v>
      </c>
      <c r="C111" s="44" t="s">
        <v>526</v>
      </c>
      <c r="D111" s="7" t="s">
        <v>19</v>
      </c>
      <c r="E111" s="7" t="s">
        <v>20</v>
      </c>
      <c r="F111" s="7" t="s">
        <v>508</v>
      </c>
      <c r="G111" s="7" t="e">
        <f t="shared" ca="1" si="0"/>
        <v>#NAME?</v>
      </c>
      <c r="H111" s="24" t="s">
        <v>161</v>
      </c>
      <c r="I111" s="24" t="s">
        <v>205</v>
      </c>
      <c r="J111" s="7" t="str">
        <f t="shared" si="8"/>
        <v>Não</v>
      </c>
      <c r="K111" s="25">
        <v>45377</v>
      </c>
      <c r="L111" s="7"/>
      <c r="M111" s="7" t="s">
        <v>31</v>
      </c>
      <c r="N111" s="26">
        <v>0</v>
      </c>
      <c r="O111" s="7" t="s">
        <v>25</v>
      </c>
      <c r="P111" s="27">
        <v>0</v>
      </c>
      <c r="Q111" s="28"/>
      <c r="R111" s="28"/>
      <c r="S111" s="7" t="s">
        <v>145</v>
      </c>
      <c r="T111" s="12" t="s">
        <v>527</v>
      </c>
      <c r="U111" s="7" t="s">
        <v>20</v>
      </c>
      <c r="V111" s="24" t="e">
        <f t="shared" ca="1" si="2"/>
        <v>#NAME?</v>
      </c>
      <c r="W111" s="7"/>
      <c r="X111" s="7"/>
      <c r="Y111" s="29" t="s">
        <v>147</v>
      </c>
      <c r="Z111" s="30"/>
      <c r="AA111" s="31">
        <v>45377</v>
      </c>
      <c r="AB111" s="32">
        <v>49075100013748</v>
      </c>
      <c r="AC111" s="30"/>
      <c r="AD111" s="30"/>
      <c r="AE111" s="30"/>
      <c r="AF111" s="30"/>
      <c r="AG111" s="30"/>
      <c r="AH111" s="30"/>
      <c r="AI111" s="30"/>
      <c r="AJ111" s="30"/>
      <c r="AK111" s="30"/>
      <c r="AL111" s="30"/>
      <c r="AM111" s="30"/>
      <c r="AN111" s="30"/>
      <c r="AO111" s="30"/>
      <c r="AP111" s="30"/>
      <c r="AQ111" s="30"/>
      <c r="AR111" s="30"/>
      <c r="AS111" s="30"/>
      <c r="AT111" s="30">
        <v>5194.78</v>
      </c>
      <c r="AU111" s="30">
        <v>5244.49</v>
      </c>
      <c r="AV111" s="30">
        <v>16430.55</v>
      </c>
      <c r="AW111" s="30">
        <v>23232.19</v>
      </c>
      <c r="AX111" s="30">
        <v>25418.47</v>
      </c>
      <c r="AY111" s="30">
        <v>25708.52</v>
      </c>
      <c r="AZ111" s="30">
        <v>31266.37</v>
      </c>
      <c r="BA111" s="30" t="e">
        <f t="array" aca="1" ref="BA111" ca="1">_xludf.XLOOKUP(C111,'PL TOTAL D0'!A:A,'PL TOTAL D0'!C:C,"")</f>
        <v>#NAME?</v>
      </c>
    </row>
    <row r="112" spans="1:53" ht="15.75" customHeight="1">
      <c r="A112" s="23" t="s">
        <v>29</v>
      </c>
      <c r="B112" s="37" t="s">
        <v>528</v>
      </c>
      <c r="C112" s="4" t="s">
        <v>529</v>
      </c>
      <c r="D112" s="7" t="s">
        <v>19</v>
      </c>
      <c r="E112" s="7" t="s">
        <v>49</v>
      </c>
      <c r="F112" s="7" t="s">
        <v>50</v>
      </c>
      <c r="G112" s="7" t="e">
        <f t="shared" ca="1" si="0"/>
        <v>#NAME?</v>
      </c>
      <c r="H112" s="24" t="s">
        <v>161</v>
      </c>
      <c r="I112" s="24" t="s">
        <v>162</v>
      </c>
      <c r="J112" s="7" t="str">
        <f t="shared" si="8"/>
        <v>Não</v>
      </c>
      <c r="K112" s="25">
        <v>44950</v>
      </c>
      <c r="L112" s="7"/>
      <c r="M112" s="7" t="s">
        <v>42</v>
      </c>
      <c r="N112" s="26">
        <v>0.01</v>
      </c>
      <c r="O112" s="7" t="s">
        <v>25</v>
      </c>
      <c r="P112" s="27">
        <v>0</v>
      </c>
      <c r="Q112" s="28"/>
      <c r="R112" s="28"/>
      <c r="S112" s="7" t="s">
        <v>145</v>
      </c>
      <c r="T112" s="7" t="s">
        <v>530</v>
      </c>
      <c r="U112" s="7" t="s">
        <v>49</v>
      </c>
      <c r="V112" s="24" t="e">
        <f t="shared" ca="1" si="2"/>
        <v>#NAME?</v>
      </c>
      <c r="W112" s="7"/>
      <c r="X112" s="7"/>
      <c r="Y112" s="29" t="s">
        <v>147</v>
      </c>
      <c r="Z112" s="30"/>
      <c r="AA112" s="31">
        <v>44950</v>
      </c>
      <c r="AB112" s="32">
        <v>49075100005532</v>
      </c>
      <c r="AC112" s="30"/>
      <c r="AD112" s="30"/>
      <c r="AE112" s="30"/>
      <c r="AF112" s="30">
        <v>50146.76</v>
      </c>
      <c r="AG112" s="30">
        <v>50596.26</v>
      </c>
      <c r="AH112" s="30">
        <v>51063.01</v>
      </c>
      <c r="AI112" s="30">
        <v>52548.06</v>
      </c>
      <c r="AJ112" s="30">
        <v>38402.559999999998</v>
      </c>
      <c r="AK112" s="30">
        <v>20613.259999999998</v>
      </c>
      <c r="AL112" s="30">
        <v>20817.53</v>
      </c>
      <c r="AM112" s="30">
        <v>21044.03</v>
      </c>
      <c r="AN112" s="30">
        <v>21235.62</v>
      </c>
      <c r="AO112" s="30">
        <v>0</v>
      </c>
      <c r="AP112" s="30">
        <v>0</v>
      </c>
      <c r="AQ112" s="30">
        <v>0</v>
      </c>
      <c r="AR112" s="30">
        <v>0</v>
      </c>
      <c r="AS112" s="30">
        <v>0.78</v>
      </c>
      <c r="AT112" s="30">
        <v>0.78</v>
      </c>
      <c r="AU112" s="30">
        <v>0.78</v>
      </c>
      <c r="AV112" s="30">
        <v>0.78</v>
      </c>
      <c r="AW112" s="30">
        <v>0.78</v>
      </c>
      <c r="AX112" s="30">
        <v>0.78</v>
      </c>
      <c r="AY112" s="30">
        <v>0.78</v>
      </c>
      <c r="AZ112" s="30">
        <v>0.78</v>
      </c>
      <c r="BA112" s="30" t="e">
        <f t="array" aca="1" ref="BA112" ca="1">_xludf.XLOOKUP(C112,'PL TOTAL D0'!A:A,'PL TOTAL D0'!C:C,"")</f>
        <v>#NAME?</v>
      </c>
    </row>
    <row r="113" spans="1:53" ht="15.75" customHeight="1">
      <c r="A113" s="23" t="s">
        <v>29</v>
      </c>
      <c r="B113" s="3" t="s">
        <v>531</v>
      </c>
      <c r="C113" s="4" t="s">
        <v>532</v>
      </c>
      <c r="D113" s="7" t="s">
        <v>19</v>
      </c>
      <c r="E113" s="7" t="s">
        <v>34</v>
      </c>
      <c r="F113" s="7" t="s">
        <v>35</v>
      </c>
      <c r="G113" s="7" t="e">
        <f t="shared" ca="1" si="0"/>
        <v>#NAME?</v>
      </c>
      <c r="H113" s="24" t="s">
        <v>152</v>
      </c>
      <c r="I113" s="24" t="s">
        <v>25</v>
      </c>
      <c r="J113" s="7" t="str">
        <f t="shared" si="8"/>
        <v>Não</v>
      </c>
      <c r="K113" s="25">
        <v>45070</v>
      </c>
      <c r="L113" s="25"/>
      <c r="M113" s="7" t="s">
        <v>200</v>
      </c>
      <c r="N113" s="26">
        <v>1.4999999999999999E-2</v>
      </c>
      <c r="O113" s="7" t="s">
        <v>37</v>
      </c>
      <c r="P113" s="27">
        <v>0.1</v>
      </c>
      <c r="Q113" s="28"/>
      <c r="R113" s="28"/>
      <c r="S113" s="7" t="s">
        <v>145</v>
      </c>
      <c r="T113" s="7" t="s">
        <v>533</v>
      </c>
      <c r="U113" s="7" t="s">
        <v>534</v>
      </c>
      <c r="V113" s="24" t="e">
        <f t="shared" ca="1" si="2"/>
        <v>#NAME?</v>
      </c>
      <c r="W113" s="7"/>
      <c r="X113" s="7"/>
      <c r="Y113" s="29" t="s">
        <v>147</v>
      </c>
      <c r="Z113" s="30"/>
      <c r="AA113" s="31">
        <v>45070</v>
      </c>
      <c r="AB113" s="32">
        <v>49075100008574</v>
      </c>
      <c r="AC113" s="30"/>
      <c r="AD113" s="30"/>
      <c r="AE113" s="30"/>
      <c r="AF113" s="30"/>
      <c r="AG113" s="30"/>
      <c r="AH113" s="30"/>
      <c r="AI113" s="30">
        <v>0</v>
      </c>
      <c r="AJ113" s="30">
        <v>0</v>
      </c>
      <c r="AK113" s="30">
        <v>153290.85999999999</v>
      </c>
      <c r="AL113" s="30">
        <v>156154.21</v>
      </c>
      <c r="AM113" s="30">
        <v>159693.13</v>
      </c>
      <c r="AN113" s="30">
        <v>160546.72</v>
      </c>
      <c r="AO113" s="30">
        <v>177487.27</v>
      </c>
      <c r="AP113" s="30">
        <v>181353.63</v>
      </c>
      <c r="AQ113" s="30">
        <v>191895.27</v>
      </c>
      <c r="AR113" s="30">
        <v>195075.61</v>
      </c>
      <c r="AS113" s="30">
        <v>198908.76</v>
      </c>
      <c r="AT113" s="30">
        <v>205686.07</v>
      </c>
      <c r="AU113" s="30">
        <v>214463.58</v>
      </c>
      <c r="AV113" s="30">
        <v>218645.7</v>
      </c>
      <c r="AW113" s="30">
        <v>234039.8</v>
      </c>
      <c r="AX113" s="30">
        <v>251872.1</v>
      </c>
      <c r="AY113" s="30">
        <v>266395.7</v>
      </c>
      <c r="AZ113" s="30">
        <v>273483.83</v>
      </c>
      <c r="BA113" s="30" t="e">
        <f t="array" aca="1" ref="BA113" ca="1">_xludf.XLOOKUP(C113,'PL TOTAL D0'!A:A,'PL TOTAL D0'!C:C,"")</f>
        <v>#NAME?</v>
      </c>
    </row>
    <row r="114" spans="1:53" ht="15.75" customHeight="1">
      <c r="A114" s="23" t="s">
        <v>29</v>
      </c>
      <c r="B114" s="3" t="s">
        <v>535</v>
      </c>
      <c r="C114" s="4" t="s">
        <v>536</v>
      </c>
      <c r="D114" s="7" t="s">
        <v>19</v>
      </c>
      <c r="E114" s="7" t="s">
        <v>20</v>
      </c>
      <c r="F114" s="7" t="s">
        <v>171</v>
      </c>
      <c r="G114" s="7" t="e">
        <f t="shared" ca="1" si="0"/>
        <v>#NAME?</v>
      </c>
      <c r="H114" s="24" t="s">
        <v>161</v>
      </c>
      <c r="I114" s="24" t="s">
        <v>205</v>
      </c>
      <c r="J114" s="7" t="str">
        <f t="shared" si="8"/>
        <v>Não</v>
      </c>
      <c r="K114" s="25">
        <v>45281</v>
      </c>
      <c r="L114" s="25"/>
      <c r="M114" s="7" t="s">
        <v>31</v>
      </c>
      <c r="N114" s="26">
        <v>0</v>
      </c>
      <c r="O114" s="7" t="s">
        <v>25</v>
      </c>
      <c r="P114" s="27">
        <v>0</v>
      </c>
      <c r="Q114" s="28"/>
      <c r="R114" s="28"/>
      <c r="S114" s="7" t="s">
        <v>145</v>
      </c>
      <c r="T114" s="7" t="s">
        <v>537</v>
      </c>
      <c r="U114" s="7" t="s">
        <v>20</v>
      </c>
      <c r="V114" s="24" t="e">
        <f t="shared" ca="1" si="2"/>
        <v>#NAME?</v>
      </c>
      <c r="W114" s="7"/>
      <c r="X114" s="7"/>
      <c r="Y114" s="29" t="s">
        <v>147</v>
      </c>
      <c r="Z114" s="30"/>
      <c r="AA114" s="31">
        <v>45281</v>
      </c>
      <c r="AB114" s="32">
        <v>49075100013314</v>
      </c>
      <c r="AC114" s="30"/>
      <c r="AD114" s="30"/>
      <c r="AE114" s="30"/>
      <c r="AF114" s="30"/>
      <c r="AG114" s="30"/>
      <c r="AH114" s="30"/>
      <c r="AI114" s="30"/>
      <c r="AJ114" s="30"/>
      <c r="AK114" s="30"/>
      <c r="AL114" s="30"/>
      <c r="AM114" s="30"/>
      <c r="AN114" s="30"/>
      <c r="AO114" s="30"/>
      <c r="AP114" s="30"/>
      <c r="AQ114" s="30">
        <v>548.45000000000005</v>
      </c>
      <c r="AR114" s="30">
        <v>1812.67</v>
      </c>
      <c r="AS114" s="30">
        <v>1735.32</v>
      </c>
      <c r="AT114" s="30">
        <v>2050.86</v>
      </c>
      <c r="AU114" s="30">
        <v>2085.39</v>
      </c>
      <c r="AV114" s="30">
        <v>2197.64</v>
      </c>
      <c r="AW114" s="30">
        <v>2898.31</v>
      </c>
      <c r="AX114" s="30">
        <v>3446.23</v>
      </c>
      <c r="AY114" s="30">
        <v>4447.58</v>
      </c>
      <c r="AZ114" s="30">
        <v>4212.1499999999996</v>
      </c>
      <c r="BA114" s="30" t="e">
        <f t="array" aca="1" ref="BA114" ca="1">_xludf.XLOOKUP(C114,'PL TOTAL D0'!A:A,'PL TOTAL D0'!C:C,"")</f>
        <v>#NAME?</v>
      </c>
    </row>
    <row r="115" spans="1:53" ht="15.75" customHeight="1">
      <c r="A115" s="23" t="s">
        <v>29</v>
      </c>
      <c r="B115" s="37" t="s">
        <v>538</v>
      </c>
      <c r="C115" s="44" t="s">
        <v>539</v>
      </c>
      <c r="D115" s="7" t="s">
        <v>19</v>
      </c>
      <c r="E115" s="7" t="s">
        <v>34</v>
      </c>
      <c r="F115" s="9" t="s">
        <v>35</v>
      </c>
      <c r="G115" s="7" t="e">
        <f t="shared" ca="1" si="0"/>
        <v>#NAME?</v>
      </c>
      <c r="H115" s="24" t="s">
        <v>152</v>
      </c>
      <c r="I115" s="24" t="s">
        <v>25</v>
      </c>
      <c r="J115" s="7" t="str">
        <f t="shared" si="8"/>
        <v>Não</v>
      </c>
      <c r="K115" s="25">
        <v>45222</v>
      </c>
      <c r="L115" s="25"/>
      <c r="M115" s="7" t="s">
        <v>345</v>
      </c>
      <c r="N115" s="26">
        <v>0.02</v>
      </c>
      <c r="O115" s="7" t="s">
        <v>37</v>
      </c>
      <c r="P115" s="27">
        <v>0.2</v>
      </c>
      <c r="Q115" s="28"/>
      <c r="R115" s="28"/>
      <c r="S115" s="7" t="s">
        <v>145</v>
      </c>
      <c r="T115" s="7" t="s">
        <v>540</v>
      </c>
      <c r="U115" s="7" t="s">
        <v>39</v>
      </c>
      <c r="V115" s="24" t="e">
        <f t="shared" ca="1" si="2"/>
        <v>#NAME?</v>
      </c>
      <c r="W115" s="7"/>
      <c r="X115" s="7"/>
      <c r="Y115" s="29" t="s">
        <v>147</v>
      </c>
      <c r="Z115" s="30"/>
      <c r="AA115" s="31">
        <v>45222</v>
      </c>
      <c r="AB115" s="32">
        <v>49075100012210</v>
      </c>
      <c r="AC115" s="30"/>
      <c r="AD115" s="30"/>
      <c r="AE115" s="30"/>
      <c r="AF115" s="30"/>
      <c r="AG115" s="30"/>
      <c r="AH115" s="30"/>
      <c r="AI115" s="30"/>
      <c r="AJ115" s="30"/>
      <c r="AK115" s="30"/>
      <c r="AL115" s="30"/>
      <c r="AM115" s="30"/>
      <c r="AN115" s="30"/>
      <c r="AO115" s="30">
        <v>0</v>
      </c>
      <c r="AP115" s="30">
        <v>277932.23</v>
      </c>
      <c r="AQ115" s="30">
        <v>289239.67</v>
      </c>
      <c r="AR115" s="30">
        <v>278382.03999999998</v>
      </c>
      <c r="AS115" s="30">
        <v>220820.08</v>
      </c>
      <c r="AT115" s="30">
        <v>223808.12</v>
      </c>
      <c r="AU115" s="30">
        <v>219655.87</v>
      </c>
      <c r="AV115" s="30">
        <v>217168.4</v>
      </c>
      <c r="AW115" s="30">
        <v>218200.6</v>
      </c>
      <c r="AX115" s="30">
        <v>222044.79999999999</v>
      </c>
      <c r="AY115" s="30">
        <v>225233.45</v>
      </c>
      <c r="AZ115" s="30">
        <v>223646.41</v>
      </c>
      <c r="BA115" s="30" t="e">
        <f t="array" aca="1" ref="BA115" ca="1">_xludf.XLOOKUP(C115,'PL TOTAL D0'!A:A,'PL TOTAL D0'!C:C,"")</f>
        <v>#NAME?</v>
      </c>
    </row>
    <row r="116" spans="1:53" ht="15.75" customHeight="1">
      <c r="A116" s="23" t="s">
        <v>29</v>
      </c>
      <c r="B116" s="37" t="s">
        <v>541</v>
      </c>
      <c r="C116" s="4" t="s">
        <v>542</v>
      </c>
      <c r="D116" s="7" t="s">
        <v>19</v>
      </c>
      <c r="E116" s="7" t="s">
        <v>34</v>
      </c>
      <c r="F116" s="7" t="s">
        <v>262</v>
      </c>
      <c r="G116" s="7" t="e">
        <f t="shared" ca="1" si="0"/>
        <v>#NAME?</v>
      </c>
      <c r="H116" s="24" t="s">
        <v>152</v>
      </c>
      <c r="I116" s="24" t="s">
        <v>25</v>
      </c>
      <c r="J116" s="7" t="str">
        <f t="shared" si="8"/>
        <v>Não</v>
      </c>
      <c r="K116" s="25">
        <v>45042</v>
      </c>
      <c r="L116" s="7"/>
      <c r="M116" s="7" t="s">
        <v>200</v>
      </c>
      <c r="N116" s="26">
        <v>1.4999999999999999E-2</v>
      </c>
      <c r="O116" s="7" t="s">
        <v>37</v>
      </c>
      <c r="P116" s="27">
        <v>0.1</v>
      </c>
      <c r="Q116" s="28"/>
      <c r="R116" s="28"/>
      <c r="S116" s="7" t="s">
        <v>145</v>
      </c>
      <c r="T116" s="7" t="s">
        <v>543</v>
      </c>
      <c r="U116" s="7" t="s">
        <v>39</v>
      </c>
      <c r="V116" s="24" t="e">
        <f t="shared" ca="1" si="2"/>
        <v>#NAME?</v>
      </c>
      <c r="W116" s="7"/>
      <c r="X116" s="7"/>
      <c r="Y116" s="29" t="s">
        <v>147</v>
      </c>
      <c r="Z116" s="30"/>
      <c r="AA116" s="31">
        <v>45042</v>
      </c>
      <c r="AB116" s="32">
        <v>49075100008485</v>
      </c>
      <c r="AC116" s="30"/>
      <c r="AD116" s="30"/>
      <c r="AE116" s="30"/>
      <c r="AF116" s="30"/>
      <c r="AG116" s="30"/>
      <c r="AH116" s="30">
        <v>0</v>
      </c>
      <c r="AI116" s="30">
        <v>542346.66</v>
      </c>
      <c r="AJ116" s="30">
        <v>584340.22</v>
      </c>
      <c r="AK116" s="30">
        <v>594830.28</v>
      </c>
      <c r="AL116" s="30">
        <v>602056.04</v>
      </c>
      <c r="AM116" s="30">
        <v>598199.86</v>
      </c>
      <c r="AN116" s="30">
        <v>600995.9</v>
      </c>
      <c r="AO116" s="30">
        <v>599761.88</v>
      </c>
      <c r="AP116" s="30">
        <v>613288.51</v>
      </c>
      <c r="AQ116" s="30">
        <v>625453.34</v>
      </c>
      <c r="AR116" s="30">
        <v>616152.86</v>
      </c>
      <c r="AS116" s="30">
        <v>620014.59</v>
      </c>
      <c r="AT116" s="30">
        <v>626625.64</v>
      </c>
      <c r="AU116" s="30">
        <v>617212.34</v>
      </c>
      <c r="AV116" s="30">
        <v>614698.6</v>
      </c>
      <c r="AW116" s="30">
        <v>618528</v>
      </c>
      <c r="AX116" s="30">
        <v>622875.80000000005</v>
      </c>
      <c r="AY116" s="30">
        <v>630161.31000000006</v>
      </c>
      <c r="AZ116" s="30">
        <v>629345.31999999995</v>
      </c>
      <c r="BA116" s="30" t="e">
        <f t="array" aca="1" ref="BA116" ca="1">_xludf.XLOOKUP(C116,'PL TOTAL D0'!A:A,'PL TOTAL D0'!C:C,"")</f>
        <v>#NAME?</v>
      </c>
    </row>
    <row r="117" spans="1:53" ht="15.75" customHeight="1">
      <c r="A117" s="23" t="s">
        <v>29</v>
      </c>
      <c r="B117" s="37" t="s">
        <v>544</v>
      </c>
      <c r="C117" s="4" t="s">
        <v>545</v>
      </c>
      <c r="D117" s="7" t="s">
        <v>80</v>
      </c>
      <c r="E117" s="7" t="s">
        <v>49</v>
      </c>
      <c r="F117" s="7" t="s">
        <v>81</v>
      </c>
      <c r="G117" s="7" t="e">
        <f t="shared" ca="1" si="0"/>
        <v>#NAME?</v>
      </c>
      <c r="H117" s="24" t="s">
        <v>152</v>
      </c>
      <c r="I117" s="24" t="s">
        <v>25</v>
      </c>
      <c r="J117" s="7" t="str">
        <f t="shared" si="8"/>
        <v>Não</v>
      </c>
      <c r="K117" s="25">
        <v>45483</v>
      </c>
      <c r="L117" s="7"/>
      <c r="M117" s="7" t="s">
        <v>42</v>
      </c>
      <c r="N117" s="26">
        <v>1.2E-2</v>
      </c>
      <c r="O117" s="7" t="s">
        <v>25</v>
      </c>
      <c r="P117" s="27">
        <v>0</v>
      </c>
      <c r="Q117" s="28"/>
      <c r="R117" s="28"/>
      <c r="S117" s="7" t="s">
        <v>145</v>
      </c>
      <c r="T117" s="7" t="s">
        <v>546</v>
      </c>
      <c r="U117" s="7" t="s">
        <v>49</v>
      </c>
      <c r="V117" s="24" t="e">
        <f t="shared" ca="1" si="2"/>
        <v>#NAME?</v>
      </c>
      <c r="W117" s="7"/>
      <c r="X117" s="7" t="s">
        <v>52</v>
      </c>
      <c r="Y117" s="29" t="s">
        <v>147</v>
      </c>
      <c r="Z117" s="30"/>
      <c r="AA117" s="31">
        <v>45483</v>
      </c>
      <c r="AB117" s="32">
        <v>49075100015376</v>
      </c>
      <c r="AC117" s="30"/>
      <c r="AD117" s="30"/>
      <c r="AE117" s="30"/>
      <c r="AF117" s="30"/>
      <c r="AG117" s="30"/>
      <c r="AH117" s="30"/>
      <c r="AI117" s="30"/>
      <c r="AJ117" s="30"/>
      <c r="AK117" s="30"/>
      <c r="AL117" s="30"/>
      <c r="AM117" s="30"/>
      <c r="AN117" s="30"/>
      <c r="AO117" s="30"/>
      <c r="AP117" s="30"/>
      <c r="AQ117" s="30"/>
      <c r="AR117" s="30"/>
      <c r="AS117" s="30"/>
      <c r="AT117" s="30"/>
      <c r="AU117" s="30"/>
      <c r="AV117" s="30"/>
      <c r="AW117" s="30"/>
      <c r="AX117" s="30">
        <v>581501.69999999995</v>
      </c>
      <c r="AY117" s="30">
        <v>598304.03</v>
      </c>
      <c r="AZ117" s="30">
        <v>666676.44999999995</v>
      </c>
      <c r="BA117" s="30" t="e">
        <f t="array" aca="1" ref="BA117" ca="1">_xludf.XLOOKUP(C117,'PL TOTAL D0'!A:A,'PL TOTAL D0'!C:C,"")</f>
        <v>#NAME?</v>
      </c>
    </row>
    <row r="118" spans="1:53" ht="15.75" customHeight="1">
      <c r="A118" s="23" t="s">
        <v>29</v>
      </c>
      <c r="B118" s="37" t="s">
        <v>547</v>
      </c>
      <c r="C118" s="4" t="s">
        <v>548</v>
      </c>
      <c r="D118" s="7" t="s">
        <v>19</v>
      </c>
      <c r="E118" s="7" t="s">
        <v>34</v>
      </c>
      <c r="F118" s="7" t="s">
        <v>35</v>
      </c>
      <c r="G118" s="7" t="e">
        <f t="shared" ca="1" si="0"/>
        <v>#NAME?</v>
      </c>
      <c r="H118" s="24" t="s">
        <v>152</v>
      </c>
      <c r="I118" s="24" t="s">
        <v>25</v>
      </c>
      <c r="J118" s="7" t="str">
        <f t="shared" si="8"/>
        <v>Não</v>
      </c>
      <c r="K118" s="25">
        <v>45069</v>
      </c>
      <c r="L118" s="7"/>
      <c r="M118" s="7" t="s">
        <v>200</v>
      </c>
      <c r="N118" s="26">
        <v>1.4999999999999999E-2</v>
      </c>
      <c r="O118" s="7" t="s">
        <v>37</v>
      </c>
      <c r="P118" s="27">
        <v>0.1</v>
      </c>
      <c r="Q118" s="28"/>
      <c r="R118" s="28" t="s">
        <v>549</v>
      </c>
      <c r="S118" s="7" t="s">
        <v>145</v>
      </c>
      <c r="T118" s="7" t="s">
        <v>550</v>
      </c>
      <c r="U118" s="7" t="s">
        <v>39</v>
      </c>
      <c r="V118" s="24" t="e">
        <f t="shared" ca="1" si="2"/>
        <v>#NAME?</v>
      </c>
      <c r="W118" s="7"/>
      <c r="X118" s="7"/>
      <c r="Y118" s="29" t="s">
        <v>147</v>
      </c>
      <c r="Z118" s="30"/>
      <c r="AA118" s="31">
        <v>45069</v>
      </c>
      <c r="AB118" s="32">
        <v>49075100008493</v>
      </c>
      <c r="AC118" s="30"/>
      <c r="AD118" s="30"/>
      <c r="AE118" s="30"/>
      <c r="AF118" s="30"/>
      <c r="AG118" s="30"/>
      <c r="AH118" s="30">
        <v>0</v>
      </c>
      <c r="AI118" s="30">
        <v>0</v>
      </c>
      <c r="AJ118" s="30">
        <v>2070022.35</v>
      </c>
      <c r="AK118" s="30">
        <v>2103502.64</v>
      </c>
      <c r="AL118" s="30">
        <v>2127232.4900000002</v>
      </c>
      <c r="AM118" s="30">
        <v>2116358.0699999998</v>
      </c>
      <c r="AN118" s="30">
        <v>2243640.5499999998</v>
      </c>
      <c r="AO118" s="30">
        <v>2235994.67</v>
      </c>
      <c r="AP118" s="30">
        <v>2377416.4900000002</v>
      </c>
      <c r="AQ118" s="30">
        <v>2415030.5699999998</v>
      </c>
      <c r="AR118" s="30">
        <v>2380802.7799999998</v>
      </c>
      <c r="AS118" s="30">
        <v>2399647.77</v>
      </c>
      <c r="AT118" s="30">
        <v>2426511.5099999998</v>
      </c>
      <c r="AU118" s="30">
        <v>2528771.0299999998</v>
      </c>
      <c r="AV118" s="30">
        <v>2517554</v>
      </c>
      <c r="AW118" s="30">
        <v>2532958</v>
      </c>
      <c r="AX118" s="30">
        <v>2568443</v>
      </c>
      <c r="AY118" s="30">
        <v>2601018.17</v>
      </c>
      <c r="AZ118" s="30">
        <v>2776688.94</v>
      </c>
      <c r="BA118" s="30" t="e">
        <f t="array" aca="1" ref="BA118" ca="1">_xludf.XLOOKUP(C118,'PL TOTAL D0'!A:A,'PL TOTAL D0'!C:C,"")</f>
        <v>#NAME?</v>
      </c>
    </row>
    <row r="119" spans="1:53" ht="15.75" customHeight="1">
      <c r="A119" s="23" t="s">
        <v>29</v>
      </c>
      <c r="B119" s="36" t="s">
        <v>547</v>
      </c>
      <c r="C119" s="44" t="s">
        <v>551</v>
      </c>
      <c r="D119" s="7" t="s">
        <v>19</v>
      </c>
      <c r="E119" s="7" t="s">
        <v>34</v>
      </c>
      <c r="F119" s="7" t="s">
        <v>35</v>
      </c>
      <c r="G119" s="7" t="e">
        <f t="shared" ca="1" si="0"/>
        <v>#NAME?</v>
      </c>
      <c r="H119" s="24" t="s">
        <v>152</v>
      </c>
      <c r="I119" s="24" t="s">
        <v>25</v>
      </c>
      <c r="J119" s="7" t="str">
        <f t="shared" si="8"/>
        <v>Não</v>
      </c>
      <c r="K119" s="25">
        <v>45238</v>
      </c>
      <c r="L119" s="7"/>
      <c r="M119" s="7" t="s">
        <v>87</v>
      </c>
      <c r="N119" s="26">
        <v>2.5000000000000001E-2</v>
      </c>
      <c r="O119" s="7" t="s">
        <v>183</v>
      </c>
      <c r="P119" s="27">
        <v>0.2</v>
      </c>
      <c r="Q119" s="28"/>
      <c r="R119" s="28" t="s">
        <v>552</v>
      </c>
      <c r="S119" s="7" t="s">
        <v>145</v>
      </c>
      <c r="T119" s="7" t="s">
        <v>550</v>
      </c>
      <c r="U119" s="7" t="s">
        <v>39</v>
      </c>
      <c r="V119" s="24" t="e">
        <f t="shared" ca="1" si="2"/>
        <v>#NAME?</v>
      </c>
      <c r="W119" s="7"/>
      <c r="X119" s="7"/>
      <c r="Y119" s="29" t="s">
        <v>147</v>
      </c>
      <c r="Z119" s="30"/>
      <c r="AA119" s="31">
        <v>45238</v>
      </c>
      <c r="AB119" s="32">
        <v>49075100012229</v>
      </c>
      <c r="AC119" s="30"/>
      <c r="AD119" s="30"/>
      <c r="AE119" s="30"/>
      <c r="AF119" s="30"/>
      <c r="AG119" s="30"/>
      <c r="AH119" s="30"/>
      <c r="AI119" s="30"/>
      <c r="AJ119" s="30"/>
      <c r="AK119" s="30"/>
      <c r="AL119" s="30"/>
      <c r="AM119" s="30"/>
      <c r="AN119" s="30"/>
      <c r="AO119" s="30"/>
      <c r="AP119" s="30">
        <v>652851.99</v>
      </c>
      <c r="AQ119" s="30">
        <v>684298.56</v>
      </c>
      <c r="AR119" s="30">
        <v>637688.03</v>
      </c>
      <c r="AS119" s="30">
        <v>645978.53</v>
      </c>
      <c r="AT119" s="30">
        <v>656283.35</v>
      </c>
      <c r="AU119" s="30">
        <v>626648.49</v>
      </c>
      <c r="AV119" s="30">
        <v>616981.80000000005</v>
      </c>
      <c r="AW119" s="30">
        <v>618421.30000000005</v>
      </c>
      <c r="AX119" s="30">
        <v>634907.69999999995</v>
      </c>
      <c r="AY119" s="30">
        <v>648656.62</v>
      </c>
      <c r="AZ119" s="30">
        <v>637359.26</v>
      </c>
      <c r="BA119" s="30" t="e">
        <f t="array" aca="1" ref="BA119" ca="1">_xludf.XLOOKUP(C119,'PL TOTAL D0'!A:A,'PL TOTAL D0'!C:C,"")</f>
        <v>#NAME?</v>
      </c>
    </row>
    <row r="120" spans="1:53" ht="15.75" customHeight="1">
      <c r="A120" s="23" t="s">
        <v>29</v>
      </c>
      <c r="B120" s="3" t="s">
        <v>553</v>
      </c>
      <c r="C120" s="4" t="s">
        <v>554</v>
      </c>
      <c r="D120" s="7" t="s">
        <v>19</v>
      </c>
      <c r="E120" s="7" t="s">
        <v>34</v>
      </c>
      <c r="F120" s="7" t="s">
        <v>35</v>
      </c>
      <c r="G120" s="7" t="e">
        <f t="shared" ca="1" si="0"/>
        <v>#NAME?</v>
      </c>
      <c r="H120" s="24" t="s">
        <v>152</v>
      </c>
      <c r="I120" s="24" t="s">
        <v>25</v>
      </c>
      <c r="J120" s="7" t="str">
        <f t="shared" si="8"/>
        <v>Não</v>
      </c>
      <c r="K120" s="25">
        <v>45113</v>
      </c>
      <c r="L120" s="25"/>
      <c r="M120" s="7" t="s">
        <v>87</v>
      </c>
      <c r="N120" s="26">
        <v>2.5000000000000001E-2</v>
      </c>
      <c r="O120" s="7" t="s">
        <v>183</v>
      </c>
      <c r="P120" s="27">
        <v>0.2</v>
      </c>
      <c r="Q120" s="28"/>
      <c r="R120" s="28"/>
      <c r="S120" s="7" t="s">
        <v>145</v>
      </c>
      <c r="T120" s="7" t="s">
        <v>555</v>
      </c>
      <c r="U120" s="7" t="s">
        <v>39</v>
      </c>
      <c r="V120" s="24" t="e">
        <f t="shared" ca="1" si="2"/>
        <v>#NAME?</v>
      </c>
      <c r="W120" s="7"/>
      <c r="X120" s="7"/>
      <c r="Y120" s="29" t="s">
        <v>147</v>
      </c>
      <c r="Z120" s="30"/>
      <c r="AA120" s="31">
        <v>45113</v>
      </c>
      <c r="AB120" s="32">
        <v>49075100012237</v>
      </c>
      <c r="AC120" s="30"/>
      <c r="AD120" s="30"/>
      <c r="AE120" s="30"/>
      <c r="AF120" s="30"/>
      <c r="AG120" s="30"/>
      <c r="AH120" s="30"/>
      <c r="AI120" s="30"/>
      <c r="AJ120" s="30"/>
      <c r="AK120" s="30">
        <v>0</v>
      </c>
      <c r="AL120" s="30">
        <v>51041.15</v>
      </c>
      <c r="AM120" s="30">
        <v>49917.84</v>
      </c>
      <c r="AN120" s="30">
        <v>49755.82</v>
      </c>
      <c r="AO120" s="30">
        <v>47504.14</v>
      </c>
      <c r="AP120" s="30">
        <v>51103.35</v>
      </c>
      <c r="AQ120" s="30">
        <v>53544.78</v>
      </c>
      <c r="AR120" s="30">
        <v>49830.07</v>
      </c>
      <c r="AS120" s="30">
        <v>99800.43</v>
      </c>
      <c r="AT120" s="30">
        <v>101505.39</v>
      </c>
      <c r="AU120" s="30">
        <v>97140.19</v>
      </c>
      <c r="AV120" s="30">
        <v>94921.19</v>
      </c>
      <c r="AW120" s="30">
        <v>94769.16</v>
      </c>
      <c r="AX120" s="30">
        <v>96896.35</v>
      </c>
      <c r="AY120" s="30">
        <v>98107.41</v>
      </c>
      <c r="AZ120" s="30">
        <v>96448.11</v>
      </c>
      <c r="BA120" s="30" t="e">
        <f t="array" aca="1" ref="BA120" ca="1">_xludf.XLOOKUP(C120,'PL TOTAL D0'!A:A,'PL TOTAL D0'!C:C,"")</f>
        <v>#NAME?</v>
      </c>
    </row>
    <row r="121" spans="1:53" ht="15.75" customHeight="1">
      <c r="A121" s="23" t="s">
        <v>29</v>
      </c>
      <c r="B121" s="3" t="s">
        <v>553</v>
      </c>
      <c r="C121" s="4" t="s">
        <v>556</v>
      </c>
      <c r="D121" s="7" t="s">
        <v>19</v>
      </c>
      <c r="E121" s="7" t="s">
        <v>34</v>
      </c>
      <c r="F121" s="7" t="s">
        <v>35</v>
      </c>
      <c r="G121" s="7" t="e">
        <f t="shared" ca="1" si="0"/>
        <v>#NAME?</v>
      </c>
      <c r="H121" s="24" t="s">
        <v>152</v>
      </c>
      <c r="I121" s="24" t="s">
        <v>25</v>
      </c>
      <c r="J121" s="7" t="str">
        <f t="shared" si="8"/>
        <v>Não</v>
      </c>
      <c r="K121" s="25">
        <v>45075</v>
      </c>
      <c r="L121" s="7"/>
      <c r="M121" s="7" t="s">
        <v>42</v>
      </c>
      <c r="N121" s="26">
        <v>1.2E-2</v>
      </c>
      <c r="O121" s="7" t="s">
        <v>25</v>
      </c>
      <c r="P121" s="27">
        <v>0</v>
      </c>
      <c r="Q121" s="28"/>
      <c r="R121" s="28"/>
      <c r="S121" s="7" t="s">
        <v>145</v>
      </c>
      <c r="T121" s="7" t="s">
        <v>555</v>
      </c>
      <c r="U121" s="7" t="s">
        <v>39</v>
      </c>
      <c r="V121" s="24" t="e">
        <f t="shared" ca="1" si="2"/>
        <v>#NAME?</v>
      </c>
      <c r="W121" s="7"/>
      <c r="X121" s="7"/>
      <c r="Y121" s="29" t="s">
        <v>147</v>
      </c>
      <c r="Z121" s="30"/>
      <c r="AA121" s="31">
        <v>45075</v>
      </c>
      <c r="AB121" s="32">
        <v>49075100008051</v>
      </c>
      <c r="AC121" s="30"/>
      <c r="AD121" s="30"/>
      <c r="AE121" s="30"/>
      <c r="AF121" s="30"/>
      <c r="AG121" s="30"/>
      <c r="AH121" s="30">
        <v>0</v>
      </c>
      <c r="AI121" s="30">
        <v>0</v>
      </c>
      <c r="AJ121" s="30">
        <v>625317.48</v>
      </c>
      <c r="AK121" s="30">
        <v>675434.06</v>
      </c>
      <c r="AL121" s="30">
        <v>628805.12</v>
      </c>
      <c r="AM121" s="30">
        <v>634687.11</v>
      </c>
      <c r="AN121" s="30">
        <v>637617.82999999996</v>
      </c>
      <c r="AO121" s="30">
        <v>640660.17000000004</v>
      </c>
      <c r="AP121" s="30">
        <v>625126.21</v>
      </c>
      <c r="AQ121" s="30">
        <v>610235.55000000005</v>
      </c>
      <c r="AR121" s="30">
        <v>593915.89</v>
      </c>
      <c r="AS121" s="30">
        <v>546034.44999999995</v>
      </c>
      <c r="AT121" s="30">
        <v>550621</v>
      </c>
      <c r="AU121" s="30">
        <v>549433.34</v>
      </c>
      <c r="AV121" s="30">
        <v>552019.19999999995</v>
      </c>
      <c r="AW121" s="30">
        <v>556363.9</v>
      </c>
      <c r="AX121" s="30">
        <v>559725.4</v>
      </c>
      <c r="AY121" s="30">
        <v>564370.63</v>
      </c>
      <c r="AZ121" s="30">
        <v>566794.89</v>
      </c>
      <c r="BA121" s="30" t="e">
        <f t="array" aca="1" ref="BA121" ca="1">_xludf.XLOOKUP(C121,'PL TOTAL D0'!A:A,'PL TOTAL D0'!C:C,"")</f>
        <v>#NAME?</v>
      </c>
    </row>
    <row r="122" spans="1:53" ht="15.75" customHeight="1">
      <c r="A122" s="23" t="s">
        <v>29</v>
      </c>
      <c r="B122" s="3" t="s">
        <v>557</v>
      </c>
      <c r="C122" s="4" t="s">
        <v>558</v>
      </c>
      <c r="D122" s="7" t="s">
        <v>19</v>
      </c>
      <c r="E122" s="7" t="s">
        <v>34</v>
      </c>
      <c r="F122" s="7" t="s">
        <v>262</v>
      </c>
      <c r="G122" s="7" t="e">
        <f t="shared" ca="1" si="0"/>
        <v>#NAME?</v>
      </c>
      <c r="H122" s="24" t="s">
        <v>152</v>
      </c>
      <c r="I122" s="24" t="s">
        <v>25</v>
      </c>
      <c r="J122" s="7" t="str">
        <f t="shared" si="8"/>
        <v>Não</v>
      </c>
      <c r="K122" s="25">
        <v>45093</v>
      </c>
      <c r="L122" s="7"/>
      <c r="M122" s="7" t="s">
        <v>58</v>
      </c>
      <c r="N122" s="26">
        <v>1.2E-2</v>
      </c>
      <c r="O122" s="7" t="s">
        <v>25</v>
      </c>
      <c r="P122" s="27">
        <v>0</v>
      </c>
      <c r="Q122" s="45"/>
      <c r="R122" s="28"/>
      <c r="S122" s="7" t="s">
        <v>145</v>
      </c>
      <c r="T122" s="7" t="s">
        <v>559</v>
      </c>
      <c r="U122" s="7" t="s">
        <v>39</v>
      </c>
      <c r="V122" s="24" t="e">
        <f t="shared" ca="1" si="2"/>
        <v>#NAME?</v>
      </c>
      <c r="W122" s="7"/>
      <c r="X122" s="7"/>
      <c r="Y122" s="29" t="s">
        <v>147</v>
      </c>
      <c r="Z122" s="30"/>
      <c r="AA122" s="31">
        <v>45093</v>
      </c>
      <c r="AB122" s="32">
        <v>49075100007780</v>
      </c>
      <c r="AC122" s="30"/>
      <c r="AD122" s="30"/>
      <c r="AE122" s="30"/>
      <c r="AF122" s="30"/>
      <c r="AG122" s="30"/>
      <c r="AH122" s="30"/>
      <c r="AI122" s="30">
        <v>0</v>
      </c>
      <c r="AJ122" s="30">
        <v>5000</v>
      </c>
      <c r="AK122" s="30">
        <v>5026.08</v>
      </c>
      <c r="AL122" s="30">
        <v>242504.57</v>
      </c>
      <c r="AM122" s="30">
        <v>251998.2</v>
      </c>
      <c r="AN122" s="30">
        <v>258335.65</v>
      </c>
      <c r="AO122" s="30">
        <v>258603.46</v>
      </c>
      <c r="AP122" s="30">
        <v>263284.06</v>
      </c>
      <c r="AQ122" s="30">
        <v>267096.93</v>
      </c>
      <c r="AR122" s="30">
        <v>266200.21000000002</v>
      </c>
      <c r="AS122" s="30">
        <v>268175.67</v>
      </c>
      <c r="AT122" s="30">
        <v>267033.96999999997</v>
      </c>
      <c r="AU122" s="30">
        <v>267120.61</v>
      </c>
      <c r="AV122" s="30">
        <v>267699.59999999998</v>
      </c>
      <c r="AW122" s="30">
        <v>269730.40000000002</v>
      </c>
      <c r="AX122" s="30">
        <v>272815.2</v>
      </c>
      <c r="AY122" s="30">
        <v>275641.94</v>
      </c>
      <c r="AZ122" s="30">
        <v>276025.31</v>
      </c>
      <c r="BA122" s="30" t="e">
        <f t="array" aca="1" ref="BA122" ca="1">_xludf.XLOOKUP(C122,'PL TOTAL D0'!A:A,'PL TOTAL D0'!C:C,"")</f>
        <v>#NAME?</v>
      </c>
    </row>
    <row r="123" spans="1:53" ht="15.75" customHeight="1">
      <c r="A123" s="23" t="s">
        <v>29</v>
      </c>
      <c r="B123" s="3" t="s">
        <v>560</v>
      </c>
      <c r="C123" s="4" t="s">
        <v>561</v>
      </c>
      <c r="D123" s="7" t="s">
        <v>19</v>
      </c>
      <c r="E123" s="7" t="s">
        <v>34</v>
      </c>
      <c r="F123" s="7" t="s">
        <v>262</v>
      </c>
      <c r="G123" s="7" t="e">
        <f t="shared" ca="1" si="0"/>
        <v>#NAME?</v>
      </c>
      <c r="H123" s="24" t="s">
        <v>161</v>
      </c>
      <c r="I123" s="24" t="s">
        <v>211</v>
      </c>
      <c r="J123" s="7" t="str">
        <f t="shared" si="8"/>
        <v>Não</v>
      </c>
      <c r="K123" s="25">
        <v>45043</v>
      </c>
      <c r="L123" s="7"/>
      <c r="M123" s="7" t="s">
        <v>58</v>
      </c>
      <c r="N123" s="26">
        <v>1.2E-2</v>
      </c>
      <c r="O123" s="7" t="s">
        <v>37</v>
      </c>
      <c r="P123" s="27">
        <v>0.1</v>
      </c>
      <c r="Q123" s="23"/>
      <c r="R123" s="28" t="s">
        <v>562</v>
      </c>
      <c r="S123" s="7" t="s">
        <v>145</v>
      </c>
      <c r="T123" s="7" t="s">
        <v>563</v>
      </c>
      <c r="U123" s="7" t="s">
        <v>39</v>
      </c>
      <c r="V123" s="24" t="e">
        <f t="shared" ca="1" si="2"/>
        <v>#NAME?</v>
      </c>
      <c r="W123" s="7"/>
      <c r="X123" s="7"/>
      <c r="Y123" s="29" t="s">
        <v>147</v>
      </c>
      <c r="Z123" s="30"/>
      <c r="AA123" s="31">
        <v>45043</v>
      </c>
      <c r="AB123" s="32">
        <v>49075100007381</v>
      </c>
      <c r="AC123" s="30"/>
      <c r="AD123" s="30"/>
      <c r="AE123" s="30"/>
      <c r="AF123" s="30"/>
      <c r="AG123" s="30"/>
      <c r="AH123" s="30">
        <v>0</v>
      </c>
      <c r="AI123" s="30">
        <v>13680.76</v>
      </c>
      <c r="AJ123" s="30">
        <v>82180.02</v>
      </c>
      <c r="AK123" s="30">
        <v>154130.79</v>
      </c>
      <c r="AL123" s="30">
        <v>157675.4</v>
      </c>
      <c r="AM123" s="30">
        <v>194857.67</v>
      </c>
      <c r="AN123" s="30">
        <v>197754.37</v>
      </c>
      <c r="AO123" s="30">
        <v>205526.47</v>
      </c>
      <c r="AP123" s="30">
        <v>213038.45</v>
      </c>
      <c r="AQ123" s="30">
        <v>217649.15</v>
      </c>
      <c r="AR123" s="30">
        <v>201823.01</v>
      </c>
      <c r="AS123" s="30">
        <v>204980.68</v>
      </c>
      <c r="AT123" s="30">
        <v>209678.1</v>
      </c>
      <c r="AU123" s="30">
        <v>227132.7</v>
      </c>
      <c r="AV123" s="30">
        <v>233041.9</v>
      </c>
      <c r="AW123" s="30">
        <v>235324.79999999999</v>
      </c>
      <c r="AX123" s="30">
        <v>244747.4</v>
      </c>
      <c r="AY123" s="30">
        <v>248774.66</v>
      </c>
      <c r="AZ123" s="30">
        <v>232627.43</v>
      </c>
      <c r="BA123" s="30" t="e">
        <f t="array" aca="1" ref="BA123" ca="1">_xludf.XLOOKUP(C123,'PL TOTAL D0'!A:A,'PL TOTAL D0'!C:C,"")</f>
        <v>#NAME?</v>
      </c>
    </row>
    <row r="124" spans="1:53" ht="15.75" customHeight="1">
      <c r="A124" s="23" t="s">
        <v>29</v>
      </c>
      <c r="B124" s="3" t="s">
        <v>564</v>
      </c>
      <c r="C124" s="41" t="s">
        <v>565</v>
      </c>
      <c r="D124" s="7" t="s">
        <v>19</v>
      </c>
      <c r="E124" s="7" t="s">
        <v>20</v>
      </c>
      <c r="F124" s="7" t="s">
        <v>372</v>
      </c>
      <c r="G124" s="7" t="e">
        <f t="shared" ca="1" si="0"/>
        <v>#NAME?</v>
      </c>
      <c r="H124" s="24" t="s">
        <v>161</v>
      </c>
      <c r="I124" s="24" t="s">
        <v>211</v>
      </c>
      <c r="J124" s="7" t="str">
        <f t="shared" si="8"/>
        <v>Não</v>
      </c>
      <c r="K124" s="25">
        <v>45174</v>
      </c>
      <c r="L124" s="7"/>
      <c r="M124" s="7" t="s">
        <v>58</v>
      </c>
      <c r="N124" s="26">
        <v>1.2E-2</v>
      </c>
      <c r="O124" s="7" t="s">
        <v>37</v>
      </c>
      <c r="P124" s="27">
        <v>0.1</v>
      </c>
      <c r="Q124" s="76"/>
      <c r="R124" s="28"/>
      <c r="S124" s="7" t="s">
        <v>145</v>
      </c>
      <c r="T124" s="7" t="s">
        <v>566</v>
      </c>
      <c r="U124" s="7" t="s">
        <v>20</v>
      </c>
      <c r="V124" s="24" t="e">
        <f t="shared" ca="1" si="2"/>
        <v>#NAME?</v>
      </c>
      <c r="W124" s="7"/>
      <c r="X124" s="7"/>
      <c r="Y124" s="29" t="s">
        <v>147</v>
      </c>
      <c r="Z124" s="30"/>
      <c r="AA124" s="31">
        <v>45174</v>
      </c>
      <c r="AB124" s="32">
        <v>49075100011265</v>
      </c>
      <c r="AC124" s="30"/>
      <c r="AD124" s="30"/>
      <c r="AE124" s="30"/>
      <c r="AF124" s="30"/>
      <c r="AG124" s="30"/>
      <c r="AH124" s="30"/>
      <c r="AI124" s="30"/>
      <c r="AJ124" s="30"/>
      <c r="AK124" s="30"/>
      <c r="AL124" s="30"/>
      <c r="AM124" s="30">
        <v>0</v>
      </c>
      <c r="AN124" s="30">
        <v>302072.36</v>
      </c>
      <c r="AO124" s="30">
        <v>354108.05</v>
      </c>
      <c r="AP124" s="30">
        <v>377820.02</v>
      </c>
      <c r="AQ124" s="30">
        <v>404903.88</v>
      </c>
      <c r="AR124" s="30">
        <v>414156.46</v>
      </c>
      <c r="AS124" s="30">
        <v>422660.17</v>
      </c>
      <c r="AT124" s="30">
        <v>427208</v>
      </c>
      <c r="AU124" s="30">
        <v>427330.42</v>
      </c>
      <c r="AV124" s="30">
        <v>451626.5</v>
      </c>
      <c r="AW124" s="30">
        <v>474984.9</v>
      </c>
      <c r="AX124" s="30">
        <v>494935.4</v>
      </c>
      <c r="AY124" s="30">
        <v>511034.27</v>
      </c>
      <c r="AZ124" s="30">
        <v>522270.14</v>
      </c>
      <c r="BA124" s="30" t="e">
        <f t="array" aca="1" ref="BA124" ca="1">_xludf.XLOOKUP(C124,'PL TOTAL D0'!A:A,'PL TOTAL D0'!C:C,"")</f>
        <v>#NAME?</v>
      </c>
    </row>
    <row r="125" spans="1:53" ht="15.75" customHeight="1">
      <c r="A125" s="23" t="s">
        <v>29</v>
      </c>
      <c r="B125" s="3" t="s">
        <v>567</v>
      </c>
      <c r="C125" s="4" t="s">
        <v>568</v>
      </c>
      <c r="D125" s="7" t="s">
        <v>19</v>
      </c>
      <c r="E125" s="7" t="s">
        <v>20</v>
      </c>
      <c r="F125" s="7" t="s">
        <v>199</v>
      </c>
      <c r="G125" s="7" t="e">
        <f t="shared" ca="1" si="0"/>
        <v>#NAME?</v>
      </c>
      <c r="H125" s="24" t="s">
        <v>161</v>
      </c>
      <c r="I125" s="24" t="s">
        <v>162</v>
      </c>
      <c r="J125" s="7" t="str">
        <f t="shared" si="8"/>
        <v>Não</v>
      </c>
      <c r="K125" s="25">
        <v>45264</v>
      </c>
      <c r="L125" s="7"/>
      <c r="M125" s="7" t="s">
        <v>357</v>
      </c>
      <c r="N125" s="26">
        <v>7.0000000000000001E-3</v>
      </c>
      <c r="O125" s="7" t="s">
        <v>25</v>
      </c>
      <c r="P125" s="27">
        <v>0</v>
      </c>
      <c r="Q125" s="28"/>
      <c r="R125" s="28"/>
      <c r="S125" s="7" t="s">
        <v>145</v>
      </c>
      <c r="T125" s="7" t="s">
        <v>569</v>
      </c>
      <c r="U125" s="7" t="s">
        <v>20</v>
      </c>
      <c r="V125" s="24" t="e">
        <f t="shared" ca="1" si="2"/>
        <v>#NAME?</v>
      </c>
      <c r="W125" s="7"/>
      <c r="X125" s="7"/>
      <c r="Y125" s="29" t="s">
        <v>147</v>
      </c>
      <c r="Z125" s="30"/>
      <c r="AA125" s="31">
        <v>45264</v>
      </c>
      <c r="AB125" s="32">
        <v>49075100012938</v>
      </c>
      <c r="AC125" s="30"/>
      <c r="AD125" s="30"/>
      <c r="AE125" s="30"/>
      <c r="AF125" s="30"/>
      <c r="AG125" s="30"/>
      <c r="AH125" s="30"/>
      <c r="AI125" s="30"/>
      <c r="AJ125" s="30"/>
      <c r="AK125" s="30"/>
      <c r="AL125" s="30"/>
      <c r="AM125" s="30"/>
      <c r="AN125" s="30"/>
      <c r="AO125" s="30"/>
      <c r="AP125" s="30">
        <v>0</v>
      </c>
      <c r="AQ125" s="30">
        <v>0</v>
      </c>
      <c r="AR125" s="30">
        <v>0</v>
      </c>
      <c r="AS125" s="30">
        <v>0</v>
      </c>
      <c r="AT125" s="30">
        <v>0</v>
      </c>
      <c r="AU125" s="30">
        <v>0</v>
      </c>
      <c r="AV125" s="30">
        <v>0</v>
      </c>
      <c r="AW125" s="30">
        <v>0</v>
      </c>
      <c r="AX125" s="30">
        <v>0</v>
      </c>
      <c r="AY125" s="30">
        <v>0</v>
      </c>
      <c r="AZ125" s="30">
        <v>0</v>
      </c>
      <c r="BA125" s="30" t="e">
        <f t="array" aca="1" ref="BA125" ca="1">_xludf.XLOOKUP(C125,'PL TOTAL D0'!A:A,'PL TOTAL D0'!C:C,"")</f>
        <v>#NAME?</v>
      </c>
    </row>
    <row r="126" spans="1:53" ht="15.75" customHeight="1">
      <c r="A126" s="23" t="s">
        <v>29</v>
      </c>
      <c r="B126" s="3" t="s">
        <v>570</v>
      </c>
      <c r="C126" s="4" t="s">
        <v>571</v>
      </c>
      <c r="D126" s="7" t="s">
        <v>80</v>
      </c>
      <c r="E126" s="7" t="s">
        <v>49</v>
      </c>
      <c r="F126" s="7" t="s">
        <v>81</v>
      </c>
      <c r="G126" s="7" t="e">
        <f t="shared" ca="1" si="0"/>
        <v>#NAME?</v>
      </c>
      <c r="H126" s="24" t="s">
        <v>152</v>
      </c>
      <c r="I126" s="24" t="s">
        <v>25</v>
      </c>
      <c r="J126" s="7" t="str">
        <f t="shared" si="8"/>
        <v>Não</v>
      </c>
      <c r="K126" s="25">
        <v>45516</v>
      </c>
      <c r="L126" s="7"/>
      <c r="M126" s="7" t="s">
        <v>42</v>
      </c>
      <c r="N126" s="26">
        <v>1.2E-2</v>
      </c>
      <c r="O126" s="7" t="s">
        <v>25</v>
      </c>
      <c r="P126" s="27">
        <v>0</v>
      </c>
      <c r="Q126" s="28"/>
      <c r="R126" s="28"/>
      <c r="S126" s="7" t="s">
        <v>145</v>
      </c>
      <c r="T126" s="7" t="s">
        <v>572</v>
      </c>
      <c r="U126" s="7" t="s">
        <v>20</v>
      </c>
      <c r="V126" s="24" t="e">
        <f t="shared" ca="1" si="2"/>
        <v>#NAME?</v>
      </c>
      <c r="W126" s="7"/>
      <c r="X126" s="7" t="s">
        <v>52</v>
      </c>
      <c r="Y126" s="29" t="s">
        <v>147</v>
      </c>
      <c r="Z126" s="30"/>
      <c r="AA126" s="30"/>
      <c r="AB126" s="32"/>
      <c r="AC126" s="30"/>
      <c r="AD126" s="30"/>
      <c r="AE126" s="30"/>
      <c r="AF126" s="30"/>
      <c r="AG126" s="30"/>
      <c r="AH126" s="30"/>
      <c r="AI126" s="30"/>
      <c r="AJ126" s="30"/>
      <c r="AK126" s="30"/>
      <c r="AL126" s="30"/>
      <c r="AM126" s="30"/>
      <c r="AN126" s="30"/>
      <c r="AO126" s="30"/>
      <c r="AP126" s="30"/>
      <c r="AQ126" s="30"/>
      <c r="AR126" s="30"/>
      <c r="AS126" s="30"/>
      <c r="AT126" s="30"/>
      <c r="AU126" s="30"/>
      <c r="AV126" s="30"/>
      <c r="AW126" s="30"/>
      <c r="AX126" s="30"/>
      <c r="AY126" s="30">
        <v>257291.1</v>
      </c>
      <c r="AZ126" s="30">
        <v>296383.76</v>
      </c>
      <c r="BA126" s="30" t="e">
        <f t="array" aca="1" ref="BA126" ca="1">_xludf.XLOOKUP(C126,'PL TOTAL D0'!A:A,'PL TOTAL D0'!C:C,"")</f>
        <v>#NAME?</v>
      </c>
    </row>
    <row r="127" spans="1:53" ht="15.75" customHeight="1">
      <c r="A127" s="23" t="s">
        <v>29</v>
      </c>
      <c r="B127" s="3" t="s">
        <v>573</v>
      </c>
      <c r="C127" s="4" t="s">
        <v>574</v>
      </c>
      <c r="D127" s="7" t="s">
        <v>19</v>
      </c>
      <c r="E127" s="7" t="s">
        <v>20</v>
      </c>
      <c r="F127" s="7" t="s">
        <v>372</v>
      </c>
      <c r="G127" s="7" t="e">
        <f t="shared" ca="1" si="0"/>
        <v>#NAME?</v>
      </c>
      <c r="H127" s="24" t="s">
        <v>161</v>
      </c>
      <c r="I127" s="24" t="s">
        <v>211</v>
      </c>
      <c r="J127" s="7" t="str">
        <f t="shared" si="8"/>
        <v>Não</v>
      </c>
      <c r="K127" s="25">
        <v>45470</v>
      </c>
      <c r="L127" s="7"/>
      <c r="M127" s="7" t="s">
        <v>466</v>
      </c>
      <c r="N127" s="26">
        <v>7.0000000000000001E-3</v>
      </c>
      <c r="O127" s="7" t="s">
        <v>25</v>
      </c>
      <c r="P127" s="27">
        <v>0</v>
      </c>
      <c r="Q127" s="13"/>
      <c r="R127" s="28"/>
      <c r="S127" s="7" t="s">
        <v>145</v>
      </c>
      <c r="T127" s="7" t="s">
        <v>575</v>
      </c>
      <c r="U127" s="7" t="s">
        <v>20</v>
      </c>
      <c r="V127" s="24" t="e">
        <f t="shared" ca="1" si="2"/>
        <v>#NAME?</v>
      </c>
      <c r="W127" s="7"/>
      <c r="X127" s="7" t="s">
        <v>40</v>
      </c>
      <c r="Y127" s="29" t="s">
        <v>147</v>
      </c>
      <c r="Z127" s="30"/>
      <c r="AA127" s="31">
        <v>45470</v>
      </c>
      <c r="AB127" s="32">
        <v>49075100014949</v>
      </c>
      <c r="AC127" s="30"/>
      <c r="AD127" s="30"/>
      <c r="AE127" s="30"/>
      <c r="AF127" s="30"/>
      <c r="AG127" s="30"/>
      <c r="AH127" s="30"/>
      <c r="AI127" s="30"/>
      <c r="AJ127" s="30"/>
      <c r="AK127" s="30"/>
      <c r="AL127" s="30"/>
      <c r="AM127" s="30"/>
      <c r="AN127" s="30"/>
      <c r="AO127" s="30"/>
      <c r="AP127" s="30"/>
      <c r="AQ127" s="30"/>
      <c r="AR127" s="30"/>
      <c r="AS127" s="30"/>
      <c r="AT127" s="30"/>
      <c r="AU127" s="30"/>
      <c r="AV127" s="30"/>
      <c r="AW127" s="30">
        <v>0</v>
      </c>
      <c r="AX127" s="30">
        <v>301532.3</v>
      </c>
      <c r="AY127" s="30">
        <v>304023.59000000003</v>
      </c>
      <c r="AZ127" s="30">
        <v>306377.34999999998</v>
      </c>
      <c r="BA127" s="30" t="e">
        <f t="array" aca="1" ref="BA127" ca="1">_xludf.XLOOKUP(C127,'PL TOTAL D0'!A:A,'PL TOTAL D0'!C:C,"")</f>
        <v>#NAME?</v>
      </c>
    </row>
    <row r="128" spans="1:53" ht="15.75" customHeight="1">
      <c r="A128" s="23" t="s">
        <v>29</v>
      </c>
      <c r="B128" s="3" t="s">
        <v>576</v>
      </c>
      <c r="C128" s="4" t="s">
        <v>577</v>
      </c>
      <c r="D128" s="7" t="s">
        <v>19</v>
      </c>
      <c r="E128" s="7" t="s">
        <v>20</v>
      </c>
      <c r="F128" s="7" t="s">
        <v>372</v>
      </c>
      <c r="G128" s="7" t="e">
        <f t="shared" ca="1" si="0"/>
        <v>#NAME?</v>
      </c>
      <c r="H128" s="24" t="s">
        <v>161</v>
      </c>
      <c r="I128" s="24" t="s">
        <v>162</v>
      </c>
      <c r="J128" s="7" t="str">
        <f t="shared" si="8"/>
        <v>Não</v>
      </c>
      <c r="K128" s="25">
        <v>44999</v>
      </c>
      <c r="L128" s="7"/>
      <c r="M128" s="7" t="s">
        <v>42</v>
      </c>
      <c r="N128" s="26">
        <v>0.01</v>
      </c>
      <c r="O128" s="7" t="s">
        <v>25</v>
      </c>
      <c r="P128" s="27">
        <v>0</v>
      </c>
      <c r="Q128" s="28"/>
      <c r="R128" s="28"/>
      <c r="S128" s="7" t="s">
        <v>145</v>
      </c>
      <c r="T128" s="7" t="s">
        <v>578</v>
      </c>
      <c r="U128" s="7" t="s">
        <v>20</v>
      </c>
      <c r="V128" s="24" t="e">
        <f t="shared" ca="1" si="2"/>
        <v>#NAME?</v>
      </c>
      <c r="W128" s="7"/>
      <c r="X128" s="7"/>
      <c r="Y128" s="29" t="s">
        <v>147</v>
      </c>
      <c r="Z128" s="30"/>
      <c r="AA128" s="31">
        <v>44999</v>
      </c>
      <c r="AB128" s="32">
        <v>49075100005826</v>
      </c>
      <c r="AC128" s="30"/>
      <c r="AD128" s="30"/>
      <c r="AE128" s="30"/>
      <c r="AF128" s="30"/>
      <c r="AG128" s="30">
        <v>0</v>
      </c>
      <c r="AH128" s="30">
        <v>70041.45</v>
      </c>
      <c r="AI128" s="30">
        <v>70577.149999999994</v>
      </c>
      <c r="AJ128" s="30">
        <v>64526.73</v>
      </c>
      <c r="AK128" s="30">
        <v>65262.09</v>
      </c>
      <c r="AL128" s="30">
        <v>65965.11</v>
      </c>
      <c r="AM128" s="30">
        <v>66693.429999999993</v>
      </c>
      <c r="AN128" s="30">
        <v>47363.79</v>
      </c>
      <c r="AO128" s="30">
        <v>47815.83</v>
      </c>
      <c r="AP128" s="30">
        <v>32941.81</v>
      </c>
      <c r="AQ128" s="30">
        <v>33240.639999999999</v>
      </c>
      <c r="AR128" s="30">
        <v>0</v>
      </c>
      <c r="AS128" s="30">
        <v>0</v>
      </c>
      <c r="AT128" s="30">
        <v>0</v>
      </c>
      <c r="AU128" s="30">
        <v>0</v>
      </c>
      <c r="AV128" s="30">
        <v>0</v>
      </c>
      <c r="AW128" s="30">
        <v>0</v>
      </c>
      <c r="AX128" s="30">
        <v>0</v>
      </c>
      <c r="AY128" s="30">
        <v>0</v>
      </c>
      <c r="AZ128" s="30">
        <v>0</v>
      </c>
      <c r="BA128" s="30" t="e">
        <f t="array" aca="1" ref="BA128" ca="1">_xludf.XLOOKUP(C128,'PL TOTAL D0'!A:A,'PL TOTAL D0'!C:C,"")</f>
        <v>#NAME?</v>
      </c>
    </row>
    <row r="129" spans="1:53" ht="15.75" customHeight="1">
      <c r="A129" s="23" t="s">
        <v>29</v>
      </c>
      <c r="B129" s="3" t="s">
        <v>579</v>
      </c>
      <c r="C129" s="4" t="s">
        <v>580</v>
      </c>
      <c r="D129" s="7" t="s">
        <v>19</v>
      </c>
      <c r="E129" s="7" t="s">
        <v>49</v>
      </c>
      <c r="F129" s="7" t="s">
        <v>50</v>
      </c>
      <c r="G129" s="7" t="e">
        <f t="shared" ca="1" si="0"/>
        <v>#NAME?</v>
      </c>
      <c r="H129" s="24" t="s">
        <v>152</v>
      </c>
      <c r="I129" s="24" t="s">
        <v>25</v>
      </c>
      <c r="J129" s="7" t="str">
        <f t="shared" si="8"/>
        <v>Não</v>
      </c>
      <c r="K129" s="25">
        <v>45086</v>
      </c>
      <c r="L129" s="25"/>
      <c r="M129" s="7" t="s">
        <v>42</v>
      </c>
      <c r="N129" s="26">
        <v>1.2E-2</v>
      </c>
      <c r="O129" s="7" t="s">
        <v>25</v>
      </c>
      <c r="P129" s="27">
        <v>0</v>
      </c>
      <c r="Q129" s="28"/>
      <c r="R129" s="28"/>
      <c r="S129" s="7" t="s">
        <v>145</v>
      </c>
      <c r="T129" s="7" t="s">
        <v>581</v>
      </c>
      <c r="U129" s="7" t="s">
        <v>49</v>
      </c>
      <c r="V129" s="24" t="e">
        <f t="shared" ca="1" si="2"/>
        <v>#NAME?</v>
      </c>
      <c r="W129" s="7"/>
      <c r="X129" s="7"/>
      <c r="Y129" s="29" t="s">
        <v>253</v>
      </c>
      <c r="Z129" s="30"/>
      <c r="AA129" s="31">
        <v>45086</v>
      </c>
      <c r="AB129" s="32">
        <v>49075100008914</v>
      </c>
      <c r="AC129" s="30"/>
      <c r="AD129" s="30"/>
      <c r="AE129" s="30"/>
      <c r="AF129" s="30"/>
      <c r="AG129" s="30"/>
      <c r="AH129" s="30"/>
      <c r="AI129" s="30"/>
      <c r="AJ129" s="30"/>
      <c r="AK129" s="30">
        <v>88076.51</v>
      </c>
      <c r="AL129" s="30">
        <v>89551.9</v>
      </c>
      <c r="AM129" s="30">
        <v>90224.01</v>
      </c>
      <c r="AN129" s="30">
        <v>91564.82</v>
      </c>
      <c r="AO129" s="30">
        <v>98424.87</v>
      </c>
      <c r="AP129" s="30">
        <v>99288.58</v>
      </c>
      <c r="AQ129" s="30">
        <v>102257.13</v>
      </c>
      <c r="AR129" s="30">
        <v>102853.11</v>
      </c>
      <c r="AS129" s="30">
        <v>106572.92</v>
      </c>
      <c r="AT129" s="30">
        <v>107205.88</v>
      </c>
      <c r="AU129" s="30">
        <v>107003.63</v>
      </c>
      <c r="AV129" s="30">
        <v>107293.9</v>
      </c>
      <c r="AW129" s="30">
        <v>107780.3</v>
      </c>
      <c r="AX129" s="30">
        <v>108858.5</v>
      </c>
      <c r="AY129" s="30">
        <v>113453.39</v>
      </c>
      <c r="AZ129" s="30">
        <v>121739.06</v>
      </c>
      <c r="BA129" s="30" t="e">
        <f t="array" aca="1" ref="BA129" ca="1">_xludf.XLOOKUP(C129,'PL TOTAL D0'!A:A,'PL TOTAL D0'!C:C,"")</f>
        <v>#NAME?</v>
      </c>
    </row>
    <row r="130" spans="1:53" ht="15.75" customHeight="1">
      <c r="A130" s="23" t="s">
        <v>29</v>
      </c>
      <c r="B130" s="3" t="s">
        <v>582</v>
      </c>
      <c r="C130" s="4" t="s">
        <v>583</v>
      </c>
      <c r="D130" s="7" t="s">
        <v>64</v>
      </c>
      <c r="E130" s="7" t="s">
        <v>20</v>
      </c>
      <c r="F130" s="7" t="s">
        <v>142</v>
      </c>
      <c r="G130" s="7" t="e">
        <f t="shared" ca="1" si="0"/>
        <v>#NAME?</v>
      </c>
      <c r="H130" s="24" t="s">
        <v>143</v>
      </c>
      <c r="I130" s="24" t="s">
        <v>25</v>
      </c>
      <c r="J130" s="7" t="str">
        <f t="shared" si="8"/>
        <v>Não</v>
      </c>
      <c r="K130" s="25">
        <v>45104</v>
      </c>
      <c r="L130" s="25">
        <v>45516</v>
      </c>
      <c r="M130" s="7" t="s">
        <v>357</v>
      </c>
      <c r="N130" s="26">
        <v>7.0000000000000001E-3</v>
      </c>
      <c r="O130" s="7" t="s">
        <v>25</v>
      </c>
      <c r="P130" s="27">
        <v>0</v>
      </c>
      <c r="Q130" s="28"/>
      <c r="R130" s="28" t="s">
        <v>285</v>
      </c>
      <c r="S130" s="7" t="s">
        <v>145</v>
      </c>
      <c r="T130" s="7" t="s">
        <v>584</v>
      </c>
      <c r="U130" s="7" t="s">
        <v>585</v>
      </c>
      <c r="V130" s="24" t="e">
        <f t="shared" ca="1" si="2"/>
        <v>#NAME?</v>
      </c>
      <c r="W130" s="7"/>
      <c r="X130" s="7"/>
      <c r="Y130" s="29" t="s">
        <v>147</v>
      </c>
      <c r="Z130" s="30"/>
      <c r="AA130" s="31">
        <v>45104</v>
      </c>
      <c r="AB130" s="32">
        <v>49075100007187</v>
      </c>
      <c r="AC130" s="30"/>
      <c r="AD130" s="30"/>
      <c r="AE130" s="30"/>
      <c r="AF130" s="30"/>
      <c r="AG130" s="30"/>
      <c r="AH130" s="30"/>
      <c r="AI130" s="30"/>
      <c r="AJ130" s="30"/>
      <c r="AK130" s="30">
        <v>20667.09</v>
      </c>
      <c r="AL130" s="30">
        <v>508181.96</v>
      </c>
      <c r="AM130" s="30">
        <v>513461.7</v>
      </c>
      <c r="AN130" s="30">
        <v>518951.57</v>
      </c>
      <c r="AO130" s="30">
        <v>523946.66</v>
      </c>
      <c r="AP130" s="30">
        <v>528165.19999999995</v>
      </c>
      <c r="AQ130" s="30">
        <v>532668.43000000005</v>
      </c>
      <c r="AR130" s="30">
        <v>537204.05000000005</v>
      </c>
      <c r="AS130" s="30">
        <v>541302.71</v>
      </c>
      <c r="AT130" s="30">
        <v>545892.12</v>
      </c>
      <c r="AU130" s="30">
        <v>550361.38</v>
      </c>
      <c r="AV130" s="30">
        <v>554654.30000000005</v>
      </c>
      <c r="AW130" s="30">
        <v>558846.6</v>
      </c>
      <c r="AX130" s="30">
        <v>0</v>
      </c>
      <c r="AY130" s="30">
        <v>0</v>
      </c>
      <c r="AZ130" s="30">
        <v>0</v>
      </c>
      <c r="BA130" s="30" t="e">
        <f t="array" aca="1" ref="BA130" ca="1">_xludf.XLOOKUP(C130,'PL TOTAL D0'!A:A,'PL TOTAL D0'!C:C,"")</f>
        <v>#NAME?</v>
      </c>
    </row>
    <row r="131" spans="1:53" ht="15.75" customHeight="1">
      <c r="A131" s="23" t="s">
        <v>29</v>
      </c>
      <c r="B131" s="38" t="s">
        <v>586</v>
      </c>
      <c r="C131" s="39" t="s">
        <v>587</v>
      </c>
      <c r="D131" s="7" t="s">
        <v>19</v>
      </c>
      <c r="E131" s="7" t="s">
        <v>20</v>
      </c>
      <c r="F131" s="7" t="s">
        <v>204</v>
      </c>
      <c r="G131" s="7" t="e">
        <f t="shared" ca="1" si="0"/>
        <v>#NAME?</v>
      </c>
      <c r="H131" s="24" t="s">
        <v>143</v>
      </c>
      <c r="I131" s="24" t="s">
        <v>25</v>
      </c>
      <c r="J131" s="7" t="str">
        <f t="shared" si="8"/>
        <v>Não</v>
      </c>
      <c r="K131" s="25">
        <v>45405</v>
      </c>
      <c r="L131" s="25">
        <v>45565</v>
      </c>
      <c r="M131" s="7" t="s">
        <v>31</v>
      </c>
      <c r="N131" s="26">
        <v>2E-3</v>
      </c>
      <c r="O131" s="7" t="s">
        <v>25</v>
      </c>
      <c r="P131" s="27">
        <v>0</v>
      </c>
      <c r="Q131" s="28"/>
      <c r="R131" s="28"/>
      <c r="S131" s="7" t="s">
        <v>145</v>
      </c>
      <c r="T131" s="12" t="s">
        <v>588</v>
      </c>
      <c r="U131" s="7" t="s">
        <v>46</v>
      </c>
      <c r="V131" s="24" t="e">
        <f t="shared" ca="1" si="2"/>
        <v>#NAME?</v>
      </c>
      <c r="W131" s="7"/>
      <c r="X131" s="7" t="s">
        <v>52</v>
      </c>
      <c r="Y131" s="29" t="s">
        <v>147</v>
      </c>
      <c r="Z131" s="30"/>
      <c r="AA131" s="31">
        <v>45405</v>
      </c>
      <c r="AB131" s="32">
        <v>49075100014035</v>
      </c>
      <c r="AC131" s="30"/>
      <c r="AD131" s="30"/>
      <c r="AE131" s="30"/>
      <c r="AF131" s="30"/>
      <c r="AG131" s="30"/>
      <c r="AH131" s="30"/>
      <c r="AI131" s="30"/>
      <c r="AJ131" s="30"/>
      <c r="AK131" s="30"/>
      <c r="AL131" s="30"/>
      <c r="AM131" s="30"/>
      <c r="AN131" s="30"/>
      <c r="AO131" s="30"/>
      <c r="AP131" s="30"/>
      <c r="AQ131" s="30"/>
      <c r="AR131" s="30"/>
      <c r="AS131" s="30"/>
      <c r="AT131" s="30"/>
      <c r="AU131" s="30">
        <v>0</v>
      </c>
      <c r="AV131" s="30">
        <v>0</v>
      </c>
      <c r="AW131" s="30">
        <v>0</v>
      </c>
      <c r="AX131" s="30">
        <v>0</v>
      </c>
      <c r="AY131" s="30">
        <v>0</v>
      </c>
      <c r="AZ131" s="30">
        <v>0</v>
      </c>
      <c r="BA131" s="30" t="e">
        <f t="array" aca="1" ref="BA131" ca="1">_xludf.XLOOKUP(C131,'PL TOTAL D0'!A:A,'PL TOTAL D0'!C:C,"")</f>
        <v>#NAME?</v>
      </c>
    </row>
    <row r="132" spans="1:53" ht="15.75" customHeight="1">
      <c r="A132" s="23" t="s">
        <v>29</v>
      </c>
      <c r="B132" s="3" t="s">
        <v>589</v>
      </c>
      <c r="C132" s="4" t="s">
        <v>590</v>
      </c>
      <c r="D132" s="7" t="s">
        <v>19</v>
      </c>
      <c r="E132" s="7" t="s">
        <v>49</v>
      </c>
      <c r="F132" s="7" t="s">
        <v>328</v>
      </c>
      <c r="G132" s="7" t="e">
        <f t="shared" ca="1" si="0"/>
        <v>#NAME?</v>
      </c>
      <c r="H132" s="24" t="s">
        <v>152</v>
      </c>
      <c r="I132" s="24" t="s">
        <v>25</v>
      </c>
      <c r="J132" s="7" t="str">
        <f t="shared" si="8"/>
        <v>Não</v>
      </c>
      <c r="K132" s="25">
        <v>44944</v>
      </c>
      <c r="L132" s="7"/>
      <c r="M132" s="7" t="s">
        <v>58</v>
      </c>
      <c r="N132" s="26">
        <v>1.2E-2</v>
      </c>
      <c r="O132" s="7" t="s">
        <v>25</v>
      </c>
      <c r="P132" s="27">
        <v>0</v>
      </c>
      <c r="Q132" s="28"/>
      <c r="R132" s="28"/>
      <c r="S132" s="7" t="s">
        <v>145</v>
      </c>
      <c r="T132" s="7" t="s">
        <v>591</v>
      </c>
      <c r="U132" s="7" t="s">
        <v>49</v>
      </c>
      <c r="V132" s="24" t="e">
        <f t="shared" ca="1" si="2"/>
        <v>#NAME?</v>
      </c>
      <c r="W132" s="7"/>
      <c r="X132" s="7"/>
      <c r="Y132" s="29" t="s">
        <v>253</v>
      </c>
      <c r="Z132" s="30"/>
      <c r="AA132" s="31">
        <v>44944</v>
      </c>
      <c r="AB132" s="32">
        <v>49075100005540</v>
      </c>
      <c r="AC132" s="30"/>
      <c r="AD132" s="30"/>
      <c r="AE132" s="30"/>
      <c r="AF132" s="30">
        <v>334399.81</v>
      </c>
      <c r="AG132" s="30">
        <v>336441.18</v>
      </c>
      <c r="AH132" s="30">
        <v>339644.96</v>
      </c>
      <c r="AI132" s="30">
        <v>341771.9</v>
      </c>
      <c r="AJ132" s="30">
        <v>344793.73</v>
      </c>
      <c r="AK132" s="30">
        <v>347244.02</v>
      </c>
      <c r="AL132" s="30">
        <v>349078.77</v>
      </c>
      <c r="AM132" s="30">
        <v>351131.1</v>
      </c>
      <c r="AN132" s="30">
        <v>352988.04</v>
      </c>
      <c r="AO132" s="30">
        <v>353935.74</v>
      </c>
      <c r="AP132" s="30">
        <v>359144.86</v>
      </c>
      <c r="AQ132" s="30">
        <v>363969.67</v>
      </c>
      <c r="AR132" s="30">
        <v>362470.15</v>
      </c>
      <c r="AS132" s="30">
        <v>365282.26</v>
      </c>
      <c r="AT132" s="30">
        <v>368564.59</v>
      </c>
      <c r="AU132" s="30">
        <v>368325.36</v>
      </c>
      <c r="AV132" s="30">
        <v>368284.2</v>
      </c>
      <c r="AW132" s="30">
        <v>370590.7</v>
      </c>
      <c r="AX132" s="30">
        <v>373061.3</v>
      </c>
      <c r="AY132" s="30">
        <v>375643.54</v>
      </c>
      <c r="AZ132" s="30">
        <v>376421.25</v>
      </c>
      <c r="BA132" s="30" t="e">
        <f t="array" aca="1" ref="BA132" ca="1">_xludf.XLOOKUP(C132,'PL TOTAL D0'!A:A,'PL TOTAL D0'!C:C,"")</f>
        <v>#NAME?</v>
      </c>
    </row>
    <row r="133" spans="1:53" ht="15.75" customHeight="1">
      <c r="A133" s="23" t="s">
        <v>29</v>
      </c>
      <c r="B133" s="3" t="s">
        <v>592</v>
      </c>
      <c r="C133" s="4" t="s">
        <v>593</v>
      </c>
      <c r="D133" s="7" t="s">
        <v>64</v>
      </c>
      <c r="E133" s="7" t="s">
        <v>20</v>
      </c>
      <c r="F133" s="7" t="s">
        <v>142</v>
      </c>
      <c r="G133" s="7" t="e">
        <f t="shared" ca="1" si="0"/>
        <v>#NAME?</v>
      </c>
      <c r="H133" s="24" t="s">
        <v>143</v>
      </c>
      <c r="I133" s="24" t="s">
        <v>25</v>
      </c>
      <c r="J133" s="7" t="str">
        <f t="shared" si="8"/>
        <v>Não</v>
      </c>
      <c r="K133" s="25">
        <v>45090</v>
      </c>
      <c r="L133" s="25">
        <v>45506</v>
      </c>
      <c r="M133" s="7" t="s">
        <v>58</v>
      </c>
      <c r="N133" s="26">
        <v>1.2E-2</v>
      </c>
      <c r="O133" s="7" t="s">
        <v>25</v>
      </c>
      <c r="P133" s="27">
        <v>0</v>
      </c>
      <c r="Q133" s="28"/>
      <c r="R133" s="28" t="s">
        <v>285</v>
      </c>
      <c r="S133" s="7" t="s">
        <v>145</v>
      </c>
      <c r="T133" s="7" t="s">
        <v>594</v>
      </c>
      <c r="U133" s="7" t="s">
        <v>585</v>
      </c>
      <c r="V133" s="24" t="e">
        <f t="shared" ca="1" si="2"/>
        <v>#NAME?</v>
      </c>
      <c r="W133" s="7"/>
      <c r="X133" s="7"/>
      <c r="Y133" s="29" t="s">
        <v>253</v>
      </c>
      <c r="Z133" s="30"/>
      <c r="AA133" s="31">
        <v>45090</v>
      </c>
      <c r="AB133" s="32">
        <v>49075100008582</v>
      </c>
      <c r="AC133" s="30"/>
      <c r="AD133" s="30"/>
      <c r="AE133" s="30"/>
      <c r="AF133" s="30"/>
      <c r="AG133" s="30"/>
      <c r="AH133" s="30"/>
      <c r="AI133" s="30"/>
      <c r="AJ133" s="30"/>
      <c r="AK133" s="30">
        <v>509914.47</v>
      </c>
      <c r="AL133" s="30">
        <v>625244.89</v>
      </c>
      <c r="AM133" s="30">
        <v>629166.25</v>
      </c>
      <c r="AN133" s="30">
        <v>627167.85</v>
      </c>
      <c r="AO133" s="30">
        <v>627376.06000000006</v>
      </c>
      <c r="AP133" s="30">
        <v>637882.06000000006</v>
      </c>
      <c r="AQ133" s="30">
        <v>650613.93999999994</v>
      </c>
      <c r="AR133" s="30">
        <v>645332.56000000006</v>
      </c>
      <c r="AS133" s="30">
        <v>650998.97</v>
      </c>
      <c r="AT133" s="30">
        <v>655293.54</v>
      </c>
      <c r="AU133" s="30">
        <v>642847.24</v>
      </c>
      <c r="AV133" s="30">
        <v>643971.6</v>
      </c>
      <c r="AW133" s="30">
        <v>167261.79999999999</v>
      </c>
      <c r="AX133" s="30">
        <v>0</v>
      </c>
      <c r="AY133" s="30">
        <v>0</v>
      </c>
      <c r="AZ133" s="30">
        <v>0</v>
      </c>
      <c r="BA133" s="30" t="e">
        <f t="array" aca="1" ref="BA133" ca="1">_xludf.XLOOKUP(C133,'PL TOTAL D0'!A:A,'PL TOTAL D0'!C:C,"")</f>
        <v>#NAME?</v>
      </c>
    </row>
    <row r="134" spans="1:53" ht="15.75" customHeight="1">
      <c r="A134" s="23" t="s">
        <v>29</v>
      </c>
      <c r="B134" s="3" t="s">
        <v>595</v>
      </c>
      <c r="C134" s="4" t="s">
        <v>596</v>
      </c>
      <c r="D134" s="7" t="s">
        <v>64</v>
      </c>
      <c r="E134" s="7" t="s">
        <v>20</v>
      </c>
      <c r="F134" s="7" t="s">
        <v>142</v>
      </c>
      <c r="G134" s="7" t="e">
        <f t="shared" ca="1" si="0"/>
        <v>#NAME?</v>
      </c>
      <c r="H134" s="24" t="s">
        <v>143</v>
      </c>
      <c r="I134" s="24" t="s">
        <v>25</v>
      </c>
      <c r="J134" s="7" t="s">
        <v>181</v>
      </c>
      <c r="K134" s="25">
        <v>45464</v>
      </c>
      <c r="L134" s="25">
        <v>45506</v>
      </c>
      <c r="M134" s="7" t="s">
        <v>597</v>
      </c>
      <c r="N134" s="26">
        <v>0</v>
      </c>
      <c r="O134" s="7" t="s">
        <v>25</v>
      </c>
      <c r="P134" s="27">
        <v>0</v>
      </c>
      <c r="Q134" s="28"/>
      <c r="R134" s="28" t="s">
        <v>285</v>
      </c>
      <c r="S134" s="7" t="s">
        <v>145</v>
      </c>
      <c r="T134" s="7" t="s">
        <v>594</v>
      </c>
      <c r="U134" s="7" t="s">
        <v>585</v>
      </c>
      <c r="V134" s="24" t="e">
        <f t="shared" ca="1" si="2"/>
        <v>#NAME?</v>
      </c>
      <c r="W134" s="7"/>
      <c r="X134" s="7" t="s">
        <v>52</v>
      </c>
      <c r="Y134" s="29"/>
      <c r="Z134" s="30"/>
      <c r="AA134" s="31">
        <v>45464</v>
      </c>
      <c r="AB134" s="32">
        <v>49075100014922</v>
      </c>
      <c r="AC134" s="30"/>
      <c r="AD134" s="30"/>
      <c r="AE134" s="30"/>
      <c r="AF134" s="30"/>
      <c r="AG134" s="30"/>
      <c r="AH134" s="30"/>
      <c r="AI134" s="30"/>
      <c r="AJ134" s="30"/>
      <c r="AK134" s="30"/>
      <c r="AL134" s="30"/>
      <c r="AM134" s="30"/>
      <c r="AN134" s="30"/>
      <c r="AO134" s="30"/>
      <c r="AP134" s="30"/>
      <c r="AQ134" s="30"/>
      <c r="AR134" s="30"/>
      <c r="AS134" s="30"/>
      <c r="AT134" s="30"/>
      <c r="AU134" s="30"/>
      <c r="AV134" s="30"/>
      <c r="AW134" s="30">
        <v>476732.3</v>
      </c>
      <c r="AX134" s="30">
        <v>0</v>
      </c>
      <c r="AY134" s="30">
        <v>0</v>
      </c>
      <c r="AZ134" s="30">
        <v>0</v>
      </c>
      <c r="BA134" s="30" t="e">
        <f t="array" aca="1" ref="BA134" ca="1">_xludf.XLOOKUP(C134,'PL TOTAL D0'!A:A,'PL TOTAL D0'!C:C,"")</f>
        <v>#NAME?</v>
      </c>
    </row>
    <row r="135" spans="1:53" ht="15.75" customHeight="1">
      <c r="A135" s="23" t="s">
        <v>29</v>
      </c>
      <c r="B135" s="3" t="s">
        <v>598</v>
      </c>
      <c r="C135" s="4" t="s">
        <v>599</v>
      </c>
      <c r="D135" s="7" t="s">
        <v>80</v>
      </c>
      <c r="E135" s="7" t="s">
        <v>49</v>
      </c>
      <c r="F135" s="7" t="s">
        <v>81</v>
      </c>
      <c r="G135" s="7" t="e">
        <f t="shared" ca="1" si="0"/>
        <v>#NAME?</v>
      </c>
      <c r="H135" s="24" t="s">
        <v>152</v>
      </c>
      <c r="I135" s="24" t="s">
        <v>25</v>
      </c>
      <c r="J135" s="7" t="str">
        <f t="shared" ref="J135:J171" si="9">IF(Q135=0,"Não","Sim")</f>
        <v>Não</v>
      </c>
      <c r="K135" s="25">
        <v>45468</v>
      </c>
      <c r="L135" s="7"/>
      <c r="M135" s="7" t="s">
        <v>42</v>
      </c>
      <c r="N135" s="26">
        <v>1.2E-2</v>
      </c>
      <c r="O135" s="7" t="s">
        <v>25</v>
      </c>
      <c r="P135" s="27">
        <v>0</v>
      </c>
      <c r="Q135" s="28"/>
      <c r="R135" s="28"/>
      <c r="S135" s="7" t="s">
        <v>145</v>
      </c>
      <c r="T135" s="7" t="s">
        <v>600</v>
      </c>
      <c r="U135" s="7" t="s">
        <v>49</v>
      </c>
      <c r="V135" s="24" t="e">
        <f t="shared" ca="1" si="2"/>
        <v>#NAME?</v>
      </c>
      <c r="W135" s="7"/>
      <c r="X135" s="7" t="s">
        <v>52</v>
      </c>
      <c r="Y135" s="29" t="s">
        <v>147</v>
      </c>
      <c r="Z135" s="30"/>
      <c r="AA135" s="31">
        <v>45468</v>
      </c>
      <c r="AB135" s="32">
        <v>49075100014930</v>
      </c>
      <c r="AC135" s="30"/>
      <c r="AD135" s="30"/>
      <c r="AE135" s="30"/>
      <c r="AF135" s="30"/>
      <c r="AG135" s="30"/>
      <c r="AH135" s="30"/>
      <c r="AI135" s="30"/>
      <c r="AJ135" s="30"/>
      <c r="AK135" s="30"/>
      <c r="AL135" s="30"/>
      <c r="AM135" s="30"/>
      <c r="AN135" s="30"/>
      <c r="AO135" s="30"/>
      <c r="AP135" s="30"/>
      <c r="AQ135" s="30"/>
      <c r="AR135" s="30"/>
      <c r="AS135" s="30"/>
      <c r="AT135" s="30"/>
      <c r="AU135" s="30"/>
      <c r="AV135" s="30"/>
      <c r="AW135" s="30">
        <v>0</v>
      </c>
      <c r="AX135" s="30">
        <v>106763.8</v>
      </c>
      <c r="AY135" s="30">
        <v>107832.01</v>
      </c>
      <c r="AZ135" s="30">
        <v>311181.28000000003</v>
      </c>
      <c r="BA135" s="30" t="e">
        <f t="array" aca="1" ref="BA135" ca="1">_xludf.XLOOKUP(C135,'PL TOTAL D0'!A:A,'PL TOTAL D0'!C:C,"")</f>
        <v>#NAME?</v>
      </c>
    </row>
    <row r="136" spans="1:53" ht="15.75" customHeight="1">
      <c r="A136" s="23" t="s">
        <v>29</v>
      </c>
      <c r="B136" s="3" t="s">
        <v>601</v>
      </c>
      <c r="C136" s="4" t="s">
        <v>602</v>
      </c>
      <c r="D136" s="7" t="s">
        <v>64</v>
      </c>
      <c r="E136" s="7" t="s">
        <v>20</v>
      </c>
      <c r="F136" s="7" t="s">
        <v>142</v>
      </c>
      <c r="G136" s="7" t="e">
        <f t="shared" ca="1" si="0"/>
        <v>#NAME?</v>
      </c>
      <c r="H136" s="24" t="s">
        <v>161</v>
      </c>
      <c r="I136" s="24" t="s">
        <v>162</v>
      </c>
      <c r="J136" s="7" t="str">
        <f t="shared" si="9"/>
        <v>Não</v>
      </c>
      <c r="K136" s="25">
        <v>45082</v>
      </c>
      <c r="L136" s="7"/>
      <c r="M136" s="7" t="s">
        <v>42</v>
      </c>
      <c r="N136" s="26">
        <v>1.2E-2</v>
      </c>
      <c r="O136" s="7" t="s">
        <v>25</v>
      </c>
      <c r="P136" s="27">
        <v>0</v>
      </c>
      <c r="Q136" s="28"/>
      <c r="R136" s="28"/>
      <c r="S136" s="7" t="s">
        <v>145</v>
      </c>
      <c r="T136" s="7" t="s">
        <v>603</v>
      </c>
      <c r="U136" s="7" t="s">
        <v>60</v>
      </c>
      <c r="V136" s="24" t="e">
        <f t="shared" ca="1" si="2"/>
        <v>#NAME?</v>
      </c>
      <c r="W136" s="7"/>
      <c r="X136" s="7"/>
      <c r="Y136" s="29" t="s">
        <v>147</v>
      </c>
      <c r="Z136" s="30"/>
      <c r="AA136" s="31">
        <v>45082</v>
      </c>
      <c r="AB136" s="32">
        <v>49075100006822</v>
      </c>
      <c r="AC136" s="30"/>
      <c r="AD136" s="30"/>
      <c r="AE136" s="30"/>
      <c r="AF136" s="30"/>
      <c r="AG136" s="30"/>
      <c r="AH136" s="30"/>
      <c r="AI136" s="30"/>
      <c r="AJ136" s="30"/>
      <c r="AK136" s="30">
        <v>100855.31</v>
      </c>
      <c r="AL136" s="30">
        <v>101432.92</v>
      </c>
      <c r="AM136" s="30">
        <v>102469.64</v>
      </c>
      <c r="AN136" s="30">
        <v>153675.62</v>
      </c>
      <c r="AO136" s="30">
        <v>155000.13</v>
      </c>
      <c r="AP136" s="30">
        <v>156110.6</v>
      </c>
      <c r="AQ136" s="30">
        <v>157287.9</v>
      </c>
      <c r="AR136" s="30">
        <v>120209.71</v>
      </c>
      <c r="AS136" s="30">
        <v>121112.44</v>
      </c>
      <c r="AT136" s="30">
        <v>121658.89</v>
      </c>
      <c r="AU136" s="30">
        <v>112458.18</v>
      </c>
      <c r="AV136" s="30">
        <v>113330.1</v>
      </c>
      <c r="AW136" s="30">
        <v>114226.1</v>
      </c>
      <c r="AX136" s="30">
        <v>115055.1</v>
      </c>
      <c r="AY136" s="30">
        <v>0.69</v>
      </c>
      <c r="AZ136" s="30">
        <v>0.69</v>
      </c>
      <c r="BA136" s="30" t="e">
        <f t="array" aca="1" ref="BA136" ca="1">_xludf.XLOOKUP(C136,'PL TOTAL D0'!A:A,'PL TOTAL D0'!C:C,"")</f>
        <v>#NAME?</v>
      </c>
    </row>
    <row r="137" spans="1:53" ht="15.75" customHeight="1">
      <c r="A137" s="23" t="s">
        <v>29</v>
      </c>
      <c r="B137" s="37" t="s">
        <v>604</v>
      </c>
      <c r="C137" s="4" t="s">
        <v>605</v>
      </c>
      <c r="D137" s="7" t="s">
        <v>19</v>
      </c>
      <c r="E137" s="7" t="s">
        <v>34</v>
      </c>
      <c r="F137" s="7" t="s">
        <v>262</v>
      </c>
      <c r="G137" s="7" t="e">
        <f t="shared" ca="1" si="0"/>
        <v>#NAME?</v>
      </c>
      <c r="H137" s="24" t="s">
        <v>152</v>
      </c>
      <c r="I137" s="24" t="s">
        <v>25</v>
      </c>
      <c r="J137" s="7" t="str">
        <f t="shared" si="9"/>
        <v>Sim</v>
      </c>
      <c r="K137" s="25">
        <v>45029</v>
      </c>
      <c r="L137" s="7"/>
      <c r="M137" s="7" t="s">
        <v>42</v>
      </c>
      <c r="N137" s="26">
        <v>1.2E-2</v>
      </c>
      <c r="O137" s="7" t="s">
        <v>25</v>
      </c>
      <c r="P137" s="27">
        <v>0</v>
      </c>
      <c r="Q137" s="28" t="s">
        <v>606</v>
      </c>
      <c r="R137" s="28"/>
      <c r="S137" s="7" t="s">
        <v>145</v>
      </c>
      <c r="T137" s="7" t="s">
        <v>607</v>
      </c>
      <c r="U137" s="7" t="s">
        <v>39</v>
      </c>
      <c r="V137" s="24" t="e">
        <f t="shared" ca="1" si="2"/>
        <v>#NAME?</v>
      </c>
      <c r="W137" s="7"/>
      <c r="X137" s="7"/>
      <c r="Y137" s="29" t="s">
        <v>147</v>
      </c>
      <c r="Z137" s="30"/>
      <c r="AA137" s="31">
        <v>45029</v>
      </c>
      <c r="AB137" s="32">
        <v>49075100008981</v>
      </c>
      <c r="AC137" s="30"/>
      <c r="AD137" s="30"/>
      <c r="AE137" s="30"/>
      <c r="AF137" s="30">
        <v>0</v>
      </c>
      <c r="AG137" s="30">
        <v>0</v>
      </c>
      <c r="AH137" s="30">
        <v>0</v>
      </c>
      <c r="AI137" s="30">
        <v>160367.74</v>
      </c>
      <c r="AJ137" s="30">
        <v>163569.63</v>
      </c>
      <c r="AK137" s="30">
        <v>165862.5</v>
      </c>
      <c r="AL137" s="30">
        <v>167691.47</v>
      </c>
      <c r="AM137" s="30">
        <v>169137.32</v>
      </c>
      <c r="AN137" s="30">
        <v>170517.88</v>
      </c>
      <c r="AO137" s="30">
        <v>172124.46</v>
      </c>
      <c r="AP137" s="30">
        <v>173490.61</v>
      </c>
      <c r="AQ137" s="30">
        <v>173336.56</v>
      </c>
      <c r="AR137" s="30">
        <v>174958.35</v>
      </c>
      <c r="AS137" s="30">
        <v>176314.09</v>
      </c>
      <c r="AT137" s="30">
        <v>177375.23</v>
      </c>
      <c r="AU137" s="30">
        <v>178666.11</v>
      </c>
      <c r="AV137" s="30">
        <v>180039.3</v>
      </c>
      <c r="AW137" s="30">
        <v>181128.2</v>
      </c>
      <c r="AX137" s="30">
        <v>182702.5</v>
      </c>
      <c r="AY137" s="30">
        <v>184043.14</v>
      </c>
      <c r="AZ137" s="30">
        <v>184040.06</v>
      </c>
      <c r="BA137" s="30" t="e">
        <f t="array" aca="1" ref="BA137" ca="1">_xludf.XLOOKUP(C137,'PL TOTAL D0'!A:A,'PL TOTAL D0'!C:C,"")</f>
        <v>#NAME?</v>
      </c>
    </row>
    <row r="138" spans="1:53" ht="15.75" customHeight="1">
      <c r="A138" s="23" t="s">
        <v>29</v>
      </c>
      <c r="B138" s="37" t="s">
        <v>608</v>
      </c>
      <c r="C138" s="4" t="s">
        <v>609</v>
      </c>
      <c r="D138" s="7" t="s">
        <v>80</v>
      </c>
      <c r="E138" s="7" t="s">
        <v>49</v>
      </c>
      <c r="F138" s="7" t="s">
        <v>81</v>
      </c>
      <c r="G138" s="7" t="e">
        <f t="shared" ca="1" si="0"/>
        <v>#NAME?</v>
      </c>
      <c r="H138" s="24" t="s">
        <v>152</v>
      </c>
      <c r="I138" s="24" t="s">
        <v>25</v>
      </c>
      <c r="J138" s="7" t="str">
        <f t="shared" si="9"/>
        <v>Não</v>
      </c>
      <c r="K138" s="25">
        <v>45461</v>
      </c>
      <c r="L138" s="7"/>
      <c r="M138" s="7" t="s">
        <v>42</v>
      </c>
      <c r="N138" s="26">
        <v>1.2E-2</v>
      </c>
      <c r="O138" s="7" t="s">
        <v>25</v>
      </c>
      <c r="P138" s="27">
        <v>0</v>
      </c>
      <c r="Q138" s="28"/>
      <c r="R138" s="28"/>
      <c r="S138" s="7" t="s">
        <v>145</v>
      </c>
      <c r="T138" s="7" t="s">
        <v>610</v>
      </c>
      <c r="U138" s="7" t="s">
        <v>49</v>
      </c>
      <c r="V138" s="24" t="e">
        <f t="shared" ca="1" si="2"/>
        <v>#NAME?</v>
      </c>
      <c r="W138" s="7"/>
      <c r="X138" s="7" t="s">
        <v>91</v>
      </c>
      <c r="Y138" s="29" t="s">
        <v>147</v>
      </c>
      <c r="Z138" s="30"/>
      <c r="AA138" s="31">
        <v>45461</v>
      </c>
      <c r="AB138" s="32">
        <v>49075100015181</v>
      </c>
      <c r="AC138" s="30"/>
      <c r="AD138" s="30"/>
      <c r="AE138" s="30"/>
      <c r="AF138" s="30"/>
      <c r="AG138" s="30"/>
      <c r="AH138" s="30"/>
      <c r="AI138" s="30"/>
      <c r="AJ138" s="30"/>
      <c r="AK138" s="30"/>
      <c r="AL138" s="30"/>
      <c r="AM138" s="30"/>
      <c r="AN138" s="30"/>
      <c r="AO138" s="30"/>
      <c r="AP138" s="30"/>
      <c r="AQ138" s="30"/>
      <c r="AR138" s="30"/>
      <c r="AS138" s="30"/>
      <c r="AT138" s="30"/>
      <c r="AU138" s="30"/>
      <c r="AV138" s="30"/>
      <c r="AW138" s="30">
        <v>272385.8</v>
      </c>
      <c r="AX138" s="30">
        <v>301086.7</v>
      </c>
      <c r="AY138" s="30">
        <v>311991.96000000002</v>
      </c>
      <c r="AZ138" s="30">
        <v>318643.15999999997</v>
      </c>
      <c r="BA138" s="30" t="e">
        <f t="array" aca="1" ref="BA138" ca="1">_xludf.XLOOKUP(C138,'PL TOTAL D0'!A:A,'PL TOTAL D0'!C:C,"")</f>
        <v>#NAME?</v>
      </c>
    </row>
    <row r="139" spans="1:53" ht="15.75" customHeight="1">
      <c r="A139" s="23" t="s">
        <v>29</v>
      </c>
      <c r="B139" s="37" t="s">
        <v>611</v>
      </c>
      <c r="C139" s="4" t="s">
        <v>612</v>
      </c>
      <c r="D139" s="7" t="s">
        <v>19</v>
      </c>
      <c r="E139" s="7" t="s">
        <v>20</v>
      </c>
      <c r="F139" s="7" t="s">
        <v>372</v>
      </c>
      <c r="G139" s="7" t="e">
        <f t="shared" ca="1" si="0"/>
        <v>#NAME?</v>
      </c>
      <c r="H139" s="24" t="s">
        <v>161</v>
      </c>
      <c r="I139" s="24" t="s">
        <v>211</v>
      </c>
      <c r="J139" s="7" t="str">
        <f t="shared" si="9"/>
        <v>Não</v>
      </c>
      <c r="K139" s="25">
        <v>44973</v>
      </c>
      <c r="L139" s="7"/>
      <c r="M139" s="7" t="s">
        <v>200</v>
      </c>
      <c r="N139" s="26">
        <v>1.4999999999999999E-2</v>
      </c>
      <c r="O139" s="7" t="s">
        <v>37</v>
      </c>
      <c r="P139" s="27">
        <v>0.1</v>
      </c>
      <c r="Q139" s="28"/>
      <c r="R139" s="28"/>
      <c r="S139" s="7" t="s">
        <v>145</v>
      </c>
      <c r="T139" s="7" t="s">
        <v>613</v>
      </c>
      <c r="U139" s="7" t="s">
        <v>20</v>
      </c>
      <c r="V139" s="24" t="e">
        <f t="shared" ca="1" si="2"/>
        <v>#NAME?</v>
      </c>
      <c r="W139" s="7"/>
      <c r="X139" s="7"/>
      <c r="Y139" s="29" t="s">
        <v>147</v>
      </c>
      <c r="Z139" s="30"/>
      <c r="AA139" s="31">
        <v>44973</v>
      </c>
      <c r="AB139" s="32">
        <v>49075100009406</v>
      </c>
      <c r="AC139" s="30"/>
      <c r="AD139" s="30"/>
      <c r="AE139" s="30"/>
      <c r="AF139" s="30">
        <v>0</v>
      </c>
      <c r="AG139" s="30">
        <v>50152.639999999999</v>
      </c>
      <c r="AH139" s="30">
        <v>75711.679999999993</v>
      </c>
      <c r="AI139" s="30">
        <v>98150.6</v>
      </c>
      <c r="AJ139" s="30">
        <v>99754.48</v>
      </c>
      <c r="AK139" s="30">
        <v>101414.15</v>
      </c>
      <c r="AL139" s="30">
        <v>102260.12</v>
      </c>
      <c r="AM139" s="30">
        <v>101772.24</v>
      </c>
      <c r="AN139" s="30">
        <v>182622.03</v>
      </c>
      <c r="AO139" s="30">
        <v>201720.06</v>
      </c>
      <c r="AP139" s="30">
        <v>206168.64</v>
      </c>
      <c r="AQ139" s="30">
        <v>209883.74</v>
      </c>
      <c r="AR139" s="30">
        <v>206949.11</v>
      </c>
      <c r="AS139" s="30">
        <v>208833.41</v>
      </c>
      <c r="AT139" s="30">
        <v>210854.24</v>
      </c>
      <c r="AU139" s="30">
        <v>229237.29</v>
      </c>
      <c r="AV139" s="30">
        <v>228096.4</v>
      </c>
      <c r="AW139" s="30">
        <v>229529.1</v>
      </c>
      <c r="AX139" s="30">
        <v>252694.9</v>
      </c>
      <c r="AY139" s="30">
        <v>265558.83</v>
      </c>
      <c r="AZ139" s="30">
        <v>310153.17</v>
      </c>
      <c r="BA139" s="30" t="e">
        <f t="array" aca="1" ref="BA139" ca="1">_xludf.XLOOKUP(C139,'PL TOTAL D0'!A:A,'PL TOTAL D0'!C:C,"")</f>
        <v>#NAME?</v>
      </c>
    </row>
    <row r="140" spans="1:53" ht="15.75" customHeight="1">
      <c r="A140" s="23" t="s">
        <v>29</v>
      </c>
      <c r="B140" s="3" t="s">
        <v>614</v>
      </c>
      <c r="C140" s="4" t="s">
        <v>615</v>
      </c>
      <c r="D140" s="7" t="s">
        <v>19</v>
      </c>
      <c r="E140" s="7" t="s">
        <v>34</v>
      </c>
      <c r="F140" s="7" t="s">
        <v>616</v>
      </c>
      <c r="G140" s="7" t="e">
        <f t="shared" ca="1" si="0"/>
        <v>#NAME?</v>
      </c>
      <c r="H140" s="24" t="s">
        <v>152</v>
      </c>
      <c r="I140" s="24" t="s">
        <v>25</v>
      </c>
      <c r="J140" s="7" t="str">
        <f t="shared" si="9"/>
        <v>Não</v>
      </c>
      <c r="K140" s="25">
        <v>45035</v>
      </c>
      <c r="L140" s="7"/>
      <c r="M140" s="7" t="s">
        <v>42</v>
      </c>
      <c r="N140" s="26">
        <v>7.0000000000000001E-3</v>
      </c>
      <c r="O140" s="7" t="s">
        <v>25</v>
      </c>
      <c r="P140" s="27">
        <v>0</v>
      </c>
      <c r="Q140" s="28"/>
      <c r="R140" s="28"/>
      <c r="S140" s="7" t="s">
        <v>145</v>
      </c>
      <c r="T140" s="7" t="s">
        <v>617</v>
      </c>
      <c r="U140" s="7" t="s">
        <v>60</v>
      </c>
      <c r="V140" s="24" t="e">
        <f t="shared" ca="1" si="2"/>
        <v>#NAME?</v>
      </c>
      <c r="W140" s="7"/>
      <c r="X140" s="7"/>
      <c r="Y140" s="29" t="s">
        <v>147</v>
      </c>
      <c r="Z140" s="30"/>
      <c r="AA140" s="31">
        <v>45035</v>
      </c>
      <c r="AB140" s="32">
        <v>49075100009082</v>
      </c>
      <c r="AC140" s="30"/>
      <c r="AD140" s="30"/>
      <c r="AE140" s="30"/>
      <c r="AF140" s="30"/>
      <c r="AG140" s="30"/>
      <c r="AH140" s="30">
        <v>0</v>
      </c>
      <c r="AI140" s="30">
        <v>1642101.9</v>
      </c>
      <c r="AJ140" s="30">
        <v>1728001.75</v>
      </c>
      <c r="AK140" s="30">
        <v>1735162.85</v>
      </c>
      <c r="AL140" s="30">
        <v>1750873.41</v>
      </c>
      <c r="AM140" s="30">
        <v>1768651.3</v>
      </c>
      <c r="AN140" s="30">
        <v>1777349.32</v>
      </c>
      <c r="AO140" s="30">
        <v>1786530.17</v>
      </c>
      <c r="AP140" s="30">
        <v>1805961.93</v>
      </c>
      <c r="AQ140" s="30">
        <v>1807968.44</v>
      </c>
      <c r="AR140" s="30">
        <v>1823522.49</v>
      </c>
      <c r="AS140" s="30">
        <v>1836277.05</v>
      </c>
      <c r="AT140" s="30">
        <v>1833654.69</v>
      </c>
      <c r="AU140" s="30">
        <v>1848462.05</v>
      </c>
      <c r="AV140" s="30">
        <v>1863063</v>
      </c>
      <c r="AW140" s="30">
        <v>1877951</v>
      </c>
      <c r="AX140" s="30">
        <v>1893892</v>
      </c>
      <c r="AY140" s="30">
        <v>1909051.85</v>
      </c>
      <c r="AZ140" s="30">
        <v>1918890.65</v>
      </c>
      <c r="BA140" s="30" t="e">
        <f t="array" aca="1" ref="BA140" ca="1">_xludf.XLOOKUP(C140,'PL TOTAL D0'!A:A,'PL TOTAL D0'!C:C,"")</f>
        <v>#NAME?</v>
      </c>
    </row>
    <row r="141" spans="1:53" ht="15.75" customHeight="1">
      <c r="A141" s="23" t="s">
        <v>29</v>
      </c>
      <c r="B141" s="38" t="s">
        <v>618</v>
      </c>
      <c r="C141" s="39" t="s">
        <v>619</v>
      </c>
      <c r="D141" s="7" t="s">
        <v>19</v>
      </c>
      <c r="E141" s="7" t="s">
        <v>20</v>
      </c>
      <c r="F141" s="7" t="s">
        <v>199</v>
      </c>
      <c r="G141" s="7" t="e">
        <f t="shared" ca="1" si="0"/>
        <v>#NAME?</v>
      </c>
      <c r="H141" s="24" t="s">
        <v>152</v>
      </c>
      <c r="I141" s="24" t="s">
        <v>25</v>
      </c>
      <c r="J141" s="7" t="str">
        <f t="shared" si="9"/>
        <v>Sim</v>
      </c>
      <c r="K141" s="25">
        <v>45426</v>
      </c>
      <c r="L141" s="7"/>
      <c r="M141" s="7" t="s">
        <v>42</v>
      </c>
      <c r="N141" s="26">
        <v>0.01</v>
      </c>
      <c r="O141" s="7" t="s">
        <v>25</v>
      </c>
      <c r="P141" s="27">
        <v>0</v>
      </c>
      <c r="Q141" s="28" t="s">
        <v>620</v>
      </c>
      <c r="R141" s="28"/>
      <c r="S141" s="7" t="s">
        <v>145</v>
      </c>
      <c r="T141" s="12" t="s">
        <v>621</v>
      </c>
      <c r="U141" s="7" t="s">
        <v>20</v>
      </c>
      <c r="V141" s="24" t="e">
        <f t="shared" ca="1" si="2"/>
        <v>#NAME?</v>
      </c>
      <c r="W141" s="7"/>
      <c r="X141" s="7" t="s">
        <v>52</v>
      </c>
      <c r="Y141" s="29" t="s">
        <v>147</v>
      </c>
      <c r="Z141" s="30"/>
      <c r="AA141" s="31">
        <v>45426</v>
      </c>
      <c r="AB141" s="32">
        <v>49075100014450</v>
      </c>
      <c r="AC141" s="30"/>
      <c r="AD141" s="30"/>
      <c r="AE141" s="30"/>
      <c r="AF141" s="30"/>
      <c r="AG141" s="30"/>
      <c r="AH141" s="30"/>
      <c r="AI141" s="30"/>
      <c r="AJ141" s="30"/>
      <c r="AK141" s="30"/>
      <c r="AL141" s="30"/>
      <c r="AM141" s="30"/>
      <c r="AN141" s="30"/>
      <c r="AO141" s="30"/>
      <c r="AP141" s="30"/>
      <c r="AQ141" s="30"/>
      <c r="AR141" s="30"/>
      <c r="AS141" s="30"/>
      <c r="AT141" s="30"/>
      <c r="AU141" s="30"/>
      <c r="AV141" s="30">
        <v>301117.90000000002</v>
      </c>
      <c r="AW141" s="30">
        <v>303804.59999999998</v>
      </c>
      <c r="AX141" s="30">
        <v>306290.7</v>
      </c>
      <c r="AY141" s="30">
        <v>308935.83</v>
      </c>
      <c r="AZ141" s="30">
        <v>310635.84000000003</v>
      </c>
      <c r="BA141" s="30" t="e">
        <f t="array" aca="1" ref="BA141" ca="1">_xludf.XLOOKUP(C141,'PL TOTAL D0'!A:A,'PL TOTAL D0'!C:C,"")</f>
        <v>#NAME?</v>
      </c>
    </row>
    <row r="142" spans="1:53" ht="15.75" customHeight="1">
      <c r="A142" s="23" t="s">
        <v>29</v>
      </c>
      <c r="B142" s="38" t="s">
        <v>622</v>
      </c>
      <c r="C142" s="39" t="s">
        <v>623</v>
      </c>
      <c r="D142" s="7" t="s">
        <v>19</v>
      </c>
      <c r="E142" s="7" t="s">
        <v>49</v>
      </c>
      <c r="F142" s="7" t="s">
        <v>166</v>
      </c>
      <c r="G142" s="7" t="e">
        <f t="shared" ca="1" si="0"/>
        <v>#NAME?</v>
      </c>
      <c r="H142" s="24" t="s">
        <v>152</v>
      </c>
      <c r="I142" s="24" t="s">
        <v>25</v>
      </c>
      <c r="J142" s="7" t="str">
        <f t="shared" si="9"/>
        <v>Sim</v>
      </c>
      <c r="K142" s="25">
        <v>45460</v>
      </c>
      <c r="L142" s="7"/>
      <c r="M142" s="7" t="s">
        <v>466</v>
      </c>
      <c r="N142" s="26">
        <v>7.0000000000000001E-3</v>
      </c>
      <c r="O142" s="7" t="s">
        <v>25</v>
      </c>
      <c r="P142" s="27">
        <v>0</v>
      </c>
      <c r="Q142" s="28" t="s">
        <v>624</v>
      </c>
      <c r="R142" s="28"/>
      <c r="S142" s="7" t="s">
        <v>187</v>
      </c>
      <c r="T142" s="12" t="s">
        <v>625</v>
      </c>
      <c r="U142" s="7" t="s">
        <v>49</v>
      </c>
      <c r="V142" s="24" t="e">
        <f t="shared" ca="1" si="2"/>
        <v>#NAME?</v>
      </c>
      <c r="W142" s="7"/>
      <c r="X142" s="7" t="s">
        <v>52</v>
      </c>
      <c r="Y142" s="29" t="s">
        <v>147</v>
      </c>
      <c r="Z142" s="30"/>
      <c r="AA142" s="31">
        <v>45460</v>
      </c>
      <c r="AB142" s="32">
        <v>49075100015171</v>
      </c>
      <c r="AC142" s="30"/>
      <c r="AD142" s="30"/>
      <c r="AE142" s="30"/>
      <c r="AF142" s="30"/>
      <c r="AG142" s="30"/>
      <c r="AH142" s="30"/>
      <c r="AI142" s="30"/>
      <c r="AJ142" s="30"/>
      <c r="AK142" s="30"/>
      <c r="AL142" s="30"/>
      <c r="AM142" s="30"/>
      <c r="AN142" s="30"/>
      <c r="AO142" s="30"/>
      <c r="AP142" s="30"/>
      <c r="AQ142" s="30"/>
      <c r="AR142" s="30"/>
      <c r="AS142" s="30"/>
      <c r="AT142" s="30"/>
      <c r="AU142" s="30"/>
      <c r="AV142" s="30"/>
      <c r="AW142" s="30">
        <v>50121.53</v>
      </c>
      <c r="AX142" s="30">
        <v>100976.8</v>
      </c>
      <c r="AY142" s="30">
        <v>101816.52</v>
      </c>
      <c r="AZ142" s="30">
        <v>102622.92</v>
      </c>
      <c r="BA142" s="30" t="e">
        <f t="array" aca="1" ref="BA142" ca="1">_xludf.XLOOKUP(C142,'PL TOTAL D0'!A:A,'PL TOTAL D0'!C:C,"")</f>
        <v>#NAME?</v>
      </c>
    </row>
    <row r="143" spans="1:53" ht="15.75" customHeight="1">
      <c r="A143" s="23" t="s">
        <v>29</v>
      </c>
      <c r="B143" s="38" t="s">
        <v>626</v>
      </c>
      <c r="C143" s="39" t="s">
        <v>627</v>
      </c>
      <c r="D143" s="7" t="s">
        <v>64</v>
      </c>
      <c r="E143" s="7" t="s">
        <v>20</v>
      </c>
      <c r="F143" s="7" t="s">
        <v>204</v>
      </c>
      <c r="G143" s="7" t="e">
        <f t="shared" ca="1" si="0"/>
        <v>#NAME?</v>
      </c>
      <c r="H143" s="24" t="s">
        <v>161</v>
      </c>
      <c r="I143" s="24" t="s">
        <v>205</v>
      </c>
      <c r="J143" s="7" t="str">
        <f t="shared" si="9"/>
        <v>Sim</v>
      </c>
      <c r="K143" s="25">
        <v>45449</v>
      </c>
      <c r="L143" s="7"/>
      <c r="M143" s="7" t="s">
        <v>31</v>
      </c>
      <c r="N143" s="26">
        <v>3.0000000000000001E-3</v>
      </c>
      <c r="O143" s="7" t="s">
        <v>25</v>
      </c>
      <c r="P143" s="27">
        <v>0</v>
      </c>
      <c r="Q143" s="28" t="s">
        <v>206</v>
      </c>
      <c r="R143" s="28"/>
      <c r="S143" s="7" t="s">
        <v>145</v>
      </c>
      <c r="T143" s="12" t="s">
        <v>628</v>
      </c>
      <c r="U143" s="7" t="s">
        <v>46</v>
      </c>
      <c r="V143" s="24" t="e">
        <f t="shared" ca="1" si="2"/>
        <v>#NAME?</v>
      </c>
      <c r="W143" s="7"/>
      <c r="X143" s="7" t="s">
        <v>40</v>
      </c>
      <c r="Y143" s="29" t="s">
        <v>147</v>
      </c>
      <c r="Z143" s="30"/>
      <c r="AA143" s="31">
        <v>45449</v>
      </c>
      <c r="AB143" s="32">
        <v>49075100015074</v>
      </c>
      <c r="AC143" s="30"/>
      <c r="AD143" s="30"/>
      <c r="AE143" s="30"/>
      <c r="AF143" s="30"/>
      <c r="AG143" s="30"/>
      <c r="AH143" s="30"/>
      <c r="AI143" s="30"/>
      <c r="AJ143" s="30"/>
      <c r="AK143" s="30"/>
      <c r="AL143" s="30"/>
      <c r="AM143" s="30"/>
      <c r="AN143" s="30"/>
      <c r="AO143" s="30"/>
      <c r="AP143" s="30"/>
      <c r="AQ143" s="30"/>
      <c r="AR143" s="30"/>
      <c r="AS143" s="30"/>
      <c r="AT143" s="30"/>
      <c r="AU143" s="30"/>
      <c r="AV143" s="30"/>
      <c r="AW143" s="30">
        <v>10</v>
      </c>
      <c r="AX143" s="30">
        <v>10</v>
      </c>
      <c r="AY143" s="30">
        <v>10</v>
      </c>
      <c r="AZ143" s="30">
        <v>10</v>
      </c>
      <c r="BA143" s="30" t="e">
        <f t="array" aca="1" ref="BA143" ca="1">_xludf.XLOOKUP(C143,'PL TOTAL D0'!A:A,'PL TOTAL D0'!C:C,"")</f>
        <v>#NAME?</v>
      </c>
    </row>
    <row r="144" spans="1:53" ht="18.75" customHeight="1">
      <c r="A144" s="23" t="s">
        <v>29</v>
      </c>
      <c r="B144" s="3" t="s">
        <v>629</v>
      </c>
      <c r="C144" s="4" t="s">
        <v>630</v>
      </c>
      <c r="D144" s="7" t="s">
        <v>19</v>
      </c>
      <c r="E144" s="7" t="s">
        <v>20</v>
      </c>
      <c r="F144" s="7" t="s">
        <v>372</v>
      </c>
      <c r="G144" s="7" t="e">
        <f t="shared" ca="1" si="0"/>
        <v>#NAME?</v>
      </c>
      <c r="H144" s="24" t="s">
        <v>152</v>
      </c>
      <c r="I144" s="24" t="s">
        <v>25</v>
      </c>
      <c r="J144" s="7" t="str">
        <f t="shared" si="9"/>
        <v>Não</v>
      </c>
      <c r="K144" s="25">
        <v>45099</v>
      </c>
      <c r="L144" s="25"/>
      <c r="M144" s="7" t="s">
        <v>172</v>
      </c>
      <c r="N144" s="26">
        <v>0</v>
      </c>
      <c r="O144" s="7" t="s">
        <v>25</v>
      </c>
      <c r="P144" s="27">
        <v>0</v>
      </c>
      <c r="Q144" s="28"/>
      <c r="R144" s="28"/>
      <c r="S144" s="7" t="s">
        <v>145</v>
      </c>
      <c r="T144" s="7" t="s">
        <v>631</v>
      </c>
      <c r="U144" s="7" t="s">
        <v>60</v>
      </c>
      <c r="V144" s="24" t="e">
        <f t="shared" ca="1" si="2"/>
        <v>#NAME?</v>
      </c>
      <c r="W144" s="7"/>
      <c r="X144" s="7"/>
      <c r="Y144" s="29" t="s">
        <v>147</v>
      </c>
      <c r="Z144" s="30"/>
      <c r="AA144" s="31">
        <v>45099</v>
      </c>
      <c r="AB144" s="32">
        <v>49075100008116</v>
      </c>
      <c r="AC144" s="30"/>
      <c r="AD144" s="30"/>
      <c r="AE144" s="30"/>
      <c r="AF144" s="30"/>
      <c r="AG144" s="30"/>
      <c r="AH144" s="30"/>
      <c r="AI144" s="30"/>
      <c r="AJ144" s="30"/>
      <c r="AK144" s="30">
        <v>85172.94</v>
      </c>
      <c r="AL144" s="30">
        <v>43658.82</v>
      </c>
      <c r="AM144" s="30">
        <v>44153.5</v>
      </c>
      <c r="AN144" s="30">
        <v>44559.33</v>
      </c>
      <c r="AO144" s="30">
        <v>45000.800000000003</v>
      </c>
      <c r="AP144" s="30">
        <v>45384.13</v>
      </c>
      <c r="AQ144" s="30">
        <v>45404.86</v>
      </c>
      <c r="AR144" s="30">
        <v>45834.66</v>
      </c>
      <c r="AS144" s="30">
        <v>46119.54</v>
      </c>
      <c r="AT144" s="30">
        <v>46392.12</v>
      </c>
      <c r="AU144" s="30">
        <v>46602.85</v>
      </c>
      <c r="AV144" s="30">
        <v>46969.74</v>
      </c>
      <c r="AW144" s="30">
        <v>47057.42</v>
      </c>
      <c r="AX144" s="30">
        <v>47497.17</v>
      </c>
      <c r="AY144" s="30">
        <v>0</v>
      </c>
      <c r="AZ144" s="30">
        <v>0</v>
      </c>
      <c r="BA144" s="30" t="e">
        <f t="array" aca="1" ref="BA144" ca="1">_xludf.XLOOKUP(C144,'PL TOTAL D0'!A:A,'PL TOTAL D0'!C:C,"")</f>
        <v>#NAME?</v>
      </c>
    </row>
    <row r="145" spans="1:53" ht="18.75" customHeight="1">
      <c r="A145" s="23" t="s">
        <v>29</v>
      </c>
      <c r="B145" s="3" t="s">
        <v>632</v>
      </c>
      <c r="C145" s="60" t="s">
        <v>633</v>
      </c>
      <c r="D145" s="7" t="s">
        <v>64</v>
      </c>
      <c r="E145" s="7" t="s">
        <v>20</v>
      </c>
      <c r="F145" s="7" t="s">
        <v>204</v>
      </c>
      <c r="G145" s="7" t="e">
        <f t="shared" ca="1" si="0"/>
        <v>#NAME?</v>
      </c>
      <c r="H145" s="24" t="s">
        <v>161</v>
      </c>
      <c r="I145" s="24" t="s">
        <v>205</v>
      </c>
      <c r="J145" s="7" t="str">
        <f t="shared" si="9"/>
        <v>Sim</v>
      </c>
      <c r="K145" s="25">
        <v>45575</v>
      </c>
      <c r="L145" s="25"/>
      <c r="M145" s="7" t="s">
        <v>31</v>
      </c>
      <c r="N145" s="26">
        <v>3.0000000000000001E-3</v>
      </c>
      <c r="O145" s="7" t="s">
        <v>25</v>
      </c>
      <c r="P145" s="27">
        <v>0</v>
      </c>
      <c r="Q145" s="28" t="s">
        <v>66</v>
      </c>
      <c r="R145" s="28"/>
      <c r="S145" s="7" t="s">
        <v>145</v>
      </c>
      <c r="T145" s="7" t="s">
        <v>634</v>
      </c>
      <c r="U145" s="7" t="s">
        <v>46</v>
      </c>
      <c r="V145" s="24" t="e">
        <f t="shared" ca="1" si="2"/>
        <v>#NAME?</v>
      </c>
      <c r="W145" s="7"/>
      <c r="X145" s="7" t="s">
        <v>52</v>
      </c>
      <c r="Y145" s="29"/>
      <c r="Z145" s="30"/>
      <c r="AA145" s="31"/>
      <c r="AB145" s="32"/>
      <c r="AC145" s="30"/>
      <c r="AD145" s="30"/>
      <c r="AE145" s="30"/>
      <c r="AF145" s="30"/>
      <c r="AG145" s="30"/>
      <c r="AH145" s="30"/>
      <c r="AI145" s="30"/>
      <c r="AJ145" s="30"/>
      <c r="AK145" s="30"/>
      <c r="AL145" s="30"/>
      <c r="AM145" s="30"/>
      <c r="AN145" s="30"/>
      <c r="AO145" s="30"/>
      <c r="AP145" s="30"/>
      <c r="AQ145" s="30"/>
      <c r="AR145" s="30"/>
      <c r="AS145" s="30"/>
      <c r="AT145" s="30"/>
      <c r="AU145" s="30"/>
      <c r="AV145" s="30"/>
      <c r="AW145" s="30"/>
      <c r="AX145" s="30"/>
      <c r="AY145" s="30"/>
      <c r="AZ145" s="30"/>
      <c r="BA145" s="30" t="e">
        <f t="array" aca="1" ref="BA145" ca="1">_xludf.XLOOKUP(C145,'PL TOTAL D0'!A:A,'PL TOTAL D0'!C:C,"")</f>
        <v>#NAME?</v>
      </c>
    </row>
    <row r="146" spans="1:53" ht="18.75" customHeight="1">
      <c r="A146" s="23" t="s">
        <v>29</v>
      </c>
      <c r="B146" s="38" t="s">
        <v>635</v>
      </c>
      <c r="C146" s="39" t="s">
        <v>636</v>
      </c>
      <c r="D146" s="7" t="s">
        <v>64</v>
      </c>
      <c r="E146" s="7" t="s">
        <v>20</v>
      </c>
      <c r="F146" s="7" t="s">
        <v>204</v>
      </c>
      <c r="G146" s="7" t="e">
        <f t="shared" ca="1" si="0"/>
        <v>#NAME?</v>
      </c>
      <c r="H146" s="24" t="s">
        <v>161</v>
      </c>
      <c r="I146" s="24" t="s">
        <v>205</v>
      </c>
      <c r="J146" s="7" t="str">
        <f t="shared" si="9"/>
        <v>Sim</v>
      </c>
      <c r="K146" s="25">
        <v>45412</v>
      </c>
      <c r="L146" s="25"/>
      <c r="M146" s="7" t="s">
        <v>31</v>
      </c>
      <c r="N146" s="26">
        <v>3.0000000000000001E-3</v>
      </c>
      <c r="O146" s="7" t="s">
        <v>25</v>
      </c>
      <c r="P146" s="27">
        <v>0</v>
      </c>
      <c r="Q146" s="45" t="s">
        <v>206</v>
      </c>
      <c r="R146" s="28"/>
      <c r="S146" s="7" t="s">
        <v>145</v>
      </c>
      <c r="T146" s="12" t="s">
        <v>637</v>
      </c>
      <c r="U146" s="7" t="s">
        <v>60</v>
      </c>
      <c r="V146" s="24" t="e">
        <f t="shared" ca="1" si="2"/>
        <v>#NAME?</v>
      </c>
      <c r="W146" s="7"/>
      <c r="X146" s="7" t="s">
        <v>52</v>
      </c>
      <c r="Y146" s="29" t="s">
        <v>433</v>
      </c>
      <c r="Z146" s="30"/>
      <c r="AA146" s="31">
        <v>45412</v>
      </c>
      <c r="AB146" s="32">
        <v>49075100014469</v>
      </c>
      <c r="AC146" s="30"/>
      <c r="AD146" s="30"/>
      <c r="AE146" s="30"/>
      <c r="AF146" s="30"/>
      <c r="AG146" s="30"/>
      <c r="AH146" s="30"/>
      <c r="AI146" s="30"/>
      <c r="AJ146" s="30"/>
      <c r="AK146" s="30"/>
      <c r="AL146" s="30"/>
      <c r="AM146" s="30"/>
      <c r="AN146" s="30"/>
      <c r="AO146" s="30"/>
      <c r="AP146" s="30"/>
      <c r="AQ146" s="30"/>
      <c r="AR146" s="30"/>
      <c r="AS146" s="30"/>
      <c r="AT146" s="30"/>
      <c r="AU146" s="30">
        <v>0</v>
      </c>
      <c r="AV146" s="30">
        <v>727.17</v>
      </c>
      <c r="AW146" s="30">
        <v>732.24</v>
      </c>
      <c r="AX146" s="30">
        <v>738.83</v>
      </c>
      <c r="AY146" s="30">
        <v>745.25</v>
      </c>
      <c r="AZ146" s="30">
        <v>751.45</v>
      </c>
      <c r="BA146" s="30" t="e">
        <f t="array" aca="1" ref="BA146" ca="1">_xludf.XLOOKUP(C146,'PL TOTAL D0'!A:A,'PL TOTAL D0'!C:C,"")</f>
        <v>#NAME?</v>
      </c>
    </row>
    <row r="147" spans="1:53" ht="12.75">
      <c r="A147" s="23" t="s">
        <v>29</v>
      </c>
      <c r="B147" s="37" t="s">
        <v>638</v>
      </c>
      <c r="C147" s="4" t="s">
        <v>639</v>
      </c>
      <c r="D147" s="7" t="s">
        <v>19</v>
      </c>
      <c r="E147" s="7" t="s">
        <v>49</v>
      </c>
      <c r="F147" s="7" t="s">
        <v>328</v>
      </c>
      <c r="G147" s="7" t="e">
        <f t="shared" ca="1" si="0"/>
        <v>#NAME?</v>
      </c>
      <c r="H147" s="24" t="s">
        <v>152</v>
      </c>
      <c r="I147" s="24" t="s">
        <v>25</v>
      </c>
      <c r="J147" s="7" t="str">
        <f t="shared" si="9"/>
        <v>Não</v>
      </c>
      <c r="K147" s="25">
        <v>44916</v>
      </c>
      <c r="L147" s="7"/>
      <c r="M147" s="7" t="s">
        <v>58</v>
      </c>
      <c r="N147" s="26">
        <v>1.2E-2</v>
      </c>
      <c r="O147" s="7" t="s">
        <v>25</v>
      </c>
      <c r="P147" s="27">
        <v>0</v>
      </c>
      <c r="Q147" s="28"/>
      <c r="R147" s="28"/>
      <c r="S147" s="7" t="s">
        <v>145</v>
      </c>
      <c r="T147" s="7" t="s">
        <v>640</v>
      </c>
      <c r="U147" s="7" t="s">
        <v>20</v>
      </c>
      <c r="V147" s="24" t="e">
        <f t="shared" ca="1" si="2"/>
        <v>#NAME?</v>
      </c>
      <c r="W147" s="7"/>
      <c r="X147" s="7"/>
      <c r="Y147" s="29" t="s">
        <v>253</v>
      </c>
      <c r="Z147" s="30"/>
      <c r="AA147" s="31">
        <v>44916</v>
      </c>
      <c r="AB147" s="32">
        <v>49075100005567</v>
      </c>
      <c r="AC147" s="30"/>
      <c r="AD147" s="30"/>
      <c r="AE147" s="30">
        <v>50145.2</v>
      </c>
      <c r="AF147" s="30">
        <v>238921.36</v>
      </c>
      <c r="AG147" s="30">
        <v>240791.65</v>
      </c>
      <c r="AH147" s="30">
        <v>243357.27</v>
      </c>
      <c r="AI147" s="30">
        <v>245077.86</v>
      </c>
      <c r="AJ147" s="30">
        <v>247554.61</v>
      </c>
      <c r="AK147" s="30">
        <v>249107.77</v>
      </c>
      <c r="AL147" s="30">
        <v>251183.31</v>
      </c>
      <c r="AM147" s="30">
        <v>253258.18</v>
      </c>
      <c r="AN147" s="30">
        <v>254304.31</v>
      </c>
      <c r="AO147" s="30">
        <v>254816.15</v>
      </c>
      <c r="AP147" s="30">
        <v>258852.46</v>
      </c>
      <c r="AQ147" s="30">
        <v>262315.46999999997</v>
      </c>
      <c r="AR147" s="30">
        <v>261512.38</v>
      </c>
      <c r="AS147" s="30">
        <v>263682.21999999997</v>
      </c>
      <c r="AT147" s="30">
        <v>265297.84000000003</v>
      </c>
      <c r="AU147" s="30">
        <v>265059.78999999998</v>
      </c>
      <c r="AV147" s="30">
        <v>265615.5</v>
      </c>
      <c r="AW147" s="30">
        <v>267569.59999999998</v>
      </c>
      <c r="AX147" s="30">
        <v>268870.09999999998</v>
      </c>
      <c r="AY147" s="30">
        <v>271680.88</v>
      </c>
      <c r="AZ147" s="30">
        <v>272364.76</v>
      </c>
      <c r="BA147" s="30" t="e">
        <f t="array" aca="1" ref="BA147" ca="1">_xludf.XLOOKUP(C147,'PL TOTAL D0'!A:A,'PL TOTAL D0'!C:C,"")</f>
        <v>#NAME?</v>
      </c>
    </row>
    <row r="148" spans="1:53" ht="15.75" customHeight="1">
      <c r="A148" s="23" t="s">
        <v>29</v>
      </c>
      <c r="B148" s="3" t="s">
        <v>641</v>
      </c>
      <c r="C148" s="4" t="s">
        <v>642</v>
      </c>
      <c r="D148" s="7" t="s">
        <v>19</v>
      </c>
      <c r="E148" s="7" t="s">
        <v>20</v>
      </c>
      <c r="F148" s="7" t="s">
        <v>199</v>
      </c>
      <c r="G148" s="7" t="e">
        <f t="shared" ca="1" si="0"/>
        <v>#NAME?</v>
      </c>
      <c r="H148" s="24" t="s">
        <v>152</v>
      </c>
      <c r="I148" s="24" t="s">
        <v>25</v>
      </c>
      <c r="J148" s="7" t="str">
        <f t="shared" si="9"/>
        <v>Não</v>
      </c>
      <c r="K148" s="25">
        <v>44993</v>
      </c>
      <c r="L148" s="7"/>
      <c r="M148" s="7" t="s">
        <v>42</v>
      </c>
      <c r="N148" s="26">
        <v>1.2E-2</v>
      </c>
      <c r="O148" s="7" t="s">
        <v>25</v>
      </c>
      <c r="P148" s="27">
        <v>0</v>
      </c>
      <c r="Q148" s="28"/>
      <c r="R148" s="28" t="s">
        <v>643</v>
      </c>
      <c r="S148" s="7" t="s">
        <v>145</v>
      </c>
      <c r="T148" s="7" t="s">
        <v>644</v>
      </c>
      <c r="U148" s="7" t="s">
        <v>20</v>
      </c>
      <c r="V148" s="24" t="e">
        <f t="shared" ca="1" si="2"/>
        <v>#NAME?</v>
      </c>
      <c r="W148" s="7"/>
      <c r="X148" s="7"/>
      <c r="Y148" s="29" t="s">
        <v>147</v>
      </c>
      <c r="Z148" s="30"/>
      <c r="AA148" s="31">
        <v>44993</v>
      </c>
      <c r="AB148" s="32">
        <v>49075100009503</v>
      </c>
      <c r="AC148" s="30"/>
      <c r="AD148" s="30"/>
      <c r="AE148" s="30"/>
      <c r="AF148" s="30"/>
      <c r="AG148" s="30"/>
      <c r="AH148" s="30">
        <v>77129.59</v>
      </c>
      <c r="AI148" s="30">
        <v>59816.41</v>
      </c>
      <c r="AJ148" s="30">
        <v>210494.19</v>
      </c>
      <c r="AK148" s="30">
        <v>194253.16</v>
      </c>
      <c r="AL148" s="30">
        <v>196307.12</v>
      </c>
      <c r="AM148" s="30">
        <v>196880.83</v>
      </c>
      <c r="AN148" s="30">
        <v>191557.41</v>
      </c>
      <c r="AO148" s="30">
        <v>189585.81</v>
      </c>
      <c r="AP148" s="30">
        <v>185233.66</v>
      </c>
      <c r="AQ148" s="30">
        <v>177840.36</v>
      </c>
      <c r="AR148" s="30">
        <v>180851.73</v>
      </c>
      <c r="AS148" s="30">
        <v>141458.68</v>
      </c>
      <c r="AT148" s="30">
        <v>137435.1</v>
      </c>
      <c r="AU148" s="30">
        <v>137408.65</v>
      </c>
      <c r="AV148" s="30">
        <v>131989</v>
      </c>
      <c r="AW148" s="30">
        <v>120566.9</v>
      </c>
      <c r="AX148" s="30">
        <v>121656.4</v>
      </c>
      <c r="AY148" s="30">
        <v>58998.53</v>
      </c>
      <c r="AZ148" s="30">
        <v>59430.12</v>
      </c>
      <c r="BA148" s="30" t="e">
        <f t="array" aca="1" ref="BA148" ca="1">_xludf.XLOOKUP(C148,'PL TOTAL D0'!A:A,'PL TOTAL D0'!C:C,"")</f>
        <v>#NAME?</v>
      </c>
    </row>
    <row r="149" spans="1:53" ht="15.75" customHeight="1">
      <c r="A149" s="23" t="s">
        <v>29</v>
      </c>
      <c r="B149" s="3" t="s">
        <v>645</v>
      </c>
      <c r="C149" s="4" t="s">
        <v>646</v>
      </c>
      <c r="D149" s="7" t="s">
        <v>19</v>
      </c>
      <c r="E149" s="7" t="s">
        <v>34</v>
      </c>
      <c r="F149" s="7" t="s">
        <v>35</v>
      </c>
      <c r="G149" s="7" t="e">
        <f t="shared" ca="1" si="0"/>
        <v>#NAME?</v>
      </c>
      <c r="H149" s="24" t="s">
        <v>152</v>
      </c>
      <c r="I149" s="24" t="s">
        <v>25</v>
      </c>
      <c r="J149" s="7" t="str">
        <f t="shared" si="9"/>
        <v>Não</v>
      </c>
      <c r="K149" s="25">
        <v>45166</v>
      </c>
      <c r="L149" s="25"/>
      <c r="M149" s="7" t="s">
        <v>200</v>
      </c>
      <c r="N149" s="26">
        <v>1.4999999999999999E-2</v>
      </c>
      <c r="O149" s="7" t="s">
        <v>37</v>
      </c>
      <c r="P149" s="27">
        <v>0.1</v>
      </c>
      <c r="Q149" s="28"/>
      <c r="R149" s="28" t="s">
        <v>647</v>
      </c>
      <c r="S149" s="7" t="s">
        <v>145</v>
      </c>
      <c r="T149" s="7" t="s">
        <v>648</v>
      </c>
      <c r="U149" s="7" t="s">
        <v>39</v>
      </c>
      <c r="V149" s="24" t="e">
        <f t="shared" ca="1" si="2"/>
        <v>#NAME?</v>
      </c>
      <c r="W149" s="7"/>
      <c r="X149" s="7"/>
      <c r="Y149" s="29" t="s">
        <v>147</v>
      </c>
      <c r="Z149" s="30"/>
      <c r="AA149" s="31">
        <v>45166</v>
      </c>
      <c r="AB149" s="32">
        <v>49075100011273</v>
      </c>
      <c r="AC149" s="30"/>
      <c r="AD149" s="30"/>
      <c r="AE149" s="30"/>
      <c r="AF149" s="30"/>
      <c r="AG149" s="30"/>
      <c r="AH149" s="30"/>
      <c r="AI149" s="30">
        <v>0</v>
      </c>
      <c r="AJ149" s="30">
        <v>0</v>
      </c>
      <c r="AK149" s="30">
        <v>0</v>
      </c>
      <c r="AL149" s="30">
        <v>0</v>
      </c>
      <c r="AM149" s="30">
        <v>0</v>
      </c>
      <c r="AN149" s="30">
        <v>407803.29</v>
      </c>
      <c r="AO149" s="30">
        <v>408062.01</v>
      </c>
      <c r="AP149" s="30">
        <v>417765.73</v>
      </c>
      <c r="AQ149" s="30">
        <v>426540.4</v>
      </c>
      <c r="AR149" s="30">
        <v>419110.92</v>
      </c>
      <c r="AS149" s="30">
        <v>422670.41</v>
      </c>
      <c r="AT149" s="30">
        <v>427432.58</v>
      </c>
      <c r="AU149" s="30">
        <v>359025.64</v>
      </c>
      <c r="AV149" s="30">
        <v>357581.9</v>
      </c>
      <c r="AW149" s="30">
        <v>359764.1</v>
      </c>
      <c r="AX149" s="30">
        <v>363834.6</v>
      </c>
      <c r="AY149" s="30">
        <v>367968.81</v>
      </c>
      <c r="AZ149" s="30">
        <v>367450.21</v>
      </c>
      <c r="BA149" s="30" t="e">
        <f t="array" aca="1" ref="BA149" ca="1">_xludf.XLOOKUP(C149,'PL TOTAL D0'!A:A,'PL TOTAL D0'!C:C,"")</f>
        <v>#NAME?</v>
      </c>
    </row>
    <row r="150" spans="1:53" ht="15.75" customHeight="1">
      <c r="A150" s="23" t="s">
        <v>29</v>
      </c>
      <c r="B150" s="3" t="s">
        <v>649</v>
      </c>
      <c r="C150" s="4" t="s">
        <v>650</v>
      </c>
      <c r="D150" s="7" t="s">
        <v>19</v>
      </c>
      <c r="E150" s="7" t="s">
        <v>34</v>
      </c>
      <c r="F150" s="7" t="s">
        <v>35</v>
      </c>
      <c r="G150" s="7" t="e">
        <f t="shared" ca="1" si="0"/>
        <v>#NAME?</v>
      </c>
      <c r="H150" s="24" t="s">
        <v>152</v>
      </c>
      <c r="I150" s="24" t="s">
        <v>25</v>
      </c>
      <c r="J150" s="7" t="str">
        <f t="shared" si="9"/>
        <v>Não</v>
      </c>
      <c r="K150" s="25">
        <v>45141</v>
      </c>
      <c r="L150" s="25"/>
      <c r="M150" s="7" t="s">
        <v>42</v>
      </c>
      <c r="N150" s="26">
        <v>1.2E-2</v>
      </c>
      <c r="O150" s="7" t="s">
        <v>25</v>
      </c>
      <c r="P150" s="27">
        <v>0</v>
      </c>
      <c r="Q150" s="45"/>
      <c r="R150" s="28"/>
      <c r="S150" s="7" t="s">
        <v>145</v>
      </c>
      <c r="T150" s="7" t="s">
        <v>651</v>
      </c>
      <c r="U150" s="7" t="s">
        <v>39</v>
      </c>
      <c r="V150" s="24" t="e">
        <f t="shared" ca="1" si="2"/>
        <v>#NAME?</v>
      </c>
      <c r="W150" s="7"/>
      <c r="X150" s="7"/>
      <c r="Y150" s="29" t="s">
        <v>147</v>
      </c>
      <c r="Z150" s="30"/>
      <c r="AA150" s="31">
        <v>45141</v>
      </c>
      <c r="AB150" s="32">
        <v>49075100010137</v>
      </c>
      <c r="AC150" s="30"/>
      <c r="AD150" s="30"/>
      <c r="AE150" s="30"/>
      <c r="AF150" s="30"/>
      <c r="AG150" s="30"/>
      <c r="AH150" s="30"/>
      <c r="AI150" s="30"/>
      <c r="AJ150" s="30"/>
      <c r="AK150" s="30">
        <v>0</v>
      </c>
      <c r="AL150" s="30">
        <v>0</v>
      </c>
      <c r="AM150" s="30">
        <v>338513.34</v>
      </c>
      <c r="AN150" s="30">
        <v>341132.31</v>
      </c>
      <c r="AO150" s="30">
        <v>343653.3</v>
      </c>
      <c r="AP150" s="30">
        <v>346154.34</v>
      </c>
      <c r="AQ150" s="30">
        <v>348818.11</v>
      </c>
      <c r="AR150" s="30">
        <v>351930.36</v>
      </c>
      <c r="AS150" s="30">
        <v>303944.09000000003</v>
      </c>
      <c r="AT150" s="30">
        <v>306615.90999999997</v>
      </c>
      <c r="AU150" s="30">
        <v>309264.15999999997</v>
      </c>
      <c r="AV150" s="30">
        <v>311423.59999999998</v>
      </c>
      <c r="AW150" s="30">
        <v>313912</v>
      </c>
      <c r="AX150" s="30">
        <v>316317.2</v>
      </c>
      <c r="AY150" s="30">
        <v>317999.11</v>
      </c>
      <c r="AZ150" s="30">
        <v>318753.21000000002</v>
      </c>
      <c r="BA150" s="30" t="e">
        <f t="array" aca="1" ref="BA150" ca="1">_xludf.XLOOKUP(C150,'PL TOTAL D0'!A:A,'PL TOTAL D0'!C:C,"")</f>
        <v>#NAME?</v>
      </c>
    </row>
    <row r="151" spans="1:53" ht="15.75" customHeight="1">
      <c r="A151" s="23" t="s">
        <v>29</v>
      </c>
      <c r="B151" s="3" t="s">
        <v>649</v>
      </c>
      <c r="C151" s="4" t="s">
        <v>652</v>
      </c>
      <c r="D151" s="7" t="s">
        <v>19</v>
      </c>
      <c r="E151" s="7" t="s">
        <v>34</v>
      </c>
      <c r="F151" s="7" t="s">
        <v>35</v>
      </c>
      <c r="G151" s="7" t="e">
        <f t="shared" ca="1" si="0"/>
        <v>#NAME?</v>
      </c>
      <c r="H151" s="24" t="s">
        <v>152</v>
      </c>
      <c r="I151" s="24" t="s">
        <v>25</v>
      </c>
      <c r="J151" s="7" t="str">
        <f t="shared" si="9"/>
        <v>Não</v>
      </c>
      <c r="K151" s="25">
        <v>45140</v>
      </c>
      <c r="L151" s="25"/>
      <c r="M151" s="7" t="s">
        <v>87</v>
      </c>
      <c r="N151" s="26">
        <v>2.5000000000000001E-2</v>
      </c>
      <c r="O151" s="7" t="s">
        <v>183</v>
      </c>
      <c r="P151" s="27">
        <v>0.2</v>
      </c>
      <c r="Q151" s="28"/>
      <c r="R151" s="28"/>
      <c r="S151" s="7" t="s">
        <v>145</v>
      </c>
      <c r="T151" s="7" t="s">
        <v>651</v>
      </c>
      <c r="U151" s="7" t="s">
        <v>39</v>
      </c>
      <c r="V151" s="24" t="e">
        <f t="shared" ca="1" si="2"/>
        <v>#NAME?</v>
      </c>
      <c r="W151" s="7"/>
      <c r="X151" s="7"/>
      <c r="Y151" s="29" t="s">
        <v>147</v>
      </c>
      <c r="Z151" s="30"/>
      <c r="AA151" s="31">
        <v>45140</v>
      </c>
      <c r="AB151" s="32">
        <v>49075100010129</v>
      </c>
      <c r="AC151" s="30"/>
      <c r="AD151" s="30"/>
      <c r="AE151" s="30"/>
      <c r="AF151" s="30"/>
      <c r="AG151" s="30"/>
      <c r="AH151" s="30"/>
      <c r="AI151" s="30"/>
      <c r="AJ151" s="30"/>
      <c r="AK151" s="30">
        <v>0</v>
      </c>
      <c r="AL151" s="30">
        <v>0</v>
      </c>
      <c r="AM151" s="30">
        <v>52239.98</v>
      </c>
      <c r="AN151" s="30">
        <v>52067.87</v>
      </c>
      <c r="AO151" s="30">
        <v>49764.17</v>
      </c>
      <c r="AP151" s="30">
        <v>53464.25</v>
      </c>
      <c r="AQ151" s="30">
        <v>56014.37</v>
      </c>
      <c r="AR151" s="30">
        <v>52137.23</v>
      </c>
      <c r="AS151" s="30">
        <v>102726.79</v>
      </c>
      <c r="AT151" s="30">
        <v>104501.31</v>
      </c>
      <c r="AU151" s="30">
        <v>99995.86</v>
      </c>
      <c r="AV151" s="30">
        <v>96913.29</v>
      </c>
      <c r="AW151" s="30">
        <v>97073.17</v>
      </c>
      <c r="AX151" s="30">
        <v>99693.53</v>
      </c>
      <c r="AY151" s="30">
        <v>101737.29</v>
      </c>
      <c r="AZ151" s="30">
        <v>99690.01</v>
      </c>
      <c r="BA151" s="30" t="e">
        <f t="array" aca="1" ref="BA151" ca="1">_xludf.XLOOKUP(C151,'PL TOTAL D0'!A:A,'PL TOTAL D0'!C:C,"")</f>
        <v>#NAME?</v>
      </c>
    </row>
    <row r="152" spans="1:53" ht="15.75" customHeight="1">
      <c r="A152" s="23" t="s">
        <v>29</v>
      </c>
      <c r="B152" s="3" t="s">
        <v>653</v>
      </c>
      <c r="C152" s="4" t="s">
        <v>654</v>
      </c>
      <c r="D152" s="7" t="s">
        <v>19</v>
      </c>
      <c r="E152" s="7" t="s">
        <v>20</v>
      </c>
      <c r="F152" s="7" t="s">
        <v>199</v>
      </c>
      <c r="G152" s="7" t="e">
        <f t="shared" ca="1" si="0"/>
        <v>#NAME?</v>
      </c>
      <c r="H152" s="24" t="s">
        <v>161</v>
      </c>
      <c r="I152" s="24" t="s">
        <v>162</v>
      </c>
      <c r="J152" s="7" t="str">
        <f t="shared" si="9"/>
        <v>Não</v>
      </c>
      <c r="K152" s="25">
        <v>45264</v>
      </c>
      <c r="L152" s="25"/>
      <c r="M152" s="9" t="s">
        <v>357</v>
      </c>
      <c r="N152" s="26">
        <v>7.0000000000000001E-3</v>
      </c>
      <c r="O152" s="7" t="s">
        <v>25</v>
      </c>
      <c r="P152" s="27">
        <v>0</v>
      </c>
      <c r="Q152" s="45"/>
      <c r="R152" s="28"/>
      <c r="S152" s="7" t="s">
        <v>145</v>
      </c>
      <c r="T152" s="7" t="s">
        <v>655</v>
      </c>
      <c r="U152" s="7" t="s">
        <v>20</v>
      </c>
      <c r="V152" s="24" t="e">
        <f t="shared" ca="1" si="2"/>
        <v>#NAME?</v>
      </c>
      <c r="W152" s="7"/>
      <c r="X152" s="7"/>
      <c r="Y152" s="29" t="s">
        <v>147</v>
      </c>
      <c r="Z152" s="30"/>
      <c r="AA152" s="31">
        <v>45264</v>
      </c>
      <c r="AB152" s="32">
        <v>49075100012946</v>
      </c>
      <c r="AC152" s="30"/>
      <c r="AD152" s="30"/>
      <c r="AE152" s="30"/>
      <c r="AF152" s="30"/>
      <c r="AG152" s="30"/>
      <c r="AH152" s="30"/>
      <c r="AI152" s="30"/>
      <c r="AJ152" s="30"/>
      <c r="AK152" s="30"/>
      <c r="AL152" s="30"/>
      <c r="AM152" s="30"/>
      <c r="AN152" s="30"/>
      <c r="AO152" s="30"/>
      <c r="AP152" s="30">
        <v>0</v>
      </c>
      <c r="AQ152" s="30">
        <v>0</v>
      </c>
      <c r="AR152" s="30">
        <v>0</v>
      </c>
      <c r="AS152" s="30">
        <v>0</v>
      </c>
      <c r="AT152" s="30">
        <v>0</v>
      </c>
      <c r="AU152" s="30">
        <v>0</v>
      </c>
      <c r="AV152" s="30">
        <v>0</v>
      </c>
      <c r="AW152" s="30">
        <v>0</v>
      </c>
      <c r="AX152" s="30">
        <v>0</v>
      </c>
      <c r="AY152" s="30">
        <v>0</v>
      </c>
      <c r="AZ152" s="30">
        <v>0</v>
      </c>
      <c r="BA152" s="30" t="e">
        <f t="array" aca="1" ref="BA152" ca="1">_xludf.XLOOKUP(C152,'PL TOTAL D0'!A:A,'PL TOTAL D0'!C:C,"")</f>
        <v>#NAME?</v>
      </c>
    </row>
    <row r="153" spans="1:53" ht="15.75" customHeight="1">
      <c r="A153" s="23" t="s">
        <v>29</v>
      </c>
      <c r="B153" s="40" t="s">
        <v>656</v>
      </c>
      <c r="C153" s="41" t="s">
        <v>657</v>
      </c>
      <c r="D153" s="7" t="s">
        <v>64</v>
      </c>
      <c r="E153" s="7" t="s">
        <v>20</v>
      </c>
      <c r="F153" s="7" t="s">
        <v>142</v>
      </c>
      <c r="G153" s="7" t="e">
        <f t="shared" ca="1" si="0"/>
        <v>#NAME?</v>
      </c>
      <c r="H153" s="24" t="s">
        <v>161</v>
      </c>
      <c r="I153" s="24" t="s">
        <v>162</v>
      </c>
      <c r="J153" s="7" t="str">
        <f t="shared" si="9"/>
        <v>Não</v>
      </c>
      <c r="K153" s="25">
        <v>45189</v>
      </c>
      <c r="L153" s="25"/>
      <c r="M153" s="7" t="s">
        <v>58</v>
      </c>
      <c r="N153" s="26">
        <v>1.2E-2</v>
      </c>
      <c r="O153" s="7" t="s">
        <v>37</v>
      </c>
      <c r="P153" s="27">
        <v>0.1</v>
      </c>
      <c r="Q153" s="45"/>
      <c r="R153" s="28"/>
      <c r="S153" s="7" t="s">
        <v>145</v>
      </c>
      <c r="T153" s="7" t="s">
        <v>658</v>
      </c>
      <c r="U153" s="7" t="s">
        <v>20</v>
      </c>
      <c r="V153" s="24" t="e">
        <f t="shared" ca="1" si="2"/>
        <v>#NAME?</v>
      </c>
      <c r="W153" s="7"/>
      <c r="X153" s="7"/>
      <c r="Y153" s="29" t="s">
        <v>147</v>
      </c>
      <c r="Z153" s="30"/>
      <c r="AA153" s="31">
        <v>45189</v>
      </c>
      <c r="AB153" s="32">
        <v>49075100011281</v>
      </c>
      <c r="AC153" s="30"/>
      <c r="AD153" s="30"/>
      <c r="AE153" s="30"/>
      <c r="AF153" s="30"/>
      <c r="AG153" s="30"/>
      <c r="AH153" s="30"/>
      <c r="AI153" s="30"/>
      <c r="AJ153" s="30"/>
      <c r="AK153" s="30"/>
      <c r="AL153" s="30"/>
      <c r="AM153" s="30"/>
      <c r="AN153" s="30">
        <v>110342.23</v>
      </c>
      <c r="AO153" s="30">
        <v>111394.25</v>
      </c>
      <c r="AP153" s="30">
        <v>112217.82</v>
      </c>
      <c r="AQ153" s="30">
        <v>112923.13</v>
      </c>
      <c r="AR153" s="30">
        <v>117879.39</v>
      </c>
      <c r="AS153" s="30">
        <v>118972.12</v>
      </c>
      <c r="AT153" s="30">
        <v>119862.32</v>
      </c>
      <c r="AU153" s="30">
        <v>119821.94</v>
      </c>
      <c r="AV153" s="30">
        <v>120079.5</v>
      </c>
      <c r="AW153" s="30">
        <v>112.72</v>
      </c>
      <c r="AX153" s="30">
        <v>112.71</v>
      </c>
      <c r="AY153" s="30">
        <v>112.86</v>
      </c>
      <c r="AZ153" s="30">
        <v>112.85</v>
      </c>
      <c r="BA153" s="30" t="e">
        <f t="array" aca="1" ref="BA153" ca="1">_xludf.XLOOKUP(C153,'PL TOTAL D0'!A:A,'PL TOTAL D0'!C:C,"")</f>
        <v>#NAME?</v>
      </c>
    </row>
    <row r="154" spans="1:53" ht="15.75" customHeight="1">
      <c r="A154" s="23" t="s">
        <v>29</v>
      </c>
      <c r="B154" s="3" t="s">
        <v>659</v>
      </c>
      <c r="C154" s="4" t="s">
        <v>660</v>
      </c>
      <c r="D154" s="7" t="s">
        <v>19</v>
      </c>
      <c r="E154" s="7" t="s">
        <v>60</v>
      </c>
      <c r="F154" s="7" t="s">
        <v>661</v>
      </c>
      <c r="G154" s="7" t="e">
        <f t="shared" ca="1" si="0"/>
        <v>#NAME?</v>
      </c>
      <c r="H154" s="24" t="s">
        <v>152</v>
      </c>
      <c r="I154" s="24" t="s">
        <v>25</v>
      </c>
      <c r="J154" s="7" t="str">
        <f t="shared" si="9"/>
        <v>Não</v>
      </c>
      <c r="K154" s="25">
        <v>44952</v>
      </c>
      <c r="L154" s="7"/>
      <c r="M154" s="7" t="s">
        <v>200</v>
      </c>
      <c r="N154" s="26">
        <v>1.4999999999999999E-2</v>
      </c>
      <c r="O154" s="7" t="s">
        <v>37</v>
      </c>
      <c r="P154" s="27">
        <v>0.1</v>
      </c>
      <c r="Q154" s="28"/>
      <c r="R154" s="28"/>
      <c r="S154" s="7" t="s">
        <v>145</v>
      </c>
      <c r="T154" s="7" t="s">
        <v>662</v>
      </c>
      <c r="U154" s="7" t="s">
        <v>60</v>
      </c>
      <c r="V154" s="24" t="e">
        <f t="shared" ca="1" si="2"/>
        <v>#NAME?</v>
      </c>
      <c r="W154" s="7"/>
      <c r="X154" s="7"/>
      <c r="Y154" s="29" t="s">
        <v>147</v>
      </c>
      <c r="Z154" s="30"/>
      <c r="AA154" s="31">
        <v>44952</v>
      </c>
      <c r="AB154" s="32">
        <v>49075100005575</v>
      </c>
      <c r="AC154" s="30"/>
      <c r="AD154" s="30"/>
      <c r="AE154" s="30"/>
      <c r="AF154" s="30">
        <v>11476.59</v>
      </c>
      <c r="AG154" s="30">
        <v>56393.03</v>
      </c>
      <c r="AH154" s="30">
        <v>100741.71</v>
      </c>
      <c r="AI154" s="30">
        <v>130309.69</v>
      </c>
      <c r="AJ154" s="30">
        <v>131947.19</v>
      </c>
      <c r="AK154" s="30">
        <v>134395.32</v>
      </c>
      <c r="AL154" s="30">
        <v>135329.99</v>
      </c>
      <c r="AM154" s="30">
        <v>134736.76999999999</v>
      </c>
      <c r="AN154" s="30">
        <v>135367.96</v>
      </c>
      <c r="AO154" s="30">
        <v>135090.37</v>
      </c>
      <c r="AP154" s="30">
        <v>138094.13</v>
      </c>
      <c r="AQ154" s="30">
        <v>140826.88</v>
      </c>
      <c r="AR154" s="30">
        <v>138732.48000000001</v>
      </c>
      <c r="AS154" s="30">
        <v>140072.31</v>
      </c>
      <c r="AT154" s="30">
        <v>141341.87</v>
      </c>
      <c r="AU154" s="30">
        <v>139947.76</v>
      </c>
      <c r="AV154" s="30">
        <v>140100.9</v>
      </c>
      <c r="AW154" s="30">
        <v>140925.9</v>
      </c>
      <c r="AX154" s="30">
        <v>142899.70000000001</v>
      </c>
      <c r="AY154" s="30">
        <v>144651.42000000001</v>
      </c>
      <c r="AZ154" s="30">
        <v>144533.53</v>
      </c>
      <c r="BA154" s="30" t="e">
        <f t="array" aca="1" ref="BA154" ca="1">_xludf.XLOOKUP(C154,'PL TOTAL D0'!A:A,'PL TOTAL D0'!C:C,"")</f>
        <v>#NAME?</v>
      </c>
    </row>
    <row r="155" spans="1:53" ht="15.75" customHeight="1">
      <c r="A155" s="23" t="s">
        <v>29</v>
      </c>
      <c r="B155" s="3" t="s">
        <v>663</v>
      </c>
      <c r="C155" s="4" t="s">
        <v>664</v>
      </c>
      <c r="D155" s="7" t="s">
        <v>19</v>
      </c>
      <c r="E155" s="7" t="s">
        <v>49</v>
      </c>
      <c r="F155" s="7" t="s">
        <v>166</v>
      </c>
      <c r="G155" s="7" t="e">
        <f t="shared" ca="1" si="0"/>
        <v>#NAME?</v>
      </c>
      <c r="H155" s="24" t="s">
        <v>152</v>
      </c>
      <c r="I155" s="24" t="s">
        <v>25</v>
      </c>
      <c r="J155" s="7" t="str">
        <f t="shared" si="9"/>
        <v>Sim</v>
      </c>
      <c r="K155" s="25">
        <v>44951</v>
      </c>
      <c r="L155" s="7"/>
      <c r="M155" s="7" t="s">
        <v>42</v>
      </c>
      <c r="N155" s="26">
        <v>0.01</v>
      </c>
      <c r="O155" s="7" t="s">
        <v>25</v>
      </c>
      <c r="P155" s="27">
        <v>0</v>
      </c>
      <c r="Q155" s="28" t="s">
        <v>665</v>
      </c>
      <c r="R155" s="28"/>
      <c r="S155" s="7" t="s">
        <v>145</v>
      </c>
      <c r="T155" s="7" t="s">
        <v>666</v>
      </c>
      <c r="U155" s="7" t="s">
        <v>585</v>
      </c>
      <c r="V155" s="24" t="e">
        <f t="shared" ca="1" si="2"/>
        <v>#NAME?</v>
      </c>
      <c r="W155" s="7"/>
      <c r="X155" s="7"/>
      <c r="Y155" s="29" t="s">
        <v>253</v>
      </c>
      <c r="Z155" s="30"/>
      <c r="AA155" s="31">
        <v>44951</v>
      </c>
      <c r="AB155" s="32">
        <v>49075100005583</v>
      </c>
      <c r="AC155" s="30"/>
      <c r="AD155" s="30"/>
      <c r="AE155" s="30"/>
      <c r="AF155" s="30">
        <v>34444.79</v>
      </c>
      <c r="AG155" s="30">
        <v>24827.3</v>
      </c>
      <c r="AH155" s="30">
        <v>25083.91</v>
      </c>
      <c r="AI155" s="30">
        <v>25270.13</v>
      </c>
      <c r="AJ155" s="30">
        <v>29257.61</v>
      </c>
      <c r="AK155" s="30">
        <v>31545.57</v>
      </c>
      <c r="AL155" s="30">
        <v>32831.67</v>
      </c>
      <c r="AM155" s="30">
        <v>31614.77</v>
      </c>
      <c r="AN155" s="30">
        <v>27788.14</v>
      </c>
      <c r="AO155" s="30">
        <v>25899.62</v>
      </c>
      <c r="AP155" s="30">
        <v>27599.78</v>
      </c>
      <c r="AQ155" s="30">
        <v>28863.14</v>
      </c>
      <c r="AR155" s="30">
        <v>28078.2</v>
      </c>
      <c r="AS155" s="30">
        <v>16394.32</v>
      </c>
      <c r="AT155" s="30">
        <v>17659.52</v>
      </c>
      <c r="AU155" s="30">
        <v>21640.73</v>
      </c>
      <c r="AV155" s="30">
        <v>21833.69</v>
      </c>
      <c r="AW155" s="30">
        <v>29153.77</v>
      </c>
      <c r="AX155" s="30">
        <v>34602.870000000003</v>
      </c>
      <c r="AY155" s="30">
        <v>46292.32</v>
      </c>
      <c r="AZ155" s="30">
        <v>42411.71</v>
      </c>
      <c r="BA155" s="30" t="e">
        <f t="array" aca="1" ref="BA155" ca="1">_xludf.XLOOKUP(C155,'PL TOTAL D0'!A:A,'PL TOTAL D0'!C:C,"")</f>
        <v>#NAME?</v>
      </c>
    </row>
    <row r="156" spans="1:53" ht="15.75" customHeight="1">
      <c r="A156" s="23" t="s">
        <v>29</v>
      </c>
      <c r="B156" s="3" t="s">
        <v>667</v>
      </c>
      <c r="C156" s="4" t="s">
        <v>668</v>
      </c>
      <c r="D156" s="7" t="s">
        <v>19</v>
      </c>
      <c r="E156" s="7" t="s">
        <v>34</v>
      </c>
      <c r="F156" s="7" t="s">
        <v>262</v>
      </c>
      <c r="G156" s="7" t="e">
        <f t="shared" ca="1" si="0"/>
        <v>#NAME?</v>
      </c>
      <c r="H156" s="24" t="s">
        <v>143</v>
      </c>
      <c r="I156" s="24" t="s">
        <v>25</v>
      </c>
      <c r="J156" s="7" t="str">
        <f t="shared" si="9"/>
        <v>Não</v>
      </c>
      <c r="K156" s="25">
        <v>45092</v>
      </c>
      <c r="L156" s="25">
        <v>45152</v>
      </c>
      <c r="M156" s="7" t="s">
        <v>58</v>
      </c>
      <c r="N156" s="26">
        <v>1.2E-2</v>
      </c>
      <c r="O156" s="7" t="s">
        <v>25</v>
      </c>
      <c r="P156" s="27">
        <v>0</v>
      </c>
      <c r="Q156" s="28"/>
      <c r="R156" s="28"/>
      <c r="S156" s="7" t="s">
        <v>145</v>
      </c>
      <c r="T156" s="7" t="s">
        <v>669</v>
      </c>
      <c r="U156" s="7" t="s">
        <v>39</v>
      </c>
      <c r="V156" s="24" t="e">
        <f t="shared" ca="1" si="2"/>
        <v>#NAME?</v>
      </c>
      <c r="W156" s="7"/>
      <c r="X156" s="7"/>
      <c r="Y156" s="29"/>
      <c r="Z156" s="30"/>
      <c r="AA156" s="31">
        <v>45092</v>
      </c>
      <c r="AB156" s="32"/>
      <c r="AC156" s="30"/>
      <c r="AD156" s="30"/>
      <c r="AE156" s="30"/>
      <c r="AF156" s="30"/>
      <c r="AG156" s="30"/>
      <c r="AH156" s="30"/>
      <c r="AI156" s="30">
        <v>0</v>
      </c>
      <c r="AJ156" s="30">
        <v>0</v>
      </c>
      <c r="AK156" s="30">
        <v>10052.23</v>
      </c>
      <c r="AL156" s="30">
        <v>0.01</v>
      </c>
      <c r="AM156" s="30">
        <v>0</v>
      </c>
      <c r="AN156" s="30">
        <v>0</v>
      </c>
      <c r="AO156" s="30">
        <v>0</v>
      </c>
      <c r="AP156" s="30">
        <v>0</v>
      </c>
      <c r="AQ156" s="30">
        <v>0</v>
      </c>
      <c r="AR156" s="30">
        <v>0</v>
      </c>
      <c r="AS156" s="30">
        <v>0</v>
      </c>
      <c r="AT156" s="30">
        <v>0</v>
      </c>
      <c r="AU156" s="30">
        <v>0</v>
      </c>
      <c r="AV156" s="30">
        <v>0</v>
      </c>
      <c r="AW156" s="30">
        <v>0</v>
      </c>
      <c r="AX156" s="30">
        <v>0</v>
      </c>
      <c r="AY156" s="30">
        <v>0</v>
      </c>
      <c r="AZ156" s="30">
        <v>0</v>
      </c>
      <c r="BA156" s="30" t="e">
        <f t="array" aca="1" ref="BA156" ca="1">_xludf.XLOOKUP(C156,'PL TOTAL D0'!A:A,'PL TOTAL D0'!C:C,"")</f>
        <v>#NAME?</v>
      </c>
    </row>
    <row r="157" spans="1:53" ht="15.75" customHeight="1">
      <c r="A157" s="23" t="s">
        <v>29</v>
      </c>
      <c r="B157" s="77" t="s">
        <v>670</v>
      </c>
      <c r="C157" s="4" t="s">
        <v>671</v>
      </c>
      <c r="D157" s="7" t="s">
        <v>19</v>
      </c>
      <c r="E157" s="7" t="s">
        <v>34</v>
      </c>
      <c r="F157" s="7" t="s">
        <v>262</v>
      </c>
      <c r="G157" s="7" t="e">
        <f t="shared" ca="1" si="0"/>
        <v>#NAME?</v>
      </c>
      <c r="H157" s="24" t="s">
        <v>152</v>
      </c>
      <c r="I157" s="24" t="s">
        <v>25</v>
      </c>
      <c r="J157" s="7" t="str">
        <f t="shared" si="9"/>
        <v>Sim</v>
      </c>
      <c r="K157" s="25">
        <v>45135</v>
      </c>
      <c r="L157" s="7"/>
      <c r="M157" s="7" t="s">
        <v>200</v>
      </c>
      <c r="N157" s="26">
        <v>1.4999999999999999E-2</v>
      </c>
      <c r="O157" s="7" t="s">
        <v>37</v>
      </c>
      <c r="P157" s="27">
        <v>0.1</v>
      </c>
      <c r="Q157" s="23" t="s">
        <v>672</v>
      </c>
      <c r="R157" s="28" t="s">
        <v>673</v>
      </c>
      <c r="S157" s="7" t="s">
        <v>145</v>
      </c>
      <c r="T157" s="7" t="s">
        <v>669</v>
      </c>
      <c r="U157" s="7" t="s">
        <v>39</v>
      </c>
      <c r="V157" s="24" t="e">
        <f t="shared" ca="1" si="2"/>
        <v>#NAME?</v>
      </c>
      <c r="W157" s="7"/>
      <c r="X157" s="7"/>
      <c r="Y157" s="29" t="s">
        <v>147</v>
      </c>
      <c r="Z157" s="30"/>
      <c r="AA157" s="31">
        <v>45135</v>
      </c>
      <c r="AB157" s="32">
        <v>49075100007144</v>
      </c>
      <c r="AC157" s="30"/>
      <c r="AD157" s="30"/>
      <c r="AE157" s="30"/>
      <c r="AF157" s="30"/>
      <c r="AG157" s="30"/>
      <c r="AH157" s="30"/>
      <c r="AI157" s="30"/>
      <c r="AJ157" s="30"/>
      <c r="AK157" s="30"/>
      <c r="AL157" s="30">
        <v>10091.93</v>
      </c>
      <c r="AM157" s="30">
        <v>111690.06</v>
      </c>
      <c r="AN157" s="30">
        <v>226896.08</v>
      </c>
      <c r="AO157" s="30">
        <v>256710.05</v>
      </c>
      <c r="AP157" s="30">
        <v>261983.09</v>
      </c>
      <c r="AQ157" s="30">
        <v>266625.69</v>
      </c>
      <c r="AR157" s="30">
        <v>262459.89</v>
      </c>
      <c r="AS157" s="30">
        <v>266173.15000000002</v>
      </c>
      <c r="AT157" s="30">
        <v>268734.95</v>
      </c>
      <c r="AU157" s="30">
        <v>231977.24</v>
      </c>
      <c r="AV157" s="30">
        <v>231374</v>
      </c>
      <c r="AW157" s="30">
        <v>190442.4</v>
      </c>
      <c r="AX157" s="30">
        <v>158159.4</v>
      </c>
      <c r="AY157" s="30">
        <v>159980.41</v>
      </c>
      <c r="AZ157" s="30">
        <v>159149.35999999999</v>
      </c>
      <c r="BA157" s="30" t="e">
        <f t="array" aca="1" ref="BA157" ca="1">_xludf.XLOOKUP(C157,'PL TOTAL D0'!A:A,'PL TOTAL D0'!C:C,"")</f>
        <v>#NAME?</v>
      </c>
    </row>
    <row r="158" spans="1:53" ht="15.75" customHeight="1">
      <c r="A158" s="23" t="s">
        <v>29</v>
      </c>
      <c r="B158" s="3" t="s">
        <v>674</v>
      </c>
      <c r="C158" s="4" t="s">
        <v>675</v>
      </c>
      <c r="D158" s="7" t="s">
        <v>19</v>
      </c>
      <c r="E158" s="7" t="s">
        <v>34</v>
      </c>
      <c r="F158" s="7" t="s">
        <v>35</v>
      </c>
      <c r="G158" s="7" t="e">
        <f t="shared" ca="1" si="0"/>
        <v>#NAME?</v>
      </c>
      <c r="H158" s="24" t="s">
        <v>152</v>
      </c>
      <c r="I158" s="24" t="s">
        <v>25</v>
      </c>
      <c r="J158" s="7" t="str">
        <f t="shared" si="9"/>
        <v>Não</v>
      </c>
      <c r="K158" s="25">
        <v>45132</v>
      </c>
      <c r="L158" s="25"/>
      <c r="M158" s="78" t="s">
        <v>200</v>
      </c>
      <c r="N158" s="26">
        <v>1.4999999999999999E-2</v>
      </c>
      <c r="O158" s="7" t="s">
        <v>37</v>
      </c>
      <c r="P158" s="27">
        <v>0.1</v>
      </c>
      <c r="Q158" s="45"/>
      <c r="R158" s="45"/>
      <c r="S158" s="7" t="s">
        <v>145</v>
      </c>
      <c r="T158" s="7" t="s">
        <v>676</v>
      </c>
      <c r="U158" s="7" t="s">
        <v>39</v>
      </c>
      <c r="V158" s="24" t="e">
        <f t="shared" ca="1" si="2"/>
        <v>#NAME?</v>
      </c>
      <c r="W158" s="7"/>
      <c r="X158" s="7"/>
      <c r="Y158" s="29" t="s">
        <v>147</v>
      </c>
      <c r="Z158" s="30"/>
      <c r="AA158" s="31">
        <v>45132</v>
      </c>
      <c r="AB158" s="32">
        <v>49075100007764</v>
      </c>
      <c r="AC158" s="30"/>
      <c r="AD158" s="30"/>
      <c r="AE158" s="30"/>
      <c r="AF158" s="30"/>
      <c r="AG158" s="30"/>
      <c r="AH158" s="30">
        <v>0</v>
      </c>
      <c r="AI158" s="30">
        <v>0</v>
      </c>
      <c r="AJ158" s="30">
        <v>0</v>
      </c>
      <c r="AK158" s="30">
        <v>0</v>
      </c>
      <c r="AL158" s="30">
        <v>222554.38</v>
      </c>
      <c r="AM158" s="30">
        <v>397321.78</v>
      </c>
      <c r="AN158" s="30">
        <v>413850.07</v>
      </c>
      <c r="AO158" s="30">
        <v>414069.55</v>
      </c>
      <c r="AP158" s="30">
        <v>339359.54</v>
      </c>
      <c r="AQ158" s="30">
        <v>346092.39</v>
      </c>
      <c r="AR158" s="30">
        <v>340505.92</v>
      </c>
      <c r="AS158" s="30">
        <v>343818.5</v>
      </c>
      <c r="AT158" s="30">
        <v>347570.86</v>
      </c>
      <c r="AU158" s="30">
        <v>345547.17</v>
      </c>
      <c r="AV158" s="30">
        <v>345333.2</v>
      </c>
      <c r="AW158" s="30">
        <v>347460.2</v>
      </c>
      <c r="AX158" s="30">
        <v>352127.2</v>
      </c>
      <c r="AY158" s="30">
        <v>355803.16</v>
      </c>
      <c r="AZ158" s="30">
        <v>352874.26</v>
      </c>
      <c r="BA158" s="30" t="e">
        <f t="array" aca="1" ref="BA158" ca="1">_xludf.XLOOKUP(C158,'PL TOTAL D0'!A:A,'PL TOTAL D0'!C:C,"")</f>
        <v>#NAME?</v>
      </c>
    </row>
    <row r="159" spans="1:53" ht="15.75" customHeight="1">
      <c r="A159" s="23" t="s">
        <v>29</v>
      </c>
      <c r="B159" s="37" t="s">
        <v>677</v>
      </c>
      <c r="C159" s="4" t="s">
        <v>678</v>
      </c>
      <c r="D159" s="7" t="s">
        <v>19</v>
      </c>
      <c r="E159" s="7" t="s">
        <v>34</v>
      </c>
      <c r="F159" s="7" t="s">
        <v>35</v>
      </c>
      <c r="G159" s="7" t="e">
        <f t="shared" ca="1" si="0"/>
        <v>#NAME?</v>
      </c>
      <c r="H159" s="24" t="s">
        <v>143</v>
      </c>
      <c r="I159" s="24" t="s">
        <v>25</v>
      </c>
      <c r="J159" s="7" t="str">
        <f t="shared" si="9"/>
        <v>Não</v>
      </c>
      <c r="K159" s="25">
        <v>45034</v>
      </c>
      <c r="L159" s="79">
        <v>45274</v>
      </c>
      <c r="M159" s="7" t="s">
        <v>42</v>
      </c>
      <c r="N159" s="26">
        <v>1.2E-2</v>
      </c>
      <c r="O159" s="7" t="s">
        <v>25</v>
      </c>
      <c r="P159" s="27">
        <v>0</v>
      </c>
      <c r="Q159" s="80"/>
      <c r="R159" s="81"/>
      <c r="S159" s="7" t="s">
        <v>145</v>
      </c>
      <c r="T159" s="7" t="s">
        <v>676</v>
      </c>
      <c r="U159" s="7" t="s">
        <v>39</v>
      </c>
      <c r="V159" s="24" t="e">
        <f t="shared" ca="1" si="2"/>
        <v>#NAME?</v>
      </c>
      <c r="W159" s="7"/>
      <c r="X159" s="7"/>
      <c r="Y159" s="29"/>
      <c r="Z159" s="30"/>
      <c r="AA159" s="31">
        <v>45034</v>
      </c>
      <c r="AB159" s="32"/>
      <c r="AC159" s="30"/>
      <c r="AD159" s="30"/>
      <c r="AE159" s="30"/>
      <c r="AF159" s="30"/>
      <c r="AG159" s="30"/>
      <c r="AH159" s="30">
        <v>0</v>
      </c>
      <c r="AI159" s="30">
        <v>701999.45</v>
      </c>
      <c r="AJ159" s="30">
        <v>709503.56</v>
      </c>
      <c r="AK159" s="30">
        <v>386365.49</v>
      </c>
      <c r="AL159" s="30">
        <v>556458.32999999996</v>
      </c>
      <c r="AM159" s="30">
        <v>392514.41</v>
      </c>
      <c r="AN159" s="30">
        <v>409850.82</v>
      </c>
      <c r="AO159" s="30">
        <v>593.20000000000005</v>
      </c>
      <c r="AP159" s="30">
        <v>204.09</v>
      </c>
      <c r="AQ159" s="30">
        <v>0</v>
      </c>
      <c r="AR159" s="30">
        <v>0</v>
      </c>
      <c r="AS159" s="30">
        <v>0</v>
      </c>
      <c r="AT159" s="30">
        <v>0</v>
      </c>
      <c r="AU159" s="30">
        <v>0</v>
      </c>
      <c r="AV159" s="30">
        <v>0</v>
      </c>
      <c r="AW159" s="30">
        <v>0</v>
      </c>
      <c r="AX159" s="30">
        <v>0</v>
      </c>
      <c r="AY159" s="30">
        <v>0</v>
      </c>
      <c r="AZ159" s="30">
        <v>0</v>
      </c>
      <c r="BA159" s="30" t="e">
        <f t="array" aca="1" ref="BA159" ca="1">_xludf.XLOOKUP(C159,'PL TOTAL D0'!A:A,'PL TOTAL D0'!C:C,"")</f>
        <v>#NAME?</v>
      </c>
    </row>
    <row r="160" spans="1:53" ht="15.75" customHeight="1">
      <c r="A160" s="23" t="s">
        <v>29</v>
      </c>
      <c r="B160" s="37" t="s">
        <v>679</v>
      </c>
      <c r="C160" s="4" t="s">
        <v>680</v>
      </c>
      <c r="D160" s="7" t="s">
        <v>19</v>
      </c>
      <c r="E160" s="7" t="s">
        <v>49</v>
      </c>
      <c r="F160" s="7" t="s">
        <v>50</v>
      </c>
      <c r="G160" s="7" t="e">
        <f t="shared" ca="1" si="0"/>
        <v>#NAME?</v>
      </c>
      <c r="H160" s="24" t="s">
        <v>161</v>
      </c>
      <c r="I160" s="24" t="s">
        <v>162</v>
      </c>
      <c r="J160" s="7" t="str">
        <f t="shared" si="9"/>
        <v>Não</v>
      </c>
      <c r="K160" s="25">
        <v>44994</v>
      </c>
      <c r="L160" s="7"/>
      <c r="M160" s="78" t="s">
        <v>42</v>
      </c>
      <c r="N160" s="26">
        <v>1.2E-2</v>
      </c>
      <c r="O160" s="7" t="s">
        <v>25</v>
      </c>
      <c r="P160" s="27">
        <v>0</v>
      </c>
      <c r="Q160" s="45"/>
      <c r="R160" s="45" t="s">
        <v>681</v>
      </c>
      <c r="S160" s="7" t="s">
        <v>145</v>
      </c>
      <c r="T160" s="7" t="s">
        <v>682</v>
      </c>
      <c r="U160" s="7" t="s">
        <v>49</v>
      </c>
      <c r="V160" s="24" t="e">
        <f t="shared" ca="1" si="2"/>
        <v>#NAME?</v>
      </c>
      <c r="W160" s="7"/>
      <c r="X160" s="7"/>
      <c r="Y160" s="29" t="s">
        <v>147</v>
      </c>
      <c r="Z160" s="30"/>
      <c r="AA160" s="31">
        <v>44994</v>
      </c>
      <c r="AB160" s="32">
        <v>49075100009333</v>
      </c>
      <c r="AC160" s="30"/>
      <c r="AD160" s="30"/>
      <c r="AE160" s="30"/>
      <c r="AF160" s="30"/>
      <c r="AG160" s="30"/>
      <c r="AH160" s="30">
        <v>100452.44</v>
      </c>
      <c r="AI160" s="30">
        <v>105350.23</v>
      </c>
      <c r="AJ160" s="30">
        <v>106502.53</v>
      </c>
      <c r="AK160" s="30">
        <v>107602.25</v>
      </c>
      <c r="AL160" s="30">
        <v>108468.23</v>
      </c>
      <c r="AM160" s="30">
        <v>109535.09</v>
      </c>
      <c r="AN160" s="30">
        <v>110405.09</v>
      </c>
      <c r="AO160" s="30">
        <v>110715.87</v>
      </c>
      <c r="AP160" s="30">
        <v>111541.89</v>
      </c>
      <c r="AQ160" s="30">
        <v>112383.29</v>
      </c>
      <c r="AR160" s="30">
        <v>113303.23</v>
      </c>
      <c r="AS160" s="30">
        <v>114098.77</v>
      </c>
      <c r="AT160" s="30">
        <v>114381.89</v>
      </c>
      <c r="AU160" s="30">
        <v>115251.75</v>
      </c>
      <c r="AV160" s="30">
        <v>116117.7</v>
      </c>
      <c r="AW160" s="30">
        <v>117040.5</v>
      </c>
      <c r="AX160" s="30">
        <v>116921.1</v>
      </c>
      <c r="AY160" s="30">
        <v>117792.88</v>
      </c>
      <c r="AZ160" s="30">
        <v>118664.73</v>
      </c>
      <c r="BA160" s="30" t="e">
        <f t="array" aca="1" ref="BA160" ca="1">_xludf.XLOOKUP(C160,'PL TOTAL D0'!A:A,'PL TOTAL D0'!C:C,"")</f>
        <v>#NAME?</v>
      </c>
    </row>
    <row r="161" spans="1:53" ht="15.75" customHeight="1">
      <c r="A161" s="23" t="s">
        <v>29</v>
      </c>
      <c r="B161" s="3" t="s">
        <v>683</v>
      </c>
      <c r="C161" s="4" t="s">
        <v>684</v>
      </c>
      <c r="D161" s="7" t="s">
        <v>19</v>
      </c>
      <c r="E161" s="7" t="s">
        <v>49</v>
      </c>
      <c r="F161" s="7" t="s">
        <v>328</v>
      </c>
      <c r="G161" s="7" t="e">
        <f t="shared" ca="1" si="0"/>
        <v>#NAME?</v>
      </c>
      <c r="H161" s="24" t="s">
        <v>143</v>
      </c>
      <c r="I161" s="24" t="s">
        <v>25</v>
      </c>
      <c r="J161" s="7" t="str">
        <f t="shared" si="9"/>
        <v>Não</v>
      </c>
      <c r="K161" s="25">
        <v>45100</v>
      </c>
      <c r="L161" s="25">
        <v>45582</v>
      </c>
      <c r="M161" s="7" t="s">
        <v>42</v>
      </c>
      <c r="N161" s="26">
        <v>1.2E-2</v>
      </c>
      <c r="O161" s="7" t="s">
        <v>25</v>
      </c>
      <c r="P161" s="27">
        <v>0</v>
      </c>
      <c r="Q161" s="45"/>
      <c r="R161" s="45"/>
      <c r="S161" s="7" t="s">
        <v>187</v>
      </c>
      <c r="T161" s="7" t="s">
        <v>685</v>
      </c>
      <c r="U161" s="7" t="s">
        <v>20</v>
      </c>
      <c r="V161" s="24" t="e">
        <f t="shared" ca="1" si="2"/>
        <v>#NAME?</v>
      </c>
      <c r="W161" s="7"/>
      <c r="X161" s="7"/>
      <c r="Y161" s="29" t="s">
        <v>147</v>
      </c>
      <c r="Z161" s="30"/>
      <c r="AA161" s="31">
        <v>45100</v>
      </c>
      <c r="AB161" s="32">
        <v>49075100007322</v>
      </c>
      <c r="AC161" s="30"/>
      <c r="AD161" s="30"/>
      <c r="AE161" s="30"/>
      <c r="AF161" s="30"/>
      <c r="AG161" s="30"/>
      <c r="AH161" s="30"/>
      <c r="AI161" s="30">
        <v>0</v>
      </c>
      <c r="AJ161" s="30">
        <v>0</v>
      </c>
      <c r="AK161" s="30">
        <v>1311380.19</v>
      </c>
      <c r="AL161" s="30">
        <v>2330169.23</v>
      </c>
      <c r="AM161" s="30">
        <v>2254706.17</v>
      </c>
      <c r="AN161" s="30">
        <v>14478.09</v>
      </c>
      <c r="AO161" s="30">
        <v>13659.99</v>
      </c>
      <c r="AP161" s="30">
        <v>13767.03</v>
      </c>
      <c r="AQ161" s="30">
        <v>13878.82</v>
      </c>
      <c r="AR161" s="30">
        <v>14000.74</v>
      </c>
      <c r="AS161" s="30">
        <v>14124.45</v>
      </c>
      <c r="AT161" s="30">
        <v>14230.92</v>
      </c>
      <c r="AU161" s="30">
        <v>14345.37</v>
      </c>
      <c r="AV161" s="30">
        <v>14450.94</v>
      </c>
      <c r="AW161" s="30">
        <v>14553.95</v>
      </c>
      <c r="AX161" s="30">
        <v>14674.39</v>
      </c>
      <c r="AY161" s="30">
        <v>14763.21</v>
      </c>
      <c r="AZ161" s="30">
        <v>14564.1</v>
      </c>
      <c r="BA161" s="30" t="e">
        <f t="array" aca="1" ref="BA161" ca="1">_xludf.XLOOKUP(C161,'PL TOTAL D0'!A:A,'PL TOTAL D0'!C:C,"")</f>
        <v>#NAME?</v>
      </c>
    </row>
    <row r="162" spans="1:53" ht="15.75" customHeight="1">
      <c r="A162" s="23" t="s">
        <v>29</v>
      </c>
      <c r="B162" s="3" t="s">
        <v>683</v>
      </c>
      <c r="C162" s="4" t="s">
        <v>686</v>
      </c>
      <c r="D162" s="7" t="s">
        <v>19</v>
      </c>
      <c r="E162" s="7" t="s">
        <v>49</v>
      </c>
      <c r="F162" s="7" t="s">
        <v>328</v>
      </c>
      <c r="G162" s="7" t="e">
        <f t="shared" ca="1" si="0"/>
        <v>#NAME?</v>
      </c>
      <c r="H162" s="24" t="s">
        <v>143</v>
      </c>
      <c r="I162" s="24" t="s">
        <v>25</v>
      </c>
      <c r="J162" s="7" t="str">
        <f t="shared" si="9"/>
        <v>Não</v>
      </c>
      <c r="K162" s="25">
        <v>45166</v>
      </c>
      <c r="L162" s="25">
        <v>45582</v>
      </c>
      <c r="M162" s="7" t="s">
        <v>42</v>
      </c>
      <c r="N162" s="26">
        <v>1.2E-2</v>
      </c>
      <c r="O162" s="7" t="s">
        <v>25</v>
      </c>
      <c r="P162" s="27">
        <v>0</v>
      </c>
      <c r="Q162" s="45"/>
      <c r="R162" s="45"/>
      <c r="S162" s="7" t="s">
        <v>187</v>
      </c>
      <c r="T162" s="7" t="s">
        <v>685</v>
      </c>
      <c r="U162" s="7" t="s">
        <v>20</v>
      </c>
      <c r="V162" s="24" t="e">
        <f t="shared" ca="1" si="2"/>
        <v>#NAME?</v>
      </c>
      <c r="W162" s="7"/>
      <c r="X162" s="7"/>
      <c r="Y162" s="29" t="s">
        <v>147</v>
      </c>
      <c r="Z162" s="30"/>
      <c r="AA162" s="31">
        <v>45166</v>
      </c>
      <c r="AB162" s="32">
        <v>49075100011291</v>
      </c>
      <c r="AC162" s="30"/>
      <c r="AD162" s="30"/>
      <c r="AE162" s="30"/>
      <c r="AF162" s="30"/>
      <c r="AG162" s="30"/>
      <c r="AH162" s="30"/>
      <c r="AI162" s="30"/>
      <c r="AJ162" s="30"/>
      <c r="AK162" s="30"/>
      <c r="AL162" s="30">
        <v>0</v>
      </c>
      <c r="AM162" s="30">
        <v>0</v>
      </c>
      <c r="AN162" s="30">
        <v>0</v>
      </c>
      <c r="AO162" s="30">
        <v>0</v>
      </c>
      <c r="AP162" s="30">
        <v>0</v>
      </c>
      <c r="AQ162" s="30">
        <v>0</v>
      </c>
      <c r="AR162" s="30">
        <v>0</v>
      </c>
      <c r="AS162" s="30">
        <v>0</v>
      </c>
      <c r="AT162" s="30">
        <v>0</v>
      </c>
      <c r="AU162" s="30">
        <v>0</v>
      </c>
      <c r="AV162" s="30">
        <v>0</v>
      </c>
      <c r="AW162" s="30">
        <v>0</v>
      </c>
      <c r="AX162" s="30">
        <v>0</v>
      </c>
      <c r="AY162" s="30">
        <v>0</v>
      </c>
      <c r="AZ162" s="30">
        <v>0</v>
      </c>
      <c r="BA162" s="30" t="e">
        <f t="array" aca="1" ref="BA162" ca="1">_xludf.XLOOKUP(C162,'PL TOTAL D0'!A:A,'PL TOTAL D0'!C:C,"")</f>
        <v>#NAME?</v>
      </c>
    </row>
    <row r="163" spans="1:53" ht="15.75" customHeight="1">
      <c r="A163" s="23" t="s">
        <v>29</v>
      </c>
      <c r="B163" s="3" t="s">
        <v>687</v>
      </c>
      <c r="C163" s="4" t="s">
        <v>688</v>
      </c>
      <c r="D163" s="7" t="s">
        <v>194</v>
      </c>
      <c r="E163" s="7" t="s">
        <v>20</v>
      </c>
      <c r="F163" s="7" t="s">
        <v>195</v>
      </c>
      <c r="G163" s="7" t="e">
        <f t="shared" ca="1" si="0"/>
        <v>#NAME?</v>
      </c>
      <c r="H163" s="24" t="s">
        <v>152</v>
      </c>
      <c r="I163" s="24" t="s">
        <v>25</v>
      </c>
      <c r="J163" s="7" t="str">
        <f t="shared" si="9"/>
        <v>Não</v>
      </c>
      <c r="K163" s="25">
        <v>45539</v>
      </c>
      <c r="L163" s="25"/>
      <c r="M163" s="78" t="s">
        <v>200</v>
      </c>
      <c r="N163" s="26">
        <v>1.4999999999999999E-2</v>
      </c>
      <c r="O163" s="7" t="s">
        <v>37</v>
      </c>
      <c r="P163" s="27">
        <v>0.1</v>
      </c>
      <c r="Q163" s="23"/>
      <c r="R163" s="45"/>
      <c r="S163" s="7" t="s">
        <v>145</v>
      </c>
      <c r="T163" s="7" t="s">
        <v>689</v>
      </c>
      <c r="U163" s="7" t="s">
        <v>20</v>
      </c>
      <c r="V163" s="24" t="e">
        <f t="shared" ca="1" si="2"/>
        <v>#NAME?</v>
      </c>
      <c r="W163" s="7"/>
      <c r="X163" s="7" t="s">
        <v>52</v>
      </c>
      <c r="Y163" s="29"/>
      <c r="Z163" s="30"/>
      <c r="AA163" s="30"/>
      <c r="AB163" s="32"/>
      <c r="AC163" s="30"/>
      <c r="AD163" s="30"/>
      <c r="AE163" s="30"/>
      <c r="AF163" s="30"/>
      <c r="AG163" s="30"/>
      <c r="AH163" s="30"/>
      <c r="AI163" s="30"/>
      <c r="AJ163" s="30"/>
      <c r="AK163" s="30"/>
      <c r="AL163" s="30"/>
      <c r="AM163" s="30"/>
      <c r="AN163" s="30"/>
      <c r="AO163" s="30"/>
      <c r="AP163" s="30"/>
      <c r="AQ163" s="30"/>
      <c r="AR163" s="30"/>
      <c r="AS163" s="30"/>
      <c r="AT163" s="30"/>
      <c r="AU163" s="30"/>
      <c r="AV163" s="30"/>
      <c r="AW163" s="30"/>
      <c r="AX163" s="30"/>
      <c r="AY163" s="30"/>
      <c r="AZ163" s="30">
        <v>561185.26</v>
      </c>
      <c r="BA163" s="30" t="e">
        <f t="array" aca="1" ref="BA163" ca="1">_xludf.XLOOKUP(C163,'PL TOTAL D0'!A:A,'PL TOTAL D0'!C:C,"")</f>
        <v>#NAME?</v>
      </c>
    </row>
    <row r="164" spans="1:53" ht="15.75" customHeight="1">
      <c r="A164" s="23" t="s">
        <v>29</v>
      </c>
      <c r="B164" s="3" t="s">
        <v>690</v>
      </c>
      <c r="C164" s="4" t="s">
        <v>691</v>
      </c>
      <c r="D164" s="7" t="s">
        <v>19</v>
      </c>
      <c r="E164" s="7" t="s">
        <v>34</v>
      </c>
      <c r="F164" s="7" t="s">
        <v>262</v>
      </c>
      <c r="G164" s="7" t="e">
        <f t="shared" ca="1" si="0"/>
        <v>#NAME?</v>
      </c>
      <c r="H164" s="24" t="s">
        <v>161</v>
      </c>
      <c r="I164" s="24" t="s">
        <v>211</v>
      </c>
      <c r="J164" s="7" t="str">
        <f t="shared" si="9"/>
        <v>Não</v>
      </c>
      <c r="K164" s="25">
        <v>45149</v>
      </c>
      <c r="L164" s="25"/>
      <c r="M164" s="78" t="s">
        <v>58</v>
      </c>
      <c r="N164" s="26">
        <v>1.2E-2</v>
      </c>
      <c r="O164" s="7" t="s">
        <v>37</v>
      </c>
      <c r="P164" s="27">
        <v>0.1</v>
      </c>
      <c r="Q164" s="23"/>
      <c r="R164" s="45" t="s">
        <v>692</v>
      </c>
      <c r="S164" s="7" t="s">
        <v>145</v>
      </c>
      <c r="T164" s="7" t="s">
        <v>693</v>
      </c>
      <c r="U164" s="7" t="s">
        <v>39</v>
      </c>
      <c r="V164" s="24" t="e">
        <f t="shared" ca="1" si="2"/>
        <v>#NAME?</v>
      </c>
      <c r="W164" s="7"/>
      <c r="X164" s="7"/>
      <c r="Y164" s="29" t="s">
        <v>147</v>
      </c>
      <c r="Z164" s="30"/>
      <c r="AA164" s="31">
        <v>45149</v>
      </c>
      <c r="AB164" s="32">
        <v>49075100012245</v>
      </c>
      <c r="AC164" s="30"/>
      <c r="AD164" s="30"/>
      <c r="AE164" s="30"/>
      <c r="AF164" s="30"/>
      <c r="AG164" s="30"/>
      <c r="AH164" s="30"/>
      <c r="AI164" s="30"/>
      <c r="AJ164" s="30"/>
      <c r="AK164" s="30"/>
      <c r="AL164" s="30"/>
      <c r="AM164" s="30">
        <v>20122.09</v>
      </c>
      <c r="AN164" s="30">
        <v>334465.94</v>
      </c>
      <c r="AO164" s="30">
        <v>335443.65999999997</v>
      </c>
      <c r="AP164" s="30">
        <v>370027.02</v>
      </c>
      <c r="AQ164" s="30">
        <v>515177.48</v>
      </c>
      <c r="AR164" s="30">
        <v>513140.4</v>
      </c>
      <c r="AS164" s="30">
        <v>514441.1</v>
      </c>
      <c r="AT164" s="30">
        <v>519788.9</v>
      </c>
      <c r="AU164" s="30">
        <v>544028.82999999996</v>
      </c>
      <c r="AV164" s="30">
        <v>544850.5</v>
      </c>
      <c r="AW164" s="30">
        <v>561634.30000000005</v>
      </c>
      <c r="AX164" s="30">
        <v>567918.5</v>
      </c>
      <c r="AY164" s="30">
        <v>590465.13</v>
      </c>
      <c r="AZ164" s="30">
        <v>592065.62</v>
      </c>
      <c r="BA164" s="30" t="e">
        <f t="array" aca="1" ref="BA164" ca="1">_xludf.XLOOKUP(C164,'PL TOTAL D0'!A:A,'PL TOTAL D0'!C:C,"")</f>
        <v>#NAME?</v>
      </c>
    </row>
    <row r="165" spans="1:53" ht="15.75" customHeight="1">
      <c r="A165" s="23" t="s">
        <v>29</v>
      </c>
      <c r="B165" s="3" t="s">
        <v>694</v>
      </c>
      <c r="C165" s="4" t="s">
        <v>695</v>
      </c>
      <c r="D165" s="7" t="s">
        <v>19</v>
      </c>
      <c r="E165" s="7" t="s">
        <v>49</v>
      </c>
      <c r="F165" s="7" t="s">
        <v>50</v>
      </c>
      <c r="G165" s="7" t="e">
        <f t="shared" ca="1" si="0"/>
        <v>#NAME?</v>
      </c>
      <c r="H165" s="24" t="s">
        <v>143</v>
      </c>
      <c r="I165" s="24" t="s">
        <v>25</v>
      </c>
      <c r="J165" s="7" t="str">
        <f t="shared" si="9"/>
        <v>Não</v>
      </c>
      <c r="K165" s="25">
        <v>44951</v>
      </c>
      <c r="L165" s="25">
        <v>45308</v>
      </c>
      <c r="M165" s="7" t="s">
        <v>200</v>
      </c>
      <c r="N165" s="26">
        <v>1.4999999999999999E-2</v>
      </c>
      <c r="O165" s="7" t="s">
        <v>37</v>
      </c>
      <c r="P165" s="27">
        <v>0.1</v>
      </c>
      <c r="Q165" s="28"/>
      <c r="R165" s="45" t="s">
        <v>309</v>
      </c>
      <c r="S165" s="7" t="s">
        <v>145</v>
      </c>
      <c r="T165" s="7" t="s">
        <v>696</v>
      </c>
      <c r="U165" s="7" t="s">
        <v>49</v>
      </c>
      <c r="V165" s="24" t="e">
        <f t="shared" ca="1" si="2"/>
        <v>#NAME?</v>
      </c>
      <c r="W165" s="7"/>
      <c r="X165" s="7"/>
      <c r="Y165" s="29"/>
      <c r="Z165" s="30"/>
      <c r="AA165" s="31">
        <v>44951</v>
      </c>
      <c r="AB165" s="32"/>
      <c r="AC165" s="30"/>
      <c r="AD165" s="30"/>
      <c r="AE165" s="30"/>
      <c r="AF165" s="30">
        <v>316204.27</v>
      </c>
      <c r="AG165" s="30">
        <v>304847.71999999997</v>
      </c>
      <c r="AH165" s="30">
        <v>307682.12</v>
      </c>
      <c r="AI165" s="30">
        <v>309166.56</v>
      </c>
      <c r="AJ165" s="30">
        <v>198416.28</v>
      </c>
      <c r="AK165" s="30">
        <v>199994.84</v>
      </c>
      <c r="AL165" s="30">
        <v>201266.25</v>
      </c>
      <c r="AM165" s="30">
        <v>203028.42</v>
      </c>
      <c r="AN165" s="30">
        <v>204677.74</v>
      </c>
      <c r="AO165" s="30">
        <v>184.86</v>
      </c>
      <c r="AP165" s="30">
        <v>0.33</v>
      </c>
      <c r="AQ165" s="30">
        <v>0</v>
      </c>
      <c r="AR165" s="30">
        <v>0</v>
      </c>
      <c r="AS165" s="30">
        <v>0</v>
      </c>
      <c r="AT165" s="30">
        <v>0</v>
      </c>
      <c r="AU165" s="30">
        <v>0</v>
      </c>
      <c r="AV165" s="30">
        <v>0</v>
      </c>
      <c r="AW165" s="30">
        <v>0</v>
      </c>
      <c r="AX165" s="30">
        <v>0</v>
      </c>
      <c r="AY165" s="30">
        <v>0</v>
      </c>
      <c r="AZ165" s="30">
        <v>0</v>
      </c>
      <c r="BA165" s="30" t="e">
        <f t="array" aca="1" ref="BA165" ca="1">_xludf.XLOOKUP(C165,'PL TOTAL D0'!A:A,'PL TOTAL D0'!C:C,"")</f>
        <v>#NAME?</v>
      </c>
    </row>
    <row r="166" spans="1:53" ht="15" customHeight="1">
      <c r="A166" s="23" t="s">
        <v>29</v>
      </c>
      <c r="B166" s="3" t="s">
        <v>697</v>
      </c>
      <c r="C166" s="4" t="s">
        <v>698</v>
      </c>
      <c r="D166" s="7" t="s">
        <v>19</v>
      </c>
      <c r="E166" s="7" t="s">
        <v>49</v>
      </c>
      <c r="F166" s="7" t="s">
        <v>328</v>
      </c>
      <c r="G166" s="7" t="e">
        <f t="shared" ca="1" si="0"/>
        <v>#NAME?</v>
      </c>
      <c r="H166" s="24" t="s">
        <v>152</v>
      </c>
      <c r="I166" s="24" t="s">
        <v>25</v>
      </c>
      <c r="J166" s="7" t="str">
        <f t="shared" si="9"/>
        <v>Não</v>
      </c>
      <c r="K166" s="25">
        <v>45135</v>
      </c>
      <c r="L166" s="25"/>
      <c r="M166" s="7" t="s">
        <v>345</v>
      </c>
      <c r="N166" s="26">
        <v>0.02</v>
      </c>
      <c r="O166" s="7" t="s">
        <v>37</v>
      </c>
      <c r="P166" s="27">
        <v>0.2</v>
      </c>
      <c r="Q166" s="28"/>
      <c r="R166" s="28"/>
      <c r="S166" s="7" t="s">
        <v>145</v>
      </c>
      <c r="T166" s="7" t="s">
        <v>699</v>
      </c>
      <c r="U166" s="7" t="s">
        <v>46</v>
      </c>
      <c r="V166" s="24" t="e">
        <f t="shared" ca="1" si="2"/>
        <v>#NAME?</v>
      </c>
      <c r="W166" s="7"/>
      <c r="X166" s="7"/>
      <c r="Y166" s="29" t="s">
        <v>147</v>
      </c>
      <c r="Z166" s="30"/>
      <c r="AA166" s="31">
        <v>45135</v>
      </c>
      <c r="AB166" s="32">
        <v>49075100007004</v>
      </c>
      <c r="AC166" s="30"/>
      <c r="AD166" s="30"/>
      <c r="AE166" s="30"/>
      <c r="AF166" s="30"/>
      <c r="AG166" s="30"/>
      <c r="AH166" s="30">
        <v>0</v>
      </c>
      <c r="AI166" s="30">
        <v>0</v>
      </c>
      <c r="AJ166" s="30">
        <v>0</v>
      </c>
      <c r="AK166" s="30">
        <v>0</v>
      </c>
      <c r="AL166" s="30">
        <v>234730.68</v>
      </c>
      <c r="AM166" s="30">
        <v>233004.03</v>
      </c>
      <c r="AN166" s="30">
        <v>232341.14</v>
      </c>
      <c r="AO166" s="30">
        <v>229759.5</v>
      </c>
      <c r="AP166" s="30">
        <v>239272.45</v>
      </c>
      <c r="AQ166" s="30">
        <v>247282.04</v>
      </c>
      <c r="AR166" s="30">
        <v>233883.16</v>
      </c>
      <c r="AS166" s="30">
        <v>225320.9</v>
      </c>
      <c r="AT166" s="30">
        <v>226091.54</v>
      </c>
      <c r="AU166" s="30">
        <v>220398.64</v>
      </c>
      <c r="AV166" s="30">
        <v>216926.8</v>
      </c>
      <c r="AW166" s="30">
        <v>205004.5</v>
      </c>
      <c r="AX166" s="30">
        <v>209319.9</v>
      </c>
      <c r="AY166" s="30">
        <v>214050.58</v>
      </c>
      <c r="AZ166" s="30">
        <v>212516.64</v>
      </c>
      <c r="BA166" s="30" t="e">
        <f t="array" aca="1" ref="BA166" ca="1">_xludf.XLOOKUP(C166,'PL TOTAL D0'!A:A,'PL TOTAL D0'!C:C,"")</f>
        <v>#NAME?</v>
      </c>
    </row>
    <row r="167" spans="1:53" ht="15.75" customHeight="1">
      <c r="A167" s="23" t="s">
        <v>29</v>
      </c>
      <c r="B167" s="3" t="s">
        <v>700</v>
      </c>
      <c r="C167" s="4" t="s">
        <v>701</v>
      </c>
      <c r="D167" s="7" t="s">
        <v>64</v>
      </c>
      <c r="E167" s="7" t="s">
        <v>20</v>
      </c>
      <c r="F167" s="7" t="s">
        <v>489</v>
      </c>
      <c r="G167" s="7" t="e">
        <f t="shared" ca="1" si="0"/>
        <v>#NAME?</v>
      </c>
      <c r="H167" s="24" t="s">
        <v>143</v>
      </c>
      <c r="I167" s="24" t="s">
        <v>25</v>
      </c>
      <c r="J167" s="7" t="str">
        <f t="shared" si="9"/>
        <v>Não</v>
      </c>
      <c r="K167" s="25">
        <v>45125</v>
      </c>
      <c r="L167" s="25">
        <v>45518</v>
      </c>
      <c r="M167" s="7" t="s">
        <v>357</v>
      </c>
      <c r="N167" s="26">
        <v>8.5000000000000006E-3</v>
      </c>
      <c r="O167" s="7" t="s">
        <v>25</v>
      </c>
      <c r="P167" s="27">
        <v>0</v>
      </c>
      <c r="Q167" s="82"/>
      <c r="R167" s="28" t="s">
        <v>702</v>
      </c>
      <c r="S167" s="7" t="s">
        <v>145</v>
      </c>
      <c r="T167" s="7" t="s">
        <v>703</v>
      </c>
      <c r="U167" s="7" t="s">
        <v>20</v>
      </c>
      <c r="V167" s="24" t="e">
        <f t="shared" ca="1" si="2"/>
        <v>#NAME?</v>
      </c>
      <c r="W167" s="7"/>
      <c r="X167" s="7"/>
      <c r="Y167" s="29" t="s">
        <v>147</v>
      </c>
      <c r="Z167" s="30"/>
      <c r="AA167" s="31">
        <v>45125</v>
      </c>
      <c r="AB167" s="32">
        <v>49075100006814</v>
      </c>
      <c r="AC167" s="30"/>
      <c r="AD167" s="30"/>
      <c r="AE167" s="30"/>
      <c r="AF167" s="30"/>
      <c r="AG167" s="30"/>
      <c r="AH167" s="30"/>
      <c r="AI167" s="30"/>
      <c r="AJ167" s="30"/>
      <c r="AK167" s="30"/>
      <c r="AL167" s="30">
        <v>398347.79</v>
      </c>
      <c r="AM167" s="30">
        <v>403615.16</v>
      </c>
      <c r="AN167" s="30">
        <v>407487.54</v>
      </c>
      <c r="AO167" s="30">
        <v>411488.48</v>
      </c>
      <c r="AP167" s="30">
        <v>414768.22</v>
      </c>
      <c r="AQ167" s="30">
        <v>418531.34</v>
      </c>
      <c r="AR167" s="30">
        <v>424134.40000000002</v>
      </c>
      <c r="AS167" s="30">
        <v>427266</v>
      </c>
      <c r="AT167" s="30">
        <v>430801.34</v>
      </c>
      <c r="AU167" s="30">
        <v>434385.6</v>
      </c>
      <c r="AV167" s="30">
        <v>437667.6</v>
      </c>
      <c r="AW167" s="30">
        <v>440898.9</v>
      </c>
      <c r="AX167" s="30">
        <v>0</v>
      </c>
      <c r="AY167" s="30">
        <v>0</v>
      </c>
      <c r="AZ167" s="30">
        <v>0</v>
      </c>
      <c r="BA167" s="30" t="e">
        <f t="array" aca="1" ref="BA167" ca="1">_xludf.XLOOKUP(C167,'PL TOTAL D0'!A:A,'PL TOTAL D0'!C:C,"")</f>
        <v>#NAME?</v>
      </c>
    </row>
    <row r="168" spans="1:53" ht="15.75" customHeight="1">
      <c r="A168" s="23" t="s">
        <v>29</v>
      </c>
      <c r="B168" s="3" t="s">
        <v>704</v>
      </c>
      <c r="C168" s="4" t="s">
        <v>705</v>
      </c>
      <c r="D168" s="7" t="s">
        <v>64</v>
      </c>
      <c r="E168" s="7" t="s">
        <v>20</v>
      </c>
      <c r="F168" s="7" t="s">
        <v>142</v>
      </c>
      <c r="G168" s="7" t="e">
        <f t="shared" ca="1" si="0"/>
        <v>#NAME?</v>
      </c>
      <c r="H168" s="24" t="s">
        <v>143</v>
      </c>
      <c r="I168" s="24" t="s">
        <v>25</v>
      </c>
      <c r="J168" s="7" t="str">
        <f t="shared" si="9"/>
        <v>Não</v>
      </c>
      <c r="K168" s="25">
        <v>45091</v>
      </c>
      <c r="L168" s="25">
        <v>45516</v>
      </c>
      <c r="M168" s="7" t="s">
        <v>706</v>
      </c>
      <c r="N168" s="26">
        <v>8.0000000000000002E-3</v>
      </c>
      <c r="O168" s="7" t="s">
        <v>25</v>
      </c>
      <c r="P168" s="27">
        <v>0</v>
      </c>
      <c r="Q168" s="28"/>
      <c r="R168" s="28" t="s">
        <v>702</v>
      </c>
      <c r="S168" s="7" t="s">
        <v>145</v>
      </c>
      <c r="T168" s="7" t="s">
        <v>707</v>
      </c>
      <c r="U168" s="7" t="s">
        <v>20</v>
      </c>
      <c r="V168" s="24" t="e">
        <f t="shared" ca="1" si="2"/>
        <v>#NAME?</v>
      </c>
      <c r="W168" s="7"/>
      <c r="X168" s="7"/>
      <c r="Y168" s="29" t="s">
        <v>147</v>
      </c>
      <c r="Z168" s="30"/>
      <c r="AA168" s="31">
        <v>45091</v>
      </c>
      <c r="AB168" s="32">
        <v>49075100008922</v>
      </c>
      <c r="AC168" s="30"/>
      <c r="AD168" s="30"/>
      <c r="AE168" s="30"/>
      <c r="AF168" s="30"/>
      <c r="AG168" s="30"/>
      <c r="AH168" s="30"/>
      <c r="AI168" s="30"/>
      <c r="AJ168" s="30"/>
      <c r="AK168" s="30">
        <v>1008445.97</v>
      </c>
      <c r="AL168" s="30">
        <v>1374434.26</v>
      </c>
      <c r="AM168" s="30">
        <v>1412260.71</v>
      </c>
      <c r="AN168" s="30">
        <v>1469971.37</v>
      </c>
      <c r="AO168" s="30">
        <v>1480823.47</v>
      </c>
      <c r="AP168" s="30">
        <v>1547379.69</v>
      </c>
      <c r="AQ168" s="30">
        <v>1599126.7</v>
      </c>
      <c r="AR168" s="30">
        <v>1610207.1</v>
      </c>
      <c r="AS168" s="30">
        <v>1618981.81</v>
      </c>
      <c r="AT168" s="30">
        <v>1633210.16</v>
      </c>
      <c r="AU168" s="30">
        <v>1685276.08</v>
      </c>
      <c r="AV168" s="30">
        <v>1695873</v>
      </c>
      <c r="AW168" s="30">
        <v>1754605</v>
      </c>
      <c r="AX168" s="30">
        <v>0</v>
      </c>
      <c r="AY168" s="30">
        <v>0</v>
      </c>
      <c r="AZ168" s="30">
        <v>0</v>
      </c>
      <c r="BA168" s="30" t="e">
        <f t="array" aca="1" ref="BA168" ca="1">_xludf.XLOOKUP(C168,'PL TOTAL D0'!A:A,'PL TOTAL D0'!C:C,"")</f>
        <v>#NAME?</v>
      </c>
    </row>
    <row r="169" spans="1:53" ht="15.75" customHeight="1">
      <c r="A169" s="23" t="s">
        <v>29</v>
      </c>
      <c r="B169" s="83" t="s">
        <v>708</v>
      </c>
      <c r="C169" s="44" t="s">
        <v>709</v>
      </c>
      <c r="D169" s="7" t="s">
        <v>19</v>
      </c>
      <c r="E169" s="7" t="s">
        <v>49</v>
      </c>
      <c r="F169" s="7" t="s">
        <v>50</v>
      </c>
      <c r="G169" s="7" t="e">
        <f t="shared" ca="1" si="0"/>
        <v>#NAME?</v>
      </c>
      <c r="H169" s="24" t="s">
        <v>152</v>
      </c>
      <c r="I169" s="24" t="s">
        <v>25</v>
      </c>
      <c r="J169" s="7" t="str">
        <f t="shared" si="9"/>
        <v>Não</v>
      </c>
      <c r="K169" s="25">
        <v>45210</v>
      </c>
      <c r="L169" s="7"/>
      <c r="M169" s="7" t="s">
        <v>257</v>
      </c>
      <c r="N169" s="26">
        <v>8.0000000000000002E-3</v>
      </c>
      <c r="O169" s="7" t="s">
        <v>258</v>
      </c>
      <c r="P169" s="27">
        <v>0.1</v>
      </c>
      <c r="Q169" s="28"/>
      <c r="R169" s="28"/>
      <c r="S169" s="7" t="s">
        <v>145</v>
      </c>
      <c r="T169" s="7" t="s">
        <v>710</v>
      </c>
      <c r="U169" s="7" t="s">
        <v>49</v>
      </c>
      <c r="V169" s="24" t="e">
        <f t="shared" ca="1" si="2"/>
        <v>#NAME?</v>
      </c>
      <c r="W169" s="7"/>
      <c r="X169" s="7"/>
      <c r="Y169" s="29" t="s">
        <v>147</v>
      </c>
      <c r="Z169" s="30"/>
      <c r="AA169" s="31">
        <v>45210</v>
      </c>
      <c r="AB169" s="32">
        <v>49075100012253</v>
      </c>
      <c r="AC169" s="30"/>
      <c r="AD169" s="30"/>
      <c r="AE169" s="30"/>
      <c r="AF169" s="30"/>
      <c r="AG169" s="30"/>
      <c r="AH169" s="30"/>
      <c r="AI169" s="30"/>
      <c r="AJ169" s="30"/>
      <c r="AK169" s="30"/>
      <c r="AL169" s="30"/>
      <c r="AM169" s="30"/>
      <c r="AN169" s="30"/>
      <c r="AO169" s="30">
        <v>49615.32</v>
      </c>
      <c r="AP169" s="30">
        <v>50533.38</v>
      </c>
      <c r="AQ169" s="30">
        <v>51759.93</v>
      </c>
      <c r="AR169" s="30">
        <v>101839.47</v>
      </c>
      <c r="AS169" s="30">
        <v>103856.32000000001</v>
      </c>
      <c r="AT169" s="30">
        <v>104663.11</v>
      </c>
      <c r="AU169" s="30">
        <v>103279.46</v>
      </c>
      <c r="AV169" s="30">
        <v>102932</v>
      </c>
      <c r="AW169" s="30">
        <v>102317.6</v>
      </c>
      <c r="AX169" s="30">
        <v>103461.8</v>
      </c>
      <c r="AY169" s="30">
        <v>104790.19</v>
      </c>
      <c r="AZ169" s="30">
        <v>103286.06</v>
      </c>
      <c r="BA169" s="30" t="e">
        <f t="array" aca="1" ref="BA169" ca="1">_xludf.XLOOKUP(C169,'PL TOTAL D0'!A:A,'PL TOTAL D0'!C:C,"")</f>
        <v>#NAME?</v>
      </c>
    </row>
    <row r="170" spans="1:53" ht="15.75" customHeight="1">
      <c r="A170" s="23" t="s">
        <v>29</v>
      </c>
      <c r="B170" s="3" t="s">
        <v>711</v>
      </c>
      <c r="C170" s="46" t="s">
        <v>712</v>
      </c>
      <c r="D170" s="7" t="s">
        <v>19</v>
      </c>
      <c r="E170" s="7" t="s">
        <v>49</v>
      </c>
      <c r="F170" s="7" t="s">
        <v>50</v>
      </c>
      <c r="G170" s="7" t="e">
        <f t="shared" ca="1" si="0"/>
        <v>#NAME?</v>
      </c>
      <c r="H170" s="24" t="s">
        <v>152</v>
      </c>
      <c r="I170" s="24" t="s">
        <v>25</v>
      </c>
      <c r="J170" s="7" t="str">
        <f t="shared" si="9"/>
        <v>Não</v>
      </c>
      <c r="K170" s="25">
        <v>45012</v>
      </c>
      <c r="L170" s="7"/>
      <c r="M170" s="7" t="s">
        <v>42</v>
      </c>
      <c r="N170" s="26">
        <v>1.2E-2</v>
      </c>
      <c r="O170" s="7" t="s">
        <v>25</v>
      </c>
      <c r="P170" s="27">
        <v>0</v>
      </c>
      <c r="Q170" s="28"/>
      <c r="R170" s="28"/>
      <c r="S170" s="7" t="s">
        <v>145</v>
      </c>
      <c r="T170" s="7" t="s">
        <v>710</v>
      </c>
      <c r="U170" s="7" t="s">
        <v>49</v>
      </c>
      <c r="V170" s="24" t="e">
        <f t="shared" ca="1" si="2"/>
        <v>#NAME?</v>
      </c>
      <c r="W170" s="7"/>
      <c r="X170" s="7"/>
      <c r="Y170" s="29" t="s">
        <v>147</v>
      </c>
      <c r="Z170" s="30"/>
      <c r="AA170" s="31">
        <v>45012</v>
      </c>
      <c r="AB170" s="32">
        <v>49075100008590</v>
      </c>
      <c r="AC170" s="30"/>
      <c r="AD170" s="30"/>
      <c r="AE170" s="30"/>
      <c r="AF170" s="30"/>
      <c r="AG170" s="30"/>
      <c r="AH170" s="30">
        <v>872141.19</v>
      </c>
      <c r="AI170" s="30">
        <v>776700.26</v>
      </c>
      <c r="AJ170" s="30">
        <v>832614.92</v>
      </c>
      <c r="AK170" s="30">
        <v>986813.1</v>
      </c>
      <c r="AL170" s="30">
        <v>994494.78</v>
      </c>
      <c r="AM170" s="30">
        <v>1002548.97</v>
      </c>
      <c r="AN170" s="30">
        <v>1010372.48</v>
      </c>
      <c r="AO170" s="30">
        <v>1018991.99</v>
      </c>
      <c r="AP170" s="30">
        <v>1025563.17</v>
      </c>
      <c r="AQ170" s="30">
        <v>1033375.41</v>
      </c>
      <c r="AR170" s="30">
        <v>980323.12</v>
      </c>
      <c r="AS170" s="30">
        <v>988192.13</v>
      </c>
      <c r="AT170" s="30">
        <v>996713.38</v>
      </c>
      <c r="AU170" s="30">
        <v>1003549.62</v>
      </c>
      <c r="AV170" s="30">
        <v>1010548</v>
      </c>
      <c r="AW170" s="30">
        <v>1018149</v>
      </c>
      <c r="AX170" s="30">
        <v>1025075</v>
      </c>
      <c r="AY170" s="30">
        <v>1032638.06</v>
      </c>
      <c r="AZ170" s="30">
        <v>1037316.09</v>
      </c>
      <c r="BA170" s="30" t="e">
        <f t="array" aca="1" ref="BA170" ca="1">_xludf.XLOOKUP(C170,'PL TOTAL D0'!A:A,'PL TOTAL D0'!C:C,"")</f>
        <v>#NAME?</v>
      </c>
    </row>
    <row r="171" spans="1:53" ht="15.75" customHeight="1">
      <c r="A171" s="23" t="s">
        <v>29</v>
      </c>
      <c r="B171" s="3" t="s">
        <v>713</v>
      </c>
      <c r="C171" s="4" t="s">
        <v>714</v>
      </c>
      <c r="D171" s="7" t="s">
        <v>19</v>
      </c>
      <c r="E171" s="7" t="s">
        <v>20</v>
      </c>
      <c r="F171" s="7" t="s">
        <v>372</v>
      </c>
      <c r="G171" s="7" t="e">
        <f t="shared" ca="1" si="0"/>
        <v>#NAME?</v>
      </c>
      <c r="H171" s="24" t="s">
        <v>152</v>
      </c>
      <c r="I171" s="24" t="s">
        <v>25</v>
      </c>
      <c r="J171" s="7" t="str">
        <f t="shared" si="9"/>
        <v>Não</v>
      </c>
      <c r="K171" s="25">
        <v>45070</v>
      </c>
      <c r="L171" s="7"/>
      <c r="M171" s="7" t="s">
        <v>172</v>
      </c>
      <c r="N171" s="26">
        <v>0</v>
      </c>
      <c r="O171" s="7" t="s">
        <v>25</v>
      </c>
      <c r="P171" s="27">
        <v>0</v>
      </c>
      <c r="Q171" s="28"/>
      <c r="R171" s="28" t="s">
        <v>715</v>
      </c>
      <c r="S171" s="7" t="s">
        <v>145</v>
      </c>
      <c r="T171" s="7" t="s">
        <v>716</v>
      </c>
      <c r="U171" s="7" t="s">
        <v>20</v>
      </c>
      <c r="V171" s="24" t="e">
        <f t="shared" ca="1" si="2"/>
        <v>#NAME?</v>
      </c>
      <c r="W171" s="7"/>
      <c r="X171" s="7"/>
      <c r="Y171" s="29" t="s">
        <v>147</v>
      </c>
      <c r="Z171" s="30"/>
      <c r="AA171" s="31">
        <v>45070</v>
      </c>
      <c r="AB171" s="32">
        <v>49075100007888</v>
      </c>
      <c r="AC171" s="30"/>
      <c r="AD171" s="30"/>
      <c r="AE171" s="30"/>
      <c r="AF171" s="30"/>
      <c r="AG171" s="30">
        <v>0</v>
      </c>
      <c r="AH171" s="30">
        <v>0</v>
      </c>
      <c r="AI171" s="30">
        <v>0</v>
      </c>
      <c r="AJ171" s="30">
        <v>40189.89</v>
      </c>
      <c r="AK171" s="30">
        <v>40597.33</v>
      </c>
      <c r="AL171" s="30">
        <v>40979.01</v>
      </c>
      <c r="AM171" s="30">
        <v>41391.99</v>
      </c>
      <c r="AN171" s="30">
        <v>41327.199999999997</v>
      </c>
      <c r="AO171" s="30">
        <v>41555.67</v>
      </c>
      <c r="AP171" s="30">
        <v>42154.81</v>
      </c>
      <c r="AQ171" s="30">
        <v>42921.06</v>
      </c>
      <c r="AR171" s="30">
        <v>42240.85</v>
      </c>
      <c r="AS171" s="30">
        <v>42592.39</v>
      </c>
      <c r="AT171" s="30">
        <v>43052.43</v>
      </c>
      <c r="AU171" s="30">
        <v>42823.71</v>
      </c>
      <c r="AV171" s="30">
        <v>42990.73</v>
      </c>
      <c r="AW171" s="30">
        <v>43328.18</v>
      </c>
      <c r="AX171" s="30">
        <v>43712.15</v>
      </c>
      <c r="AY171" s="30">
        <v>44086.29</v>
      </c>
      <c r="AZ171" s="30">
        <v>44421.52</v>
      </c>
      <c r="BA171" s="30" t="e">
        <f t="array" aca="1" ref="BA171" ca="1">_xludf.XLOOKUP(C171,'PL TOTAL D0'!A:A,'PL TOTAL D0'!C:C,"")</f>
        <v>#NAME?</v>
      </c>
    </row>
    <row r="172" spans="1:53" ht="15.75" customHeight="1">
      <c r="A172" s="23" t="s">
        <v>29</v>
      </c>
      <c r="B172" s="37" t="s">
        <v>717</v>
      </c>
      <c r="C172" s="49" t="s">
        <v>718</v>
      </c>
      <c r="D172" s="7" t="s">
        <v>19</v>
      </c>
      <c r="E172" s="7" t="s">
        <v>49</v>
      </c>
      <c r="F172" s="7" t="s">
        <v>719</v>
      </c>
      <c r="G172" s="7" t="e">
        <f t="shared" ca="1" si="0"/>
        <v>#NAME?</v>
      </c>
      <c r="H172" s="24" t="s">
        <v>143</v>
      </c>
      <c r="I172" s="24" t="s">
        <v>25</v>
      </c>
      <c r="J172" s="7" t="str">
        <f t="shared" ref="J172:J173" si="10">IF(R172=0,"Não","Sim")</f>
        <v>Sim</v>
      </c>
      <c r="K172" s="25">
        <v>45016</v>
      </c>
      <c r="L172" s="25">
        <v>45449</v>
      </c>
      <c r="M172" s="7" t="s">
        <v>42</v>
      </c>
      <c r="N172" s="26">
        <v>1.2E-2</v>
      </c>
      <c r="O172" s="7" t="s">
        <v>25</v>
      </c>
      <c r="P172" s="27">
        <v>0</v>
      </c>
      <c r="Q172" s="84"/>
      <c r="R172" s="45" t="s">
        <v>309</v>
      </c>
      <c r="S172" s="7" t="s">
        <v>145</v>
      </c>
      <c r="T172" s="7" t="s">
        <v>720</v>
      </c>
      <c r="U172" s="7" t="s">
        <v>20</v>
      </c>
      <c r="V172" s="24" t="e">
        <f t="shared" ca="1" si="2"/>
        <v>#NAME?</v>
      </c>
      <c r="W172" s="7"/>
      <c r="X172" s="7"/>
      <c r="Y172" s="29" t="s">
        <v>253</v>
      </c>
      <c r="Z172" s="30"/>
      <c r="AA172" s="31">
        <v>45016</v>
      </c>
      <c r="AB172" s="32">
        <v>49075100006725</v>
      </c>
      <c r="AC172" s="30"/>
      <c r="AD172" s="30"/>
      <c r="AE172" s="30"/>
      <c r="AF172" s="30"/>
      <c r="AG172" s="30"/>
      <c r="AH172" s="30">
        <v>150000</v>
      </c>
      <c r="AI172" s="30">
        <v>402278.31</v>
      </c>
      <c r="AJ172" s="30">
        <v>607920.44999999995</v>
      </c>
      <c r="AK172" s="30">
        <v>545178.37</v>
      </c>
      <c r="AL172" s="30">
        <v>153657.18</v>
      </c>
      <c r="AM172" s="30">
        <v>155248.84</v>
      </c>
      <c r="AN172" s="30">
        <v>156276.72</v>
      </c>
      <c r="AO172" s="30">
        <v>157671.03</v>
      </c>
      <c r="AP172" s="30">
        <v>158858.37</v>
      </c>
      <c r="AQ172" s="30">
        <v>159521.69</v>
      </c>
      <c r="AR172" s="30">
        <v>160872.74</v>
      </c>
      <c r="AS172" s="30">
        <v>161705.45000000001</v>
      </c>
      <c r="AT172" s="30">
        <v>0</v>
      </c>
      <c r="AU172" s="30">
        <v>0</v>
      </c>
      <c r="AV172" s="30">
        <v>0</v>
      </c>
      <c r="AW172" s="30">
        <v>0</v>
      </c>
      <c r="AX172" s="30">
        <v>0</v>
      </c>
      <c r="AY172" s="30">
        <v>0</v>
      </c>
      <c r="AZ172" s="30">
        <v>0</v>
      </c>
      <c r="BA172" s="30" t="e">
        <f t="array" aca="1" ref="BA172" ca="1">_xludf.XLOOKUP(C172,'PL TOTAL D0'!A:A,'PL TOTAL D0'!C:C,"")</f>
        <v>#NAME?</v>
      </c>
    </row>
    <row r="173" spans="1:53" ht="15.75" customHeight="1">
      <c r="A173" s="23" t="s">
        <v>29</v>
      </c>
      <c r="B173" s="37" t="s">
        <v>721</v>
      </c>
      <c r="C173" s="49" t="s">
        <v>722</v>
      </c>
      <c r="D173" s="7" t="s">
        <v>64</v>
      </c>
      <c r="E173" s="7" t="s">
        <v>20</v>
      </c>
      <c r="F173" s="7" t="s">
        <v>204</v>
      </c>
      <c r="G173" s="7" t="e">
        <f t="shared" ca="1" si="0"/>
        <v>#NAME?</v>
      </c>
      <c r="H173" s="24" t="s">
        <v>161</v>
      </c>
      <c r="I173" s="24" t="s">
        <v>205</v>
      </c>
      <c r="J173" s="7" t="str">
        <f t="shared" si="10"/>
        <v>Não</v>
      </c>
      <c r="K173" s="25">
        <v>45574</v>
      </c>
      <c r="L173" s="25"/>
      <c r="M173" s="7" t="s">
        <v>31</v>
      </c>
      <c r="N173" s="26">
        <v>3.0000000000000001E-3</v>
      </c>
      <c r="O173" s="7" t="s">
        <v>25</v>
      </c>
      <c r="P173" s="27">
        <v>0</v>
      </c>
      <c r="Q173" s="84" t="s">
        <v>723</v>
      </c>
      <c r="R173" s="45"/>
      <c r="S173" s="7" t="s">
        <v>145</v>
      </c>
      <c r="T173" s="7" t="s">
        <v>724</v>
      </c>
      <c r="U173" s="7" t="s">
        <v>46</v>
      </c>
      <c r="V173" s="24" t="e">
        <f t="shared" ca="1" si="2"/>
        <v>#NAME?</v>
      </c>
      <c r="W173" s="7"/>
      <c r="X173" s="7" t="s">
        <v>52</v>
      </c>
      <c r="Y173" s="29"/>
      <c r="Z173" s="30"/>
      <c r="AA173" s="31"/>
      <c r="AB173" s="32"/>
      <c r="AC173" s="30"/>
      <c r="AD173" s="30"/>
      <c r="AE173" s="30"/>
      <c r="AF173" s="30"/>
      <c r="AG173" s="30"/>
      <c r="AH173" s="30"/>
      <c r="AI173" s="30"/>
      <c r="AJ173" s="30"/>
      <c r="AK173" s="30"/>
      <c r="AL173" s="30"/>
      <c r="AM173" s="30"/>
      <c r="AN173" s="30"/>
      <c r="AO173" s="30"/>
      <c r="AP173" s="30"/>
      <c r="AQ173" s="30"/>
      <c r="AR173" s="30"/>
      <c r="AS173" s="30"/>
      <c r="AT173" s="30"/>
      <c r="AU173" s="30"/>
      <c r="AV173" s="30"/>
      <c r="AW173" s="30"/>
      <c r="AX173" s="30"/>
      <c r="AY173" s="30"/>
      <c r="AZ173" s="30"/>
      <c r="BA173" s="30" t="e">
        <f t="array" aca="1" ref="BA173" ca="1">_xludf.XLOOKUP(C173,'PL TOTAL D0'!A:A,'PL TOTAL D0'!C:C,"")</f>
        <v>#NAME?</v>
      </c>
    </row>
    <row r="174" spans="1:53" ht="15.75" customHeight="1">
      <c r="A174" s="23" t="s">
        <v>29</v>
      </c>
      <c r="B174" s="37" t="s">
        <v>725</v>
      </c>
      <c r="C174" s="49" t="s">
        <v>726</v>
      </c>
      <c r="D174" s="7" t="s">
        <v>19</v>
      </c>
      <c r="E174" s="7" t="s">
        <v>20</v>
      </c>
      <c r="F174" s="7" t="s">
        <v>199</v>
      </c>
      <c r="G174" s="7" t="e">
        <f t="shared" ca="1" si="0"/>
        <v>#NAME?</v>
      </c>
      <c r="H174" s="24" t="s">
        <v>152</v>
      </c>
      <c r="I174" s="24" t="s">
        <v>25</v>
      </c>
      <c r="J174" s="7" t="str">
        <f t="shared" ref="J174:J225" si="11">IF(Q174=0,"Não","Sim")</f>
        <v>Não</v>
      </c>
      <c r="K174" s="25">
        <v>45446</v>
      </c>
      <c r="L174" s="7"/>
      <c r="M174" s="7" t="s">
        <v>58</v>
      </c>
      <c r="N174" s="26">
        <v>1.2E-2</v>
      </c>
      <c r="O174" s="7" t="s">
        <v>37</v>
      </c>
      <c r="P174" s="27">
        <v>0.1</v>
      </c>
      <c r="Q174" s="28"/>
      <c r="R174" s="28"/>
      <c r="S174" s="7" t="s">
        <v>145</v>
      </c>
      <c r="T174" s="7" t="s">
        <v>727</v>
      </c>
      <c r="U174" s="7" t="s">
        <v>20</v>
      </c>
      <c r="V174" s="24" t="e">
        <f t="shared" ca="1" si="2"/>
        <v>#NAME?</v>
      </c>
      <c r="W174" s="7"/>
      <c r="X174" s="7" t="s">
        <v>52</v>
      </c>
      <c r="Y174" s="29" t="s">
        <v>147</v>
      </c>
      <c r="Z174" s="30"/>
      <c r="AA174" s="31">
        <v>45446</v>
      </c>
      <c r="AB174" s="32">
        <v>49075100014973</v>
      </c>
      <c r="AC174" s="30"/>
      <c r="AD174" s="30"/>
      <c r="AE174" s="30"/>
      <c r="AF174" s="30"/>
      <c r="AG174" s="30"/>
      <c r="AH174" s="30"/>
      <c r="AI174" s="30"/>
      <c r="AJ174" s="30"/>
      <c r="AK174" s="30"/>
      <c r="AL174" s="30"/>
      <c r="AM174" s="30"/>
      <c r="AN174" s="30"/>
      <c r="AO174" s="30"/>
      <c r="AP174" s="30"/>
      <c r="AQ174" s="30"/>
      <c r="AR174" s="30"/>
      <c r="AS174" s="30"/>
      <c r="AT174" s="30"/>
      <c r="AU174" s="30"/>
      <c r="AV174" s="30"/>
      <c r="AW174" s="30">
        <v>179280.5</v>
      </c>
      <c r="AX174" s="30">
        <v>178407.6</v>
      </c>
      <c r="AY174" s="30">
        <v>181335.17</v>
      </c>
      <c r="AZ174" s="30">
        <v>181827.75</v>
      </c>
      <c r="BA174" s="30" t="e">
        <f t="array" aca="1" ref="BA174" ca="1">_xludf.XLOOKUP(C174,'PL TOTAL D0'!A:A,'PL TOTAL D0'!C:C,"")</f>
        <v>#NAME?</v>
      </c>
    </row>
    <row r="175" spans="1:53" ht="15.75" customHeight="1">
      <c r="A175" s="23" t="s">
        <v>29</v>
      </c>
      <c r="B175" s="77" t="s">
        <v>728</v>
      </c>
      <c r="C175" s="4" t="s">
        <v>729</v>
      </c>
      <c r="D175" s="7" t="s">
        <v>19</v>
      </c>
      <c r="E175" s="7" t="s">
        <v>20</v>
      </c>
      <c r="F175" s="7" t="s">
        <v>199</v>
      </c>
      <c r="G175" s="7" t="e">
        <f t="shared" ca="1" si="0"/>
        <v>#NAME?</v>
      </c>
      <c r="H175" s="24" t="s">
        <v>152</v>
      </c>
      <c r="I175" s="24" t="s">
        <v>25</v>
      </c>
      <c r="J175" s="7" t="str">
        <f t="shared" si="11"/>
        <v>Não</v>
      </c>
      <c r="K175" s="25">
        <v>45117</v>
      </c>
      <c r="L175" s="7"/>
      <c r="M175" s="7" t="s">
        <v>42</v>
      </c>
      <c r="N175" s="26">
        <v>8.0000000000000002E-3</v>
      </c>
      <c r="O175" s="7" t="s">
        <v>25</v>
      </c>
      <c r="P175" s="27">
        <v>0</v>
      </c>
      <c r="Q175" s="28"/>
      <c r="R175" s="43" t="s">
        <v>730</v>
      </c>
      <c r="S175" s="7" t="s">
        <v>145</v>
      </c>
      <c r="T175" s="7" t="s">
        <v>731</v>
      </c>
      <c r="U175" s="7" t="s">
        <v>49</v>
      </c>
      <c r="V175" s="24" t="e">
        <f t="shared" ca="1" si="2"/>
        <v>#NAME?</v>
      </c>
      <c r="W175" s="7"/>
      <c r="X175" s="7"/>
      <c r="Y175" s="29" t="s">
        <v>147</v>
      </c>
      <c r="Z175" s="30"/>
      <c r="AA175" s="31">
        <v>45117</v>
      </c>
      <c r="AB175" s="32">
        <v>49075100012261</v>
      </c>
      <c r="AC175" s="30"/>
      <c r="AD175" s="30"/>
      <c r="AE175" s="30"/>
      <c r="AF175" s="30"/>
      <c r="AG175" s="30"/>
      <c r="AH175" s="30"/>
      <c r="AI175" s="30"/>
      <c r="AJ175" s="30"/>
      <c r="AK175" s="30"/>
      <c r="AL175" s="30">
        <v>753620.12</v>
      </c>
      <c r="AM175" s="30">
        <v>1013078.07</v>
      </c>
      <c r="AN175" s="30">
        <v>1022017.89</v>
      </c>
      <c r="AO175" s="30">
        <v>1030597.86</v>
      </c>
      <c r="AP175" s="30">
        <v>1038949.52</v>
      </c>
      <c r="AQ175" s="30">
        <v>1044650.86</v>
      </c>
      <c r="AR175" s="30">
        <v>1052286.48</v>
      </c>
      <c r="AS175" s="30">
        <v>1060541.73</v>
      </c>
      <c r="AT175" s="30">
        <v>1069095.93</v>
      </c>
      <c r="AU175" s="30">
        <v>1072500.3899999999</v>
      </c>
      <c r="AV175" s="30">
        <v>1081149</v>
      </c>
      <c r="AW175" s="30">
        <v>1090697</v>
      </c>
      <c r="AX175" s="30">
        <v>1100696</v>
      </c>
      <c r="AY175" s="30">
        <v>1110641.48</v>
      </c>
      <c r="AZ175" s="30">
        <v>1116516.22</v>
      </c>
      <c r="BA175" s="30" t="e">
        <f t="array" aca="1" ref="BA175" ca="1">_xludf.XLOOKUP(C175,'PL TOTAL D0'!A:A,'PL TOTAL D0'!C:C,"")</f>
        <v>#NAME?</v>
      </c>
    </row>
    <row r="176" spans="1:53" ht="15.75" customHeight="1">
      <c r="A176" s="23" t="s">
        <v>29</v>
      </c>
      <c r="B176" s="38" t="s">
        <v>732</v>
      </c>
      <c r="C176" s="39" t="s">
        <v>733</v>
      </c>
      <c r="D176" s="7" t="s">
        <v>72</v>
      </c>
      <c r="E176" s="7" t="s">
        <v>20</v>
      </c>
      <c r="F176" s="7" t="s">
        <v>247</v>
      </c>
      <c r="G176" s="7" t="e">
        <f t="shared" ca="1" si="0"/>
        <v>#NAME?</v>
      </c>
      <c r="H176" s="24" t="s">
        <v>152</v>
      </c>
      <c r="I176" s="24" t="s">
        <v>25</v>
      </c>
      <c r="J176" s="7" t="str">
        <f t="shared" si="11"/>
        <v>Sim</v>
      </c>
      <c r="K176" s="25">
        <v>45418</v>
      </c>
      <c r="L176" s="7"/>
      <c r="M176" s="7" t="s">
        <v>42</v>
      </c>
      <c r="N176" s="26">
        <v>1.2E-2</v>
      </c>
      <c r="O176" s="7" t="s">
        <v>25</v>
      </c>
      <c r="P176" s="27">
        <v>0</v>
      </c>
      <c r="Q176" s="28" t="s">
        <v>734</v>
      </c>
      <c r="R176" s="13"/>
      <c r="S176" s="7" t="s">
        <v>145</v>
      </c>
      <c r="T176" s="7" t="s">
        <v>735</v>
      </c>
      <c r="U176" s="7" t="s">
        <v>60</v>
      </c>
      <c r="V176" s="24" t="e">
        <f t="shared" ca="1" si="2"/>
        <v>#NAME?</v>
      </c>
      <c r="W176" s="7"/>
      <c r="X176" s="7" t="s">
        <v>91</v>
      </c>
      <c r="Y176" s="29" t="s">
        <v>147</v>
      </c>
      <c r="Z176" s="30"/>
      <c r="AA176" s="31">
        <v>45418</v>
      </c>
      <c r="AB176" s="32">
        <v>49075100014477</v>
      </c>
      <c r="AC176" s="30"/>
      <c r="AD176" s="30"/>
      <c r="AE176" s="30"/>
      <c r="AF176" s="30"/>
      <c r="AG176" s="30"/>
      <c r="AH176" s="30"/>
      <c r="AI176" s="30"/>
      <c r="AJ176" s="30"/>
      <c r="AK176" s="30"/>
      <c r="AL176" s="30"/>
      <c r="AM176" s="30"/>
      <c r="AN176" s="30"/>
      <c r="AO176" s="30"/>
      <c r="AP176" s="30"/>
      <c r="AQ176" s="30"/>
      <c r="AR176" s="30"/>
      <c r="AS176" s="30"/>
      <c r="AT176" s="30"/>
      <c r="AU176" s="30"/>
      <c r="AV176" s="30">
        <v>934377.7</v>
      </c>
      <c r="AW176" s="30">
        <v>942612.6</v>
      </c>
      <c r="AX176" s="30">
        <v>850951.8</v>
      </c>
      <c r="AY176" s="30">
        <v>797707.9</v>
      </c>
      <c r="AZ176" s="30">
        <v>742704.19</v>
      </c>
      <c r="BA176" s="30" t="e">
        <f t="array" aca="1" ref="BA176" ca="1">_xludf.XLOOKUP(C176,'PL TOTAL D0'!A:A,'PL TOTAL D0'!C:C,"")</f>
        <v>#NAME?</v>
      </c>
    </row>
    <row r="177" spans="1:53" ht="15.75" customHeight="1">
      <c r="A177" s="23" t="s">
        <v>29</v>
      </c>
      <c r="B177" s="3" t="s">
        <v>736</v>
      </c>
      <c r="C177" s="4" t="s">
        <v>737</v>
      </c>
      <c r="D177" s="7" t="s">
        <v>19</v>
      </c>
      <c r="E177" s="7" t="s">
        <v>34</v>
      </c>
      <c r="F177" s="7" t="s">
        <v>35</v>
      </c>
      <c r="G177" s="7" t="e">
        <f t="shared" ca="1" si="0"/>
        <v>#NAME?</v>
      </c>
      <c r="H177" s="24" t="s">
        <v>152</v>
      </c>
      <c r="I177" s="24" t="s">
        <v>25</v>
      </c>
      <c r="J177" s="7" t="str">
        <f t="shared" si="11"/>
        <v>Não</v>
      </c>
      <c r="K177" s="25">
        <v>45097</v>
      </c>
      <c r="L177" s="25"/>
      <c r="M177" s="7" t="s">
        <v>87</v>
      </c>
      <c r="N177" s="26">
        <v>2.5000000000000001E-2</v>
      </c>
      <c r="O177" s="7" t="s">
        <v>183</v>
      </c>
      <c r="P177" s="27">
        <v>0.2</v>
      </c>
      <c r="Q177" s="23"/>
      <c r="R177" s="28" t="s">
        <v>738</v>
      </c>
      <c r="S177" s="7" t="s">
        <v>145</v>
      </c>
      <c r="T177" s="7" t="s">
        <v>739</v>
      </c>
      <c r="U177" s="7" t="s">
        <v>39</v>
      </c>
      <c r="V177" s="24" t="e">
        <f t="shared" ca="1" si="2"/>
        <v>#NAME?</v>
      </c>
      <c r="W177" s="7"/>
      <c r="X177" s="7"/>
      <c r="Y177" s="29" t="s">
        <v>147</v>
      </c>
      <c r="Z177" s="30"/>
      <c r="AA177" s="31">
        <v>45097</v>
      </c>
      <c r="AB177" s="32">
        <v>49075100011303</v>
      </c>
      <c r="AC177" s="30"/>
      <c r="AD177" s="30"/>
      <c r="AE177" s="30"/>
      <c r="AF177" s="30"/>
      <c r="AG177" s="30"/>
      <c r="AH177" s="30"/>
      <c r="AI177" s="30"/>
      <c r="AJ177" s="30"/>
      <c r="AK177" s="30">
        <v>0</v>
      </c>
      <c r="AL177" s="30">
        <v>0</v>
      </c>
      <c r="AM177" s="30">
        <v>0</v>
      </c>
      <c r="AN177" s="30">
        <v>30921.9</v>
      </c>
      <c r="AO177" s="30">
        <v>34481.94</v>
      </c>
      <c r="AP177" s="30">
        <v>34514.410000000003</v>
      </c>
      <c r="AQ177" s="30">
        <v>35510.54</v>
      </c>
      <c r="AR177" s="30">
        <v>35609.49</v>
      </c>
      <c r="AS177" s="30">
        <v>55722.41</v>
      </c>
      <c r="AT177" s="30">
        <v>103114.97</v>
      </c>
      <c r="AU177" s="30">
        <v>98761.01</v>
      </c>
      <c r="AV177" s="30">
        <v>96514.12</v>
      </c>
      <c r="AW177" s="30">
        <v>96362.25</v>
      </c>
      <c r="AX177" s="30">
        <v>98531.28</v>
      </c>
      <c r="AY177" s="30">
        <v>99792.9</v>
      </c>
      <c r="AZ177" s="30">
        <v>98116.52</v>
      </c>
      <c r="BA177" s="30" t="e">
        <f t="array" aca="1" ref="BA177" ca="1">_xludf.XLOOKUP(C177,'PL TOTAL D0'!A:A,'PL TOTAL D0'!C:C,"")</f>
        <v>#NAME?</v>
      </c>
    </row>
    <row r="178" spans="1:53" ht="15.75" customHeight="1">
      <c r="A178" s="23" t="s">
        <v>29</v>
      </c>
      <c r="B178" s="3" t="s">
        <v>736</v>
      </c>
      <c r="C178" s="4" t="s">
        <v>740</v>
      </c>
      <c r="D178" s="7" t="s">
        <v>19</v>
      </c>
      <c r="E178" s="7" t="s">
        <v>34</v>
      </c>
      <c r="F178" s="7" t="s">
        <v>35</v>
      </c>
      <c r="G178" s="7" t="e">
        <f t="shared" ca="1" si="0"/>
        <v>#NAME?</v>
      </c>
      <c r="H178" s="24" t="s">
        <v>152</v>
      </c>
      <c r="I178" s="24" t="s">
        <v>25</v>
      </c>
      <c r="J178" s="7" t="str">
        <f t="shared" si="11"/>
        <v>Não</v>
      </c>
      <c r="K178" s="25">
        <v>45098</v>
      </c>
      <c r="L178" s="25"/>
      <c r="M178" s="7" t="s">
        <v>42</v>
      </c>
      <c r="N178" s="26">
        <v>1.2E-2</v>
      </c>
      <c r="O178" s="7" t="s">
        <v>25</v>
      </c>
      <c r="P178" s="27">
        <v>0</v>
      </c>
      <c r="Q178" s="28"/>
      <c r="R178" s="28" t="s">
        <v>741</v>
      </c>
      <c r="S178" s="7" t="s">
        <v>145</v>
      </c>
      <c r="T178" s="7" t="s">
        <v>739</v>
      </c>
      <c r="U178" s="7" t="s">
        <v>39</v>
      </c>
      <c r="V178" s="24" t="e">
        <f t="shared" ca="1" si="2"/>
        <v>#NAME?</v>
      </c>
      <c r="W178" s="7"/>
      <c r="X178" s="7"/>
      <c r="Y178" s="29" t="s">
        <v>147</v>
      </c>
      <c r="Z178" s="30"/>
      <c r="AA178" s="31">
        <v>45098</v>
      </c>
      <c r="AB178" s="32">
        <v>49075100007810</v>
      </c>
      <c r="AC178" s="30"/>
      <c r="AD178" s="30"/>
      <c r="AE178" s="30"/>
      <c r="AF178" s="30"/>
      <c r="AG178" s="30"/>
      <c r="AH178" s="30"/>
      <c r="AI178" s="30"/>
      <c r="AJ178" s="30"/>
      <c r="AK178" s="30">
        <v>0</v>
      </c>
      <c r="AL178" s="30">
        <v>0</v>
      </c>
      <c r="AM178" s="30">
        <v>261132.35</v>
      </c>
      <c r="AN178" s="30">
        <v>262140.79999999999</v>
      </c>
      <c r="AO178" s="30">
        <v>263304.76</v>
      </c>
      <c r="AP178" s="30">
        <v>266819.38</v>
      </c>
      <c r="AQ178" s="30">
        <v>269514.99</v>
      </c>
      <c r="AR178" s="30">
        <v>271647.21999999997</v>
      </c>
      <c r="AS178" s="30">
        <v>273260.46999999997</v>
      </c>
      <c r="AT178" s="30">
        <v>256018.7</v>
      </c>
      <c r="AU178" s="30">
        <v>257255.62</v>
      </c>
      <c r="AV178" s="30">
        <v>258687.4</v>
      </c>
      <c r="AW178" s="30">
        <v>260231.4</v>
      </c>
      <c r="AX178" s="30">
        <v>261309.7</v>
      </c>
      <c r="AY178" s="30">
        <v>263980.21999999997</v>
      </c>
      <c r="AZ178" s="30">
        <v>264008.36</v>
      </c>
      <c r="BA178" s="30" t="e">
        <f t="array" aca="1" ref="BA178" ca="1">_xludf.XLOOKUP(C178,'PL TOTAL D0'!A:A,'PL TOTAL D0'!C:C,"")</f>
        <v>#NAME?</v>
      </c>
    </row>
    <row r="179" spans="1:53" ht="15.75" customHeight="1">
      <c r="A179" s="23" t="s">
        <v>29</v>
      </c>
      <c r="B179" s="38" t="s">
        <v>742</v>
      </c>
      <c r="C179" s="39" t="s">
        <v>743</v>
      </c>
      <c r="D179" s="7" t="s">
        <v>19</v>
      </c>
      <c r="E179" s="7" t="s">
        <v>20</v>
      </c>
      <c r="F179" s="7" t="s">
        <v>199</v>
      </c>
      <c r="G179" s="7" t="e">
        <f t="shared" ca="1" si="0"/>
        <v>#NAME?</v>
      </c>
      <c r="H179" s="24" t="s">
        <v>152</v>
      </c>
      <c r="I179" s="24" t="s">
        <v>25</v>
      </c>
      <c r="J179" s="7" t="str">
        <f t="shared" si="11"/>
        <v>Não</v>
      </c>
      <c r="K179" s="25">
        <v>45440</v>
      </c>
      <c r="L179" s="25"/>
      <c r="M179" s="85" t="s">
        <v>42</v>
      </c>
      <c r="N179" s="56">
        <v>1.2E-2</v>
      </c>
      <c r="O179" s="57" t="s">
        <v>25</v>
      </c>
      <c r="P179" s="58">
        <v>0</v>
      </c>
      <c r="Q179" s="28"/>
      <c r="R179" s="28"/>
      <c r="S179" s="7" t="s">
        <v>145</v>
      </c>
      <c r="T179" s="12" t="s">
        <v>744</v>
      </c>
      <c r="U179" s="7" t="s">
        <v>20</v>
      </c>
      <c r="V179" s="24" t="e">
        <f t="shared" ca="1" si="2"/>
        <v>#NAME?</v>
      </c>
      <c r="W179" s="7"/>
      <c r="X179" s="7" t="s">
        <v>52</v>
      </c>
      <c r="Y179" s="29" t="s">
        <v>147</v>
      </c>
      <c r="Z179" s="30"/>
      <c r="AA179" s="31">
        <v>45440</v>
      </c>
      <c r="AB179" s="32">
        <v>49075100014485</v>
      </c>
      <c r="AC179" s="30"/>
      <c r="AD179" s="30"/>
      <c r="AE179" s="30"/>
      <c r="AF179" s="30"/>
      <c r="AG179" s="30"/>
      <c r="AH179" s="30"/>
      <c r="AI179" s="30"/>
      <c r="AJ179" s="30"/>
      <c r="AK179" s="30"/>
      <c r="AL179" s="30"/>
      <c r="AM179" s="30"/>
      <c r="AN179" s="30"/>
      <c r="AO179" s="30"/>
      <c r="AP179" s="30"/>
      <c r="AQ179" s="30"/>
      <c r="AR179" s="30"/>
      <c r="AS179" s="30"/>
      <c r="AT179" s="30"/>
      <c r="AU179" s="30"/>
      <c r="AV179" s="30">
        <v>0</v>
      </c>
      <c r="AW179" s="30">
        <v>50181.39</v>
      </c>
      <c r="AX179" s="30">
        <v>90855.05</v>
      </c>
      <c r="AY179" s="30">
        <v>508351.15</v>
      </c>
      <c r="AZ179" s="30">
        <v>846559.35</v>
      </c>
      <c r="BA179" s="30" t="e">
        <f t="array" aca="1" ref="BA179" ca="1">_xludf.XLOOKUP(C179,'PL TOTAL D0'!A:A,'PL TOTAL D0'!C:C,"")</f>
        <v>#NAME?</v>
      </c>
    </row>
    <row r="180" spans="1:53" ht="15.75" customHeight="1">
      <c r="A180" s="23" t="s">
        <v>29</v>
      </c>
      <c r="B180" s="37" t="s">
        <v>745</v>
      </c>
      <c r="C180" s="4" t="s">
        <v>746</v>
      </c>
      <c r="D180" s="7" t="s">
        <v>19</v>
      </c>
      <c r="E180" s="7" t="s">
        <v>34</v>
      </c>
      <c r="F180" s="7" t="s">
        <v>35</v>
      </c>
      <c r="G180" s="7" t="e">
        <f t="shared" ca="1" si="0"/>
        <v>#NAME?</v>
      </c>
      <c r="H180" s="24" t="s">
        <v>143</v>
      </c>
      <c r="I180" s="24" t="s">
        <v>25</v>
      </c>
      <c r="J180" s="7" t="str">
        <f t="shared" si="11"/>
        <v>Não</v>
      </c>
      <c r="K180" s="25">
        <v>45166</v>
      </c>
      <c r="L180" s="25">
        <v>45177</v>
      </c>
      <c r="M180" s="7" t="s">
        <v>257</v>
      </c>
      <c r="N180" s="26">
        <v>8.0000000000000002E-3</v>
      </c>
      <c r="O180" s="7" t="s">
        <v>258</v>
      </c>
      <c r="P180" s="27">
        <v>0.1</v>
      </c>
      <c r="Q180" s="28"/>
      <c r="R180" s="28"/>
      <c r="S180" s="7" t="s">
        <v>145</v>
      </c>
      <c r="T180" s="7" t="s">
        <v>747</v>
      </c>
      <c r="U180" s="7" t="s">
        <v>39</v>
      </c>
      <c r="V180" s="24" t="e">
        <f t="shared" ca="1" si="2"/>
        <v>#NAME?</v>
      </c>
      <c r="W180" s="7"/>
      <c r="X180" s="7"/>
      <c r="Y180" s="29"/>
      <c r="Z180" s="30"/>
      <c r="AA180" s="31">
        <v>45166</v>
      </c>
      <c r="AB180" s="32"/>
      <c r="AC180" s="30"/>
      <c r="AD180" s="30"/>
      <c r="AE180" s="30"/>
      <c r="AF180" s="30"/>
      <c r="AG180" s="30"/>
      <c r="AH180" s="30">
        <v>0</v>
      </c>
      <c r="AI180" s="30">
        <v>0</v>
      </c>
      <c r="AJ180" s="30">
        <v>0</v>
      </c>
      <c r="AK180" s="30">
        <v>0</v>
      </c>
      <c r="AL180" s="30">
        <v>0</v>
      </c>
      <c r="AM180" s="30">
        <v>0</v>
      </c>
      <c r="AN180" s="30">
        <v>0</v>
      </c>
      <c r="AO180" s="30">
        <v>0</v>
      </c>
      <c r="AP180" s="30">
        <v>0</v>
      </c>
      <c r="AQ180" s="30">
        <v>0</v>
      </c>
      <c r="AR180" s="30">
        <v>0</v>
      </c>
      <c r="AS180" s="30">
        <v>0</v>
      </c>
      <c r="AT180" s="30">
        <v>0</v>
      </c>
      <c r="AU180" s="30">
        <v>0</v>
      </c>
      <c r="AV180" s="30">
        <v>0</v>
      </c>
      <c r="AW180" s="30">
        <v>0</v>
      </c>
      <c r="AX180" s="30">
        <v>0</v>
      </c>
      <c r="AY180" s="30">
        <v>0</v>
      </c>
      <c r="AZ180" s="30">
        <v>0</v>
      </c>
      <c r="BA180" s="30" t="e">
        <f t="array" aca="1" ref="BA180" ca="1">_xludf.XLOOKUP(C180,'PL TOTAL D0'!A:A,'PL TOTAL D0'!C:C,"")</f>
        <v>#NAME?</v>
      </c>
    </row>
    <row r="181" spans="1:53" ht="15.75" customHeight="1">
      <c r="A181" s="23" t="s">
        <v>29</v>
      </c>
      <c r="B181" s="37" t="s">
        <v>745</v>
      </c>
      <c r="C181" s="4" t="s">
        <v>748</v>
      </c>
      <c r="D181" s="7" t="s">
        <v>19</v>
      </c>
      <c r="E181" s="7" t="s">
        <v>34</v>
      </c>
      <c r="F181" s="7" t="s">
        <v>35</v>
      </c>
      <c r="G181" s="7" t="e">
        <f t="shared" ca="1" si="0"/>
        <v>#NAME?</v>
      </c>
      <c r="H181" s="24" t="s">
        <v>143</v>
      </c>
      <c r="I181" s="24" t="s">
        <v>25</v>
      </c>
      <c r="J181" s="7" t="str">
        <f t="shared" si="11"/>
        <v>Não</v>
      </c>
      <c r="K181" s="25">
        <v>45166</v>
      </c>
      <c r="L181" s="25">
        <v>45177</v>
      </c>
      <c r="M181" s="7" t="s">
        <v>42</v>
      </c>
      <c r="N181" s="26">
        <v>1.2E-2</v>
      </c>
      <c r="O181" s="7" t="s">
        <v>25</v>
      </c>
      <c r="P181" s="27">
        <v>0</v>
      </c>
      <c r="Q181" s="28"/>
      <c r="R181" s="28"/>
      <c r="S181" s="7" t="s">
        <v>145</v>
      </c>
      <c r="T181" s="7" t="s">
        <v>747</v>
      </c>
      <c r="U181" s="7" t="s">
        <v>39</v>
      </c>
      <c r="V181" s="24" t="e">
        <f t="shared" ca="1" si="2"/>
        <v>#NAME?</v>
      </c>
      <c r="W181" s="7"/>
      <c r="X181" s="7"/>
      <c r="Y181" s="29"/>
      <c r="Z181" s="30"/>
      <c r="AA181" s="31">
        <v>45166</v>
      </c>
      <c r="AB181" s="32"/>
      <c r="AC181" s="30"/>
      <c r="AD181" s="30"/>
      <c r="AE181" s="30"/>
      <c r="AF181" s="30"/>
      <c r="AG181" s="30"/>
      <c r="AH181" s="30">
        <v>0</v>
      </c>
      <c r="AI181" s="30">
        <v>0</v>
      </c>
      <c r="AJ181" s="30">
        <v>0</v>
      </c>
      <c r="AK181" s="30">
        <v>0</v>
      </c>
      <c r="AL181" s="30">
        <v>0</v>
      </c>
      <c r="AM181" s="30">
        <v>0</v>
      </c>
      <c r="AN181" s="30">
        <v>0</v>
      </c>
      <c r="AO181" s="30">
        <v>0</v>
      </c>
      <c r="AP181" s="30">
        <v>0</v>
      </c>
      <c r="AQ181" s="30">
        <v>0</v>
      </c>
      <c r="AR181" s="30">
        <v>0</v>
      </c>
      <c r="AS181" s="30">
        <v>0</v>
      </c>
      <c r="AT181" s="30">
        <v>0</v>
      </c>
      <c r="AU181" s="30">
        <v>0</v>
      </c>
      <c r="AV181" s="30">
        <v>0</v>
      </c>
      <c r="AW181" s="30">
        <v>0</v>
      </c>
      <c r="AX181" s="30">
        <v>0</v>
      </c>
      <c r="AY181" s="30">
        <v>0</v>
      </c>
      <c r="AZ181" s="30">
        <v>0</v>
      </c>
      <c r="BA181" s="30" t="e">
        <f t="array" aca="1" ref="BA181" ca="1">_xludf.XLOOKUP(C181,'PL TOTAL D0'!A:A,'PL TOTAL D0'!C:C,"")</f>
        <v>#NAME?</v>
      </c>
    </row>
    <row r="182" spans="1:53" ht="15.75" customHeight="1">
      <c r="A182" s="23" t="s">
        <v>29</v>
      </c>
      <c r="B182" s="3" t="s">
        <v>749</v>
      </c>
      <c r="C182" s="4" t="s">
        <v>750</v>
      </c>
      <c r="D182" s="7" t="s">
        <v>19</v>
      </c>
      <c r="E182" s="7" t="s">
        <v>34</v>
      </c>
      <c r="F182" s="7" t="s">
        <v>35</v>
      </c>
      <c r="G182" s="7" t="e">
        <f t="shared" ca="1" si="0"/>
        <v>#NAME?</v>
      </c>
      <c r="H182" s="24" t="s">
        <v>161</v>
      </c>
      <c r="I182" s="24" t="s">
        <v>162</v>
      </c>
      <c r="J182" s="7" t="str">
        <f t="shared" si="11"/>
        <v>Não</v>
      </c>
      <c r="K182" s="25">
        <v>45170</v>
      </c>
      <c r="L182" s="7"/>
      <c r="M182" s="7" t="s">
        <v>42</v>
      </c>
      <c r="N182" s="26">
        <v>1.2E-2</v>
      </c>
      <c r="O182" s="7" t="s">
        <v>25</v>
      </c>
      <c r="P182" s="27">
        <v>0</v>
      </c>
      <c r="Q182" s="23"/>
      <c r="R182" s="28" t="s">
        <v>751</v>
      </c>
      <c r="S182" s="7" t="s">
        <v>145</v>
      </c>
      <c r="T182" s="7" t="s">
        <v>747</v>
      </c>
      <c r="U182" s="7" t="s">
        <v>39</v>
      </c>
      <c r="V182" s="24" t="e">
        <f t="shared" ca="1" si="2"/>
        <v>#NAME?</v>
      </c>
      <c r="W182" s="7"/>
      <c r="X182" s="7"/>
      <c r="Y182" s="30" t="s">
        <v>147</v>
      </c>
      <c r="Z182" s="30"/>
      <c r="AA182" s="31">
        <v>45170</v>
      </c>
      <c r="AB182" s="32">
        <v>49075100009430</v>
      </c>
      <c r="AC182" s="30"/>
      <c r="AD182" s="30"/>
      <c r="AE182" s="30"/>
      <c r="AF182" s="30"/>
      <c r="AG182" s="30"/>
      <c r="AH182" s="30"/>
      <c r="AI182" s="30"/>
      <c r="AJ182" s="30"/>
      <c r="AK182" s="30"/>
      <c r="AL182" s="86"/>
      <c r="AM182" s="86">
        <v>0</v>
      </c>
      <c r="AN182" s="30">
        <v>0</v>
      </c>
      <c r="AO182" s="30">
        <v>395593.05</v>
      </c>
      <c r="AP182" s="30">
        <v>401654.87</v>
      </c>
      <c r="AQ182" s="30">
        <v>406919.13</v>
      </c>
      <c r="AR182" s="30">
        <v>402261.55</v>
      </c>
      <c r="AS182" s="30">
        <v>404749.58</v>
      </c>
      <c r="AT182" s="30">
        <v>407678.64</v>
      </c>
      <c r="AU182" s="30">
        <v>407317.32</v>
      </c>
      <c r="AV182" s="30">
        <v>406950.7</v>
      </c>
      <c r="AW182" s="30">
        <v>408881</v>
      </c>
      <c r="AX182" s="30">
        <v>411635.5</v>
      </c>
      <c r="AY182" s="30">
        <v>413364.18</v>
      </c>
      <c r="AZ182" s="30">
        <v>307.14</v>
      </c>
      <c r="BA182" s="30" t="e">
        <f t="array" aca="1" ref="BA182" ca="1">_xludf.XLOOKUP(C182,'PL TOTAL D0'!A:A,'PL TOTAL D0'!C:C,"")</f>
        <v>#NAME?</v>
      </c>
    </row>
    <row r="183" spans="1:53" ht="15.75" customHeight="1">
      <c r="A183" s="23" t="s">
        <v>29</v>
      </c>
      <c r="B183" s="3" t="s">
        <v>752</v>
      </c>
      <c r="C183" s="4" t="s">
        <v>753</v>
      </c>
      <c r="D183" s="7" t="s">
        <v>19</v>
      </c>
      <c r="E183" s="7" t="s">
        <v>20</v>
      </c>
      <c r="F183" s="7" t="s">
        <v>449</v>
      </c>
      <c r="G183" s="7" t="e">
        <f t="shared" ca="1" si="0"/>
        <v>#NAME?</v>
      </c>
      <c r="H183" s="24" t="s">
        <v>152</v>
      </c>
      <c r="I183" s="24" t="s">
        <v>162</v>
      </c>
      <c r="J183" s="7" t="str">
        <f t="shared" si="11"/>
        <v>Não</v>
      </c>
      <c r="K183" s="25">
        <v>45464</v>
      </c>
      <c r="L183" s="7"/>
      <c r="M183" s="7" t="s">
        <v>42</v>
      </c>
      <c r="N183" s="26">
        <v>0</v>
      </c>
      <c r="O183" s="7" t="s">
        <v>25</v>
      </c>
      <c r="P183" s="27">
        <v>0</v>
      </c>
      <c r="Q183" s="23"/>
      <c r="R183" s="28"/>
      <c r="S183" s="7" t="s">
        <v>187</v>
      </c>
      <c r="T183" s="7" t="s">
        <v>754</v>
      </c>
      <c r="U183" s="7" t="s">
        <v>20</v>
      </c>
      <c r="V183" s="24" t="e">
        <f t="shared" ca="1" si="2"/>
        <v>#NAME?</v>
      </c>
      <c r="W183" s="7"/>
      <c r="X183" s="7" t="s">
        <v>52</v>
      </c>
      <c r="Y183" s="29" t="s">
        <v>147</v>
      </c>
      <c r="Z183" s="30"/>
      <c r="AA183" s="31">
        <v>45464</v>
      </c>
      <c r="AB183" s="32">
        <v>49075100014906</v>
      </c>
      <c r="AC183" s="30"/>
      <c r="AD183" s="30"/>
      <c r="AE183" s="30"/>
      <c r="AF183" s="30"/>
      <c r="AG183" s="30"/>
      <c r="AH183" s="30"/>
      <c r="AI183" s="30"/>
      <c r="AJ183" s="30"/>
      <c r="AK183" s="30"/>
      <c r="AL183" s="86"/>
      <c r="AM183" s="86"/>
      <c r="AN183" s="30"/>
      <c r="AO183" s="30"/>
      <c r="AP183" s="30"/>
      <c r="AQ183" s="30"/>
      <c r="AR183" s="30"/>
      <c r="AS183" s="30"/>
      <c r="AT183" s="30"/>
      <c r="AU183" s="30"/>
      <c r="AV183" s="30"/>
      <c r="AW183" s="30">
        <v>0</v>
      </c>
      <c r="AX183" s="30">
        <v>473224.7</v>
      </c>
      <c r="AY183" s="30">
        <v>495935.72</v>
      </c>
      <c r="AZ183" s="30">
        <v>515936.9</v>
      </c>
      <c r="BA183" s="30" t="e">
        <f t="array" aca="1" ref="BA183" ca="1">_xludf.XLOOKUP(C183,'PL TOTAL D0'!A:A,'PL TOTAL D0'!C:C,"")</f>
        <v>#NAME?</v>
      </c>
    </row>
    <row r="184" spans="1:53" ht="15.75" customHeight="1">
      <c r="A184" s="23" t="s">
        <v>29</v>
      </c>
      <c r="B184" s="3" t="s">
        <v>755</v>
      </c>
      <c r="C184" s="4" t="s">
        <v>756</v>
      </c>
      <c r="D184" s="7" t="s">
        <v>19</v>
      </c>
      <c r="E184" s="7" t="s">
        <v>49</v>
      </c>
      <c r="F184" s="7" t="s">
        <v>50</v>
      </c>
      <c r="G184" s="7" t="e">
        <f t="shared" ca="1" si="0"/>
        <v>#NAME?</v>
      </c>
      <c r="H184" s="24" t="s">
        <v>161</v>
      </c>
      <c r="I184" s="24" t="s">
        <v>211</v>
      </c>
      <c r="J184" s="7" t="str">
        <f t="shared" si="11"/>
        <v>Não</v>
      </c>
      <c r="K184" s="25">
        <v>45121</v>
      </c>
      <c r="L184" s="25"/>
      <c r="M184" s="7" t="s">
        <v>466</v>
      </c>
      <c r="N184" s="26">
        <v>8.0000000000000002E-3</v>
      </c>
      <c r="O184" s="7" t="s">
        <v>25</v>
      </c>
      <c r="P184" s="27">
        <v>0</v>
      </c>
      <c r="Q184" s="28"/>
      <c r="R184" s="28" t="s">
        <v>757</v>
      </c>
      <c r="S184" s="7" t="s">
        <v>187</v>
      </c>
      <c r="T184" s="7" t="s">
        <v>758</v>
      </c>
      <c r="U184" s="7" t="s">
        <v>49</v>
      </c>
      <c r="V184" s="24" t="e">
        <f t="shared" ca="1" si="2"/>
        <v>#NAME?</v>
      </c>
      <c r="W184" s="7"/>
      <c r="X184" s="7"/>
      <c r="Y184" s="29" t="s">
        <v>253</v>
      </c>
      <c r="Z184" s="30"/>
      <c r="AA184" s="31">
        <v>45121</v>
      </c>
      <c r="AB184" s="32">
        <v>49075100008701</v>
      </c>
      <c r="AC184" s="30"/>
      <c r="AD184" s="30"/>
      <c r="AE184" s="30"/>
      <c r="AF184" s="30"/>
      <c r="AG184" s="30"/>
      <c r="AH184" s="30"/>
      <c r="AI184" s="30">
        <v>0</v>
      </c>
      <c r="AJ184" s="30">
        <v>0</v>
      </c>
      <c r="AK184" s="30">
        <v>0</v>
      </c>
      <c r="AL184" s="30">
        <v>1962080.6</v>
      </c>
      <c r="AM184" s="30">
        <v>2780342.13</v>
      </c>
      <c r="AN184" s="30">
        <v>3753566</v>
      </c>
      <c r="AO184" s="30">
        <v>2774840.6</v>
      </c>
      <c r="AP184" s="30">
        <v>2360999.31</v>
      </c>
      <c r="AQ184" s="30">
        <v>2426239.48</v>
      </c>
      <c r="AR184" s="30">
        <v>2298507.66</v>
      </c>
      <c r="AS184" s="30">
        <v>1521862.72</v>
      </c>
      <c r="AT184" s="30">
        <v>1293675.25</v>
      </c>
      <c r="AU184" s="30">
        <v>638708.18000000005</v>
      </c>
      <c r="AV184" s="30">
        <v>827636</v>
      </c>
      <c r="AW184" s="30">
        <v>834104</v>
      </c>
      <c r="AX184" s="30">
        <v>72830.47</v>
      </c>
      <c r="AY184" s="30">
        <v>72946.41</v>
      </c>
      <c r="AZ184" s="30">
        <v>0</v>
      </c>
      <c r="BA184" s="30" t="e">
        <f t="array" aca="1" ref="BA184" ca="1">_xludf.XLOOKUP(C184,'PL TOTAL D0'!A:A,'PL TOTAL D0'!C:C,"")</f>
        <v>#NAME?</v>
      </c>
    </row>
    <row r="185" spans="1:53" ht="15.75" customHeight="1">
      <c r="A185" s="23" t="s">
        <v>29</v>
      </c>
      <c r="B185" s="3" t="s">
        <v>759</v>
      </c>
      <c r="C185" s="4" t="s">
        <v>760</v>
      </c>
      <c r="D185" s="7" t="s">
        <v>64</v>
      </c>
      <c r="E185" s="7" t="s">
        <v>20</v>
      </c>
      <c r="F185" s="7" t="s">
        <v>142</v>
      </c>
      <c r="G185" s="7" t="e">
        <f t="shared" ca="1" si="0"/>
        <v>#NAME?</v>
      </c>
      <c r="H185" s="24" t="s">
        <v>161</v>
      </c>
      <c r="I185" s="24" t="s">
        <v>211</v>
      </c>
      <c r="J185" s="7" t="str">
        <f t="shared" si="11"/>
        <v>Não</v>
      </c>
      <c r="K185" s="25">
        <v>45166</v>
      </c>
      <c r="L185" s="7"/>
      <c r="M185" s="7" t="s">
        <v>200</v>
      </c>
      <c r="N185" s="26">
        <v>0.01</v>
      </c>
      <c r="O185" s="7" t="s">
        <v>37</v>
      </c>
      <c r="P185" s="27">
        <v>0.1</v>
      </c>
      <c r="Q185" s="28"/>
      <c r="R185" s="28" t="s">
        <v>761</v>
      </c>
      <c r="S185" s="7" t="s">
        <v>145</v>
      </c>
      <c r="T185" s="7" t="s">
        <v>762</v>
      </c>
      <c r="U185" s="7" t="s">
        <v>20</v>
      </c>
      <c r="V185" s="24" t="e">
        <f t="shared" ca="1" si="2"/>
        <v>#NAME?</v>
      </c>
      <c r="W185" s="7"/>
      <c r="X185" s="7"/>
      <c r="Y185" s="29" t="s">
        <v>147</v>
      </c>
      <c r="Z185" s="30"/>
      <c r="AA185" s="31">
        <v>45166</v>
      </c>
      <c r="AB185" s="32">
        <v>49075100007829</v>
      </c>
      <c r="AC185" s="30"/>
      <c r="AD185" s="30"/>
      <c r="AE185" s="30"/>
      <c r="AF185" s="30"/>
      <c r="AG185" s="30"/>
      <c r="AH185" s="30"/>
      <c r="AI185" s="30"/>
      <c r="AJ185" s="30"/>
      <c r="AK185" s="30"/>
      <c r="AL185" s="30"/>
      <c r="AM185" s="30">
        <v>831837.71</v>
      </c>
      <c r="AN185" s="30">
        <v>952999.84</v>
      </c>
      <c r="AO185" s="30">
        <v>994357.77</v>
      </c>
      <c r="AP185" s="30">
        <v>1014786.01</v>
      </c>
      <c r="AQ185" s="30">
        <v>1035142.28</v>
      </c>
      <c r="AR185" s="30">
        <v>1060144.5900000001</v>
      </c>
      <c r="AS185" s="30">
        <v>1072327.5900000001</v>
      </c>
      <c r="AT185" s="30">
        <v>1077534.52</v>
      </c>
      <c r="AU185" s="30">
        <v>1061620.33</v>
      </c>
      <c r="AV185" s="30">
        <v>1264675</v>
      </c>
      <c r="AW185" s="30">
        <v>1266399</v>
      </c>
      <c r="AX185" s="30">
        <v>1278681</v>
      </c>
      <c r="AY185" s="30">
        <v>0</v>
      </c>
      <c r="AZ185" s="30">
        <v>0</v>
      </c>
      <c r="BA185" s="30" t="e">
        <f t="array" aca="1" ref="BA185" ca="1">_xludf.XLOOKUP(C185,'PL TOTAL D0'!A:A,'PL TOTAL D0'!C:C,"")</f>
        <v>#NAME?</v>
      </c>
    </row>
    <row r="186" spans="1:53" ht="15.75" customHeight="1">
      <c r="A186" s="23" t="s">
        <v>29</v>
      </c>
      <c r="B186" s="38" t="s">
        <v>763</v>
      </c>
      <c r="C186" s="39" t="s">
        <v>764</v>
      </c>
      <c r="D186" s="7" t="s">
        <v>72</v>
      </c>
      <c r="E186" s="7" t="s">
        <v>20</v>
      </c>
      <c r="F186" s="7" t="s">
        <v>337</v>
      </c>
      <c r="G186" s="7" t="e">
        <f t="shared" ca="1" si="0"/>
        <v>#NAME?</v>
      </c>
      <c r="H186" s="24" t="s">
        <v>152</v>
      </c>
      <c r="I186" s="24" t="s">
        <v>25</v>
      </c>
      <c r="J186" s="7" t="str">
        <f t="shared" si="11"/>
        <v>Não</v>
      </c>
      <c r="K186" s="25">
        <v>45418</v>
      </c>
      <c r="L186" s="25"/>
      <c r="M186" s="7" t="s">
        <v>58</v>
      </c>
      <c r="N186" s="26">
        <v>1.2E-2</v>
      </c>
      <c r="O186" s="7" t="s">
        <v>37</v>
      </c>
      <c r="P186" s="27">
        <v>0.1</v>
      </c>
      <c r="Q186" s="28"/>
      <c r="R186" s="28"/>
      <c r="S186" s="7" t="s">
        <v>145</v>
      </c>
      <c r="T186" s="7" t="s">
        <v>765</v>
      </c>
      <c r="U186" s="7" t="s">
        <v>20</v>
      </c>
      <c r="V186" s="24" t="e">
        <f t="shared" ca="1" si="2"/>
        <v>#NAME?</v>
      </c>
      <c r="W186" s="7"/>
      <c r="X186" s="7" t="s">
        <v>52</v>
      </c>
      <c r="Y186" s="29" t="s">
        <v>147</v>
      </c>
      <c r="Z186" s="30"/>
      <c r="AA186" s="31">
        <v>45418</v>
      </c>
      <c r="AB186" s="32">
        <v>49075100014493</v>
      </c>
      <c r="AC186" s="30"/>
      <c r="AD186" s="30"/>
      <c r="AE186" s="30"/>
      <c r="AF186" s="30"/>
      <c r="AG186" s="30"/>
      <c r="AH186" s="30"/>
      <c r="AI186" s="30"/>
      <c r="AJ186" s="30"/>
      <c r="AK186" s="30"/>
      <c r="AL186" s="30"/>
      <c r="AM186" s="30"/>
      <c r="AN186" s="30"/>
      <c r="AO186" s="30"/>
      <c r="AP186" s="30"/>
      <c r="AQ186" s="30"/>
      <c r="AR186" s="30"/>
      <c r="AS186" s="30"/>
      <c r="AT186" s="30"/>
      <c r="AU186" s="30"/>
      <c r="AV186" s="30">
        <v>237924</v>
      </c>
      <c r="AW186" s="30">
        <v>239680.4</v>
      </c>
      <c r="AX186" s="30">
        <v>242212.8</v>
      </c>
      <c r="AY186" s="30">
        <v>244698.16</v>
      </c>
      <c r="AZ186" s="30">
        <v>246044.24</v>
      </c>
      <c r="BA186" s="30" t="e">
        <f t="array" aca="1" ref="BA186" ca="1">_xludf.XLOOKUP(C186,'PL TOTAL D0'!A:A,'PL TOTAL D0'!C:C,"")</f>
        <v>#NAME?</v>
      </c>
    </row>
    <row r="187" spans="1:53" ht="15.75" customHeight="1">
      <c r="A187" s="23" t="s">
        <v>29</v>
      </c>
      <c r="B187" s="87" t="s">
        <v>766</v>
      </c>
      <c r="C187" s="34" t="s">
        <v>767</v>
      </c>
      <c r="D187" s="7" t="s">
        <v>64</v>
      </c>
      <c r="E187" s="7" t="s">
        <v>20</v>
      </c>
      <c r="F187" s="7" t="s">
        <v>489</v>
      </c>
      <c r="G187" s="7" t="e">
        <f t="shared" ca="1" si="0"/>
        <v>#NAME?</v>
      </c>
      <c r="H187" s="24" t="s">
        <v>143</v>
      </c>
      <c r="I187" s="24" t="s">
        <v>25</v>
      </c>
      <c r="J187" s="7" t="str">
        <f t="shared" si="11"/>
        <v>Não</v>
      </c>
      <c r="K187" s="25">
        <v>45175</v>
      </c>
      <c r="L187" s="25">
        <v>45516</v>
      </c>
      <c r="M187" s="7" t="s">
        <v>42</v>
      </c>
      <c r="N187" s="26">
        <v>8.5000000000000006E-3</v>
      </c>
      <c r="O187" s="7" t="s">
        <v>25</v>
      </c>
      <c r="P187" s="27">
        <v>0</v>
      </c>
      <c r="Q187" s="82"/>
      <c r="R187" s="28" t="s">
        <v>702</v>
      </c>
      <c r="S187" s="7" t="s">
        <v>145</v>
      </c>
      <c r="T187" s="7" t="s">
        <v>768</v>
      </c>
      <c r="U187" s="7" t="s">
        <v>20</v>
      </c>
      <c r="V187" s="24" t="e">
        <f t="shared" ca="1" si="2"/>
        <v>#NAME?</v>
      </c>
      <c r="W187" s="7"/>
      <c r="X187" s="7"/>
      <c r="Y187" s="29" t="s">
        <v>147</v>
      </c>
      <c r="Z187" s="30"/>
      <c r="AA187" s="31">
        <v>45175</v>
      </c>
      <c r="AB187" s="32">
        <v>49075100003432</v>
      </c>
      <c r="AC187" s="30"/>
      <c r="AD187" s="30"/>
      <c r="AE187" s="30"/>
      <c r="AF187" s="30"/>
      <c r="AG187" s="30"/>
      <c r="AH187" s="30"/>
      <c r="AI187" s="30"/>
      <c r="AJ187" s="30"/>
      <c r="AK187" s="30"/>
      <c r="AL187" s="30"/>
      <c r="AM187" s="30">
        <v>0</v>
      </c>
      <c r="AN187" s="30">
        <v>834256.32</v>
      </c>
      <c r="AO187" s="30">
        <v>841298.65</v>
      </c>
      <c r="AP187" s="30">
        <v>846883.93</v>
      </c>
      <c r="AQ187" s="30">
        <v>840711.98</v>
      </c>
      <c r="AR187" s="30">
        <v>850636.02</v>
      </c>
      <c r="AS187" s="30">
        <v>836464.59</v>
      </c>
      <c r="AT187" s="30">
        <v>850022.2</v>
      </c>
      <c r="AU187" s="30">
        <v>851195.49</v>
      </c>
      <c r="AV187" s="30">
        <v>861555.1</v>
      </c>
      <c r="AW187" s="30">
        <v>868921.9</v>
      </c>
      <c r="AX187" s="30">
        <v>0</v>
      </c>
      <c r="AY187" s="30">
        <v>0</v>
      </c>
      <c r="AZ187" s="30">
        <v>0</v>
      </c>
      <c r="BA187" s="30" t="e">
        <f t="array" aca="1" ref="BA187" ca="1">_xludf.XLOOKUP(C187,'PL TOTAL D0'!A:A,'PL TOTAL D0'!C:C,"")</f>
        <v>#NAME?</v>
      </c>
    </row>
    <row r="188" spans="1:53" ht="15.75" customHeight="1">
      <c r="A188" s="23" t="s">
        <v>29</v>
      </c>
      <c r="B188" s="3" t="s">
        <v>769</v>
      </c>
      <c r="C188" s="4" t="s">
        <v>770</v>
      </c>
      <c r="D188" s="7" t="s">
        <v>19</v>
      </c>
      <c r="E188" s="7" t="s">
        <v>20</v>
      </c>
      <c r="F188" s="7" t="s">
        <v>21</v>
      </c>
      <c r="G188" s="7" t="e">
        <f t="shared" ca="1" si="0"/>
        <v>#NAME?</v>
      </c>
      <c r="H188" s="24" t="s">
        <v>152</v>
      </c>
      <c r="I188" s="24" t="s">
        <v>25</v>
      </c>
      <c r="J188" s="7" t="str">
        <f t="shared" si="11"/>
        <v>Não</v>
      </c>
      <c r="K188" s="25">
        <v>45001</v>
      </c>
      <c r="L188" s="7"/>
      <c r="M188" s="7" t="s">
        <v>42</v>
      </c>
      <c r="N188" s="26">
        <v>1.2E-2</v>
      </c>
      <c r="O188" s="7" t="s">
        <v>25</v>
      </c>
      <c r="P188" s="27">
        <v>0</v>
      </c>
      <c r="Q188" s="28"/>
      <c r="R188" s="28"/>
      <c r="S188" s="7" t="s">
        <v>145</v>
      </c>
      <c r="T188" s="7" t="s">
        <v>771</v>
      </c>
      <c r="U188" s="7" t="s">
        <v>20</v>
      </c>
      <c r="V188" s="24" t="e">
        <f t="shared" ca="1" si="2"/>
        <v>#NAME?</v>
      </c>
      <c r="W188" s="7"/>
      <c r="X188" s="7"/>
      <c r="Y188" s="29" t="s">
        <v>147</v>
      </c>
      <c r="Z188" s="30"/>
      <c r="AA188" s="31">
        <v>45001</v>
      </c>
      <c r="AB188" s="32">
        <v>49075100006210</v>
      </c>
      <c r="AC188" s="30"/>
      <c r="AD188" s="30"/>
      <c r="AE188" s="30"/>
      <c r="AF188" s="30">
        <v>0</v>
      </c>
      <c r="AG188" s="30">
        <v>0</v>
      </c>
      <c r="AH188" s="30">
        <v>50312.94</v>
      </c>
      <c r="AI188" s="30">
        <v>274798.86</v>
      </c>
      <c r="AJ188" s="30">
        <v>276929.5</v>
      </c>
      <c r="AK188" s="30">
        <v>278882.46999999997</v>
      </c>
      <c r="AL188" s="30">
        <v>281372.59000000003</v>
      </c>
      <c r="AM188" s="30">
        <v>283651.31</v>
      </c>
      <c r="AN188" s="30">
        <v>285135.3</v>
      </c>
      <c r="AO188" s="30">
        <v>286695.65000000002</v>
      </c>
      <c r="AP188" s="30">
        <v>289667.39</v>
      </c>
      <c r="AQ188" s="30">
        <v>292447.17</v>
      </c>
      <c r="AR188" s="30">
        <v>294428.81</v>
      </c>
      <c r="AS188" s="30">
        <v>295923.09999999998</v>
      </c>
      <c r="AT188" s="30">
        <v>297895.15000000002</v>
      </c>
      <c r="AU188" s="30">
        <v>299481.73</v>
      </c>
      <c r="AV188" s="30">
        <v>300414.7</v>
      </c>
      <c r="AW188" s="30">
        <v>302343.09999999998</v>
      </c>
      <c r="AX188" s="30">
        <v>303436.3</v>
      </c>
      <c r="AY188" s="30">
        <v>307534.14</v>
      </c>
      <c r="AZ188" s="30">
        <v>308759.92</v>
      </c>
      <c r="BA188" s="30" t="e">
        <f t="array" aca="1" ref="BA188" ca="1">_xludf.XLOOKUP(C188,'PL TOTAL D0'!A:A,'PL TOTAL D0'!C:C,"")</f>
        <v>#NAME?</v>
      </c>
    </row>
    <row r="189" spans="1:53" ht="15.75" customHeight="1">
      <c r="A189" s="23" t="s">
        <v>29</v>
      </c>
      <c r="B189" s="3" t="s">
        <v>772</v>
      </c>
      <c r="C189" s="4" t="s">
        <v>773</v>
      </c>
      <c r="D189" s="7" t="s">
        <v>150</v>
      </c>
      <c r="E189" s="7" t="s">
        <v>49</v>
      </c>
      <c r="F189" s="7" t="s">
        <v>151</v>
      </c>
      <c r="G189" s="7" t="e">
        <f t="shared" ca="1" si="0"/>
        <v>#NAME?</v>
      </c>
      <c r="H189" s="24" t="s">
        <v>152</v>
      </c>
      <c r="I189" s="24" t="s">
        <v>25</v>
      </c>
      <c r="J189" s="7" t="str">
        <f t="shared" si="11"/>
        <v>Não</v>
      </c>
      <c r="K189" s="25">
        <v>45551</v>
      </c>
      <c r="L189" s="7"/>
      <c r="M189" s="7" t="s">
        <v>42</v>
      </c>
      <c r="N189" s="26">
        <v>1.2E-2</v>
      </c>
      <c r="O189" s="7" t="s">
        <v>25</v>
      </c>
      <c r="P189" s="27">
        <v>0</v>
      </c>
      <c r="Q189" s="28"/>
      <c r="R189" s="28"/>
      <c r="S189" s="7" t="s">
        <v>145</v>
      </c>
      <c r="T189" s="7" t="s">
        <v>774</v>
      </c>
      <c r="U189" s="7" t="s">
        <v>60</v>
      </c>
      <c r="V189" s="24" t="e">
        <f t="shared" ca="1" si="2"/>
        <v>#NAME?</v>
      </c>
      <c r="W189" s="7"/>
      <c r="X189" s="7" t="s">
        <v>40</v>
      </c>
      <c r="Y189" s="29"/>
      <c r="Z189" s="30"/>
      <c r="AA189" s="30"/>
      <c r="AB189" s="32"/>
      <c r="AC189" s="30"/>
      <c r="AD189" s="30"/>
      <c r="AE189" s="30"/>
      <c r="AF189" s="30"/>
      <c r="AG189" s="30"/>
      <c r="AH189" s="30"/>
      <c r="AI189" s="30"/>
      <c r="AJ189" s="30"/>
      <c r="AK189" s="30"/>
      <c r="AL189" s="30"/>
      <c r="AM189" s="30"/>
      <c r="AN189" s="30"/>
      <c r="AO189" s="30"/>
      <c r="AP189" s="30"/>
      <c r="AQ189" s="30"/>
      <c r="AR189" s="30"/>
      <c r="AS189" s="30"/>
      <c r="AT189" s="30"/>
      <c r="AU189" s="30"/>
      <c r="AV189" s="30"/>
      <c r="AW189" s="30"/>
      <c r="AX189" s="30"/>
      <c r="AY189" s="30"/>
      <c r="AZ189" s="30">
        <v>141681.21</v>
      </c>
      <c r="BA189" s="30" t="e">
        <f t="array" aca="1" ref="BA189" ca="1">_xludf.XLOOKUP(C189,'PL TOTAL D0'!A:A,'PL TOTAL D0'!C:C,"")</f>
        <v>#NAME?</v>
      </c>
    </row>
    <row r="190" spans="1:53" ht="15.75" customHeight="1">
      <c r="A190" s="23" t="s">
        <v>29</v>
      </c>
      <c r="B190" s="37" t="s">
        <v>775</v>
      </c>
      <c r="C190" s="4" t="s">
        <v>776</v>
      </c>
      <c r="D190" s="7" t="s">
        <v>19</v>
      </c>
      <c r="E190" s="7" t="s">
        <v>49</v>
      </c>
      <c r="F190" s="7" t="s">
        <v>50</v>
      </c>
      <c r="G190" s="7" t="e">
        <f t="shared" ca="1" si="0"/>
        <v>#NAME?</v>
      </c>
      <c r="H190" s="24" t="s">
        <v>161</v>
      </c>
      <c r="I190" s="24" t="s">
        <v>162</v>
      </c>
      <c r="J190" s="7" t="str">
        <f t="shared" si="11"/>
        <v>Não</v>
      </c>
      <c r="K190" s="25">
        <v>45029</v>
      </c>
      <c r="L190" s="7"/>
      <c r="M190" s="7" t="s">
        <v>42</v>
      </c>
      <c r="N190" s="26">
        <v>0.01</v>
      </c>
      <c r="O190" s="7" t="s">
        <v>25</v>
      </c>
      <c r="P190" s="27">
        <v>0</v>
      </c>
      <c r="Q190" s="28"/>
      <c r="R190" s="28"/>
      <c r="S190" s="7" t="s">
        <v>145</v>
      </c>
      <c r="T190" s="7" t="s">
        <v>777</v>
      </c>
      <c r="U190" s="7" t="s">
        <v>49</v>
      </c>
      <c r="V190" s="24" t="e">
        <f t="shared" ca="1" si="2"/>
        <v>#NAME?</v>
      </c>
      <c r="W190" s="7"/>
      <c r="X190" s="7"/>
      <c r="Y190" s="29" t="s">
        <v>147</v>
      </c>
      <c r="Z190" s="30"/>
      <c r="AA190" s="31">
        <v>45029</v>
      </c>
      <c r="AB190" s="32">
        <v>49075100006733</v>
      </c>
      <c r="AC190" s="30"/>
      <c r="AD190" s="30"/>
      <c r="AE190" s="30"/>
      <c r="AF190" s="30"/>
      <c r="AG190" s="30"/>
      <c r="AH190" s="30">
        <v>0</v>
      </c>
      <c r="AI190" s="30">
        <v>15390.31</v>
      </c>
      <c r="AJ190" s="30">
        <v>15561.04</v>
      </c>
      <c r="AK190" s="30">
        <v>15708.24</v>
      </c>
      <c r="AL190" s="30">
        <v>12752.84</v>
      </c>
      <c r="AM190" s="30">
        <v>12827.29</v>
      </c>
      <c r="AN190" s="30">
        <v>12895.51</v>
      </c>
      <c r="AO190" s="30">
        <v>12973.3</v>
      </c>
      <c r="AP190" s="30">
        <v>13073.88</v>
      </c>
      <c r="AQ190" s="30">
        <v>16404.95</v>
      </c>
      <c r="AR190" s="30">
        <v>13511.52</v>
      </c>
      <c r="AS190" s="30">
        <v>13608.52</v>
      </c>
      <c r="AT190" s="30">
        <v>13716.42</v>
      </c>
      <c r="AU190" s="30">
        <v>13712.25</v>
      </c>
      <c r="AV190" s="30">
        <v>0</v>
      </c>
      <c r="AW190" s="30">
        <v>0.62</v>
      </c>
      <c r="AX190" s="30">
        <v>0.62</v>
      </c>
      <c r="AY190" s="30">
        <v>0.62</v>
      </c>
      <c r="AZ190" s="30">
        <v>0.62</v>
      </c>
      <c r="BA190" s="30" t="e">
        <f t="array" aca="1" ref="BA190" ca="1">_xludf.XLOOKUP(C190,'PL TOTAL D0'!A:A,'PL TOTAL D0'!C:C,"")</f>
        <v>#NAME?</v>
      </c>
    </row>
    <row r="191" spans="1:53" ht="15.75" customHeight="1">
      <c r="A191" s="23" t="s">
        <v>29</v>
      </c>
      <c r="B191" s="3" t="s">
        <v>778</v>
      </c>
      <c r="C191" s="4" t="s">
        <v>779</v>
      </c>
      <c r="D191" s="7" t="s">
        <v>64</v>
      </c>
      <c r="E191" s="7" t="s">
        <v>20</v>
      </c>
      <c r="F191" s="7" t="s">
        <v>780</v>
      </c>
      <c r="G191" s="7" t="e">
        <f t="shared" ca="1" si="0"/>
        <v>#NAME?</v>
      </c>
      <c r="H191" s="24" t="s">
        <v>161</v>
      </c>
      <c r="I191" s="24" t="s">
        <v>162</v>
      </c>
      <c r="J191" s="7" t="str">
        <f t="shared" si="11"/>
        <v>Não</v>
      </c>
      <c r="K191" s="25">
        <v>44935</v>
      </c>
      <c r="L191" s="7"/>
      <c r="M191" s="7" t="s">
        <v>42</v>
      </c>
      <c r="N191" s="26">
        <v>0.01</v>
      </c>
      <c r="O191" s="7" t="s">
        <v>25</v>
      </c>
      <c r="P191" s="27">
        <v>0</v>
      </c>
      <c r="Q191" s="28"/>
      <c r="R191" s="28"/>
      <c r="S191" s="7" t="s">
        <v>145</v>
      </c>
      <c r="T191" s="7" t="s">
        <v>781</v>
      </c>
      <c r="U191" s="7" t="s">
        <v>20</v>
      </c>
      <c r="V191" s="24" t="e">
        <f t="shared" ca="1" si="2"/>
        <v>#NAME?</v>
      </c>
      <c r="W191" s="7"/>
      <c r="X191" s="7"/>
      <c r="Y191" s="29" t="s">
        <v>253</v>
      </c>
      <c r="Z191" s="30"/>
      <c r="AA191" s="31">
        <v>44935</v>
      </c>
      <c r="AB191" s="32">
        <v>49075100005605</v>
      </c>
      <c r="AC191" s="30"/>
      <c r="AD191" s="30"/>
      <c r="AE191" s="30">
        <v>381298.58</v>
      </c>
      <c r="AF191" s="30">
        <v>265464.98</v>
      </c>
      <c r="AG191" s="30">
        <v>267762.34999999998</v>
      </c>
      <c r="AH191" s="30">
        <v>255619.92</v>
      </c>
      <c r="AI191" s="30">
        <v>257567.67</v>
      </c>
      <c r="AJ191" s="30">
        <v>260425.27</v>
      </c>
      <c r="AK191" s="30">
        <v>263021.44</v>
      </c>
      <c r="AL191" s="30">
        <v>265529.31</v>
      </c>
      <c r="AM191" s="30">
        <v>268251.05</v>
      </c>
      <c r="AN191" s="30">
        <v>270578.92</v>
      </c>
      <c r="AO191" s="30">
        <v>273195.75</v>
      </c>
      <c r="AP191" s="30">
        <v>275485.49</v>
      </c>
      <c r="AQ191" s="30">
        <v>277899.52000000002</v>
      </c>
      <c r="AR191" s="30">
        <v>94278.48</v>
      </c>
      <c r="AS191" s="30">
        <v>95103.42</v>
      </c>
      <c r="AT191" s="30">
        <v>96166.27</v>
      </c>
      <c r="AU191" s="30">
        <v>96200.17</v>
      </c>
      <c r="AV191" s="30">
        <v>85914.29</v>
      </c>
      <c r="AW191" s="30">
        <v>86332.19</v>
      </c>
      <c r="AX191" s="30">
        <v>0</v>
      </c>
      <c r="AY191" s="30">
        <v>0.21</v>
      </c>
      <c r="AZ191" s="30">
        <v>0.21</v>
      </c>
      <c r="BA191" s="30" t="e">
        <f t="array" aca="1" ref="BA191" ca="1">_xludf.XLOOKUP(C191,'PL TOTAL D0'!A:A,'PL TOTAL D0'!C:C,"")</f>
        <v>#NAME?</v>
      </c>
    </row>
    <row r="192" spans="1:53" ht="15.75" customHeight="1">
      <c r="A192" s="23" t="s">
        <v>29</v>
      </c>
      <c r="B192" s="3" t="s">
        <v>782</v>
      </c>
      <c r="C192" s="4" t="s">
        <v>783</v>
      </c>
      <c r="D192" s="7" t="s">
        <v>64</v>
      </c>
      <c r="E192" s="7" t="s">
        <v>20</v>
      </c>
      <c r="F192" s="7" t="s">
        <v>782</v>
      </c>
      <c r="G192" s="7" t="e">
        <f t="shared" ca="1" si="0"/>
        <v>#NAME?</v>
      </c>
      <c r="H192" s="24" t="s">
        <v>161</v>
      </c>
      <c r="I192" s="24" t="s">
        <v>162</v>
      </c>
      <c r="J192" s="7" t="str">
        <f t="shared" si="11"/>
        <v>Não</v>
      </c>
      <c r="K192" s="25">
        <v>45000</v>
      </c>
      <c r="L192" s="7"/>
      <c r="M192" s="7" t="s">
        <v>345</v>
      </c>
      <c r="N192" s="26">
        <v>0.02</v>
      </c>
      <c r="O192" s="7" t="s">
        <v>37</v>
      </c>
      <c r="P192" s="27">
        <v>0.2</v>
      </c>
      <c r="Q192" s="28"/>
      <c r="R192" s="28"/>
      <c r="S192" s="7" t="s">
        <v>145</v>
      </c>
      <c r="T192" s="7" t="s">
        <v>784</v>
      </c>
      <c r="U192" s="7" t="s">
        <v>20</v>
      </c>
      <c r="V192" s="24" t="e">
        <f t="shared" ca="1" si="2"/>
        <v>#NAME?</v>
      </c>
      <c r="W192" s="7"/>
      <c r="X192" s="7"/>
      <c r="Y192" s="29" t="s">
        <v>147</v>
      </c>
      <c r="Z192" s="30"/>
      <c r="AA192" s="31">
        <v>45000</v>
      </c>
      <c r="AB192" s="32">
        <v>49075100004455</v>
      </c>
      <c r="AC192" s="30"/>
      <c r="AD192" s="30"/>
      <c r="AE192" s="30"/>
      <c r="AF192" s="30">
        <v>0</v>
      </c>
      <c r="AG192" s="30">
        <v>0</v>
      </c>
      <c r="AH192" s="30">
        <v>17955.96</v>
      </c>
      <c r="AI192" s="30">
        <v>18549.919999999998</v>
      </c>
      <c r="AJ192" s="30">
        <v>1010.11</v>
      </c>
      <c r="AK192" s="30">
        <v>1019.44</v>
      </c>
      <c r="AL192" s="30">
        <v>1029.0999999999999</v>
      </c>
      <c r="AM192" s="30">
        <v>1041.1199999999999</v>
      </c>
      <c r="AN192" s="30">
        <v>1051.55</v>
      </c>
      <c r="AO192" s="30">
        <v>1062.82</v>
      </c>
      <c r="AP192" s="30">
        <v>1072.3</v>
      </c>
      <c r="AQ192" s="30">
        <v>1082.1500000000001</v>
      </c>
      <c r="AR192" s="30">
        <v>1092.8800000000001</v>
      </c>
      <c r="AS192" s="30">
        <v>1104.97</v>
      </c>
      <c r="AT192" s="30">
        <v>1119.31</v>
      </c>
      <c r="AU192" s="30">
        <v>1111.57</v>
      </c>
      <c r="AV192" s="30">
        <v>1106.6500000000001</v>
      </c>
      <c r="AW192" s="30">
        <v>1113.67</v>
      </c>
      <c r="AX192" s="30">
        <v>1120.93</v>
      </c>
      <c r="AY192" s="30">
        <v>1134.95</v>
      </c>
      <c r="AZ192" s="30">
        <v>1136.69</v>
      </c>
      <c r="BA192" s="30" t="e">
        <f t="array" aca="1" ref="BA192" ca="1">_xludf.XLOOKUP(C192,'PL TOTAL D0'!A:A,'PL TOTAL D0'!C:C,"")</f>
        <v>#NAME?</v>
      </c>
    </row>
    <row r="193" spans="1:53" ht="15.75" customHeight="1">
      <c r="A193" s="23" t="s">
        <v>29</v>
      </c>
      <c r="B193" s="3" t="s">
        <v>785</v>
      </c>
      <c r="C193" s="4" t="s">
        <v>786</v>
      </c>
      <c r="D193" s="7" t="s">
        <v>19</v>
      </c>
      <c r="E193" s="7" t="s">
        <v>20</v>
      </c>
      <c r="F193" s="7" t="s">
        <v>372</v>
      </c>
      <c r="G193" s="7" t="e">
        <f t="shared" ca="1" si="0"/>
        <v>#NAME?</v>
      </c>
      <c r="H193" s="24" t="s">
        <v>152</v>
      </c>
      <c r="I193" s="24" t="s">
        <v>25</v>
      </c>
      <c r="J193" s="7" t="str">
        <f t="shared" si="11"/>
        <v>Não</v>
      </c>
      <c r="K193" s="25">
        <v>44921</v>
      </c>
      <c r="L193" s="7"/>
      <c r="M193" s="7" t="s">
        <v>200</v>
      </c>
      <c r="N193" s="26">
        <v>1.4999999999999999E-2</v>
      </c>
      <c r="O193" s="7" t="s">
        <v>37</v>
      </c>
      <c r="P193" s="27">
        <v>0.1</v>
      </c>
      <c r="Q193" s="28"/>
      <c r="R193" s="28"/>
      <c r="S193" s="7" t="s">
        <v>145</v>
      </c>
      <c r="T193" s="7" t="s">
        <v>787</v>
      </c>
      <c r="U193" s="7" t="s">
        <v>20</v>
      </c>
      <c r="V193" s="24" t="e">
        <f t="shared" ca="1" si="2"/>
        <v>#NAME?</v>
      </c>
      <c r="W193" s="7"/>
      <c r="X193" s="7"/>
      <c r="Y193" s="29" t="s">
        <v>253</v>
      </c>
      <c r="Z193" s="30"/>
      <c r="AA193" s="31">
        <v>44921</v>
      </c>
      <c r="AB193" s="32">
        <v>49075100005613</v>
      </c>
      <c r="AC193" s="30"/>
      <c r="AD193" s="30"/>
      <c r="AE193" s="30">
        <v>120188.38</v>
      </c>
      <c r="AF193" s="30">
        <v>212304.81</v>
      </c>
      <c r="AG193" s="30">
        <v>214097.75</v>
      </c>
      <c r="AH193" s="30">
        <v>215903.39</v>
      </c>
      <c r="AI193" s="30">
        <v>237121.83</v>
      </c>
      <c r="AJ193" s="30">
        <v>241167.17</v>
      </c>
      <c r="AK193" s="30">
        <v>265869.69</v>
      </c>
      <c r="AL193" s="30">
        <v>269316.46999999997</v>
      </c>
      <c r="AM193" s="30">
        <v>268103.17</v>
      </c>
      <c r="AN193" s="30">
        <v>156243.89000000001</v>
      </c>
      <c r="AO193" s="30">
        <v>153223.70000000001</v>
      </c>
      <c r="AP193" s="30">
        <v>166687.26</v>
      </c>
      <c r="AQ193" s="30">
        <v>173716.99</v>
      </c>
      <c r="AR193" s="30">
        <v>168275.08</v>
      </c>
      <c r="AS193" s="30">
        <v>169818.22</v>
      </c>
      <c r="AT193" s="30">
        <v>171477.4</v>
      </c>
      <c r="AU193" s="30">
        <v>170570.62</v>
      </c>
      <c r="AV193" s="30">
        <v>169722.4</v>
      </c>
      <c r="AW193" s="30">
        <v>170733.8</v>
      </c>
      <c r="AX193" s="30">
        <v>173044.4</v>
      </c>
      <c r="AY193" s="30">
        <v>174998.49</v>
      </c>
      <c r="AZ193" s="30">
        <v>174816.71</v>
      </c>
      <c r="BA193" s="30" t="e">
        <f t="array" aca="1" ref="BA193" ca="1">_xludf.XLOOKUP(C193,'PL TOTAL D0'!A:A,'PL TOTAL D0'!C:C,"")</f>
        <v>#NAME?</v>
      </c>
    </row>
    <row r="194" spans="1:53" ht="15.75" customHeight="1">
      <c r="A194" s="23" t="s">
        <v>29</v>
      </c>
      <c r="B194" s="3" t="s">
        <v>788</v>
      </c>
      <c r="C194" s="4" t="s">
        <v>789</v>
      </c>
      <c r="D194" s="7" t="s">
        <v>19</v>
      </c>
      <c r="E194" s="7" t="s">
        <v>20</v>
      </c>
      <c r="F194" s="7" t="s">
        <v>199</v>
      </c>
      <c r="G194" s="7" t="e">
        <f t="shared" ca="1" si="0"/>
        <v>#NAME?</v>
      </c>
      <c r="H194" s="24" t="s">
        <v>161</v>
      </c>
      <c r="I194" s="24" t="s">
        <v>162</v>
      </c>
      <c r="J194" s="7" t="str">
        <f t="shared" si="11"/>
        <v>Não</v>
      </c>
      <c r="K194" s="25">
        <v>45061</v>
      </c>
      <c r="L194" s="7"/>
      <c r="M194" s="7" t="s">
        <v>42</v>
      </c>
      <c r="N194" s="26">
        <v>1.2E-2</v>
      </c>
      <c r="O194" s="7" t="s">
        <v>25</v>
      </c>
      <c r="P194" s="27">
        <v>0</v>
      </c>
      <c r="Q194" s="28"/>
      <c r="R194" s="28" t="s">
        <v>790</v>
      </c>
      <c r="S194" s="7" t="s">
        <v>145</v>
      </c>
      <c r="T194" s="7" t="s">
        <v>791</v>
      </c>
      <c r="U194" s="7" t="s">
        <v>20</v>
      </c>
      <c r="V194" s="24" t="e">
        <f t="shared" ca="1" si="2"/>
        <v>#NAME?</v>
      </c>
      <c r="W194" s="7"/>
      <c r="X194" s="7"/>
      <c r="Y194" s="29" t="s">
        <v>147</v>
      </c>
      <c r="Z194" s="30"/>
      <c r="AA194" s="31">
        <v>45061</v>
      </c>
      <c r="AB194" s="32">
        <v>49075100003254</v>
      </c>
      <c r="AC194" s="30"/>
      <c r="AD194" s="30"/>
      <c r="AE194" s="30"/>
      <c r="AF194" s="30"/>
      <c r="AG194" s="30"/>
      <c r="AH194" s="30"/>
      <c r="AI194" s="30">
        <v>0</v>
      </c>
      <c r="AJ194" s="30">
        <v>274818.05</v>
      </c>
      <c r="AK194" s="30">
        <v>277673.23</v>
      </c>
      <c r="AL194" s="30">
        <v>279989.84999999998</v>
      </c>
      <c r="AM194" s="30">
        <v>282280.53000000003</v>
      </c>
      <c r="AN194" s="30">
        <v>283963.38</v>
      </c>
      <c r="AO194" s="30">
        <v>285881.02</v>
      </c>
      <c r="AP194" s="30">
        <v>286365.27</v>
      </c>
      <c r="AQ194" s="30">
        <v>288801.62</v>
      </c>
      <c r="AR194" s="30">
        <v>291247.23</v>
      </c>
      <c r="AS194" s="30">
        <v>293121.53999999998</v>
      </c>
      <c r="AT194" s="30">
        <v>294500.57</v>
      </c>
      <c r="AU194" s="30">
        <v>296062.37</v>
      </c>
      <c r="AV194" s="30">
        <v>287928.3</v>
      </c>
      <c r="AW194" s="30">
        <v>114030.8</v>
      </c>
      <c r="AX194" s="30">
        <v>115059.5</v>
      </c>
      <c r="AY194" s="30">
        <v>115937.52</v>
      </c>
      <c r="AZ194" s="30">
        <v>0</v>
      </c>
      <c r="BA194" s="30" t="e">
        <f t="array" aca="1" ref="BA194" ca="1">_xludf.XLOOKUP(C194,'PL TOTAL D0'!A:A,'PL TOTAL D0'!C:C,"")</f>
        <v>#NAME?</v>
      </c>
    </row>
    <row r="195" spans="1:53" ht="15.75" customHeight="1">
      <c r="A195" s="23" t="s">
        <v>29</v>
      </c>
      <c r="B195" s="3" t="s">
        <v>792</v>
      </c>
      <c r="C195" s="4" t="s">
        <v>793</v>
      </c>
      <c r="D195" s="7" t="s">
        <v>64</v>
      </c>
      <c r="E195" s="7" t="s">
        <v>20</v>
      </c>
      <c r="F195" s="7" t="s">
        <v>794</v>
      </c>
      <c r="G195" s="7" t="e">
        <f t="shared" ca="1" si="0"/>
        <v>#NAME?</v>
      </c>
      <c r="H195" s="24" t="s">
        <v>152</v>
      </c>
      <c r="I195" s="24" t="s">
        <v>25</v>
      </c>
      <c r="J195" s="7" t="str">
        <f t="shared" si="11"/>
        <v>Não</v>
      </c>
      <c r="K195" s="25">
        <v>45006</v>
      </c>
      <c r="L195" s="7"/>
      <c r="M195" s="7" t="s">
        <v>42</v>
      </c>
      <c r="N195" s="26">
        <v>7.0000000000000001E-3</v>
      </c>
      <c r="O195" s="7" t="s">
        <v>25</v>
      </c>
      <c r="P195" s="27">
        <v>0</v>
      </c>
      <c r="Q195" s="28"/>
      <c r="R195" s="28"/>
      <c r="S195" s="7" t="s">
        <v>145</v>
      </c>
      <c r="T195" s="7" t="s">
        <v>795</v>
      </c>
      <c r="U195" s="7" t="s">
        <v>20</v>
      </c>
      <c r="V195" s="24" t="e">
        <f t="shared" ca="1" si="2"/>
        <v>#NAME?</v>
      </c>
      <c r="W195" s="7"/>
      <c r="X195" s="7"/>
      <c r="Y195" s="29" t="s">
        <v>147</v>
      </c>
      <c r="Z195" s="30"/>
      <c r="AA195" s="31">
        <v>45006</v>
      </c>
      <c r="AB195" s="32">
        <v>49075100008256</v>
      </c>
      <c r="AC195" s="30"/>
      <c r="AD195" s="30"/>
      <c r="AE195" s="30"/>
      <c r="AF195" s="30">
        <v>0</v>
      </c>
      <c r="AG195" s="30">
        <v>0</v>
      </c>
      <c r="AH195" s="30">
        <v>745648.09</v>
      </c>
      <c r="AI195" s="30">
        <v>749900.83</v>
      </c>
      <c r="AJ195" s="30">
        <v>756752.38</v>
      </c>
      <c r="AK195" s="30">
        <v>772289.75</v>
      </c>
      <c r="AL195" s="30">
        <v>788470.5</v>
      </c>
      <c r="AM195" s="30">
        <v>788285.49</v>
      </c>
      <c r="AN195" s="30">
        <v>791403.78</v>
      </c>
      <c r="AO195" s="30">
        <v>794481.47</v>
      </c>
      <c r="AP195" s="30">
        <v>802400.49</v>
      </c>
      <c r="AQ195" s="30">
        <v>810142.87</v>
      </c>
      <c r="AR195" s="30">
        <v>811716.97</v>
      </c>
      <c r="AS195" s="30">
        <v>815236.74</v>
      </c>
      <c r="AT195" s="30">
        <v>818622.85</v>
      </c>
      <c r="AU195" s="30">
        <v>821463.2</v>
      </c>
      <c r="AV195" s="30">
        <v>826979.6</v>
      </c>
      <c r="AW195" s="30">
        <v>832263.8</v>
      </c>
      <c r="AX195" s="30">
        <v>838425.2</v>
      </c>
      <c r="AY195" s="30">
        <v>845967.33</v>
      </c>
      <c r="AZ195" s="30">
        <v>850514.41</v>
      </c>
      <c r="BA195" s="30" t="e">
        <f t="array" aca="1" ref="BA195" ca="1">_xludf.XLOOKUP(C195,'PL TOTAL D0'!A:A,'PL TOTAL D0'!C:C,"")</f>
        <v>#NAME?</v>
      </c>
    </row>
    <row r="196" spans="1:53" ht="15.75" customHeight="1">
      <c r="A196" s="23" t="s">
        <v>29</v>
      </c>
      <c r="B196" s="3" t="s">
        <v>792</v>
      </c>
      <c r="C196" s="4" t="s">
        <v>796</v>
      </c>
      <c r="D196" s="7" t="s">
        <v>64</v>
      </c>
      <c r="E196" s="7" t="s">
        <v>20</v>
      </c>
      <c r="F196" s="7" t="s">
        <v>794</v>
      </c>
      <c r="G196" s="7" t="e">
        <f t="shared" ca="1" si="0"/>
        <v>#NAME?</v>
      </c>
      <c r="H196" s="24" t="s">
        <v>152</v>
      </c>
      <c r="I196" s="24" t="s">
        <v>25</v>
      </c>
      <c r="J196" s="7" t="str">
        <f t="shared" si="11"/>
        <v>Não</v>
      </c>
      <c r="K196" s="25">
        <v>44910</v>
      </c>
      <c r="L196" s="7"/>
      <c r="M196" s="7" t="s">
        <v>42</v>
      </c>
      <c r="N196" s="26">
        <v>7.0000000000000001E-3</v>
      </c>
      <c r="O196" s="7" t="s">
        <v>25</v>
      </c>
      <c r="P196" s="27">
        <v>0</v>
      </c>
      <c r="Q196" s="28"/>
      <c r="R196" s="88" t="s">
        <v>797</v>
      </c>
      <c r="S196" s="7" t="s">
        <v>145</v>
      </c>
      <c r="T196" s="7" t="s">
        <v>795</v>
      </c>
      <c r="U196" s="7" t="s">
        <v>20</v>
      </c>
      <c r="V196" s="24" t="e">
        <f t="shared" ca="1" si="2"/>
        <v>#NAME?</v>
      </c>
      <c r="W196" s="7"/>
      <c r="X196" s="7"/>
      <c r="Y196" s="29" t="s">
        <v>147</v>
      </c>
      <c r="Z196" s="30"/>
      <c r="AA196" s="31">
        <v>44910</v>
      </c>
      <c r="AB196" s="32">
        <v>49075100012271</v>
      </c>
      <c r="AC196" s="30"/>
      <c r="AD196" s="30"/>
      <c r="AE196" s="30">
        <v>3002969.87</v>
      </c>
      <c r="AF196" s="30">
        <v>3002364.42</v>
      </c>
      <c r="AG196" s="30">
        <v>2994048.19</v>
      </c>
      <c r="AH196" s="30">
        <v>3037619.94</v>
      </c>
      <c r="AI196" s="30">
        <v>3055373.84</v>
      </c>
      <c r="AJ196" s="30">
        <v>3188978.01</v>
      </c>
      <c r="AK196" s="30">
        <v>3221516.64</v>
      </c>
      <c r="AL196" s="30">
        <v>3255128.52</v>
      </c>
      <c r="AM196" s="30">
        <v>3293994.07</v>
      </c>
      <c r="AN196" s="30">
        <v>3329507.61</v>
      </c>
      <c r="AO196" s="30">
        <v>3358659.09</v>
      </c>
      <c r="AP196" s="30">
        <v>3393453.45</v>
      </c>
      <c r="AQ196" s="30">
        <v>3619844.51</v>
      </c>
      <c r="AR196" s="30">
        <v>3753742.36</v>
      </c>
      <c r="AS196" s="30">
        <v>3791308.5</v>
      </c>
      <c r="AT196" s="30">
        <v>3839579</v>
      </c>
      <c r="AU196" s="30">
        <v>3988290.83</v>
      </c>
      <c r="AV196" s="30">
        <v>3584126</v>
      </c>
      <c r="AW196" s="30">
        <v>3610119</v>
      </c>
      <c r="AX196" s="30">
        <v>3768558</v>
      </c>
      <c r="AY196" s="30">
        <v>3804509.26</v>
      </c>
      <c r="AZ196" s="30">
        <v>3842017.05</v>
      </c>
      <c r="BA196" s="30" t="e">
        <f t="array" aca="1" ref="BA196" ca="1">_xludf.XLOOKUP(C196,'PL TOTAL D0'!A:A,'PL TOTAL D0'!C:C,"")</f>
        <v>#NAME?</v>
      </c>
    </row>
    <row r="197" spans="1:53" ht="15.75" customHeight="1">
      <c r="A197" s="23" t="s">
        <v>29</v>
      </c>
      <c r="B197" s="3" t="s">
        <v>798</v>
      </c>
      <c r="C197" s="4" t="s">
        <v>799</v>
      </c>
      <c r="D197" s="7" t="s">
        <v>19</v>
      </c>
      <c r="E197" s="7" t="s">
        <v>20</v>
      </c>
      <c r="F197" s="7" t="s">
        <v>800</v>
      </c>
      <c r="G197" s="7" t="e">
        <f t="shared" ca="1" si="0"/>
        <v>#NAME?</v>
      </c>
      <c r="H197" s="24" t="s">
        <v>152</v>
      </c>
      <c r="I197" s="24" t="s">
        <v>25</v>
      </c>
      <c r="J197" s="7" t="str">
        <f t="shared" si="11"/>
        <v>Não</v>
      </c>
      <c r="K197" s="25">
        <v>45278</v>
      </c>
      <c r="L197" s="7"/>
      <c r="M197" s="7" t="s">
        <v>42</v>
      </c>
      <c r="N197" s="10">
        <v>0.01</v>
      </c>
      <c r="O197" s="6" t="s">
        <v>25</v>
      </c>
      <c r="P197" s="11">
        <v>0</v>
      </c>
      <c r="Q197" s="28"/>
      <c r="R197" s="88"/>
      <c r="S197" s="7" t="s">
        <v>145</v>
      </c>
      <c r="T197" s="7" t="s">
        <v>801</v>
      </c>
      <c r="U197" s="7" t="s">
        <v>802</v>
      </c>
      <c r="V197" s="24" t="e">
        <f t="shared" ca="1" si="2"/>
        <v>#NAME?</v>
      </c>
      <c r="W197" s="7"/>
      <c r="X197" s="7"/>
      <c r="Y197" s="29" t="s">
        <v>147</v>
      </c>
      <c r="Z197" s="30"/>
      <c r="AA197" s="31">
        <v>45278</v>
      </c>
      <c r="AB197" s="32">
        <v>49075100012954</v>
      </c>
      <c r="AC197" s="30"/>
      <c r="AD197" s="30"/>
      <c r="AE197" s="30"/>
      <c r="AF197" s="30"/>
      <c r="AG197" s="30"/>
      <c r="AH197" s="30"/>
      <c r="AI197" s="30"/>
      <c r="AJ197" s="30"/>
      <c r="AK197" s="30"/>
      <c r="AL197" s="30"/>
      <c r="AM197" s="30"/>
      <c r="AN197" s="30"/>
      <c r="AO197" s="30"/>
      <c r="AP197" s="30"/>
      <c r="AQ197" s="30">
        <v>63831.77</v>
      </c>
      <c r="AR197" s="30">
        <v>56173.7</v>
      </c>
      <c r="AS197" s="30">
        <v>44145.23</v>
      </c>
      <c r="AT197" s="30">
        <v>44497.8</v>
      </c>
      <c r="AU197" s="30">
        <v>41989.04</v>
      </c>
      <c r="AV197" s="30">
        <v>42254.65</v>
      </c>
      <c r="AW197" s="30">
        <v>40983.300000000003</v>
      </c>
      <c r="AX197" s="30">
        <v>41246.46</v>
      </c>
      <c r="AY197" s="30">
        <v>41011.25</v>
      </c>
      <c r="AZ197" s="30">
        <v>40033.360000000001</v>
      </c>
      <c r="BA197" s="30" t="e">
        <f t="array" aca="1" ref="BA197" ca="1">_xludf.XLOOKUP(C197,'PL TOTAL D0'!A:A,'PL TOTAL D0'!C:C,"")</f>
        <v>#NAME?</v>
      </c>
    </row>
    <row r="198" spans="1:53" ht="15.75" customHeight="1">
      <c r="A198" s="23" t="s">
        <v>29</v>
      </c>
      <c r="B198" s="3" t="s">
        <v>803</v>
      </c>
      <c r="C198" s="4" t="s">
        <v>804</v>
      </c>
      <c r="D198" s="7" t="s">
        <v>19</v>
      </c>
      <c r="E198" s="7" t="s">
        <v>20</v>
      </c>
      <c r="F198" s="7" t="s">
        <v>21</v>
      </c>
      <c r="G198" s="7" t="e">
        <f t="shared" ca="1" si="0"/>
        <v>#NAME?</v>
      </c>
      <c r="H198" s="24" t="s">
        <v>161</v>
      </c>
      <c r="I198" s="24" t="s">
        <v>162</v>
      </c>
      <c r="J198" s="7" t="str">
        <f t="shared" si="11"/>
        <v>Não</v>
      </c>
      <c r="K198" s="25">
        <v>44888</v>
      </c>
      <c r="L198" s="7"/>
      <c r="M198" s="7" t="s">
        <v>42</v>
      </c>
      <c r="N198" s="26">
        <v>0.01</v>
      </c>
      <c r="O198" s="7" t="s">
        <v>25</v>
      </c>
      <c r="P198" s="27">
        <v>0</v>
      </c>
      <c r="Q198" s="28"/>
      <c r="R198" s="28"/>
      <c r="S198" s="7" t="s">
        <v>145</v>
      </c>
      <c r="T198" s="7" t="s">
        <v>805</v>
      </c>
      <c r="U198" s="7" t="s">
        <v>20</v>
      </c>
      <c r="V198" s="24" t="e">
        <f t="shared" ca="1" si="2"/>
        <v>#NAME?</v>
      </c>
      <c r="W198" s="7"/>
      <c r="X198" s="7"/>
      <c r="Y198" s="29" t="s">
        <v>253</v>
      </c>
      <c r="Z198" s="30"/>
      <c r="AA198" s="31">
        <v>44888</v>
      </c>
      <c r="AB198" s="32">
        <v>49075100011311</v>
      </c>
      <c r="AC198" s="30"/>
      <c r="AD198" s="30"/>
      <c r="AE198" s="30">
        <v>152964.17000000001</v>
      </c>
      <c r="AF198" s="30">
        <v>0</v>
      </c>
      <c r="AG198" s="30">
        <v>0</v>
      </c>
      <c r="AH198" s="30">
        <v>0</v>
      </c>
      <c r="AI198" s="30">
        <v>0</v>
      </c>
      <c r="AJ198" s="30">
        <v>0</v>
      </c>
      <c r="AK198" s="30">
        <v>0</v>
      </c>
      <c r="AL198" s="30">
        <v>0</v>
      </c>
      <c r="AM198" s="30">
        <v>0</v>
      </c>
      <c r="AN198" s="30">
        <v>0</v>
      </c>
      <c r="AO198" s="30">
        <v>0</v>
      </c>
      <c r="AP198" s="30">
        <v>0</v>
      </c>
      <c r="AQ198" s="30">
        <v>0</v>
      </c>
      <c r="AR198" s="30">
        <v>0</v>
      </c>
      <c r="AS198" s="30">
        <v>0</v>
      </c>
      <c r="AT198" s="30">
        <v>0</v>
      </c>
      <c r="AU198" s="30">
        <v>0</v>
      </c>
      <c r="AV198" s="30">
        <v>0</v>
      </c>
      <c r="AW198" s="30">
        <v>0</v>
      </c>
      <c r="AX198" s="30">
        <v>0</v>
      </c>
      <c r="AY198" s="30">
        <v>0</v>
      </c>
      <c r="AZ198" s="30">
        <v>0</v>
      </c>
      <c r="BA198" s="30" t="e">
        <f t="array" aca="1" ref="BA198" ca="1">_xludf.XLOOKUP(C198,'PL TOTAL D0'!A:A,'PL TOTAL D0'!C:C,"")</f>
        <v>#NAME?</v>
      </c>
    </row>
    <row r="199" spans="1:53" ht="15.75" customHeight="1">
      <c r="A199" s="23" t="s">
        <v>29</v>
      </c>
      <c r="B199" s="3" t="s">
        <v>806</v>
      </c>
      <c r="C199" s="4" t="s">
        <v>807</v>
      </c>
      <c r="D199" s="7" t="s">
        <v>19</v>
      </c>
      <c r="E199" s="7" t="s">
        <v>20</v>
      </c>
      <c r="F199" s="7" t="s">
        <v>21</v>
      </c>
      <c r="G199" s="7" t="e">
        <f t="shared" ca="1" si="0"/>
        <v>#NAME?</v>
      </c>
      <c r="H199" s="24" t="s">
        <v>161</v>
      </c>
      <c r="I199" s="24" t="s">
        <v>162</v>
      </c>
      <c r="J199" s="7" t="str">
        <f t="shared" si="11"/>
        <v>Não</v>
      </c>
      <c r="K199" s="25">
        <v>44928</v>
      </c>
      <c r="L199" s="7"/>
      <c r="M199" s="7" t="s">
        <v>42</v>
      </c>
      <c r="N199" s="26">
        <v>0.01</v>
      </c>
      <c r="O199" s="7" t="s">
        <v>25</v>
      </c>
      <c r="P199" s="27">
        <v>0</v>
      </c>
      <c r="Q199" s="28"/>
      <c r="R199" s="28"/>
      <c r="S199" s="7" t="s">
        <v>145</v>
      </c>
      <c r="T199" s="7" t="s">
        <v>805</v>
      </c>
      <c r="U199" s="7" t="s">
        <v>20</v>
      </c>
      <c r="V199" s="24" t="e">
        <f t="shared" ca="1" si="2"/>
        <v>#NAME?</v>
      </c>
      <c r="W199" s="7"/>
      <c r="X199" s="7"/>
      <c r="Y199" s="29" t="s">
        <v>253</v>
      </c>
      <c r="Z199" s="30"/>
      <c r="AA199" s="31">
        <v>44928</v>
      </c>
      <c r="AB199" s="32">
        <v>49075100005631</v>
      </c>
      <c r="AC199" s="30"/>
      <c r="AD199" s="30"/>
      <c r="AE199" s="30">
        <v>101311.76</v>
      </c>
      <c r="AF199" s="30">
        <v>247661.67</v>
      </c>
      <c r="AG199" s="30">
        <v>249563.53</v>
      </c>
      <c r="AH199" s="30">
        <v>242169.05</v>
      </c>
      <c r="AI199" s="30">
        <v>243989.82</v>
      </c>
      <c r="AJ199" s="30">
        <v>134113.35</v>
      </c>
      <c r="AK199" s="30">
        <v>135314.45000000001</v>
      </c>
      <c r="AL199" s="30">
        <v>154121.1</v>
      </c>
      <c r="AM199" s="30">
        <v>114705.22</v>
      </c>
      <c r="AN199" s="30">
        <v>115669.04</v>
      </c>
      <c r="AO199" s="30">
        <v>116779.86</v>
      </c>
      <c r="AP199" s="30">
        <v>117032.81</v>
      </c>
      <c r="AQ199" s="30">
        <v>117996.13</v>
      </c>
      <c r="AR199" s="30">
        <v>119101.48</v>
      </c>
      <c r="AS199" s="30">
        <v>270.23</v>
      </c>
      <c r="AT199" s="30">
        <v>209.26</v>
      </c>
      <c r="AU199" s="30">
        <v>210.76</v>
      </c>
      <c r="AV199" s="30">
        <v>210.87</v>
      </c>
      <c r="AW199" s="30">
        <v>212.98</v>
      </c>
      <c r="AX199" s="30">
        <v>214.54</v>
      </c>
      <c r="AY199" s="30">
        <v>216.07</v>
      </c>
      <c r="AZ199" s="30">
        <v>217.54</v>
      </c>
      <c r="BA199" s="30" t="e">
        <f t="array" aca="1" ref="BA199" ca="1">_xludf.XLOOKUP(C199,'PL TOTAL D0'!A:A,'PL TOTAL D0'!C:C,"")</f>
        <v>#NAME?</v>
      </c>
    </row>
    <row r="200" spans="1:53" ht="15.75" customHeight="1">
      <c r="A200" s="23" t="s">
        <v>29</v>
      </c>
      <c r="B200" s="3" t="s">
        <v>808</v>
      </c>
      <c r="C200" s="4" t="s">
        <v>809</v>
      </c>
      <c r="D200" s="7" t="s">
        <v>19</v>
      </c>
      <c r="E200" s="7" t="s">
        <v>34</v>
      </c>
      <c r="F200" s="7" t="s">
        <v>35</v>
      </c>
      <c r="G200" s="7" t="e">
        <f t="shared" ca="1" si="0"/>
        <v>#NAME?</v>
      </c>
      <c r="H200" s="24" t="s">
        <v>152</v>
      </c>
      <c r="I200" s="24" t="s">
        <v>25</v>
      </c>
      <c r="J200" s="7" t="str">
        <f t="shared" si="11"/>
        <v>Não</v>
      </c>
      <c r="K200" s="25">
        <v>44973</v>
      </c>
      <c r="L200" s="7"/>
      <c r="M200" s="7" t="s">
        <v>42</v>
      </c>
      <c r="N200" s="26">
        <v>1.2E-2</v>
      </c>
      <c r="O200" s="7" t="s">
        <v>25</v>
      </c>
      <c r="P200" s="27">
        <v>0</v>
      </c>
      <c r="Q200" s="28"/>
      <c r="R200" s="28"/>
      <c r="S200" s="7" t="s">
        <v>145</v>
      </c>
      <c r="T200" s="7" t="s">
        <v>810</v>
      </c>
      <c r="U200" s="7" t="s">
        <v>39</v>
      </c>
      <c r="V200" s="24" t="e">
        <f t="shared" ca="1" si="2"/>
        <v>#NAME?</v>
      </c>
      <c r="W200" s="7"/>
      <c r="X200" s="7"/>
      <c r="Y200" s="29" t="s">
        <v>147</v>
      </c>
      <c r="Z200" s="30"/>
      <c r="AA200" s="31">
        <v>44973</v>
      </c>
      <c r="AB200" s="32">
        <v>49075100005648</v>
      </c>
      <c r="AC200" s="30"/>
      <c r="AD200" s="30"/>
      <c r="AE200" s="30"/>
      <c r="AF200" s="30"/>
      <c r="AG200" s="30">
        <v>34505.57</v>
      </c>
      <c r="AH200" s="30">
        <v>36392.239999999998</v>
      </c>
      <c r="AI200" s="30">
        <v>38036.68</v>
      </c>
      <c r="AJ200" s="30">
        <v>39676.93</v>
      </c>
      <c r="AK200" s="30">
        <v>41444.93</v>
      </c>
      <c r="AL200" s="30">
        <v>43329.27</v>
      </c>
      <c r="AM200" s="30">
        <v>45255.67</v>
      </c>
      <c r="AN200" s="30">
        <v>47114.01</v>
      </c>
      <c r="AO200" s="30">
        <v>49049.48</v>
      </c>
      <c r="AP200" s="30">
        <v>50795</v>
      </c>
      <c r="AQ200" s="30">
        <v>52451.76</v>
      </c>
      <c r="AR200" s="30">
        <v>54435.03</v>
      </c>
      <c r="AS200" s="30">
        <v>56356.83</v>
      </c>
      <c r="AT200" s="30">
        <v>58345.64</v>
      </c>
      <c r="AU200" s="30">
        <v>60280.95</v>
      </c>
      <c r="AV200" s="30">
        <v>62245.71</v>
      </c>
      <c r="AW200" s="30">
        <v>64239.05</v>
      </c>
      <c r="AX200" s="30">
        <v>66142.81</v>
      </c>
      <c r="AY200" s="30">
        <v>68092.539999999994</v>
      </c>
      <c r="AZ200" s="30">
        <v>70085.45</v>
      </c>
      <c r="BA200" s="30" t="e">
        <f t="array" aca="1" ref="BA200" ca="1">_xludf.XLOOKUP(C200,'PL TOTAL D0'!A:A,'PL TOTAL D0'!C:C,"")</f>
        <v>#NAME?</v>
      </c>
    </row>
    <row r="201" spans="1:53" ht="15.75" customHeight="1">
      <c r="A201" s="23" t="s">
        <v>29</v>
      </c>
      <c r="B201" s="37" t="s">
        <v>811</v>
      </c>
      <c r="C201" s="4" t="s">
        <v>812</v>
      </c>
      <c r="D201" s="7" t="s">
        <v>19</v>
      </c>
      <c r="E201" s="7" t="s">
        <v>20</v>
      </c>
      <c r="F201" s="7" t="s">
        <v>800</v>
      </c>
      <c r="G201" s="7" t="e">
        <f t="shared" ca="1" si="0"/>
        <v>#NAME?</v>
      </c>
      <c r="H201" s="24" t="s">
        <v>152</v>
      </c>
      <c r="I201" s="24" t="s">
        <v>25</v>
      </c>
      <c r="J201" s="7" t="str">
        <f t="shared" si="11"/>
        <v>Não</v>
      </c>
      <c r="K201" s="25">
        <v>45166</v>
      </c>
      <c r="L201" s="25"/>
      <c r="M201" s="7" t="s">
        <v>200</v>
      </c>
      <c r="N201" s="26">
        <v>1.4999999999999999E-2</v>
      </c>
      <c r="O201" s="7" t="s">
        <v>37</v>
      </c>
      <c r="P201" s="27">
        <v>0.1</v>
      </c>
      <c r="Q201" s="28"/>
      <c r="R201" s="28"/>
      <c r="S201" s="7" t="s">
        <v>145</v>
      </c>
      <c r="T201" s="7" t="s">
        <v>813</v>
      </c>
      <c r="U201" s="7" t="s">
        <v>20</v>
      </c>
      <c r="V201" s="24" t="e">
        <f t="shared" ca="1" si="2"/>
        <v>#NAME?</v>
      </c>
      <c r="W201" s="7"/>
      <c r="X201" s="7"/>
      <c r="Y201" s="29" t="s">
        <v>147</v>
      </c>
      <c r="Z201" s="30"/>
      <c r="AA201" s="31">
        <v>45166</v>
      </c>
      <c r="AB201" s="32">
        <v>49075100015341</v>
      </c>
      <c r="AC201" s="30"/>
      <c r="AD201" s="30"/>
      <c r="AE201" s="30"/>
      <c r="AF201" s="30"/>
      <c r="AG201" s="30"/>
      <c r="AH201" s="30"/>
      <c r="AI201" s="30"/>
      <c r="AJ201" s="30"/>
      <c r="AK201" s="30">
        <v>0</v>
      </c>
      <c r="AL201" s="30">
        <v>0</v>
      </c>
      <c r="AM201" s="30">
        <v>0</v>
      </c>
      <c r="AN201" s="30">
        <v>0</v>
      </c>
      <c r="AO201" s="30">
        <v>0</v>
      </c>
      <c r="AP201" s="30">
        <v>0</v>
      </c>
      <c r="AQ201" s="30">
        <v>0</v>
      </c>
      <c r="AR201" s="30">
        <v>32543.86</v>
      </c>
      <c r="AS201" s="30">
        <v>32793.11</v>
      </c>
      <c r="AT201" s="30">
        <v>28025.439999999999</v>
      </c>
      <c r="AU201" s="30">
        <v>28211.93</v>
      </c>
      <c r="AV201" s="30">
        <v>28402.57</v>
      </c>
      <c r="AW201" s="30">
        <v>28600.12</v>
      </c>
      <c r="AX201" s="30">
        <v>28812.38</v>
      </c>
      <c r="AY201" s="30">
        <v>29017.03</v>
      </c>
      <c r="AZ201" s="30">
        <v>29193.41</v>
      </c>
      <c r="BA201" s="30" t="e">
        <f t="array" aca="1" ref="BA201" ca="1">_xludf.XLOOKUP(C201,'PL TOTAL D0'!A:A,'PL TOTAL D0'!C:C,"")</f>
        <v>#NAME?</v>
      </c>
    </row>
    <row r="202" spans="1:53" ht="15.75" customHeight="1">
      <c r="A202" s="23" t="s">
        <v>29</v>
      </c>
      <c r="B202" s="36" t="s">
        <v>814</v>
      </c>
      <c r="C202" s="44" t="s">
        <v>815</v>
      </c>
      <c r="D202" s="7" t="s">
        <v>19</v>
      </c>
      <c r="E202" s="7" t="s">
        <v>34</v>
      </c>
      <c r="F202" s="7" t="s">
        <v>262</v>
      </c>
      <c r="G202" s="7" t="e">
        <f t="shared" ca="1" si="0"/>
        <v>#NAME?</v>
      </c>
      <c r="H202" s="24" t="s">
        <v>161</v>
      </c>
      <c r="I202" s="24" t="s">
        <v>162</v>
      </c>
      <c r="J202" s="7" t="str">
        <f t="shared" si="11"/>
        <v>Não</v>
      </c>
      <c r="K202" s="25">
        <v>45233</v>
      </c>
      <c r="L202" s="25"/>
      <c r="M202" s="7" t="s">
        <v>58</v>
      </c>
      <c r="N202" s="26">
        <v>1.2E-2</v>
      </c>
      <c r="O202" s="7" t="s">
        <v>37</v>
      </c>
      <c r="P202" s="27">
        <v>0.1</v>
      </c>
      <c r="Q202" s="28"/>
      <c r="R202" s="28"/>
      <c r="S202" s="7" t="s">
        <v>145</v>
      </c>
      <c r="T202" s="7" t="s">
        <v>816</v>
      </c>
      <c r="U202" s="7" t="s">
        <v>39</v>
      </c>
      <c r="V202" s="24" t="e">
        <f t="shared" ca="1" si="2"/>
        <v>#NAME?</v>
      </c>
      <c r="W202" s="7"/>
      <c r="X202" s="7"/>
      <c r="Y202" s="29" t="s">
        <v>147</v>
      </c>
      <c r="Z202" s="30"/>
      <c r="AA202" s="31">
        <v>45233</v>
      </c>
      <c r="AB202" s="32">
        <v>49075100012288</v>
      </c>
      <c r="AC202" s="30"/>
      <c r="AD202" s="30"/>
      <c r="AE202" s="30"/>
      <c r="AF202" s="30"/>
      <c r="AG202" s="30"/>
      <c r="AH202" s="30"/>
      <c r="AI202" s="30"/>
      <c r="AJ202" s="30"/>
      <c r="AK202" s="30"/>
      <c r="AL202" s="30"/>
      <c r="AM202" s="30"/>
      <c r="AN202" s="30"/>
      <c r="AO202" s="30">
        <v>0</v>
      </c>
      <c r="AP202" s="30">
        <v>0</v>
      </c>
      <c r="AQ202" s="30">
        <v>0</v>
      </c>
      <c r="AR202" s="30">
        <v>0</v>
      </c>
      <c r="AS202" s="30">
        <v>0</v>
      </c>
      <c r="AT202" s="30">
        <v>0</v>
      </c>
      <c r="AU202" s="30">
        <v>0</v>
      </c>
      <c r="AV202" s="30">
        <v>0</v>
      </c>
      <c r="AW202" s="30">
        <v>0</v>
      </c>
      <c r="AX202" s="30">
        <v>0</v>
      </c>
      <c r="AY202" s="30">
        <v>0</v>
      </c>
      <c r="AZ202" s="30">
        <v>0</v>
      </c>
      <c r="BA202" s="30" t="e">
        <f t="array" aca="1" ref="BA202" ca="1">_xludf.XLOOKUP(C202,'PL TOTAL D0'!A:A,'PL TOTAL D0'!C:C,"")</f>
        <v>#NAME?</v>
      </c>
    </row>
    <row r="203" spans="1:53" ht="15.75" customHeight="1">
      <c r="A203" s="23" t="s">
        <v>29</v>
      </c>
      <c r="B203" s="3" t="s">
        <v>817</v>
      </c>
      <c r="C203" s="4" t="s">
        <v>818</v>
      </c>
      <c r="D203" s="7" t="s">
        <v>64</v>
      </c>
      <c r="E203" s="7" t="s">
        <v>20</v>
      </c>
      <c r="F203" s="7" t="s">
        <v>142</v>
      </c>
      <c r="G203" s="7" t="e">
        <f t="shared" ca="1" si="0"/>
        <v>#NAME?</v>
      </c>
      <c r="H203" s="24" t="s">
        <v>143</v>
      </c>
      <c r="I203" s="24" t="s">
        <v>25</v>
      </c>
      <c r="J203" s="7" t="str">
        <f t="shared" si="11"/>
        <v>Não</v>
      </c>
      <c r="K203" s="25">
        <v>45145</v>
      </c>
      <c r="L203" s="25">
        <v>45537</v>
      </c>
      <c r="M203" s="7" t="s">
        <v>215</v>
      </c>
      <c r="N203" s="26">
        <v>1.4E-2</v>
      </c>
      <c r="O203" s="7" t="s">
        <v>37</v>
      </c>
      <c r="P203" s="27">
        <v>0.2</v>
      </c>
      <c r="Q203" s="28"/>
      <c r="R203" s="28"/>
      <c r="S203" s="7" t="s">
        <v>145</v>
      </c>
      <c r="T203" s="7" t="s">
        <v>819</v>
      </c>
      <c r="U203" s="7" t="s">
        <v>20</v>
      </c>
      <c r="V203" s="24" t="e">
        <f t="shared" ca="1" si="2"/>
        <v>#NAME?</v>
      </c>
      <c r="W203" s="7"/>
      <c r="X203" s="7"/>
      <c r="Y203" s="29" t="s">
        <v>147</v>
      </c>
      <c r="Z203" s="30"/>
      <c r="AA203" s="31">
        <v>45145</v>
      </c>
      <c r="AB203" s="32">
        <v>49075100004943</v>
      </c>
      <c r="AC203" s="30"/>
      <c r="AD203" s="30"/>
      <c r="AE203" s="30"/>
      <c r="AF203" s="30"/>
      <c r="AG203" s="30"/>
      <c r="AH203" s="30"/>
      <c r="AI203" s="30"/>
      <c r="AJ203" s="30"/>
      <c r="AK203" s="30"/>
      <c r="AL203" s="30"/>
      <c r="AM203" s="30">
        <v>255749.46</v>
      </c>
      <c r="AN203" s="30">
        <v>209381.88</v>
      </c>
      <c r="AO203" s="30">
        <v>215286.59</v>
      </c>
      <c r="AP203" s="30">
        <v>224844.95</v>
      </c>
      <c r="AQ203" s="30">
        <v>227630.38</v>
      </c>
      <c r="AR203" s="30">
        <v>227458.26</v>
      </c>
      <c r="AS203" s="30">
        <v>234568.95999999999</v>
      </c>
      <c r="AT203" s="30">
        <v>205870.37</v>
      </c>
      <c r="AU203" s="30">
        <v>205542.55</v>
      </c>
      <c r="AV203" s="30">
        <v>208999.7</v>
      </c>
      <c r="AW203" s="30">
        <v>214466.4</v>
      </c>
      <c r="AX203" s="30">
        <v>217114.4</v>
      </c>
      <c r="AY203" s="30">
        <v>0</v>
      </c>
      <c r="AZ203" s="30">
        <v>0</v>
      </c>
      <c r="BA203" s="30" t="e">
        <f t="array" aca="1" ref="BA203" ca="1">_xludf.XLOOKUP(C203,'PL TOTAL D0'!A:A,'PL TOTAL D0'!C:C,"")</f>
        <v>#NAME?</v>
      </c>
    </row>
    <row r="204" spans="1:53" ht="15.75" customHeight="1">
      <c r="A204" s="23" t="s">
        <v>29</v>
      </c>
      <c r="B204" s="83" t="s">
        <v>820</v>
      </c>
      <c r="C204" s="44" t="s">
        <v>821</v>
      </c>
      <c r="D204" s="7" t="s">
        <v>19</v>
      </c>
      <c r="E204" s="7" t="s">
        <v>49</v>
      </c>
      <c r="F204" s="7" t="s">
        <v>166</v>
      </c>
      <c r="G204" s="7" t="e">
        <f t="shared" ca="1" si="0"/>
        <v>#NAME?</v>
      </c>
      <c r="H204" s="24" t="s">
        <v>152</v>
      </c>
      <c r="I204" s="24" t="s">
        <v>25</v>
      </c>
      <c r="J204" s="7" t="str">
        <f t="shared" si="11"/>
        <v>Sim</v>
      </c>
      <c r="K204" s="25">
        <v>45217</v>
      </c>
      <c r="L204" s="25"/>
      <c r="M204" s="7" t="s">
        <v>42</v>
      </c>
      <c r="N204" s="26">
        <v>1.2E-2</v>
      </c>
      <c r="O204" s="7" t="s">
        <v>25</v>
      </c>
      <c r="P204" s="27">
        <v>0</v>
      </c>
      <c r="Q204" s="36" t="s">
        <v>822</v>
      </c>
      <c r="R204" s="28"/>
      <c r="S204" s="7" t="s">
        <v>145</v>
      </c>
      <c r="T204" s="7" t="s">
        <v>823</v>
      </c>
      <c r="U204" s="7" t="s">
        <v>49</v>
      </c>
      <c r="V204" s="24" t="e">
        <f t="shared" ca="1" si="2"/>
        <v>#NAME?</v>
      </c>
      <c r="W204" s="7"/>
      <c r="X204" s="7"/>
      <c r="Y204" s="29" t="s">
        <v>147</v>
      </c>
      <c r="Z204" s="30"/>
      <c r="AA204" s="31">
        <v>45217</v>
      </c>
      <c r="AB204" s="32">
        <v>49075100012296</v>
      </c>
      <c r="AC204" s="30"/>
      <c r="AD204" s="30"/>
      <c r="AE204" s="30"/>
      <c r="AF204" s="30"/>
      <c r="AG204" s="30"/>
      <c r="AH204" s="30"/>
      <c r="AI204" s="30"/>
      <c r="AJ204" s="30"/>
      <c r="AK204" s="30"/>
      <c r="AL204" s="30"/>
      <c r="AM204" s="30"/>
      <c r="AN204" s="30"/>
      <c r="AO204" s="30">
        <v>105231.89</v>
      </c>
      <c r="AP204" s="30">
        <v>106174.67</v>
      </c>
      <c r="AQ204" s="30">
        <v>107005.83</v>
      </c>
      <c r="AR204" s="30">
        <v>127908.6</v>
      </c>
      <c r="AS204" s="30">
        <v>128815.46</v>
      </c>
      <c r="AT204" s="30">
        <v>176404.8</v>
      </c>
      <c r="AU204" s="30">
        <v>177438.57</v>
      </c>
      <c r="AV204" s="30">
        <v>178726.7</v>
      </c>
      <c r="AW204" s="30">
        <v>179781.7</v>
      </c>
      <c r="AX204" s="30">
        <v>191397</v>
      </c>
      <c r="AY204" s="30">
        <v>201981.21</v>
      </c>
      <c r="AZ204" s="30">
        <v>112203</v>
      </c>
      <c r="BA204" s="30" t="e">
        <f t="array" aca="1" ref="BA204" ca="1">_xludf.XLOOKUP(C204,'PL TOTAL D0'!A:A,'PL TOTAL D0'!C:C,"")</f>
        <v>#NAME?</v>
      </c>
    </row>
    <row r="205" spans="1:53" ht="15.75" customHeight="1">
      <c r="A205" s="23" t="s">
        <v>29</v>
      </c>
      <c r="B205" s="83" t="s">
        <v>824</v>
      </c>
      <c r="C205" s="44" t="s">
        <v>825</v>
      </c>
      <c r="D205" s="7" t="s">
        <v>19</v>
      </c>
      <c r="E205" s="7" t="s">
        <v>49</v>
      </c>
      <c r="F205" s="7" t="s">
        <v>166</v>
      </c>
      <c r="G205" s="7" t="e">
        <f t="shared" ca="1" si="0"/>
        <v>#NAME?</v>
      </c>
      <c r="H205" s="24" t="s">
        <v>152</v>
      </c>
      <c r="I205" s="24" t="s">
        <v>25</v>
      </c>
      <c r="J205" s="7" t="str">
        <f t="shared" si="11"/>
        <v>Não</v>
      </c>
      <c r="K205" s="25">
        <v>45462</v>
      </c>
      <c r="L205" s="25"/>
      <c r="M205" s="7" t="s">
        <v>42</v>
      </c>
      <c r="N205" s="26">
        <v>1.2E-2</v>
      </c>
      <c r="O205" s="7" t="s">
        <v>25</v>
      </c>
      <c r="P205" s="27">
        <v>0</v>
      </c>
      <c r="Q205" s="36"/>
      <c r="R205" s="28"/>
      <c r="S205" s="7" t="s">
        <v>145</v>
      </c>
      <c r="T205" s="7" t="s">
        <v>826</v>
      </c>
      <c r="U205" s="7" t="s">
        <v>49</v>
      </c>
      <c r="V205" s="24" t="e">
        <f t="shared" ca="1" si="2"/>
        <v>#NAME?</v>
      </c>
      <c r="W205" s="7"/>
      <c r="X205" s="7" t="s">
        <v>52</v>
      </c>
      <c r="Y205" s="29" t="s">
        <v>147</v>
      </c>
      <c r="Z205" s="30"/>
      <c r="AA205" s="31">
        <v>45462</v>
      </c>
      <c r="AB205" s="32">
        <v>49075100015198</v>
      </c>
      <c r="AC205" s="30"/>
      <c r="AD205" s="30"/>
      <c r="AE205" s="30"/>
      <c r="AF205" s="30"/>
      <c r="AG205" s="30"/>
      <c r="AH205" s="30"/>
      <c r="AI205" s="30"/>
      <c r="AJ205" s="30"/>
      <c r="AK205" s="30"/>
      <c r="AL205" s="30"/>
      <c r="AM205" s="30"/>
      <c r="AN205" s="30"/>
      <c r="AO205" s="30"/>
      <c r="AP205" s="30"/>
      <c r="AQ205" s="30"/>
      <c r="AR205" s="30"/>
      <c r="AS205" s="30"/>
      <c r="AT205" s="30"/>
      <c r="AU205" s="30"/>
      <c r="AV205" s="30"/>
      <c r="AW205" s="30">
        <v>341552.3</v>
      </c>
      <c r="AX205" s="30">
        <v>346629</v>
      </c>
      <c r="AY205" s="30">
        <v>349672.43</v>
      </c>
      <c r="AZ205" s="30">
        <v>351986.41</v>
      </c>
      <c r="BA205" s="30" t="e">
        <f t="array" aca="1" ref="BA205" ca="1">_xludf.XLOOKUP(C205,'PL TOTAL D0'!A:A,'PL TOTAL D0'!C:C,"")</f>
        <v>#NAME?</v>
      </c>
    </row>
    <row r="206" spans="1:53" ht="15.75" customHeight="1">
      <c r="A206" s="23" t="s">
        <v>29</v>
      </c>
      <c r="B206" s="37" t="s">
        <v>827</v>
      </c>
      <c r="C206" s="4" t="s">
        <v>828</v>
      </c>
      <c r="D206" s="7" t="s">
        <v>64</v>
      </c>
      <c r="E206" s="7" t="s">
        <v>20</v>
      </c>
      <c r="F206" s="7" t="s">
        <v>273</v>
      </c>
      <c r="G206" s="7" t="e">
        <f t="shared" ca="1" si="0"/>
        <v>#NAME?</v>
      </c>
      <c r="H206" s="24" t="s">
        <v>152</v>
      </c>
      <c r="I206" s="24" t="s">
        <v>25</v>
      </c>
      <c r="J206" s="7" t="str">
        <f t="shared" si="11"/>
        <v>Não</v>
      </c>
      <c r="K206" s="25">
        <v>45002</v>
      </c>
      <c r="L206" s="7"/>
      <c r="M206" s="7" t="s">
        <v>42</v>
      </c>
      <c r="N206" s="26">
        <v>1.2E-2</v>
      </c>
      <c r="O206" s="7" t="s">
        <v>25</v>
      </c>
      <c r="P206" s="27">
        <v>0</v>
      </c>
      <c r="Q206" s="28"/>
      <c r="R206" s="28"/>
      <c r="S206" s="7" t="s">
        <v>145</v>
      </c>
      <c r="T206" s="7" t="s">
        <v>829</v>
      </c>
      <c r="U206" s="7" t="s">
        <v>20</v>
      </c>
      <c r="V206" s="24" t="e">
        <f t="shared" ca="1" si="2"/>
        <v>#NAME?</v>
      </c>
      <c r="W206" s="7"/>
      <c r="X206" s="7"/>
      <c r="Y206" s="29" t="s">
        <v>147</v>
      </c>
      <c r="Z206" s="30"/>
      <c r="AA206" s="31">
        <v>45002</v>
      </c>
      <c r="AB206" s="32">
        <v>49075100008061</v>
      </c>
      <c r="AC206" s="30"/>
      <c r="AD206" s="30"/>
      <c r="AE206" s="30"/>
      <c r="AF206" s="30"/>
      <c r="AG206" s="30"/>
      <c r="AH206" s="30">
        <v>325628.19</v>
      </c>
      <c r="AI206" s="30">
        <v>328553.34999999998</v>
      </c>
      <c r="AJ206" s="30">
        <v>331938.46999999997</v>
      </c>
      <c r="AK206" s="30">
        <v>335213.53999999998</v>
      </c>
      <c r="AL206" s="30">
        <v>338304.64</v>
      </c>
      <c r="AM206" s="30">
        <v>340950</v>
      </c>
      <c r="AN206" s="30">
        <v>342659.29</v>
      </c>
      <c r="AO206" s="30">
        <v>344570.82</v>
      </c>
      <c r="AP206" s="30">
        <v>348347.11</v>
      </c>
      <c r="AQ206" s="30">
        <v>351813.62</v>
      </c>
      <c r="AR206" s="30">
        <v>354585.95</v>
      </c>
      <c r="AS206" s="30">
        <v>356355.74</v>
      </c>
      <c r="AT206" s="30">
        <v>356098.04</v>
      </c>
      <c r="AU206" s="30">
        <v>356326.09</v>
      </c>
      <c r="AV206" s="30">
        <v>358995.3</v>
      </c>
      <c r="AW206" s="30">
        <v>361202.8</v>
      </c>
      <c r="AX206" s="30">
        <v>362715.4</v>
      </c>
      <c r="AY206" s="30">
        <v>364987.93</v>
      </c>
      <c r="AZ206" s="30">
        <v>366897.13</v>
      </c>
      <c r="BA206" s="30" t="e">
        <f t="array" aca="1" ref="BA206" ca="1">_xludf.XLOOKUP(C206,'PL TOTAL D0'!A:A,'PL TOTAL D0'!C:C,"")</f>
        <v>#NAME?</v>
      </c>
    </row>
    <row r="207" spans="1:53" ht="15.75" customHeight="1">
      <c r="A207" s="23" t="s">
        <v>29</v>
      </c>
      <c r="B207" s="3" t="s">
        <v>830</v>
      </c>
      <c r="C207" s="4" t="s">
        <v>831</v>
      </c>
      <c r="D207" s="7" t="s">
        <v>19</v>
      </c>
      <c r="E207" s="7" t="s">
        <v>49</v>
      </c>
      <c r="F207" s="7" t="s">
        <v>166</v>
      </c>
      <c r="G207" s="7" t="e">
        <f t="shared" ca="1" si="0"/>
        <v>#NAME?</v>
      </c>
      <c r="H207" s="24" t="s">
        <v>152</v>
      </c>
      <c r="I207" s="24" t="s">
        <v>25</v>
      </c>
      <c r="J207" s="7" t="str">
        <f t="shared" si="11"/>
        <v>Sim</v>
      </c>
      <c r="K207" s="25">
        <v>45058</v>
      </c>
      <c r="L207" s="7"/>
      <c r="M207" s="7" t="s">
        <v>42</v>
      </c>
      <c r="N207" s="26">
        <v>1.2E-2</v>
      </c>
      <c r="O207" s="7" t="s">
        <v>25</v>
      </c>
      <c r="P207" s="27">
        <v>0</v>
      </c>
      <c r="Q207" s="28" t="s">
        <v>832</v>
      </c>
      <c r="R207" s="28"/>
      <c r="S207" s="7" t="s">
        <v>145</v>
      </c>
      <c r="T207" s="7" t="s">
        <v>833</v>
      </c>
      <c r="U207" s="7" t="s">
        <v>49</v>
      </c>
      <c r="V207" s="24" t="e">
        <f t="shared" ca="1" si="2"/>
        <v>#NAME?</v>
      </c>
      <c r="W207" s="7"/>
      <c r="X207" s="7"/>
      <c r="Y207" s="29" t="s">
        <v>147</v>
      </c>
      <c r="Z207" s="30"/>
      <c r="AA207" s="31">
        <v>45058</v>
      </c>
      <c r="AB207" s="32">
        <v>49075100003971</v>
      </c>
      <c r="AC207" s="30"/>
      <c r="AD207" s="30"/>
      <c r="AE207" s="30"/>
      <c r="AF207" s="30"/>
      <c r="AG207" s="30"/>
      <c r="AH207" s="30"/>
      <c r="AI207" s="30">
        <v>0</v>
      </c>
      <c r="AJ207" s="30">
        <v>70426.320000000007</v>
      </c>
      <c r="AK207" s="30">
        <v>71091.48</v>
      </c>
      <c r="AL207" s="30">
        <v>132133.96</v>
      </c>
      <c r="AM207" s="30">
        <v>133449.26999999999</v>
      </c>
      <c r="AN207" s="30">
        <v>130973.02</v>
      </c>
      <c r="AO207" s="30">
        <v>132119.60999999999</v>
      </c>
      <c r="AP207" s="30">
        <v>133068.23000000001</v>
      </c>
      <c r="AQ207" s="30">
        <v>159262.64000000001</v>
      </c>
      <c r="AR207" s="30">
        <v>160613.1</v>
      </c>
      <c r="AS207" s="30">
        <v>726092.48</v>
      </c>
      <c r="AT207" s="30">
        <v>892261.1</v>
      </c>
      <c r="AU207" s="30">
        <v>901416.63</v>
      </c>
      <c r="AV207" s="30">
        <v>978304.2</v>
      </c>
      <c r="AW207" s="30">
        <v>966122.9</v>
      </c>
      <c r="AX207" s="30">
        <v>976625.8</v>
      </c>
      <c r="AY207" s="30">
        <v>944133.22</v>
      </c>
      <c r="AZ207" s="30">
        <v>1125388.3999999999</v>
      </c>
      <c r="BA207" s="30" t="e">
        <f t="array" aca="1" ref="BA207" ca="1">_xludf.XLOOKUP(C207,'PL TOTAL D0'!A:A,'PL TOTAL D0'!C:C,"")</f>
        <v>#NAME?</v>
      </c>
    </row>
    <row r="208" spans="1:53" ht="15.75" customHeight="1">
      <c r="A208" s="23" t="s">
        <v>29</v>
      </c>
      <c r="B208" s="3" t="s">
        <v>834</v>
      </c>
      <c r="C208" s="4" t="s">
        <v>835</v>
      </c>
      <c r="D208" s="7" t="s">
        <v>64</v>
      </c>
      <c r="E208" s="7" t="s">
        <v>20</v>
      </c>
      <c r="F208" s="7" t="s">
        <v>142</v>
      </c>
      <c r="G208" s="7" t="e">
        <f t="shared" ca="1" si="0"/>
        <v>#NAME?</v>
      </c>
      <c r="H208" s="24" t="s">
        <v>143</v>
      </c>
      <c r="I208" s="24" t="s">
        <v>25</v>
      </c>
      <c r="J208" s="7" t="str">
        <f t="shared" si="11"/>
        <v>Não</v>
      </c>
      <c r="K208" s="25">
        <v>45313</v>
      </c>
      <c r="L208" s="25">
        <v>45553</v>
      </c>
      <c r="M208" s="7" t="s">
        <v>42</v>
      </c>
      <c r="N208" s="26">
        <v>1.2E-2</v>
      </c>
      <c r="O208" s="7" t="s">
        <v>25</v>
      </c>
      <c r="P208" s="27">
        <v>0</v>
      </c>
      <c r="Q208" s="28"/>
      <c r="R208" s="28"/>
      <c r="S208" s="7" t="s">
        <v>145</v>
      </c>
      <c r="T208" s="7" t="s">
        <v>836</v>
      </c>
      <c r="U208" s="7" t="s">
        <v>20</v>
      </c>
      <c r="V208" s="24" t="e">
        <f t="shared" ca="1" si="2"/>
        <v>#NAME?</v>
      </c>
      <c r="W208" s="7"/>
      <c r="X208" s="7"/>
      <c r="Y208" s="29" t="s">
        <v>253</v>
      </c>
      <c r="Z208" s="30"/>
      <c r="AA208" s="31">
        <v>45313</v>
      </c>
      <c r="AB208" s="32">
        <v>49075100013144</v>
      </c>
      <c r="AC208" s="30"/>
      <c r="AD208" s="30"/>
      <c r="AE208" s="30"/>
      <c r="AF208" s="30"/>
      <c r="AG208" s="30"/>
      <c r="AH208" s="30"/>
      <c r="AI208" s="30"/>
      <c r="AJ208" s="30"/>
      <c r="AK208" s="30"/>
      <c r="AL208" s="30"/>
      <c r="AM208" s="30"/>
      <c r="AN208" s="30"/>
      <c r="AO208" s="30"/>
      <c r="AP208" s="30"/>
      <c r="AQ208" s="30"/>
      <c r="AR208" s="30">
        <v>0</v>
      </c>
      <c r="AS208" s="30">
        <v>68321.23</v>
      </c>
      <c r="AT208" s="30">
        <v>68755.69</v>
      </c>
      <c r="AU208" s="30">
        <v>68813.759999999995</v>
      </c>
      <c r="AV208" s="30">
        <v>69295.92</v>
      </c>
      <c r="AW208" s="30">
        <v>69426.17</v>
      </c>
      <c r="AX208" s="30">
        <v>70420.02</v>
      </c>
      <c r="AY208" s="30">
        <v>0</v>
      </c>
      <c r="AZ208" s="30">
        <v>0</v>
      </c>
      <c r="BA208" s="30" t="e">
        <f t="array" aca="1" ref="BA208" ca="1">_xludf.XLOOKUP(C208,'PL TOTAL D0'!A:A,'PL TOTAL D0'!C:C,"")</f>
        <v>#NAME?</v>
      </c>
    </row>
    <row r="209" spans="1:53" ht="15.75" customHeight="1">
      <c r="A209" s="23" t="s">
        <v>29</v>
      </c>
      <c r="B209" s="3" t="s">
        <v>837</v>
      </c>
      <c r="C209" s="4" t="s">
        <v>838</v>
      </c>
      <c r="D209" s="7" t="s">
        <v>19</v>
      </c>
      <c r="E209" s="7" t="s">
        <v>34</v>
      </c>
      <c r="F209" s="7" t="s">
        <v>35</v>
      </c>
      <c r="G209" s="7" t="e">
        <f t="shared" ca="1" si="0"/>
        <v>#NAME?</v>
      </c>
      <c r="H209" s="24" t="s">
        <v>152</v>
      </c>
      <c r="I209" s="24" t="s">
        <v>25</v>
      </c>
      <c r="J209" s="7" t="str">
        <f t="shared" si="11"/>
        <v>Sim</v>
      </c>
      <c r="K209" s="25">
        <v>45070</v>
      </c>
      <c r="L209" s="25"/>
      <c r="M209" s="7" t="s">
        <v>42</v>
      </c>
      <c r="N209" s="26">
        <v>1.2E-2</v>
      </c>
      <c r="O209" s="7" t="s">
        <v>25</v>
      </c>
      <c r="P209" s="27">
        <v>0</v>
      </c>
      <c r="Q209" s="28" t="s">
        <v>839</v>
      </c>
      <c r="R209" s="28"/>
      <c r="S209" s="7" t="s">
        <v>145</v>
      </c>
      <c r="T209" s="7" t="s">
        <v>840</v>
      </c>
      <c r="U209" s="7" t="s">
        <v>39</v>
      </c>
      <c r="V209" s="24" t="e">
        <f t="shared" ca="1" si="2"/>
        <v>#NAME?</v>
      </c>
      <c r="W209" s="7"/>
      <c r="X209" s="7"/>
      <c r="Y209" s="29" t="s">
        <v>147</v>
      </c>
      <c r="Z209" s="30"/>
      <c r="AA209" s="31">
        <v>45070</v>
      </c>
      <c r="AB209" s="32">
        <v>49075100009236</v>
      </c>
      <c r="AC209" s="30"/>
      <c r="AD209" s="30"/>
      <c r="AE209" s="30"/>
      <c r="AF209" s="30"/>
      <c r="AG209" s="30"/>
      <c r="AH209" s="30">
        <v>0</v>
      </c>
      <c r="AI209" s="30">
        <v>0</v>
      </c>
      <c r="AJ209" s="30">
        <v>0</v>
      </c>
      <c r="AK209" s="30">
        <v>261686.39999999999</v>
      </c>
      <c r="AL209" s="30">
        <v>274621.3</v>
      </c>
      <c r="AM209" s="30">
        <v>274529.91999999998</v>
      </c>
      <c r="AN209" s="30">
        <v>276109.44</v>
      </c>
      <c r="AO209" s="30">
        <v>277711.71999999997</v>
      </c>
      <c r="AP209" s="30">
        <v>280214.84000000003</v>
      </c>
      <c r="AQ209" s="30">
        <v>282442.96999999997</v>
      </c>
      <c r="AR209" s="30">
        <v>284758.78000000003</v>
      </c>
      <c r="AS209" s="30">
        <v>286645.90000000002</v>
      </c>
      <c r="AT209" s="30">
        <v>289037.78000000003</v>
      </c>
      <c r="AU209" s="30">
        <v>290669.88</v>
      </c>
      <c r="AV209" s="30">
        <v>289401.59999999998</v>
      </c>
      <c r="AW209" s="30">
        <v>291383.09999999998</v>
      </c>
      <c r="AX209" s="30">
        <v>207672.9</v>
      </c>
      <c r="AY209" s="30">
        <v>207495.07</v>
      </c>
      <c r="AZ209" s="30">
        <v>209016.19</v>
      </c>
      <c r="BA209" s="30" t="e">
        <f t="array" aca="1" ref="BA209" ca="1">_xludf.XLOOKUP(C209,'PL TOTAL D0'!A:A,'PL TOTAL D0'!C:C,"")</f>
        <v>#NAME?</v>
      </c>
    </row>
    <row r="210" spans="1:53" ht="15.75" customHeight="1">
      <c r="A210" s="23" t="s">
        <v>29</v>
      </c>
      <c r="B210" s="3" t="s">
        <v>841</v>
      </c>
      <c r="C210" s="60" t="s">
        <v>842</v>
      </c>
      <c r="D210" s="7" t="s">
        <v>19</v>
      </c>
      <c r="E210" s="7" t="s">
        <v>20</v>
      </c>
      <c r="F210" s="7" t="s">
        <v>210</v>
      </c>
      <c r="G210" s="7" t="e">
        <f t="shared" ca="1" si="0"/>
        <v>#NAME?</v>
      </c>
      <c r="H210" s="24" t="s">
        <v>152</v>
      </c>
      <c r="I210" s="24" t="s">
        <v>25</v>
      </c>
      <c r="J210" s="7" t="str">
        <f t="shared" si="11"/>
        <v>Não</v>
      </c>
      <c r="K210" s="25">
        <v>45022</v>
      </c>
      <c r="L210" s="7"/>
      <c r="M210" s="7" t="s">
        <v>42</v>
      </c>
      <c r="N210" s="26">
        <v>1.2E-2</v>
      </c>
      <c r="O210" s="7" t="s">
        <v>25</v>
      </c>
      <c r="P210" s="27">
        <v>0</v>
      </c>
      <c r="Q210" s="28"/>
      <c r="R210" s="28"/>
      <c r="S210" s="7" t="s">
        <v>145</v>
      </c>
      <c r="T210" s="7" t="s">
        <v>843</v>
      </c>
      <c r="U210" s="7" t="s">
        <v>20</v>
      </c>
      <c r="V210" s="24" t="e">
        <f t="shared" ca="1" si="2"/>
        <v>#NAME?</v>
      </c>
      <c r="W210" s="7"/>
      <c r="X210" s="7"/>
      <c r="Y210" s="29" t="s">
        <v>147</v>
      </c>
      <c r="Z210" s="30"/>
      <c r="AA210" s="31">
        <v>45022</v>
      </c>
      <c r="AB210" s="32">
        <v>49075100005656</v>
      </c>
      <c r="AC210" s="30"/>
      <c r="AD210" s="30"/>
      <c r="AE210" s="30"/>
      <c r="AF210" s="30"/>
      <c r="AG210" s="30"/>
      <c r="AH210" s="30">
        <v>0</v>
      </c>
      <c r="AI210" s="30">
        <v>60384.18</v>
      </c>
      <c r="AJ210" s="30">
        <v>60985.13</v>
      </c>
      <c r="AK210" s="30">
        <v>76561.17</v>
      </c>
      <c r="AL210" s="30">
        <v>77220.320000000007</v>
      </c>
      <c r="AM210" s="30">
        <v>86978.6</v>
      </c>
      <c r="AN210" s="30">
        <v>120755.04</v>
      </c>
      <c r="AO210" s="30">
        <v>132833.71</v>
      </c>
      <c r="AP210" s="30">
        <v>133806.56</v>
      </c>
      <c r="AQ210" s="30">
        <v>134840.29</v>
      </c>
      <c r="AR210" s="30">
        <v>127079.21</v>
      </c>
      <c r="AS210" s="30">
        <v>120760.68</v>
      </c>
      <c r="AT210" s="30">
        <v>121852.18</v>
      </c>
      <c r="AU210" s="30">
        <v>99919.25</v>
      </c>
      <c r="AV210" s="30">
        <v>100638.2</v>
      </c>
      <c r="AW210" s="30">
        <v>101391</v>
      </c>
      <c r="AX210" s="30">
        <v>144878.5</v>
      </c>
      <c r="AY210" s="30">
        <v>183379.5</v>
      </c>
      <c r="AZ210" s="30">
        <v>138502.19</v>
      </c>
      <c r="BA210" s="30" t="e">
        <f t="array" aca="1" ref="BA210" ca="1">_xludf.XLOOKUP(C210,'PL TOTAL D0'!A:A,'PL TOTAL D0'!C:C,"")</f>
        <v>#NAME?</v>
      </c>
    </row>
    <row r="211" spans="1:53" ht="15.75" customHeight="1">
      <c r="A211" s="23" t="s">
        <v>29</v>
      </c>
      <c r="B211" s="3" t="s">
        <v>844</v>
      </c>
      <c r="C211" s="4" t="s">
        <v>845</v>
      </c>
      <c r="D211" s="7" t="s">
        <v>19</v>
      </c>
      <c r="E211" s="7" t="s">
        <v>20</v>
      </c>
      <c r="F211" s="7" t="s">
        <v>210</v>
      </c>
      <c r="G211" s="7" t="e">
        <f t="shared" ca="1" si="0"/>
        <v>#NAME?</v>
      </c>
      <c r="H211" s="24" t="s">
        <v>152</v>
      </c>
      <c r="I211" s="24" t="s">
        <v>25</v>
      </c>
      <c r="J211" s="7" t="str">
        <f t="shared" si="11"/>
        <v>Não</v>
      </c>
      <c r="K211" s="25">
        <v>45447</v>
      </c>
      <c r="L211" s="7"/>
      <c r="M211" s="7" t="s">
        <v>58</v>
      </c>
      <c r="N211" s="26">
        <v>1.2E-2</v>
      </c>
      <c r="O211" s="7" t="s">
        <v>37</v>
      </c>
      <c r="P211" s="27">
        <v>0.1</v>
      </c>
      <c r="Q211" s="28"/>
      <c r="R211" s="28"/>
      <c r="S211" s="7" t="s">
        <v>145</v>
      </c>
      <c r="T211" s="7" t="s">
        <v>843</v>
      </c>
      <c r="U211" s="7" t="s">
        <v>20</v>
      </c>
      <c r="V211" s="24" t="e">
        <f t="shared" ca="1" si="2"/>
        <v>#NAME?</v>
      </c>
      <c r="W211" s="7"/>
      <c r="X211" s="7" t="s">
        <v>52</v>
      </c>
      <c r="Y211" s="29" t="s">
        <v>147</v>
      </c>
      <c r="Z211" s="30"/>
      <c r="AA211" s="31">
        <v>45447</v>
      </c>
      <c r="AB211" s="32">
        <v>49075100015015</v>
      </c>
      <c r="AC211" s="30"/>
      <c r="AD211" s="30"/>
      <c r="AE211" s="30"/>
      <c r="AF211" s="30"/>
      <c r="AG211" s="30"/>
      <c r="AH211" s="30"/>
      <c r="AI211" s="30"/>
      <c r="AJ211" s="30"/>
      <c r="AK211" s="30"/>
      <c r="AL211" s="30"/>
      <c r="AM211" s="30"/>
      <c r="AN211" s="30"/>
      <c r="AO211" s="30"/>
      <c r="AP211" s="30"/>
      <c r="AQ211" s="30"/>
      <c r="AR211" s="30"/>
      <c r="AS211" s="30"/>
      <c r="AT211" s="30"/>
      <c r="AU211" s="30"/>
      <c r="AV211" s="30"/>
      <c r="AW211" s="30">
        <v>265.69</v>
      </c>
      <c r="AX211" s="30">
        <v>1909.05</v>
      </c>
      <c r="AY211" s="30">
        <v>3057.6</v>
      </c>
      <c r="AZ211" s="30">
        <v>3082.02</v>
      </c>
      <c r="BA211" s="30" t="e">
        <f t="array" aca="1" ref="BA211" ca="1">_xludf.XLOOKUP(C211,'PL TOTAL D0'!A:A,'PL TOTAL D0'!C:C,"")</f>
        <v>#NAME?</v>
      </c>
    </row>
    <row r="212" spans="1:53" ht="15.75" customHeight="1">
      <c r="A212" s="23" t="s">
        <v>29</v>
      </c>
      <c r="B212" s="3" t="s">
        <v>846</v>
      </c>
      <c r="C212" s="4" t="s">
        <v>847</v>
      </c>
      <c r="D212" s="7" t="s">
        <v>19</v>
      </c>
      <c r="E212" s="7" t="s">
        <v>49</v>
      </c>
      <c r="F212" s="7" t="s">
        <v>50</v>
      </c>
      <c r="G212" s="7" t="e">
        <f t="shared" ca="1" si="0"/>
        <v>#NAME?</v>
      </c>
      <c r="H212" s="24" t="s">
        <v>152</v>
      </c>
      <c r="I212" s="24" t="s">
        <v>25</v>
      </c>
      <c r="J212" s="7" t="str">
        <f t="shared" si="11"/>
        <v>Não</v>
      </c>
      <c r="K212" s="25">
        <v>45166</v>
      </c>
      <c r="L212" s="25"/>
      <c r="M212" s="7" t="s">
        <v>42</v>
      </c>
      <c r="N212" s="26">
        <v>1.2E-2</v>
      </c>
      <c r="O212" s="7" t="s">
        <v>25</v>
      </c>
      <c r="P212" s="27">
        <v>0</v>
      </c>
      <c r="Q212" s="28"/>
      <c r="R212" s="28"/>
      <c r="S212" s="7" t="s">
        <v>145</v>
      </c>
      <c r="T212" s="7" t="s">
        <v>848</v>
      </c>
      <c r="U212" s="7" t="s">
        <v>49</v>
      </c>
      <c r="V212" s="24" t="e">
        <f t="shared" ca="1" si="2"/>
        <v>#NAME?</v>
      </c>
      <c r="W212" s="7"/>
      <c r="X212" s="7"/>
      <c r="Y212" s="29" t="s">
        <v>147</v>
      </c>
      <c r="Z212" s="30"/>
      <c r="AA212" s="31">
        <v>45166</v>
      </c>
      <c r="AB212" s="32">
        <v>49075100009041</v>
      </c>
      <c r="AC212" s="30"/>
      <c r="AD212" s="30"/>
      <c r="AE212" s="30"/>
      <c r="AF212" s="30"/>
      <c r="AG212" s="30"/>
      <c r="AH212" s="30">
        <v>0</v>
      </c>
      <c r="AI212" s="30">
        <v>0</v>
      </c>
      <c r="AJ212" s="30">
        <v>0</v>
      </c>
      <c r="AK212" s="30">
        <v>0</v>
      </c>
      <c r="AL212" s="30">
        <v>0</v>
      </c>
      <c r="AM212" s="30">
        <v>2001.99</v>
      </c>
      <c r="AN212" s="30">
        <v>4533.3900000000003</v>
      </c>
      <c r="AO212" s="30">
        <v>6587.54</v>
      </c>
      <c r="AP212" s="30">
        <v>8650.26</v>
      </c>
      <c r="AQ212" s="30">
        <v>10718.11</v>
      </c>
      <c r="AR212" s="30">
        <v>67813.399999999994</v>
      </c>
      <c r="AS212" s="30">
        <v>24993.26</v>
      </c>
      <c r="AT212" s="30">
        <v>13068.91</v>
      </c>
      <c r="AU212" s="30">
        <v>12102.97</v>
      </c>
      <c r="AV212" s="30">
        <v>13185.82</v>
      </c>
      <c r="AW212" s="30">
        <v>14278.88</v>
      </c>
      <c r="AX212" s="30">
        <v>15392.2</v>
      </c>
      <c r="AY212" s="30">
        <v>16518.48</v>
      </c>
      <c r="AZ212" s="30">
        <v>36638.589999999997</v>
      </c>
      <c r="BA212" s="30" t="e">
        <f t="array" aca="1" ref="BA212" ca="1">_xludf.XLOOKUP(C212,'PL TOTAL D0'!A:A,'PL TOTAL D0'!C:C,"")</f>
        <v>#NAME?</v>
      </c>
    </row>
    <row r="213" spans="1:53" ht="15.75" customHeight="1">
      <c r="A213" s="23" t="s">
        <v>29</v>
      </c>
      <c r="B213" s="3" t="s">
        <v>849</v>
      </c>
      <c r="C213" s="4" t="s">
        <v>850</v>
      </c>
      <c r="D213" s="7" t="s">
        <v>19</v>
      </c>
      <c r="E213" s="7" t="s">
        <v>34</v>
      </c>
      <c r="F213" s="7" t="s">
        <v>35</v>
      </c>
      <c r="G213" s="7" t="e">
        <f t="shared" ca="1" si="0"/>
        <v>#NAME?</v>
      </c>
      <c r="H213" s="24" t="s">
        <v>152</v>
      </c>
      <c r="I213" s="24" t="s">
        <v>25</v>
      </c>
      <c r="J213" s="7" t="str">
        <f t="shared" si="11"/>
        <v>Não</v>
      </c>
      <c r="K213" s="25">
        <v>44903</v>
      </c>
      <c r="L213" s="7"/>
      <c r="M213" s="7" t="s">
        <v>42</v>
      </c>
      <c r="N213" s="26">
        <v>0.01</v>
      </c>
      <c r="O213" s="7" t="s">
        <v>25</v>
      </c>
      <c r="P213" s="27">
        <v>0</v>
      </c>
      <c r="Q213" s="28"/>
      <c r="R213" s="28"/>
      <c r="S213" s="7" t="s">
        <v>145</v>
      </c>
      <c r="T213" s="7" t="s">
        <v>851</v>
      </c>
      <c r="U213" s="7" t="s">
        <v>39</v>
      </c>
      <c r="V213" s="24" t="e">
        <f t="shared" ca="1" si="2"/>
        <v>#NAME?</v>
      </c>
      <c r="W213" s="7"/>
      <c r="X213" s="7"/>
      <c r="Y213" s="29" t="s">
        <v>147</v>
      </c>
      <c r="Z213" s="30"/>
      <c r="AA213" s="31">
        <v>44903</v>
      </c>
      <c r="AB213" s="32">
        <v>49075100009740</v>
      </c>
      <c r="AC213" s="30"/>
      <c r="AD213" s="30"/>
      <c r="AE213" s="30">
        <v>207189.28</v>
      </c>
      <c r="AF213" s="30">
        <v>209348.34</v>
      </c>
      <c r="AG213" s="30">
        <v>211048.19</v>
      </c>
      <c r="AH213" s="30">
        <v>390507.04</v>
      </c>
      <c r="AI213" s="30">
        <v>423811.97</v>
      </c>
      <c r="AJ213" s="30">
        <v>427761.52</v>
      </c>
      <c r="AK213" s="30">
        <v>380658.69</v>
      </c>
      <c r="AL213" s="30">
        <v>384001.86</v>
      </c>
      <c r="AM213" s="30">
        <v>387540.51</v>
      </c>
      <c r="AN213" s="30">
        <v>390686.95</v>
      </c>
      <c r="AO213" s="30">
        <v>394148.17</v>
      </c>
      <c r="AP213" s="30">
        <v>396886.59</v>
      </c>
      <c r="AQ213" s="30">
        <v>398816.73</v>
      </c>
      <c r="AR213" s="30">
        <v>351750.97</v>
      </c>
      <c r="AS213" s="30">
        <v>354440.96000000002</v>
      </c>
      <c r="AT213" s="30">
        <v>525472.69999999995</v>
      </c>
      <c r="AU213" s="30">
        <v>528979.07999999996</v>
      </c>
      <c r="AV213" s="30">
        <v>533037</v>
      </c>
      <c r="AW213" s="30">
        <v>537421.80000000005</v>
      </c>
      <c r="AX213" s="30">
        <v>541949</v>
      </c>
      <c r="AY213" s="30">
        <v>545621.89</v>
      </c>
      <c r="AZ213" s="30">
        <v>548444.56999999995</v>
      </c>
      <c r="BA213" s="30" t="e">
        <f t="array" aca="1" ref="BA213" ca="1">_xludf.XLOOKUP(C213,'PL TOTAL D0'!A:A,'PL TOTAL D0'!C:C,"")</f>
        <v>#NAME?</v>
      </c>
    </row>
    <row r="214" spans="1:53" ht="15.75" customHeight="1">
      <c r="A214" s="23" t="s">
        <v>29</v>
      </c>
      <c r="B214" s="3" t="s">
        <v>849</v>
      </c>
      <c r="C214" s="4" t="s">
        <v>852</v>
      </c>
      <c r="D214" s="7" t="s">
        <v>19</v>
      </c>
      <c r="E214" s="7" t="s">
        <v>34</v>
      </c>
      <c r="F214" s="7" t="s">
        <v>35</v>
      </c>
      <c r="G214" s="7" t="e">
        <f t="shared" ca="1" si="0"/>
        <v>#NAME?</v>
      </c>
      <c r="H214" s="24" t="s">
        <v>152</v>
      </c>
      <c r="I214" s="24" t="s">
        <v>25</v>
      </c>
      <c r="J214" s="7" t="str">
        <f t="shared" si="11"/>
        <v>Não</v>
      </c>
      <c r="K214" s="25">
        <v>45096</v>
      </c>
      <c r="L214" s="25"/>
      <c r="M214" s="7" t="s">
        <v>87</v>
      </c>
      <c r="N214" s="26">
        <v>2.5000000000000001E-2</v>
      </c>
      <c r="O214" s="7" t="s">
        <v>183</v>
      </c>
      <c r="P214" s="27">
        <v>0.2</v>
      </c>
      <c r="Q214" s="28"/>
      <c r="R214" s="28"/>
      <c r="S214" s="7" t="s">
        <v>145</v>
      </c>
      <c r="T214" s="7" t="s">
        <v>851</v>
      </c>
      <c r="U214" s="7" t="s">
        <v>39</v>
      </c>
      <c r="V214" s="24" t="e">
        <f t="shared" ca="1" si="2"/>
        <v>#NAME?</v>
      </c>
      <c r="W214" s="7"/>
      <c r="X214" s="7"/>
      <c r="Y214" s="29" t="s">
        <v>147</v>
      </c>
      <c r="Z214" s="30"/>
      <c r="AA214" s="31">
        <v>45096</v>
      </c>
      <c r="AB214" s="32">
        <v>49075100008736</v>
      </c>
      <c r="AC214" s="30"/>
      <c r="AD214" s="30"/>
      <c r="AE214" s="30"/>
      <c r="AF214" s="30"/>
      <c r="AG214" s="30"/>
      <c r="AH214" s="30"/>
      <c r="AI214" s="30">
        <v>0</v>
      </c>
      <c r="AJ214" s="30">
        <v>0</v>
      </c>
      <c r="AK214" s="30">
        <v>50792.07</v>
      </c>
      <c r="AL214" s="30">
        <v>53366.879999999997</v>
      </c>
      <c r="AM214" s="30">
        <v>51327.17</v>
      </c>
      <c r="AN214" s="30">
        <v>50313.03</v>
      </c>
      <c r="AO214" s="30">
        <v>48073.61</v>
      </c>
      <c r="AP214" s="30">
        <v>51631.519999999997</v>
      </c>
      <c r="AQ214" s="30">
        <v>54099.040000000001</v>
      </c>
      <c r="AR214" s="30">
        <v>99689.1</v>
      </c>
      <c r="AS214" s="30">
        <v>101107.27</v>
      </c>
      <c r="AT214" s="30">
        <v>135941.03</v>
      </c>
      <c r="AU214" s="30">
        <v>130004.14</v>
      </c>
      <c r="AV214" s="30">
        <v>125891.6</v>
      </c>
      <c r="AW214" s="30">
        <v>127327.3</v>
      </c>
      <c r="AX214" s="30">
        <v>130760.5</v>
      </c>
      <c r="AY214" s="30">
        <v>133486.06</v>
      </c>
      <c r="AZ214" s="30">
        <v>130837.02</v>
      </c>
      <c r="BA214" s="30" t="e">
        <f t="array" aca="1" ref="BA214" ca="1">_xludf.XLOOKUP(C214,'PL TOTAL D0'!A:A,'PL TOTAL D0'!C:C,"")</f>
        <v>#NAME?</v>
      </c>
    </row>
    <row r="215" spans="1:53" ht="15.75" customHeight="1">
      <c r="A215" s="23" t="s">
        <v>29</v>
      </c>
      <c r="B215" s="3" t="s">
        <v>853</v>
      </c>
      <c r="C215" s="4" t="s">
        <v>854</v>
      </c>
      <c r="D215" s="7" t="s">
        <v>19</v>
      </c>
      <c r="E215" s="7" t="s">
        <v>49</v>
      </c>
      <c r="F215" s="7" t="s">
        <v>50</v>
      </c>
      <c r="G215" s="7" t="e">
        <f t="shared" ca="1" si="0"/>
        <v>#NAME?</v>
      </c>
      <c r="H215" s="24" t="s">
        <v>161</v>
      </c>
      <c r="I215" s="24" t="s">
        <v>162</v>
      </c>
      <c r="J215" s="7" t="str">
        <f t="shared" si="11"/>
        <v>Não</v>
      </c>
      <c r="K215" s="25">
        <v>44974</v>
      </c>
      <c r="L215" s="7"/>
      <c r="M215" s="7" t="s">
        <v>42</v>
      </c>
      <c r="N215" s="26">
        <v>1.2E-2</v>
      </c>
      <c r="O215" s="7" t="s">
        <v>25</v>
      </c>
      <c r="P215" s="27">
        <v>0</v>
      </c>
      <c r="Q215" s="28"/>
      <c r="R215" s="28"/>
      <c r="S215" s="7" t="s">
        <v>145</v>
      </c>
      <c r="T215" s="7" t="s">
        <v>855</v>
      </c>
      <c r="U215" s="7" t="s">
        <v>49</v>
      </c>
      <c r="V215" s="24" t="e">
        <f t="shared" ca="1" si="2"/>
        <v>#NAME?</v>
      </c>
      <c r="W215" s="7"/>
      <c r="X215" s="7"/>
      <c r="Y215" s="29" t="s">
        <v>147</v>
      </c>
      <c r="Z215" s="30"/>
      <c r="AA215" s="31">
        <v>44974</v>
      </c>
      <c r="AB215" s="32">
        <v>49075100011338</v>
      </c>
      <c r="AC215" s="30"/>
      <c r="AD215" s="30"/>
      <c r="AE215" s="30"/>
      <c r="AF215" s="30">
        <v>0</v>
      </c>
      <c r="AG215" s="30">
        <v>44307.74</v>
      </c>
      <c r="AH215" s="30">
        <v>87777.54</v>
      </c>
      <c r="AI215" s="30">
        <v>114376.09</v>
      </c>
      <c r="AJ215" s="30">
        <v>40478.050000000003</v>
      </c>
      <c r="AK215" s="30">
        <v>40856.76</v>
      </c>
      <c r="AL215" s="30">
        <v>41056.47</v>
      </c>
      <c r="AM215" s="30">
        <v>0</v>
      </c>
      <c r="AN215" s="30">
        <v>0</v>
      </c>
      <c r="AO215" s="30">
        <v>0</v>
      </c>
      <c r="AP215" s="30">
        <v>0</v>
      </c>
      <c r="AQ215" s="30">
        <v>0</v>
      </c>
      <c r="AR215" s="30">
        <v>0</v>
      </c>
      <c r="AS215" s="30">
        <v>0</v>
      </c>
      <c r="AT215" s="30">
        <v>0</v>
      </c>
      <c r="AU215" s="30">
        <v>0</v>
      </c>
      <c r="AV215" s="30">
        <v>0</v>
      </c>
      <c r="AW215" s="30">
        <v>0</v>
      </c>
      <c r="AX215" s="30">
        <v>0</v>
      </c>
      <c r="AY215" s="30">
        <v>0</v>
      </c>
      <c r="AZ215" s="30">
        <v>0</v>
      </c>
      <c r="BA215" s="30" t="e">
        <f t="array" aca="1" ref="BA215" ca="1">_xludf.XLOOKUP(C215,'PL TOTAL D0'!A:A,'PL TOTAL D0'!C:C,"")</f>
        <v>#NAME?</v>
      </c>
    </row>
    <row r="216" spans="1:53" ht="15.75" customHeight="1">
      <c r="A216" s="23" t="s">
        <v>29</v>
      </c>
      <c r="B216" s="3" t="s">
        <v>856</v>
      </c>
      <c r="C216" s="4" t="s">
        <v>857</v>
      </c>
      <c r="D216" s="7" t="s">
        <v>19</v>
      </c>
      <c r="E216" s="7" t="s">
        <v>20</v>
      </c>
      <c r="F216" s="7" t="s">
        <v>171</v>
      </c>
      <c r="G216" s="7" t="e">
        <f t="shared" ca="1" si="0"/>
        <v>#NAME?</v>
      </c>
      <c r="H216" s="24" t="s">
        <v>152</v>
      </c>
      <c r="I216" s="24" t="s">
        <v>25</v>
      </c>
      <c r="J216" s="7" t="str">
        <f t="shared" si="11"/>
        <v>Não</v>
      </c>
      <c r="K216" s="25">
        <v>45250</v>
      </c>
      <c r="L216" s="7"/>
      <c r="M216" s="9" t="s">
        <v>172</v>
      </c>
      <c r="N216" s="10">
        <v>0</v>
      </c>
      <c r="O216" s="6" t="s">
        <v>25</v>
      </c>
      <c r="P216" s="11">
        <v>0</v>
      </c>
      <c r="Q216" s="28"/>
      <c r="R216" s="28"/>
      <c r="S216" s="7" t="s">
        <v>187</v>
      </c>
      <c r="T216" s="7" t="s">
        <v>858</v>
      </c>
      <c r="U216" s="7" t="s">
        <v>20</v>
      </c>
      <c r="V216" s="24" t="e">
        <f t="shared" ca="1" si="2"/>
        <v>#NAME?</v>
      </c>
      <c r="W216" s="7"/>
      <c r="X216" s="7"/>
      <c r="Y216" s="29" t="s">
        <v>147</v>
      </c>
      <c r="Z216" s="30"/>
      <c r="AA216" s="31">
        <v>45250</v>
      </c>
      <c r="AB216" s="32">
        <v>49075100015333</v>
      </c>
      <c r="AC216" s="30"/>
      <c r="AD216" s="30"/>
      <c r="AE216" s="30"/>
      <c r="AF216" s="30"/>
      <c r="AG216" s="30"/>
      <c r="AH216" s="30"/>
      <c r="AI216" s="30"/>
      <c r="AJ216" s="30"/>
      <c r="AK216" s="30"/>
      <c r="AL216" s="30"/>
      <c r="AM216" s="30"/>
      <c r="AN216" s="30"/>
      <c r="AO216" s="30"/>
      <c r="AP216" s="30">
        <v>0</v>
      </c>
      <c r="AQ216" s="30">
        <v>4620.0600000000004</v>
      </c>
      <c r="AR216" s="30">
        <v>5662.28</v>
      </c>
      <c r="AS216" s="30">
        <v>5701.72</v>
      </c>
      <c r="AT216" s="30">
        <v>6745.71</v>
      </c>
      <c r="AU216" s="30">
        <v>5742.55</v>
      </c>
      <c r="AV216" s="30">
        <v>0</v>
      </c>
      <c r="AW216" s="30">
        <v>0.28999999999999998</v>
      </c>
      <c r="AX216" s="30">
        <v>0</v>
      </c>
      <c r="AY216" s="30">
        <v>1008.19</v>
      </c>
      <c r="AZ216" s="30">
        <v>0</v>
      </c>
      <c r="BA216" s="30" t="e">
        <f t="array" aca="1" ref="BA216" ca="1">_xludf.XLOOKUP(C216,'PL TOTAL D0'!A:A,'PL TOTAL D0'!C:C,"")</f>
        <v>#NAME?</v>
      </c>
    </row>
    <row r="217" spans="1:53" ht="15.75" customHeight="1">
      <c r="A217" s="23" t="s">
        <v>29</v>
      </c>
      <c r="B217" s="3" t="s">
        <v>859</v>
      </c>
      <c r="C217" s="4" t="s">
        <v>860</v>
      </c>
      <c r="D217" s="7" t="s">
        <v>19</v>
      </c>
      <c r="E217" s="7" t="s">
        <v>34</v>
      </c>
      <c r="F217" s="7" t="s">
        <v>35</v>
      </c>
      <c r="G217" s="7" t="e">
        <f t="shared" ca="1" si="0"/>
        <v>#NAME?</v>
      </c>
      <c r="H217" s="24" t="s">
        <v>161</v>
      </c>
      <c r="I217" s="24" t="s">
        <v>211</v>
      </c>
      <c r="J217" s="7" t="str">
        <f t="shared" si="11"/>
        <v>Não</v>
      </c>
      <c r="K217" s="25">
        <v>45090</v>
      </c>
      <c r="L217" s="25"/>
      <c r="M217" s="7" t="s">
        <v>87</v>
      </c>
      <c r="N217" s="26">
        <v>2.5000000000000001E-2</v>
      </c>
      <c r="O217" s="7" t="s">
        <v>183</v>
      </c>
      <c r="P217" s="27">
        <v>0.2</v>
      </c>
      <c r="Q217" s="28"/>
      <c r="R217" s="28"/>
      <c r="S217" s="7" t="s">
        <v>145</v>
      </c>
      <c r="T217" s="7" t="s">
        <v>861</v>
      </c>
      <c r="U217" s="7" t="s">
        <v>39</v>
      </c>
      <c r="V217" s="24" t="e">
        <f t="shared" ca="1" si="2"/>
        <v>#NAME?</v>
      </c>
      <c r="W217" s="7"/>
      <c r="X217" s="7"/>
      <c r="Y217" s="29" t="s">
        <v>147</v>
      </c>
      <c r="Z217" s="30"/>
      <c r="AA217" s="31">
        <v>45090</v>
      </c>
      <c r="AB217" s="32">
        <v>49075100008124</v>
      </c>
      <c r="AC217" s="30"/>
      <c r="AD217" s="30"/>
      <c r="AE217" s="30"/>
      <c r="AF217" s="30"/>
      <c r="AG217" s="30"/>
      <c r="AH217" s="30"/>
      <c r="AI217" s="30"/>
      <c r="AJ217" s="30"/>
      <c r="AK217" s="30">
        <v>450534.84</v>
      </c>
      <c r="AL217" s="30">
        <v>467877.68</v>
      </c>
      <c r="AM217" s="30">
        <v>460284.09</v>
      </c>
      <c r="AN217" s="30">
        <v>447378.06</v>
      </c>
      <c r="AO217" s="30">
        <v>427783.51</v>
      </c>
      <c r="AP217" s="30">
        <v>459853.5</v>
      </c>
      <c r="AQ217" s="30">
        <v>482396.67</v>
      </c>
      <c r="AR217" s="30">
        <v>448399.72</v>
      </c>
      <c r="AS217" s="30">
        <v>454500.03</v>
      </c>
      <c r="AT217" s="30">
        <v>461792.47</v>
      </c>
      <c r="AU217" s="30">
        <v>442254.92</v>
      </c>
      <c r="AV217" s="30">
        <v>427979.6</v>
      </c>
      <c r="AW217" s="30">
        <v>428557.9</v>
      </c>
      <c r="AX217" s="30">
        <v>440247.5</v>
      </c>
      <c r="AY217" s="30">
        <v>450102.19</v>
      </c>
      <c r="AZ217" s="30">
        <v>441625.69</v>
      </c>
      <c r="BA217" s="30" t="e">
        <f t="array" aca="1" ref="BA217" ca="1">_xludf.XLOOKUP(C217,'PL TOTAL D0'!A:A,'PL TOTAL D0'!C:C,"")</f>
        <v>#NAME?</v>
      </c>
    </row>
    <row r="218" spans="1:53" ht="15.75" customHeight="1">
      <c r="A218" s="23" t="s">
        <v>29</v>
      </c>
      <c r="B218" s="37" t="s">
        <v>859</v>
      </c>
      <c r="C218" s="4" t="s">
        <v>862</v>
      </c>
      <c r="D218" s="7" t="s">
        <v>19</v>
      </c>
      <c r="E218" s="7" t="s">
        <v>34</v>
      </c>
      <c r="F218" s="7" t="s">
        <v>35</v>
      </c>
      <c r="G218" s="7" t="e">
        <f t="shared" ca="1" si="0"/>
        <v>#NAME?</v>
      </c>
      <c r="H218" s="24" t="s">
        <v>161</v>
      </c>
      <c r="I218" s="24" t="s">
        <v>211</v>
      </c>
      <c r="J218" s="7" t="str">
        <f t="shared" si="11"/>
        <v>Não</v>
      </c>
      <c r="K218" s="25">
        <v>45063</v>
      </c>
      <c r="L218" s="7"/>
      <c r="M218" s="7" t="s">
        <v>42</v>
      </c>
      <c r="N218" s="26">
        <v>1.2E-2</v>
      </c>
      <c r="O218" s="7" t="s">
        <v>25</v>
      </c>
      <c r="P218" s="27">
        <v>0</v>
      </c>
      <c r="Q218" s="28"/>
      <c r="R218" s="28"/>
      <c r="S218" s="7" t="s">
        <v>145</v>
      </c>
      <c r="T218" s="7" t="s">
        <v>861</v>
      </c>
      <c r="U218" s="7" t="s">
        <v>39</v>
      </c>
      <c r="V218" s="24" t="e">
        <f t="shared" ca="1" si="2"/>
        <v>#NAME?</v>
      </c>
      <c r="W218" s="7"/>
      <c r="X218" s="7"/>
      <c r="Y218" s="29" t="s">
        <v>147</v>
      </c>
      <c r="Z218" s="30"/>
      <c r="AA218" s="31">
        <v>45063</v>
      </c>
      <c r="AB218" s="32">
        <v>49075100009481</v>
      </c>
      <c r="AC218" s="30"/>
      <c r="AD218" s="30"/>
      <c r="AE218" s="30"/>
      <c r="AF218" s="30"/>
      <c r="AG218" s="30"/>
      <c r="AH218" s="30">
        <v>0</v>
      </c>
      <c r="AI218" s="30">
        <v>0</v>
      </c>
      <c r="AJ218" s="30">
        <v>4364609.29</v>
      </c>
      <c r="AK218" s="30">
        <v>4860509.32</v>
      </c>
      <c r="AL218" s="30">
        <v>4890104.6100000003</v>
      </c>
      <c r="AM218" s="30">
        <v>4905588.6500000004</v>
      </c>
      <c r="AN218" s="30">
        <v>4894563.07</v>
      </c>
      <c r="AO218" s="30">
        <v>4750632.2300000004</v>
      </c>
      <c r="AP218" s="30">
        <v>4752095.7</v>
      </c>
      <c r="AQ218" s="30">
        <v>4608507.34</v>
      </c>
      <c r="AR218" s="30">
        <v>4614871.75</v>
      </c>
      <c r="AS218" s="30">
        <v>4522329.5999999996</v>
      </c>
      <c r="AT218" s="30">
        <v>4485768.68</v>
      </c>
      <c r="AU218" s="30">
        <v>4376939.6399999997</v>
      </c>
      <c r="AV218" s="30">
        <v>4188476</v>
      </c>
      <c r="AW218" s="30">
        <v>4177797</v>
      </c>
      <c r="AX218" s="30">
        <v>4148918</v>
      </c>
      <c r="AY218" s="30">
        <v>4120664.45</v>
      </c>
      <c r="AZ218" s="30">
        <v>4020262.8</v>
      </c>
      <c r="BA218" s="30" t="e">
        <f t="array" aca="1" ref="BA218" ca="1">_xludf.XLOOKUP(C218,'PL TOTAL D0'!A:A,'PL TOTAL D0'!C:C,"")</f>
        <v>#NAME?</v>
      </c>
    </row>
    <row r="219" spans="1:53" ht="15.75" customHeight="1">
      <c r="A219" s="23" t="s">
        <v>29</v>
      </c>
      <c r="B219" s="37" t="s">
        <v>863</v>
      </c>
      <c r="C219" s="4" t="s">
        <v>864</v>
      </c>
      <c r="D219" s="7" t="s">
        <v>19</v>
      </c>
      <c r="E219" s="7" t="s">
        <v>34</v>
      </c>
      <c r="F219" s="7" t="s">
        <v>262</v>
      </c>
      <c r="G219" s="7" t="e">
        <f t="shared" ca="1" si="0"/>
        <v>#NAME?</v>
      </c>
      <c r="H219" s="24" t="s">
        <v>152</v>
      </c>
      <c r="I219" s="24" t="s">
        <v>25</v>
      </c>
      <c r="J219" s="7" t="str">
        <f t="shared" si="11"/>
        <v>Não</v>
      </c>
      <c r="K219" s="25">
        <v>45364</v>
      </c>
      <c r="L219" s="7"/>
      <c r="M219" s="7" t="s">
        <v>58</v>
      </c>
      <c r="N219" s="26">
        <v>1.2E-2</v>
      </c>
      <c r="O219" s="7" t="s">
        <v>37</v>
      </c>
      <c r="P219" s="27">
        <v>0.1</v>
      </c>
      <c r="Q219" s="28"/>
      <c r="R219" s="28" t="s">
        <v>865</v>
      </c>
      <c r="S219" s="7" t="s">
        <v>145</v>
      </c>
      <c r="T219" s="6" t="s">
        <v>866</v>
      </c>
      <c r="U219" s="7" t="s">
        <v>39</v>
      </c>
      <c r="V219" s="24" t="e">
        <f t="shared" ca="1" si="2"/>
        <v>#NAME?</v>
      </c>
      <c r="W219" s="7"/>
      <c r="X219" s="7" t="s">
        <v>52</v>
      </c>
      <c r="Y219" s="29" t="s">
        <v>147</v>
      </c>
      <c r="Z219" s="30"/>
      <c r="AA219" s="31">
        <v>45364</v>
      </c>
      <c r="AB219" s="32">
        <v>49075100013756</v>
      </c>
      <c r="AC219" s="30"/>
      <c r="AD219" s="30"/>
      <c r="AE219" s="30"/>
      <c r="AF219" s="30"/>
      <c r="AG219" s="30"/>
      <c r="AH219" s="30"/>
      <c r="AI219" s="30"/>
      <c r="AJ219" s="30"/>
      <c r="AK219" s="30"/>
      <c r="AL219" s="30"/>
      <c r="AM219" s="30"/>
      <c r="AN219" s="30"/>
      <c r="AO219" s="30"/>
      <c r="AP219" s="30"/>
      <c r="AQ219" s="30"/>
      <c r="AR219" s="30"/>
      <c r="AS219" s="30"/>
      <c r="AT219" s="30">
        <v>0</v>
      </c>
      <c r="AU219" s="30">
        <v>0</v>
      </c>
      <c r="AV219" s="30">
        <v>0</v>
      </c>
      <c r="AW219" s="30">
        <v>0</v>
      </c>
      <c r="AX219" s="30">
        <v>164749.5</v>
      </c>
      <c r="AY219" s="30">
        <v>194549.52</v>
      </c>
      <c r="AZ219" s="30">
        <v>195807.52</v>
      </c>
      <c r="BA219" s="30" t="e">
        <f t="array" aca="1" ref="BA219" ca="1">_xludf.XLOOKUP(C219,'PL TOTAL D0'!A:A,'PL TOTAL D0'!C:C,"")</f>
        <v>#NAME?</v>
      </c>
    </row>
    <row r="220" spans="1:53" ht="15.75" customHeight="1">
      <c r="A220" s="23" t="s">
        <v>29</v>
      </c>
      <c r="B220" s="38" t="s">
        <v>867</v>
      </c>
      <c r="C220" s="89" t="s">
        <v>868</v>
      </c>
      <c r="D220" s="7" t="s">
        <v>19</v>
      </c>
      <c r="E220" s="7" t="s">
        <v>20</v>
      </c>
      <c r="F220" s="7" t="s">
        <v>210</v>
      </c>
      <c r="G220" s="7" t="e">
        <f t="shared" ca="1" si="0"/>
        <v>#NAME?</v>
      </c>
      <c r="H220" s="24" t="s">
        <v>161</v>
      </c>
      <c r="I220" s="24" t="s">
        <v>211</v>
      </c>
      <c r="J220" s="7" t="str">
        <f t="shared" si="11"/>
        <v>Não</v>
      </c>
      <c r="K220" s="25">
        <v>45414</v>
      </c>
      <c r="L220" s="25"/>
      <c r="M220" s="7" t="s">
        <v>42</v>
      </c>
      <c r="N220" s="26">
        <v>0.01</v>
      </c>
      <c r="O220" s="7" t="s">
        <v>25</v>
      </c>
      <c r="P220" s="27">
        <v>0</v>
      </c>
      <c r="Q220" s="36"/>
      <c r="R220" s="28"/>
      <c r="S220" s="7" t="s">
        <v>145</v>
      </c>
      <c r="T220" s="6" t="s">
        <v>869</v>
      </c>
      <c r="U220" s="7" t="s">
        <v>20</v>
      </c>
      <c r="V220" s="24" t="e">
        <f t="shared" ca="1" si="2"/>
        <v>#NAME?</v>
      </c>
      <c r="W220" s="7"/>
      <c r="X220" s="7" t="s">
        <v>52</v>
      </c>
      <c r="Y220" s="29" t="s">
        <v>147</v>
      </c>
      <c r="Z220" s="30"/>
      <c r="AA220" s="31">
        <v>45414</v>
      </c>
      <c r="AB220" s="32">
        <v>49075100014507</v>
      </c>
      <c r="AC220" s="30"/>
      <c r="AD220" s="30"/>
      <c r="AE220" s="30"/>
      <c r="AF220" s="30"/>
      <c r="AG220" s="30"/>
      <c r="AH220" s="30"/>
      <c r="AI220" s="30"/>
      <c r="AJ220" s="30"/>
      <c r="AK220" s="30"/>
      <c r="AL220" s="30"/>
      <c r="AM220" s="30"/>
      <c r="AN220" s="30"/>
      <c r="AO220" s="30"/>
      <c r="AP220" s="30"/>
      <c r="AQ220" s="30"/>
      <c r="AR220" s="30"/>
      <c r="AS220" s="30"/>
      <c r="AT220" s="30"/>
      <c r="AU220" s="30"/>
      <c r="AV220" s="30">
        <v>214670.2</v>
      </c>
      <c r="AW220" s="30">
        <v>207127.1</v>
      </c>
      <c r="AX220" s="30">
        <v>224577.3</v>
      </c>
      <c r="AY220" s="30">
        <v>216468.29</v>
      </c>
      <c r="AZ220" s="30">
        <v>267147.7</v>
      </c>
      <c r="BA220" s="30" t="e">
        <f t="array" aca="1" ref="BA220" ca="1">_xludf.XLOOKUP(C220,'PL TOTAL D0'!A:A,'PL TOTAL D0'!C:C,"")</f>
        <v>#NAME?</v>
      </c>
    </row>
    <row r="221" spans="1:53" ht="15.75" customHeight="1">
      <c r="A221" s="23" t="s">
        <v>29</v>
      </c>
      <c r="B221" s="3" t="s">
        <v>870</v>
      </c>
      <c r="C221" s="4" t="s">
        <v>871</v>
      </c>
      <c r="D221" s="7" t="s">
        <v>19</v>
      </c>
      <c r="E221" s="7" t="s">
        <v>20</v>
      </c>
      <c r="F221" s="7" t="s">
        <v>199</v>
      </c>
      <c r="G221" s="7" t="e">
        <f t="shared" ca="1" si="0"/>
        <v>#NAME?</v>
      </c>
      <c r="H221" s="24" t="s">
        <v>152</v>
      </c>
      <c r="I221" s="24" t="s">
        <v>25</v>
      </c>
      <c r="J221" s="7" t="str">
        <f t="shared" si="11"/>
        <v>Não</v>
      </c>
      <c r="K221" s="25">
        <v>45076</v>
      </c>
      <c r="L221" s="7"/>
      <c r="M221" s="7" t="s">
        <v>200</v>
      </c>
      <c r="N221" s="26">
        <v>1.2E-2</v>
      </c>
      <c r="O221" s="7" t="s">
        <v>25</v>
      </c>
      <c r="P221" s="27">
        <v>0</v>
      </c>
      <c r="Q221" s="28"/>
      <c r="R221" s="90"/>
      <c r="S221" s="7" t="s">
        <v>145</v>
      </c>
      <c r="T221" s="7" t="s">
        <v>872</v>
      </c>
      <c r="U221" s="7" t="s">
        <v>20</v>
      </c>
      <c r="V221" s="24" t="e">
        <f t="shared" ca="1" si="2"/>
        <v>#NAME?</v>
      </c>
      <c r="W221" s="7"/>
      <c r="X221" s="7"/>
      <c r="Y221" s="29" t="s">
        <v>147</v>
      </c>
      <c r="Z221" s="30"/>
      <c r="AA221" s="31">
        <v>45076</v>
      </c>
      <c r="AB221" s="32">
        <v>49075100009058</v>
      </c>
      <c r="AC221" s="30"/>
      <c r="AD221" s="30"/>
      <c r="AE221" s="30"/>
      <c r="AF221" s="30"/>
      <c r="AG221" s="30"/>
      <c r="AH221" s="30"/>
      <c r="AI221" s="30">
        <v>0</v>
      </c>
      <c r="AJ221" s="30">
        <v>135591.54</v>
      </c>
      <c r="AK221" s="30">
        <v>143938.85999999999</v>
      </c>
      <c r="AL221" s="30">
        <v>148311.97</v>
      </c>
      <c r="AM221" s="30">
        <v>148733.47</v>
      </c>
      <c r="AN221" s="30">
        <v>156355.10999999999</v>
      </c>
      <c r="AO221" s="30">
        <v>158528.26</v>
      </c>
      <c r="AP221" s="30">
        <v>164155.79999999999</v>
      </c>
      <c r="AQ221" s="30">
        <v>169284.31</v>
      </c>
      <c r="AR221" s="30">
        <v>183071.83</v>
      </c>
      <c r="AS221" s="30">
        <v>186923.97</v>
      </c>
      <c r="AT221" s="30">
        <v>203035.19</v>
      </c>
      <c r="AU221" s="30">
        <v>204250.35</v>
      </c>
      <c r="AV221" s="30">
        <v>215428.5</v>
      </c>
      <c r="AW221" s="30">
        <v>231138.3</v>
      </c>
      <c r="AX221" s="30">
        <v>246666.6</v>
      </c>
      <c r="AY221" s="30">
        <v>260324.1</v>
      </c>
      <c r="AZ221" s="30">
        <v>261319.63</v>
      </c>
      <c r="BA221" s="30" t="e">
        <f t="array" aca="1" ref="BA221" ca="1">_xludf.XLOOKUP(C221,'PL TOTAL D0'!A:A,'PL TOTAL D0'!C:C,"")</f>
        <v>#NAME?</v>
      </c>
    </row>
    <row r="222" spans="1:53" ht="15.75" customHeight="1">
      <c r="A222" s="23" t="s">
        <v>29</v>
      </c>
      <c r="B222" s="3" t="s">
        <v>873</v>
      </c>
      <c r="C222" s="4" t="s">
        <v>874</v>
      </c>
      <c r="D222" s="7" t="s">
        <v>19</v>
      </c>
      <c r="E222" s="7" t="s">
        <v>34</v>
      </c>
      <c r="F222" s="7" t="s">
        <v>35</v>
      </c>
      <c r="G222" s="7" t="e">
        <f t="shared" ca="1" si="0"/>
        <v>#NAME?</v>
      </c>
      <c r="H222" s="24" t="s">
        <v>143</v>
      </c>
      <c r="I222" s="24" t="s">
        <v>25</v>
      </c>
      <c r="J222" s="7" t="str">
        <f t="shared" si="11"/>
        <v>Não</v>
      </c>
      <c r="K222" s="25">
        <v>45056</v>
      </c>
      <c r="L222" s="25">
        <v>45061</v>
      </c>
      <c r="M222" s="7" t="s">
        <v>875</v>
      </c>
      <c r="N222" s="26">
        <v>0.02</v>
      </c>
      <c r="O222" s="7" t="s">
        <v>183</v>
      </c>
      <c r="P222" s="27">
        <v>0.2</v>
      </c>
      <c r="Q222" s="45"/>
      <c r="R222" s="28"/>
      <c r="S222" s="7" t="s">
        <v>145</v>
      </c>
      <c r="T222" s="7" t="s">
        <v>876</v>
      </c>
      <c r="U222" s="7" t="s">
        <v>39</v>
      </c>
      <c r="V222" s="24" t="e">
        <f t="shared" ca="1" si="2"/>
        <v>#NAME?</v>
      </c>
      <c r="W222" s="7"/>
      <c r="X222" s="7"/>
      <c r="Y222" s="29"/>
      <c r="Z222" s="30"/>
      <c r="AA222" s="31">
        <v>45056</v>
      </c>
      <c r="AB222" s="32"/>
      <c r="AC222" s="30"/>
      <c r="AD222" s="30"/>
      <c r="AE222" s="30"/>
      <c r="AF222" s="30"/>
      <c r="AG222" s="30"/>
      <c r="AH222" s="30">
        <v>0</v>
      </c>
      <c r="AI222" s="30">
        <v>0</v>
      </c>
      <c r="AJ222" s="30">
        <v>0</v>
      </c>
      <c r="AK222" s="30">
        <v>0</v>
      </c>
      <c r="AL222" s="30">
        <v>0</v>
      </c>
      <c r="AM222" s="30">
        <v>0</v>
      </c>
      <c r="AN222" s="30">
        <v>0</v>
      </c>
      <c r="AO222" s="30">
        <v>0</v>
      </c>
      <c r="AP222" s="30">
        <v>0</v>
      </c>
      <c r="AQ222" s="30">
        <v>0</v>
      </c>
      <c r="AR222" s="30">
        <v>0</v>
      </c>
      <c r="AS222" s="30">
        <v>0</v>
      </c>
      <c r="AT222" s="30">
        <v>0</v>
      </c>
      <c r="AU222" s="30">
        <v>0</v>
      </c>
      <c r="AV222" s="30">
        <v>0</v>
      </c>
      <c r="AW222" s="30">
        <v>0</v>
      </c>
      <c r="AX222" s="30">
        <v>0</v>
      </c>
      <c r="AY222" s="30">
        <v>0</v>
      </c>
      <c r="AZ222" s="30">
        <v>0</v>
      </c>
      <c r="BA222" s="30" t="e">
        <f t="array" aca="1" ref="BA222" ca="1">_xludf.XLOOKUP(C222,'PL TOTAL D0'!A:A,'PL TOTAL D0'!C:C,"")</f>
        <v>#NAME?</v>
      </c>
    </row>
    <row r="223" spans="1:53" ht="15.75" customHeight="1">
      <c r="A223" s="23" t="s">
        <v>29</v>
      </c>
      <c r="B223" s="37" t="s">
        <v>873</v>
      </c>
      <c r="C223" s="4" t="s">
        <v>877</v>
      </c>
      <c r="D223" s="7" t="s">
        <v>19</v>
      </c>
      <c r="E223" s="7" t="s">
        <v>34</v>
      </c>
      <c r="F223" s="7" t="s">
        <v>35</v>
      </c>
      <c r="G223" s="7" t="e">
        <f t="shared" ca="1" si="0"/>
        <v>#NAME?</v>
      </c>
      <c r="H223" s="24" t="s">
        <v>143</v>
      </c>
      <c r="I223" s="24" t="s">
        <v>25</v>
      </c>
      <c r="J223" s="7" t="str">
        <f t="shared" si="11"/>
        <v>Não</v>
      </c>
      <c r="K223" s="25">
        <v>45056</v>
      </c>
      <c r="L223" s="25">
        <v>45061</v>
      </c>
      <c r="M223" s="7" t="s">
        <v>42</v>
      </c>
      <c r="N223" s="26">
        <v>1.2E-2</v>
      </c>
      <c r="O223" s="7" t="s">
        <v>25</v>
      </c>
      <c r="P223" s="27">
        <v>0</v>
      </c>
      <c r="Q223" s="45"/>
      <c r="R223" s="28"/>
      <c r="S223" s="7" t="s">
        <v>145</v>
      </c>
      <c r="T223" s="7" t="s">
        <v>876</v>
      </c>
      <c r="U223" s="7" t="s">
        <v>39</v>
      </c>
      <c r="V223" s="24" t="e">
        <f t="shared" ca="1" si="2"/>
        <v>#NAME?</v>
      </c>
      <c r="W223" s="7"/>
      <c r="X223" s="7"/>
      <c r="Y223" s="29"/>
      <c r="Z223" s="30"/>
      <c r="AA223" s="31">
        <v>45056</v>
      </c>
      <c r="AB223" s="32"/>
      <c r="AC223" s="30"/>
      <c r="AD223" s="30"/>
      <c r="AE223" s="30"/>
      <c r="AF223" s="30"/>
      <c r="AG223" s="30"/>
      <c r="AH223" s="30">
        <v>0</v>
      </c>
      <c r="AI223" s="30">
        <v>0</v>
      </c>
      <c r="AJ223" s="30">
        <v>0</v>
      </c>
      <c r="AK223" s="30">
        <v>0</v>
      </c>
      <c r="AL223" s="30">
        <v>0</v>
      </c>
      <c r="AM223" s="30">
        <v>0</v>
      </c>
      <c r="AN223" s="30">
        <v>0</v>
      </c>
      <c r="AO223" s="30">
        <v>0</v>
      </c>
      <c r="AP223" s="30">
        <v>0</v>
      </c>
      <c r="AQ223" s="30">
        <v>0</v>
      </c>
      <c r="AR223" s="30">
        <v>0</v>
      </c>
      <c r="AS223" s="30">
        <v>0</v>
      </c>
      <c r="AT223" s="30">
        <v>0</v>
      </c>
      <c r="AU223" s="30">
        <v>0</v>
      </c>
      <c r="AV223" s="30">
        <v>0</v>
      </c>
      <c r="AW223" s="30">
        <v>0</v>
      </c>
      <c r="AX223" s="30">
        <v>0</v>
      </c>
      <c r="AY223" s="30">
        <v>0</v>
      </c>
      <c r="AZ223" s="30">
        <v>0</v>
      </c>
      <c r="BA223" s="30" t="e">
        <f t="array" aca="1" ref="BA223" ca="1">_xludf.XLOOKUP(C223,'PL TOTAL D0'!A:A,'PL TOTAL D0'!C:C,"")</f>
        <v>#NAME?</v>
      </c>
    </row>
    <row r="224" spans="1:53" ht="15.75" customHeight="1">
      <c r="A224" s="23" t="s">
        <v>29</v>
      </c>
      <c r="B224" s="3" t="s">
        <v>878</v>
      </c>
      <c r="C224" s="46" t="s">
        <v>879</v>
      </c>
      <c r="D224" s="7" t="s">
        <v>19</v>
      </c>
      <c r="E224" s="7" t="s">
        <v>49</v>
      </c>
      <c r="F224" s="7" t="s">
        <v>50</v>
      </c>
      <c r="G224" s="7" t="e">
        <f t="shared" ca="1" si="0"/>
        <v>#NAME?</v>
      </c>
      <c r="H224" s="24" t="s">
        <v>161</v>
      </c>
      <c r="I224" s="24" t="s">
        <v>222</v>
      </c>
      <c r="J224" s="7" t="str">
        <f t="shared" si="11"/>
        <v>Não</v>
      </c>
      <c r="K224" s="25">
        <v>45026</v>
      </c>
      <c r="L224" s="25"/>
      <c r="M224" s="7" t="s">
        <v>880</v>
      </c>
      <c r="N224" s="26">
        <v>7.0000000000000001E-3</v>
      </c>
      <c r="O224" s="7" t="s">
        <v>25</v>
      </c>
      <c r="P224" s="27">
        <v>0</v>
      </c>
      <c r="Q224" s="28"/>
      <c r="R224" s="28"/>
      <c r="S224" s="7" t="s">
        <v>145</v>
      </c>
      <c r="T224" s="7" t="s">
        <v>881</v>
      </c>
      <c r="U224" s="7" t="s">
        <v>49</v>
      </c>
      <c r="V224" s="24" t="e">
        <f t="shared" ca="1" si="2"/>
        <v>#NAME?</v>
      </c>
      <c r="W224" s="7"/>
      <c r="X224" s="7"/>
      <c r="Y224" s="29" t="s">
        <v>147</v>
      </c>
      <c r="Z224" s="30"/>
      <c r="AA224" s="31">
        <v>45026</v>
      </c>
      <c r="AB224" s="32">
        <v>49075100012326</v>
      </c>
      <c r="AC224" s="30"/>
      <c r="AD224" s="30"/>
      <c r="AE224" s="30"/>
      <c r="AF224" s="30"/>
      <c r="AG224" s="30"/>
      <c r="AH224" s="30">
        <v>0</v>
      </c>
      <c r="AI224" s="30">
        <v>0</v>
      </c>
      <c r="AJ224" s="30">
        <v>0</v>
      </c>
      <c r="AK224" s="30">
        <v>0</v>
      </c>
      <c r="AL224" s="30">
        <v>0</v>
      </c>
      <c r="AM224" s="30">
        <v>0</v>
      </c>
      <c r="AN224" s="30">
        <v>0</v>
      </c>
      <c r="AO224" s="30">
        <v>0</v>
      </c>
      <c r="AP224" s="30">
        <v>0</v>
      </c>
      <c r="AQ224" s="30">
        <v>0</v>
      </c>
      <c r="AR224" s="30">
        <v>0</v>
      </c>
      <c r="AS224" s="30">
        <v>0</v>
      </c>
      <c r="AT224" s="30">
        <v>0</v>
      </c>
      <c r="AU224" s="30">
        <v>0</v>
      </c>
      <c r="AV224" s="30">
        <v>0</v>
      </c>
      <c r="AW224" s="30">
        <v>0</v>
      </c>
      <c r="AX224" s="30">
        <v>0</v>
      </c>
      <c r="AY224" s="30">
        <v>0</v>
      </c>
      <c r="AZ224" s="30">
        <v>0</v>
      </c>
      <c r="BA224" s="30" t="e">
        <f t="array" aca="1" ref="BA224" ca="1">_xludf.XLOOKUP(C224,'PL TOTAL D0'!A:A,'PL TOTAL D0'!C:C,"")</f>
        <v>#NAME?</v>
      </c>
    </row>
    <row r="225" spans="1:53" ht="15.75" customHeight="1">
      <c r="A225" s="23" t="s">
        <v>29</v>
      </c>
      <c r="B225" s="3" t="s">
        <v>882</v>
      </c>
      <c r="C225" s="4" t="s">
        <v>883</v>
      </c>
      <c r="D225" s="7" t="s">
        <v>64</v>
      </c>
      <c r="E225" s="7" t="s">
        <v>20</v>
      </c>
      <c r="F225" s="7" t="s">
        <v>142</v>
      </c>
      <c r="G225" s="7" t="e">
        <f t="shared" ca="1" si="0"/>
        <v>#NAME?</v>
      </c>
      <c r="H225" s="24" t="s">
        <v>143</v>
      </c>
      <c r="I225" s="24" t="s">
        <v>25</v>
      </c>
      <c r="J225" s="7" t="str">
        <f t="shared" si="11"/>
        <v>Não</v>
      </c>
      <c r="K225" s="25">
        <v>45155</v>
      </c>
      <c r="L225" s="25">
        <v>45513</v>
      </c>
      <c r="M225" s="7" t="s">
        <v>884</v>
      </c>
      <c r="N225" s="26">
        <v>7.0000000000000001E-3</v>
      </c>
      <c r="O225" s="7" t="s">
        <v>25</v>
      </c>
      <c r="P225" s="27">
        <v>0</v>
      </c>
      <c r="Q225" s="28"/>
      <c r="R225" s="28" t="s">
        <v>702</v>
      </c>
      <c r="S225" s="7" t="s">
        <v>145</v>
      </c>
      <c r="T225" s="7" t="s">
        <v>885</v>
      </c>
      <c r="U225" s="7" t="s">
        <v>886</v>
      </c>
      <c r="V225" s="24" t="e">
        <f t="shared" ca="1" si="2"/>
        <v>#NAME?</v>
      </c>
      <c r="W225" s="7"/>
      <c r="X225" s="7"/>
      <c r="Y225" s="29" t="s">
        <v>147</v>
      </c>
      <c r="Z225" s="30"/>
      <c r="AA225" s="31">
        <v>45155</v>
      </c>
      <c r="AB225" s="32">
        <v>49075100008132</v>
      </c>
      <c r="AC225" s="30"/>
      <c r="AD225" s="30"/>
      <c r="AE225" s="30"/>
      <c r="AF225" s="30"/>
      <c r="AG225" s="30"/>
      <c r="AH225" s="30"/>
      <c r="AI225" s="30"/>
      <c r="AJ225" s="30"/>
      <c r="AK225" s="30">
        <v>2314336.9700000002</v>
      </c>
      <c r="AL225" s="30">
        <v>4028279.21</v>
      </c>
      <c r="AM225" s="30">
        <v>4065602.47</v>
      </c>
      <c r="AN225" s="30">
        <v>4091485.08</v>
      </c>
      <c r="AO225" s="30">
        <v>4118031.41</v>
      </c>
      <c r="AP225" s="30">
        <v>4166508.15</v>
      </c>
      <c r="AQ225" s="30">
        <v>4218568.46</v>
      </c>
      <c r="AR225" s="30">
        <v>4244355.2</v>
      </c>
      <c r="AS225" s="30">
        <v>4329786.1900000004</v>
      </c>
      <c r="AT225" s="30">
        <v>4397477.29</v>
      </c>
      <c r="AU225" s="30">
        <v>4384162.97</v>
      </c>
      <c r="AV225" s="30">
        <v>4415036</v>
      </c>
      <c r="AW225" s="30">
        <v>4441319</v>
      </c>
      <c r="AX225" s="30">
        <v>0</v>
      </c>
      <c r="AY225" s="30">
        <v>0</v>
      </c>
      <c r="AZ225" s="30">
        <v>0</v>
      </c>
      <c r="BA225" s="30" t="e">
        <f t="array" aca="1" ref="BA225" ca="1">_xludf.XLOOKUP(C225,'PL TOTAL D0'!A:A,'PL TOTAL D0'!C:C,"")</f>
        <v>#NAME?</v>
      </c>
    </row>
    <row r="226" spans="1:53" ht="15.75" customHeight="1">
      <c r="A226" s="23" t="s">
        <v>29</v>
      </c>
      <c r="B226" s="3" t="s">
        <v>887</v>
      </c>
      <c r="C226" s="4" t="s">
        <v>888</v>
      </c>
      <c r="D226" s="7" t="s">
        <v>19</v>
      </c>
      <c r="E226" s="7" t="s">
        <v>49</v>
      </c>
      <c r="F226" s="7" t="s">
        <v>328</v>
      </c>
      <c r="G226" s="7" t="e">
        <f t="shared" ca="1" si="0"/>
        <v>#NAME?</v>
      </c>
      <c r="H226" s="24" t="s">
        <v>161</v>
      </c>
      <c r="I226" s="24" t="s">
        <v>205</v>
      </c>
      <c r="J226" s="7" t="s">
        <v>181</v>
      </c>
      <c r="K226" s="25">
        <v>45393</v>
      </c>
      <c r="L226" s="25"/>
      <c r="M226" s="7" t="s">
        <v>597</v>
      </c>
      <c r="N226" s="26">
        <v>0</v>
      </c>
      <c r="O226" s="7" t="s">
        <v>25</v>
      </c>
      <c r="P226" s="27">
        <v>0</v>
      </c>
      <c r="Q226" s="28"/>
      <c r="R226" s="28"/>
      <c r="S226" s="7" t="s">
        <v>145</v>
      </c>
      <c r="T226" s="7" t="s">
        <v>889</v>
      </c>
      <c r="U226" s="7" t="s">
        <v>49</v>
      </c>
      <c r="V226" s="24" t="e">
        <f t="shared" ca="1" si="2"/>
        <v>#NAME?</v>
      </c>
      <c r="W226" s="7"/>
      <c r="X226" s="7"/>
      <c r="Y226" s="29" t="s">
        <v>147</v>
      </c>
      <c r="Z226" s="30"/>
      <c r="AA226" s="31">
        <v>45393</v>
      </c>
      <c r="AB226" s="32">
        <v>49075100014353</v>
      </c>
      <c r="AC226" s="30"/>
      <c r="AD226" s="30"/>
      <c r="AE226" s="30"/>
      <c r="AF226" s="30"/>
      <c r="AG226" s="30"/>
      <c r="AH226" s="30"/>
      <c r="AI226" s="30"/>
      <c r="AJ226" s="30"/>
      <c r="AK226" s="30"/>
      <c r="AL226" s="30"/>
      <c r="AM226" s="30"/>
      <c r="AN226" s="30"/>
      <c r="AO226" s="30"/>
      <c r="AP226" s="30"/>
      <c r="AQ226" s="30"/>
      <c r="AR226" s="30"/>
      <c r="AS226" s="30"/>
      <c r="AT226" s="30"/>
      <c r="AU226" s="30">
        <v>3320494.37</v>
      </c>
      <c r="AV226" s="30">
        <v>3115084</v>
      </c>
      <c r="AW226" s="30">
        <v>2430071</v>
      </c>
      <c r="AX226" s="30">
        <v>2442299</v>
      </c>
      <c r="AY226" s="30">
        <v>2448561.61</v>
      </c>
      <c r="AZ226" s="30">
        <v>2421966.75</v>
      </c>
      <c r="BA226" s="30" t="e">
        <f t="array" aca="1" ref="BA226" ca="1">_xludf.XLOOKUP(C226,'PL TOTAL D0'!A:A,'PL TOTAL D0'!C:C,"")</f>
        <v>#NAME?</v>
      </c>
    </row>
    <row r="227" spans="1:53" ht="15.75" customHeight="1">
      <c r="A227" s="23" t="s">
        <v>29</v>
      </c>
      <c r="B227" s="3" t="s">
        <v>887</v>
      </c>
      <c r="C227" s="4" t="s">
        <v>890</v>
      </c>
      <c r="D227" s="7" t="s">
        <v>19</v>
      </c>
      <c r="E227" s="7" t="s">
        <v>49</v>
      </c>
      <c r="F227" s="7" t="s">
        <v>328</v>
      </c>
      <c r="G227" s="7" t="e">
        <f t="shared" ca="1" si="0"/>
        <v>#NAME?</v>
      </c>
      <c r="H227" s="24" t="s">
        <v>152</v>
      </c>
      <c r="I227" s="24" t="s">
        <v>25</v>
      </c>
      <c r="J227" s="7" t="s">
        <v>181</v>
      </c>
      <c r="K227" s="25">
        <v>45427</v>
      </c>
      <c r="L227" s="25"/>
      <c r="M227" s="7" t="s">
        <v>284</v>
      </c>
      <c r="N227" s="26">
        <v>0.01</v>
      </c>
      <c r="O227" s="7" t="s">
        <v>37</v>
      </c>
      <c r="P227" s="27">
        <v>0.1</v>
      </c>
      <c r="Q227" s="28"/>
      <c r="R227" s="28"/>
      <c r="S227" s="7" t="s">
        <v>145</v>
      </c>
      <c r="T227" s="7" t="s">
        <v>889</v>
      </c>
      <c r="U227" s="7" t="s">
        <v>49</v>
      </c>
      <c r="V227" s="24" t="e">
        <f t="shared" ca="1" si="2"/>
        <v>#NAME?</v>
      </c>
      <c r="W227" s="7"/>
      <c r="X227" s="7"/>
      <c r="Y227" s="29" t="s">
        <v>147</v>
      </c>
      <c r="Z227" s="30"/>
      <c r="AA227" s="31">
        <v>45427</v>
      </c>
      <c r="AB227" s="32">
        <v>49075100014655</v>
      </c>
      <c r="AC227" s="30"/>
      <c r="AD227" s="30"/>
      <c r="AE227" s="30"/>
      <c r="AF227" s="30"/>
      <c r="AG227" s="30"/>
      <c r="AH227" s="30"/>
      <c r="AI227" s="30"/>
      <c r="AJ227" s="30"/>
      <c r="AK227" s="30"/>
      <c r="AL227" s="30"/>
      <c r="AM227" s="30"/>
      <c r="AN227" s="30"/>
      <c r="AO227" s="30"/>
      <c r="AP227" s="30"/>
      <c r="AQ227" s="30"/>
      <c r="AR227" s="30"/>
      <c r="AS227" s="30"/>
      <c r="AT227" s="30"/>
      <c r="AU227" s="30"/>
      <c r="AV227" s="30">
        <v>0</v>
      </c>
      <c r="AW227" s="30">
        <v>168737</v>
      </c>
      <c r="AX227" s="30">
        <v>588696.80000000005</v>
      </c>
      <c r="AY227" s="30">
        <v>552160.68000000005</v>
      </c>
      <c r="AZ227" s="30">
        <v>513634.97</v>
      </c>
      <c r="BA227" s="30" t="e">
        <f t="array" aca="1" ref="BA227" ca="1">_xludf.XLOOKUP(C227,'PL TOTAL D0'!A:A,'PL TOTAL D0'!C:C,"")</f>
        <v>#NAME?</v>
      </c>
    </row>
    <row r="228" spans="1:53" ht="15.75" customHeight="1">
      <c r="A228" s="23" t="s">
        <v>29</v>
      </c>
      <c r="B228" s="3" t="s">
        <v>891</v>
      </c>
      <c r="C228" s="91" t="s">
        <v>892</v>
      </c>
      <c r="D228" s="7" t="s">
        <v>19</v>
      </c>
      <c r="E228" s="7" t="s">
        <v>49</v>
      </c>
      <c r="F228" s="7" t="s">
        <v>465</v>
      </c>
      <c r="G228" s="7" t="e">
        <f t="shared" ca="1" si="0"/>
        <v>#NAME?</v>
      </c>
      <c r="H228" s="24" t="s">
        <v>152</v>
      </c>
      <c r="I228" s="24" t="s">
        <v>25</v>
      </c>
      <c r="J228" s="7" t="str">
        <f t="shared" ref="J228:J284" si="12">IF(Q228=0,"Não","Sim")</f>
        <v>Não</v>
      </c>
      <c r="K228" s="25">
        <v>45229</v>
      </c>
      <c r="L228" s="25"/>
      <c r="M228" s="7" t="s">
        <v>466</v>
      </c>
      <c r="N228" s="26">
        <v>7.0000000000000001E-3</v>
      </c>
      <c r="O228" s="7" t="s">
        <v>25</v>
      </c>
      <c r="P228" s="27">
        <v>0</v>
      </c>
      <c r="Q228" s="45"/>
      <c r="R228" s="28"/>
      <c r="S228" s="7" t="s">
        <v>187</v>
      </c>
      <c r="T228" s="7" t="s">
        <v>893</v>
      </c>
      <c r="U228" s="7" t="s">
        <v>294</v>
      </c>
      <c r="V228" s="24" t="e">
        <f t="shared" ca="1" si="2"/>
        <v>#NAME?</v>
      </c>
      <c r="W228" s="7"/>
      <c r="X228" s="7"/>
      <c r="Y228" s="29" t="s">
        <v>147</v>
      </c>
      <c r="Z228" s="30"/>
      <c r="AA228" s="31">
        <v>45229</v>
      </c>
      <c r="AB228" s="32">
        <v>49075100012318</v>
      </c>
      <c r="AC228" s="30"/>
      <c r="AD228" s="30"/>
      <c r="AE228" s="30"/>
      <c r="AF228" s="30"/>
      <c r="AG228" s="30"/>
      <c r="AH228" s="30"/>
      <c r="AI228" s="30"/>
      <c r="AJ228" s="30"/>
      <c r="AK228" s="30"/>
      <c r="AL228" s="30"/>
      <c r="AM228" s="30"/>
      <c r="AN228" s="30"/>
      <c r="AO228" s="30">
        <v>0</v>
      </c>
      <c r="AP228" s="30">
        <v>0</v>
      </c>
      <c r="AQ228" s="30">
        <v>0</v>
      </c>
      <c r="AR228" s="30">
        <v>0</v>
      </c>
      <c r="AS228" s="30">
        <v>0</v>
      </c>
      <c r="AT228" s="30">
        <v>0</v>
      </c>
      <c r="AU228" s="30">
        <v>50256.31</v>
      </c>
      <c r="AV228" s="30">
        <v>50570.59</v>
      </c>
      <c r="AW228" s="30">
        <v>50912.08</v>
      </c>
      <c r="AX228" s="30">
        <v>51347.53</v>
      </c>
      <c r="AY228" s="30">
        <v>51757.29</v>
      </c>
      <c r="AZ228" s="30">
        <v>52148.98</v>
      </c>
      <c r="BA228" s="30" t="e">
        <f t="array" aca="1" ref="BA228" ca="1">_xludf.XLOOKUP(C228,'PL TOTAL D0'!A:A,'PL TOTAL D0'!C:C,"")</f>
        <v>#NAME?</v>
      </c>
    </row>
    <row r="229" spans="1:53" ht="15.75" customHeight="1">
      <c r="A229" s="23" t="s">
        <v>29</v>
      </c>
      <c r="B229" s="3" t="s">
        <v>894</v>
      </c>
      <c r="C229" s="4" t="s">
        <v>895</v>
      </c>
      <c r="D229" s="7" t="s">
        <v>19</v>
      </c>
      <c r="E229" s="7" t="s">
        <v>49</v>
      </c>
      <c r="F229" s="7" t="s">
        <v>50</v>
      </c>
      <c r="G229" s="7" t="e">
        <f t="shared" ca="1" si="0"/>
        <v>#NAME?</v>
      </c>
      <c r="H229" s="24" t="s">
        <v>152</v>
      </c>
      <c r="I229" s="24" t="s">
        <v>25</v>
      </c>
      <c r="J229" s="7" t="str">
        <f t="shared" si="12"/>
        <v>Não</v>
      </c>
      <c r="K229" s="25">
        <v>44960</v>
      </c>
      <c r="L229" s="7"/>
      <c r="M229" s="7" t="s">
        <v>42</v>
      </c>
      <c r="N229" s="26">
        <v>1.2E-2</v>
      </c>
      <c r="O229" s="7" t="s">
        <v>25</v>
      </c>
      <c r="P229" s="27">
        <v>0</v>
      </c>
      <c r="Q229" s="28"/>
      <c r="R229" s="28"/>
      <c r="S229" s="7" t="s">
        <v>187</v>
      </c>
      <c r="T229" s="7" t="s">
        <v>896</v>
      </c>
      <c r="U229" s="7" t="s">
        <v>49</v>
      </c>
      <c r="V229" s="24" t="e">
        <f t="shared" ca="1" si="2"/>
        <v>#NAME?</v>
      </c>
      <c r="W229" s="7"/>
      <c r="X229" s="7"/>
      <c r="Y229" s="29" t="s">
        <v>253</v>
      </c>
      <c r="Z229" s="30"/>
      <c r="AA229" s="31">
        <v>44960</v>
      </c>
      <c r="AB229" s="32">
        <v>49075100004552</v>
      </c>
      <c r="AC229" s="30"/>
      <c r="AD229" s="30"/>
      <c r="AE229" s="30"/>
      <c r="AF229" s="30">
        <v>0</v>
      </c>
      <c r="AG229" s="30">
        <v>302348.09000000003</v>
      </c>
      <c r="AH229" s="30">
        <v>305861.96999999997</v>
      </c>
      <c r="AI229" s="30">
        <v>307995.71000000002</v>
      </c>
      <c r="AJ229" s="30">
        <v>311282.53999999998</v>
      </c>
      <c r="AK229" s="30">
        <v>314326.46999999997</v>
      </c>
      <c r="AL229" s="30">
        <v>317302.40000000002</v>
      </c>
      <c r="AM229" s="30">
        <v>319206.65000000002</v>
      </c>
      <c r="AN229" s="30">
        <v>322020.40999999997</v>
      </c>
      <c r="AO229" s="30">
        <v>324182.96000000002</v>
      </c>
      <c r="AP229" s="30">
        <v>326595.86</v>
      </c>
      <c r="AQ229" s="30">
        <v>329108.53999999998</v>
      </c>
      <c r="AR229" s="30">
        <v>331973.65999999997</v>
      </c>
      <c r="AS229" s="30">
        <v>332613.51</v>
      </c>
      <c r="AT229" s="30">
        <v>334953.40000000002</v>
      </c>
      <c r="AU229" s="30">
        <v>337469.3</v>
      </c>
      <c r="AV229" s="30">
        <v>340023.9</v>
      </c>
      <c r="AW229" s="30">
        <v>342278.1</v>
      </c>
      <c r="AX229" s="30">
        <v>341491.6</v>
      </c>
      <c r="AY229" s="30">
        <v>344195.42</v>
      </c>
      <c r="AZ229" s="30">
        <v>346530.76</v>
      </c>
      <c r="BA229" s="30" t="e">
        <f t="array" aca="1" ref="BA229" ca="1">_xludf.XLOOKUP(C229,'PL TOTAL D0'!A:A,'PL TOTAL D0'!C:C,"")</f>
        <v>#NAME?</v>
      </c>
    </row>
    <row r="230" spans="1:53" ht="15.75" customHeight="1">
      <c r="A230" s="23" t="s">
        <v>29</v>
      </c>
      <c r="B230" s="3" t="s">
        <v>897</v>
      </c>
      <c r="C230" s="4" t="s">
        <v>898</v>
      </c>
      <c r="D230" s="7" t="s">
        <v>19</v>
      </c>
      <c r="E230" s="7" t="s">
        <v>49</v>
      </c>
      <c r="F230" s="7" t="s">
        <v>277</v>
      </c>
      <c r="G230" s="7" t="e">
        <f t="shared" ca="1" si="0"/>
        <v>#NAME?</v>
      </c>
      <c r="H230" s="24" t="s">
        <v>152</v>
      </c>
      <c r="I230" s="24" t="s">
        <v>25</v>
      </c>
      <c r="J230" s="7" t="str">
        <f t="shared" si="12"/>
        <v>Não</v>
      </c>
      <c r="K230" s="25">
        <v>45035</v>
      </c>
      <c r="L230" s="7"/>
      <c r="M230" s="7" t="s">
        <v>42</v>
      </c>
      <c r="N230" s="26">
        <v>1.2E-2</v>
      </c>
      <c r="O230" s="7" t="s">
        <v>25</v>
      </c>
      <c r="P230" s="27">
        <v>0</v>
      </c>
      <c r="Q230" s="28"/>
      <c r="R230" s="28"/>
      <c r="S230" s="7" t="s">
        <v>145</v>
      </c>
      <c r="T230" s="7" t="s">
        <v>899</v>
      </c>
      <c r="U230" s="7" t="s">
        <v>49</v>
      </c>
      <c r="V230" s="24" t="e">
        <f t="shared" ca="1" si="2"/>
        <v>#NAME?</v>
      </c>
      <c r="W230" s="7"/>
      <c r="X230" s="7"/>
      <c r="Y230" s="29" t="s">
        <v>253</v>
      </c>
      <c r="Z230" s="30"/>
      <c r="AA230" s="31">
        <v>45035</v>
      </c>
      <c r="AB230" s="32">
        <v>49075100008507</v>
      </c>
      <c r="AC230" s="30"/>
      <c r="AD230" s="30"/>
      <c r="AE230" s="30"/>
      <c r="AF230" s="30"/>
      <c r="AG230" s="30"/>
      <c r="AH230" s="30">
        <v>0</v>
      </c>
      <c r="AI230" s="30">
        <v>200493.23</v>
      </c>
      <c r="AJ230" s="30">
        <v>202518.84</v>
      </c>
      <c r="AK230" s="30">
        <v>204207.46</v>
      </c>
      <c r="AL230" s="30">
        <v>205780.31</v>
      </c>
      <c r="AM230" s="30">
        <v>207720.41</v>
      </c>
      <c r="AN230" s="30">
        <v>209354.86</v>
      </c>
      <c r="AO230" s="30">
        <v>211199.67</v>
      </c>
      <c r="AP230" s="30">
        <v>212749.25</v>
      </c>
      <c r="AQ230" s="30">
        <v>214404.26</v>
      </c>
      <c r="AR230" s="30">
        <v>216335.49</v>
      </c>
      <c r="AS230" s="30">
        <v>218083.75</v>
      </c>
      <c r="AT230" s="30">
        <v>220034.61</v>
      </c>
      <c r="AU230" s="30">
        <v>220815.25</v>
      </c>
      <c r="AV230" s="30">
        <v>503251.20000000001</v>
      </c>
      <c r="AW230" s="30">
        <v>506923.6</v>
      </c>
      <c r="AX230" s="30">
        <v>511062.6</v>
      </c>
      <c r="AY230" s="30">
        <v>515425.65</v>
      </c>
      <c r="AZ230" s="30">
        <v>518729.56</v>
      </c>
      <c r="BA230" s="30" t="e">
        <f t="array" aca="1" ref="BA230" ca="1">_xludf.XLOOKUP(C230,'PL TOTAL D0'!A:A,'PL TOTAL D0'!C:C,"")</f>
        <v>#NAME?</v>
      </c>
    </row>
    <row r="231" spans="1:53" ht="15.75" customHeight="1">
      <c r="A231" s="23" t="s">
        <v>29</v>
      </c>
      <c r="B231" s="3" t="s">
        <v>900</v>
      </c>
      <c r="C231" s="4" t="s">
        <v>901</v>
      </c>
      <c r="D231" s="7" t="s">
        <v>64</v>
      </c>
      <c r="E231" s="7" t="s">
        <v>20</v>
      </c>
      <c r="F231" s="7" t="s">
        <v>204</v>
      </c>
      <c r="G231" s="7" t="e">
        <f t="shared" ca="1" si="0"/>
        <v>#NAME?</v>
      </c>
      <c r="H231" s="24" t="s">
        <v>143</v>
      </c>
      <c r="I231" s="24" t="s">
        <v>25</v>
      </c>
      <c r="J231" s="7" t="str">
        <f t="shared" si="12"/>
        <v>Sim</v>
      </c>
      <c r="K231" s="25">
        <v>45575</v>
      </c>
      <c r="L231" s="79">
        <v>45589</v>
      </c>
      <c r="M231" s="7" t="s">
        <v>31</v>
      </c>
      <c r="N231" s="26">
        <v>3.0000000000000001E-3</v>
      </c>
      <c r="O231" s="7" t="s">
        <v>25</v>
      </c>
      <c r="P231" s="27">
        <v>0</v>
      </c>
      <c r="Q231" s="28" t="s">
        <v>66</v>
      </c>
      <c r="R231" s="28"/>
      <c r="S231" s="7" t="s">
        <v>145</v>
      </c>
      <c r="T231" s="7" t="s">
        <v>902</v>
      </c>
      <c r="U231" s="7" t="s">
        <v>46</v>
      </c>
      <c r="V231" s="24" t="e">
        <f t="shared" ca="1" si="2"/>
        <v>#NAME?</v>
      </c>
      <c r="W231" s="7"/>
      <c r="X231" s="7" t="s">
        <v>52</v>
      </c>
      <c r="Y231" s="29"/>
      <c r="Z231" s="30"/>
      <c r="AA231" s="31"/>
      <c r="AB231" s="32"/>
      <c r="AC231" s="30"/>
      <c r="AD231" s="30"/>
      <c r="AE231" s="30"/>
      <c r="AF231" s="30"/>
      <c r="AG231" s="30"/>
      <c r="AH231" s="30"/>
      <c r="AI231" s="30"/>
      <c r="AJ231" s="30"/>
      <c r="AK231" s="30"/>
      <c r="AL231" s="30"/>
      <c r="AM231" s="30"/>
      <c r="AN231" s="30"/>
      <c r="AO231" s="30"/>
      <c r="AP231" s="30"/>
      <c r="AQ231" s="30"/>
      <c r="AR231" s="30"/>
      <c r="AS231" s="30"/>
      <c r="AT231" s="30"/>
      <c r="AU231" s="30"/>
      <c r="AV231" s="30"/>
      <c r="AW231" s="30"/>
      <c r="AX231" s="30"/>
      <c r="AY231" s="30"/>
      <c r="AZ231" s="30"/>
      <c r="BA231" s="30" t="e">
        <f t="array" aca="1" ref="BA231" ca="1">_xludf.XLOOKUP(C231,'PL TOTAL D0'!A:A,'PL TOTAL D0'!C:C,"")</f>
        <v>#NAME?</v>
      </c>
    </row>
    <row r="232" spans="1:53" ht="15.75" customHeight="1">
      <c r="A232" s="23" t="s">
        <v>29</v>
      </c>
      <c r="B232" s="3" t="s">
        <v>903</v>
      </c>
      <c r="C232" s="4" t="s">
        <v>904</v>
      </c>
      <c r="D232" s="7" t="s">
        <v>19</v>
      </c>
      <c r="E232" s="7" t="s">
        <v>20</v>
      </c>
      <c r="F232" s="7" t="s">
        <v>21</v>
      </c>
      <c r="G232" s="7" t="e">
        <f t="shared" ca="1" si="0"/>
        <v>#NAME?</v>
      </c>
      <c r="H232" s="24" t="s">
        <v>152</v>
      </c>
      <c r="I232" s="24" t="s">
        <v>25</v>
      </c>
      <c r="J232" s="7" t="str">
        <f t="shared" si="12"/>
        <v>Não</v>
      </c>
      <c r="K232" s="25">
        <v>44977</v>
      </c>
      <c r="L232" s="7"/>
      <c r="M232" s="7" t="s">
        <v>87</v>
      </c>
      <c r="N232" s="26">
        <v>2.5000000000000001E-2</v>
      </c>
      <c r="O232" s="7" t="s">
        <v>183</v>
      </c>
      <c r="P232" s="27">
        <v>0.2</v>
      </c>
      <c r="Q232" s="28"/>
      <c r="R232" s="28"/>
      <c r="S232" s="7" t="s">
        <v>145</v>
      </c>
      <c r="T232" s="7" t="s">
        <v>905</v>
      </c>
      <c r="U232" s="7" t="s">
        <v>20</v>
      </c>
      <c r="V232" s="24" t="e">
        <f t="shared" ca="1" si="2"/>
        <v>#NAME?</v>
      </c>
      <c r="W232" s="7"/>
      <c r="X232" s="7"/>
      <c r="Y232" s="29" t="s">
        <v>147</v>
      </c>
      <c r="Z232" s="30"/>
      <c r="AA232" s="31">
        <v>44977</v>
      </c>
      <c r="AB232" s="32">
        <v>49075100006636</v>
      </c>
      <c r="AC232" s="30"/>
      <c r="AD232" s="30"/>
      <c r="AE232" s="30"/>
      <c r="AF232" s="30">
        <v>0</v>
      </c>
      <c r="AG232" s="30">
        <v>0</v>
      </c>
      <c r="AH232" s="30">
        <v>304867.61</v>
      </c>
      <c r="AI232" s="30">
        <v>360937.54</v>
      </c>
      <c r="AJ232" s="30">
        <v>566724.19999999995</v>
      </c>
      <c r="AK232" s="30">
        <v>602522.31000000006</v>
      </c>
      <c r="AL232" s="30">
        <v>627093.69999999995</v>
      </c>
      <c r="AM232" s="30">
        <v>606180.80000000005</v>
      </c>
      <c r="AN232" s="30">
        <v>604349.54</v>
      </c>
      <c r="AO232" s="30">
        <v>578834.06000000006</v>
      </c>
      <c r="AP232" s="30">
        <v>621068.18000000005</v>
      </c>
      <c r="AQ232" s="30">
        <v>651017.26</v>
      </c>
      <c r="AR232" s="30">
        <v>605797.82999999996</v>
      </c>
      <c r="AS232" s="30">
        <v>614550.63</v>
      </c>
      <c r="AT232" s="30">
        <v>625486.55000000005</v>
      </c>
      <c r="AU232" s="30">
        <v>600575.80000000005</v>
      </c>
      <c r="AV232" s="30">
        <v>581362.4</v>
      </c>
      <c r="AW232" s="30">
        <v>582334.30000000005</v>
      </c>
      <c r="AX232" s="30">
        <v>598421.30000000005</v>
      </c>
      <c r="AY232" s="30">
        <v>611819.21</v>
      </c>
      <c r="AZ232" s="30">
        <v>601053.61</v>
      </c>
      <c r="BA232" s="30" t="e">
        <f t="array" aca="1" ref="BA232" ca="1">_xludf.XLOOKUP(C232,'PL TOTAL D0'!A:A,'PL TOTAL D0'!C:C,"")</f>
        <v>#NAME?</v>
      </c>
    </row>
    <row r="233" spans="1:53" ht="15.75" customHeight="1">
      <c r="A233" s="23" t="s">
        <v>29</v>
      </c>
      <c r="B233" s="3" t="s">
        <v>903</v>
      </c>
      <c r="C233" s="4" t="s">
        <v>906</v>
      </c>
      <c r="D233" s="7" t="s">
        <v>19</v>
      </c>
      <c r="E233" s="7" t="s">
        <v>20</v>
      </c>
      <c r="F233" s="7" t="s">
        <v>21</v>
      </c>
      <c r="G233" s="7" t="e">
        <f t="shared" ca="1" si="0"/>
        <v>#NAME?</v>
      </c>
      <c r="H233" s="24" t="s">
        <v>152</v>
      </c>
      <c r="I233" s="24" t="s">
        <v>25</v>
      </c>
      <c r="J233" s="7" t="str">
        <f t="shared" si="12"/>
        <v>Não</v>
      </c>
      <c r="K233" s="25">
        <v>44991</v>
      </c>
      <c r="L233" s="7"/>
      <c r="M233" s="7" t="s">
        <v>42</v>
      </c>
      <c r="N233" s="26">
        <v>0.01</v>
      </c>
      <c r="O233" s="7" t="s">
        <v>25</v>
      </c>
      <c r="P233" s="27">
        <v>0</v>
      </c>
      <c r="Q233" s="28"/>
      <c r="R233" s="28"/>
      <c r="S233" s="7" t="s">
        <v>145</v>
      </c>
      <c r="T233" s="7" t="s">
        <v>905</v>
      </c>
      <c r="U233" s="7" t="s">
        <v>20</v>
      </c>
      <c r="V233" s="24" t="e">
        <f t="shared" ca="1" si="2"/>
        <v>#NAME?</v>
      </c>
      <c r="W233" s="7"/>
      <c r="X233" s="7"/>
      <c r="Y233" s="29" t="s">
        <v>147</v>
      </c>
      <c r="Z233" s="30"/>
      <c r="AA233" s="31">
        <v>44991</v>
      </c>
      <c r="AB233" s="32">
        <v>49075100008442</v>
      </c>
      <c r="AC233" s="30"/>
      <c r="AD233" s="30"/>
      <c r="AE233" s="30"/>
      <c r="AF233" s="30"/>
      <c r="AG233" s="30"/>
      <c r="AH233" s="30">
        <v>537871.72</v>
      </c>
      <c r="AI233" s="30">
        <v>2246971.91</v>
      </c>
      <c r="AJ233" s="30">
        <v>2466852.75</v>
      </c>
      <c r="AK233" s="30">
        <v>2458871.91</v>
      </c>
      <c r="AL233" s="30">
        <v>2466301.64</v>
      </c>
      <c r="AM233" s="30">
        <v>2451968.17</v>
      </c>
      <c r="AN233" s="30">
        <v>3009986.81</v>
      </c>
      <c r="AO233" s="30">
        <v>3308732.7</v>
      </c>
      <c r="AP233" s="30">
        <v>3370210.56</v>
      </c>
      <c r="AQ233" s="30">
        <v>3282974.56</v>
      </c>
      <c r="AR233" s="30">
        <v>3308166.77</v>
      </c>
      <c r="AS233" s="30">
        <v>3333211.42</v>
      </c>
      <c r="AT233" s="30">
        <v>3361260.34</v>
      </c>
      <c r="AU233" s="30">
        <v>3384627.7</v>
      </c>
      <c r="AV233" s="30">
        <v>3470249</v>
      </c>
      <c r="AW233" s="30">
        <v>3493595</v>
      </c>
      <c r="AX233" s="30">
        <v>3517465</v>
      </c>
      <c r="AY233" s="30">
        <v>3542562.31</v>
      </c>
      <c r="AZ233" s="30">
        <v>3560844.67</v>
      </c>
      <c r="BA233" s="30" t="e">
        <f t="array" aca="1" ref="BA233" ca="1">_xludf.XLOOKUP(C233,'PL TOTAL D0'!A:A,'PL TOTAL D0'!C:C,"")</f>
        <v>#NAME?</v>
      </c>
    </row>
    <row r="234" spans="1:53" ht="15.75" customHeight="1">
      <c r="A234" s="23" t="s">
        <v>29</v>
      </c>
      <c r="B234" s="3" t="s">
        <v>903</v>
      </c>
      <c r="C234" s="4" t="s">
        <v>907</v>
      </c>
      <c r="D234" s="7" t="s">
        <v>19</v>
      </c>
      <c r="E234" s="7" t="s">
        <v>20</v>
      </c>
      <c r="F234" s="7" t="s">
        <v>21</v>
      </c>
      <c r="G234" s="7" t="e">
        <f t="shared" ca="1" si="0"/>
        <v>#NAME?</v>
      </c>
      <c r="H234" s="24" t="s">
        <v>161</v>
      </c>
      <c r="I234" s="24" t="s">
        <v>205</v>
      </c>
      <c r="J234" s="7" t="str">
        <f t="shared" si="12"/>
        <v>Não</v>
      </c>
      <c r="K234" s="25">
        <v>44972</v>
      </c>
      <c r="L234" s="7"/>
      <c r="M234" s="9" t="s">
        <v>31</v>
      </c>
      <c r="N234" s="26">
        <v>0</v>
      </c>
      <c r="O234" s="7" t="s">
        <v>25</v>
      </c>
      <c r="P234" s="27">
        <v>0</v>
      </c>
      <c r="Q234" s="28"/>
      <c r="R234" s="36" t="s">
        <v>908</v>
      </c>
      <c r="S234" s="7" t="s">
        <v>145</v>
      </c>
      <c r="T234" s="7" t="s">
        <v>905</v>
      </c>
      <c r="U234" s="7" t="s">
        <v>20</v>
      </c>
      <c r="V234" s="24" t="e">
        <f t="shared" ca="1" si="2"/>
        <v>#NAME?</v>
      </c>
      <c r="W234" s="7"/>
      <c r="X234" s="7"/>
      <c r="Y234" s="29" t="s">
        <v>147</v>
      </c>
      <c r="Z234" s="30"/>
      <c r="AA234" s="31">
        <v>44972</v>
      </c>
      <c r="AB234" s="32">
        <v>49075100005680</v>
      </c>
      <c r="AC234" s="30"/>
      <c r="AD234" s="30"/>
      <c r="AE234" s="30"/>
      <c r="AF234" s="30">
        <v>0</v>
      </c>
      <c r="AG234" s="30">
        <v>1835034.42</v>
      </c>
      <c r="AH234" s="30">
        <v>2311316.92</v>
      </c>
      <c r="AI234" s="30">
        <v>571325.29</v>
      </c>
      <c r="AJ234" s="30">
        <v>212181.64</v>
      </c>
      <c r="AK234" s="30">
        <v>214409.69</v>
      </c>
      <c r="AL234" s="30">
        <v>216544.32</v>
      </c>
      <c r="AM234" s="30">
        <v>218840.55</v>
      </c>
      <c r="AN234" s="30">
        <v>220920.24</v>
      </c>
      <c r="AO234" s="30">
        <v>223089.66</v>
      </c>
      <c r="AP234" s="30">
        <v>152211.67000000001</v>
      </c>
      <c r="AQ234" s="30">
        <v>153494.04999999999</v>
      </c>
      <c r="AR234" s="30">
        <v>154846.60999999999</v>
      </c>
      <c r="AS234" s="30">
        <v>156012.71</v>
      </c>
      <c r="AT234" s="30">
        <v>157321.63</v>
      </c>
      <c r="AU234" s="30">
        <v>158669.28</v>
      </c>
      <c r="AV234" s="30">
        <v>159996.1</v>
      </c>
      <c r="AW234" s="30">
        <v>161197.79999999999</v>
      </c>
      <c r="AX234" s="30">
        <v>163534.1</v>
      </c>
      <c r="AY234" s="30">
        <v>164947.13</v>
      </c>
      <c r="AZ234" s="30">
        <v>166321.35999999999</v>
      </c>
      <c r="BA234" s="30" t="e">
        <f t="array" aca="1" ref="BA234" ca="1">_xludf.XLOOKUP(C234,'PL TOTAL D0'!A:A,'PL TOTAL D0'!C:C,"")</f>
        <v>#NAME?</v>
      </c>
    </row>
    <row r="235" spans="1:53" ht="15.75" customHeight="1">
      <c r="A235" s="23" t="s">
        <v>29</v>
      </c>
      <c r="B235" s="3" t="s">
        <v>903</v>
      </c>
      <c r="C235" s="4" t="s">
        <v>909</v>
      </c>
      <c r="D235" s="7" t="s">
        <v>19</v>
      </c>
      <c r="E235" s="7" t="s">
        <v>20</v>
      </c>
      <c r="F235" s="7" t="s">
        <v>21</v>
      </c>
      <c r="G235" s="7" t="e">
        <f t="shared" ca="1" si="0"/>
        <v>#NAME?</v>
      </c>
      <c r="H235" s="24" t="s">
        <v>161</v>
      </c>
      <c r="I235" s="24" t="s">
        <v>162</v>
      </c>
      <c r="J235" s="7" t="str">
        <f t="shared" si="12"/>
        <v>Não</v>
      </c>
      <c r="K235" s="25">
        <v>45022</v>
      </c>
      <c r="L235" s="7"/>
      <c r="M235" s="7" t="s">
        <v>495</v>
      </c>
      <c r="N235" s="26">
        <v>2.5000000000000001E-2</v>
      </c>
      <c r="O235" s="7" t="s">
        <v>910</v>
      </c>
      <c r="P235" s="27">
        <v>0.2</v>
      </c>
      <c r="Q235" s="28"/>
      <c r="R235" s="36" t="s">
        <v>911</v>
      </c>
      <c r="S235" s="7" t="s">
        <v>145</v>
      </c>
      <c r="T235" s="7" t="s">
        <v>905</v>
      </c>
      <c r="U235" s="7" t="s">
        <v>20</v>
      </c>
      <c r="V235" s="24" t="e">
        <f t="shared" ca="1" si="2"/>
        <v>#NAME?</v>
      </c>
      <c r="W235" s="7"/>
      <c r="X235" s="7"/>
      <c r="Y235" s="29" t="s">
        <v>147</v>
      </c>
      <c r="Z235" s="30"/>
      <c r="AA235" s="31">
        <v>45022</v>
      </c>
      <c r="AB235" s="32">
        <v>49075100008825</v>
      </c>
      <c r="AC235" s="30"/>
      <c r="AD235" s="30"/>
      <c r="AE235" s="30"/>
      <c r="AF235" s="30">
        <v>0</v>
      </c>
      <c r="AG235" s="30">
        <v>0</v>
      </c>
      <c r="AH235" s="30">
        <v>37824</v>
      </c>
      <c r="AI235" s="30">
        <v>38658.35</v>
      </c>
      <c r="AJ235" s="30">
        <v>214989.41</v>
      </c>
      <c r="AK235" s="30">
        <v>214322.39</v>
      </c>
      <c r="AL235" s="30">
        <v>218300.7</v>
      </c>
      <c r="AM235" s="30">
        <v>224362.58</v>
      </c>
      <c r="AN235" s="30">
        <v>223020.61</v>
      </c>
      <c r="AO235" s="30">
        <v>1501.8</v>
      </c>
      <c r="AP235" s="30">
        <v>1412.42</v>
      </c>
      <c r="AQ235" s="30">
        <v>1424.5</v>
      </c>
      <c r="AR235" s="30">
        <v>1437.56</v>
      </c>
      <c r="AS235" s="30">
        <v>1453.03</v>
      </c>
      <c r="AT235" s="30">
        <v>1464.62</v>
      </c>
      <c r="AU235" s="30">
        <v>1476.93</v>
      </c>
      <c r="AV235" s="30">
        <v>1477.86</v>
      </c>
      <c r="AW235" s="30">
        <v>1489.09</v>
      </c>
      <c r="AX235" s="30">
        <v>1501.94</v>
      </c>
      <c r="AY235" s="30">
        <v>1514.44</v>
      </c>
      <c r="AZ235" s="30">
        <v>1526.53</v>
      </c>
      <c r="BA235" s="30" t="e">
        <f t="array" aca="1" ref="BA235" ca="1">_xludf.XLOOKUP(C235,'PL TOTAL D0'!A:A,'PL TOTAL D0'!C:C,"")</f>
        <v>#NAME?</v>
      </c>
    </row>
    <row r="236" spans="1:53" ht="15.75" customHeight="1">
      <c r="A236" s="23" t="s">
        <v>29</v>
      </c>
      <c r="B236" s="3" t="s">
        <v>912</v>
      </c>
      <c r="C236" s="35" t="s">
        <v>913</v>
      </c>
      <c r="D236" s="7" t="s">
        <v>72</v>
      </c>
      <c r="E236" s="7" t="s">
        <v>20</v>
      </c>
      <c r="F236" s="7" t="s">
        <v>386</v>
      </c>
      <c r="G236" s="7" t="e">
        <f t="shared" ca="1" si="0"/>
        <v>#NAME?</v>
      </c>
      <c r="H236" s="24" t="s">
        <v>152</v>
      </c>
      <c r="I236" s="24" t="s">
        <v>25</v>
      </c>
      <c r="J236" s="7" t="str">
        <f t="shared" si="12"/>
        <v>Sim</v>
      </c>
      <c r="K236" s="25">
        <v>45345</v>
      </c>
      <c r="L236" s="7"/>
      <c r="M236" s="9" t="s">
        <v>42</v>
      </c>
      <c r="N236" s="10">
        <v>1.2E-2</v>
      </c>
      <c r="O236" s="7" t="s">
        <v>25</v>
      </c>
      <c r="P236" s="27">
        <v>0</v>
      </c>
      <c r="Q236" s="36" t="s">
        <v>914</v>
      </c>
      <c r="R236" s="28"/>
      <c r="S236" s="7" t="s">
        <v>145</v>
      </c>
      <c r="T236" s="6" t="s">
        <v>915</v>
      </c>
      <c r="U236" s="7" t="s">
        <v>20</v>
      </c>
      <c r="V236" s="24" t="e">
        <f t="shared" ca="1" si="2"/>
        <v>#NAME?</v>
      </c>
      <c r="W236" s="7"/>
      <c r="X236" s="7"/>
      <c r="Y236" s="29" t="s">
        <v>147</v>
      </c>
      <c r="Z236" s="30"/>
      <c r="AA236" s="31">
        <v>45345</v>
      </c>
      <c r="AB236" s="32">
        <v>49075100013322</v>
      </c>
      <c r="AC236" s="30"/>
      <c r="AD236" s="30"/>
      <c r="AE236" s="30"/>
      <c r="AF236" s="30"/>
      <c r="AG236" s="30"/>
      <c r="AH236" s="30"/>
      <c r="AI236" s="30"/>
      <c r="AJ236" s="30"/>
      <c r="AK236" s="30"/>
      <c r="AL236" s="30"/>
      <c r="AM236" s="30"/>
      <c r="AN236" s="30"/>
      <c r="AO236" s="30"/>
      <c r="AP236" s="30"/>
      <c r="AQ236" s="30"/>
      <c r="AR236" s="30"/>
      <c r="AS236" s="30">
        <v>1047010.15</v>
      </c>
      <c r="AT236" s="30">
        <v>1053898.68</v>
      </c>
      <c r="AU236" s="30">
        <v>1058550.3799999999</v>
      </c>
      <c r="AV236" s="30">
        <v>1066585</v>
      </c>
      <c r="AW236" s="30">
        <v>1074464</v>
      </c>
      <c r="AX236" s="30">
        <v>1068213</v>
      </c>
      <c r="AY236" s="30">
        <v>1076685.77</v>
      </c>
      <c r="AZ236" s="30">
        <v>1053978.22</v>
      </c>
      <c r="BA236" s="30" t="e">
        <f t="array" aca="1" ref="BA236" ca="1">_xludf.XLOOKUP(C236,'PL TOTAL D0'!A:A,'PL TOTAL D0'!C:C,"")</f>
        <v>#NAME?</v>
      </c>
    </row>
    <row r="237" spans="1:53" ht="15.75" customHeight="1">
      <c r="A237" s="23" t="s">
        <v>29</v>
      </c>
      <c r="B237" s="3" t="s">
        <v>916</v>
      </c>
      <c r="C237" s="35" t="s">
        <v>917</v>
      </c>
      <c r="D237" s="7" t="s">
        <v>19</v>
      </c>
      <c r="E237" s="7" t="s">
        <v>49</v>
      </c>
      <c r="F237" s="7" t="s">
        <v>166</v>
      </c>
      <c r="G237" s="7" t="e">
        <f t="shared" ca="1" si="0"/>
        <v>#NAME?</v>
      </c>
      <c r="H237" s="24" t="s">
        <v>152</v>
      </c>
      <c r="I237" s="24" t="s">
        <v>25</v>
      </c>
      <c r="J237" s="7" t="str">
        <f t="shared" si="12"/>
        <v>Não</v>
      </c>
      <c r="K237" s="25">
        <v>45586</v>
      </c>
      <c r="L237" s="7"/>
      <c r="M237" s="9" t="s">
        <v>42</v>
      </c>
      <c r="N237" s="10">
        <v>1.2E-2</v>
      </c>
      <c r="O237" s="7" t="s">
        <v>25</v>
      </c>
      <c r="P237" s="27">
        <v>0</v>
      </c>
      <c r="Q237" s="36"/>
      <c r="R237" s="28"/>
      <c r="S237" s="7" t="s">
        <v>145</v>
      </c>
      <c r="T237" s="6" t="s">
        <v>918</v>
      </c>
      <c r="U237" s="7" t="s">
        <v>49</v>
      </c>
      <c r="V237" s="24" t="e">
        <f t="shared" ca="1" si="2"/>
        <v>#NAME?</v>
      </c>
      <c r="W237" s="7"/>
      <c r="X237" s="7" t="s">
        <v>52</v>
      </c>
      <c r="Y237" s="29"/>
      <c r="Z237" s="30"/>
      <c r="AA237" s="31"/>
      <c r="AB237" s="32"/>
      <c r="AC237" s="30"/>
      <c r="AD237" s="30"/>
      <c r="AE237" s="30"/>
      <c r="AF237" s="30"/>
      <c r="AG237" s="30"/>
      <c r="AH237" s="30"/>
      <c r="AI237" s="30"/>
      <c r="AJ237" s="30"/>
      <c r="AK237" s="30"/>
      <c r="AL237" s="30"/>
      <c r="AM237" s="30"/>
      <c r="AN237" s="30"/>
      <c r="AO237" s="30"/>
      <c r="AP237" s="30"/>
      <c r="AQ237" s="30"/>
      <c r="AR237" s="30"/>
      <c r="AS237" s="30"/>
      <c r="AT237" s="30"/>
      <c r="AU237" s="30"/>
      <c r="AV237" s="30"/>
      <c r="AW237" s="30"/>
      <c r="AX237" s="30"/>
      <c r="AY237" s="30"/>
      <c r="AZ237" s="30"/>
      <c r="BA237" s="30" t="e">
        <f t="array" aca="1" ref="BA237" ca="1">_xludf.XLOOKUP(C237,'PL TOTAL D0'!A:A,'PL TOTAL D0'!C:C,"")</f>
        <v>#NAME?</v>
      </c>
    </row>
    <row r="238" spans="1:53" ht="15.75" customHeight="1">
      <c r="A238" s="23" t="s">
        <v>29</v>
      </c>
      <c r="B238" s="3" t="s">
        <v>919</v>
      </c>
      <c r="C238" s="4" t="s">
        <v>920</v>
      </c>
      <c r="D238" s="7" t="s">
        <v>64</v>
      </c>
      <c r="E238" s="7" t="s">
        <v>20</v>
      </c>
      <c r="F238" s="7" t="s">
        <v>921</v>
      </c>
      <c r="G238" s="7" t="e">
        <f t="shared" ca="1" si="0"/>
        <v>#NAME?</v>
      </c>
      <c r="H238" s="24" t="s">
        <v>143</v>
      </c>
      <c r="I238" s="24" t="s">
        <v>25</v>
      </c>
      <c r="J238" s="7" t="str">
        <f t="shared" si="12"/>
        <v>Não</v>
      </c>
      <c r="K238" s="25">
        <v>45070</v>
      </c>
      <c r="L238" s="25">
        <v>45121</v>
      </c>
      <c r="M238" s="7" t="s">
        <v>200</v>
      </c>
      <c r="N238" s="26">
        <v>1.6E-2</v>
      </c>
      <c r="O238" s="7" t="s">
        <v>37</v>
      </c>
      <c r="P238" s="27">
        <v>0.1</v>
      </c>
      <c r="Q238" s="45"/>
      <c r="R238" s="28"/>
      <c r="S238" s="7" t="s">
        <v>145</v>
      </c>
      <c r="T238" s="7" t="s">
        <v>922</v>
      </c>
      <c r="U238" s="7" t="s">
        <v>60</v>
      </c>
      <c r="V238" s="24" t="e">
        <f t="shared" ca="1" si="2"/>
        <v>#NAME?</v>
      </c>
      <c r="W238" s="7"/>
      <c r="X238" s="7"/>
      <c r="Y238" s="29"/>
      <c r="Z238" s="30"/>
      <c r="AA238" s="31">
        <v>45070</v>
      </c>
      <c r="AB238" s="32"/>
      <c r="AC238" s="30"/>
      <c r="AD238" s="30"/>
      <c r="AE238" s="30"/>
      <c r="AF238" s="30"/>
      <c r="AG238" s="30"/>
      <c r="AH238" s="30"/>
      <c r="AI238" s="30">
        <v>0</v>
      </c>
      <c r="AJ238" s="30">
        <v>1404159.84</v>
      </c>
      <c r="AK238" s="30">
        <v>1410022.14</v>
      </c>
      <c r="AL238" s="30">
        <v>0</v>
      </c>
      <c r="AM238" s="30">
        <v>0</v>
      </c>
      <c r="AN238" s="30">
        <v>0</v>
      </c>
      <c r="AO238" s="30">
        <v>0</v>
      </c>
      <c r="AP238" s="30">
        <v>0</v>
      </c>
      <c r="AQ238" s="30">
        <v>0</v>
      </c>
      <c r="AR238" s="30">
        <v>0</v>
      </c>
      <c r="AS238" s="30">
        <v>0</v>
      </c>
      <c r="AT238" s="30">
        <v>0</v>
      </c>
      <c r="AU238" s="30">
        <v>0</v>
      </c>
      <c r="AV238" s="30">
        <v>0</v>
      </c>
      <c r="AW238" s="30">
        <v>0</v>
      </c>
      <c r="AX238" s="30">
        <v>0</v>
      </c>
      <c r="AY238" s="30">
        <v>0</v>
      </c>
      <c r="AZ238" s="30">
        <v>0</v>
      </c>
      <c r="BA238" s="30" t="e">
        <f t="array" aca="1" ref="BA238" ca="1">_xludf.XLOOKUP(C238,'PL TOTAL D0'!A:A,'PL TOTAL D0'!C:C,"")</f>
        <v>#NAME?</v>
      </c>
    </row>
    <row r="239" spans="1:53" ht="15.75" customHeight="1">
      <c r="A239" s="23" t="s">
        <v>29</v>
      </c>
      <c r="B239" s="92" t="s">
        <v>923</v>
      </c>
      <c r="C239" s="41" t="s">
        <v>924</v>
      </c>
      <c r="D239" s="7" t="s">
        <v>19</v>
      </c>
      <c r="E239" s="7" t="s">
        <v>49</v>
      </c>
      <c r="F239" s="7" t="s">
        <v>50</v>
      </c>
      <c r="G239" s="7" t="e">
        <f t="shared" ca="1" si="0"/>
        <v>#NAME?</v>
      </c>
      <c r="H239" s="24" t="s">
        <v>161</v>
      </c>
      <c r="I239" s="24" t="s">
        <v>162</v>
      </c>
      <c r="J239" s="7" t="str">
        <f t="shared" si="12"/>
        <v>Não</v>
      </c>
      <c r="K239" s="25">
        <v>45204</v>
      </c>
      <c r="L239" s="25"/>
      <c r="M239" s="7" t="s">
        <v>42</v>
      </c>
      <c r="N239" s="26">
        <v>1.2E-2</v>
      </c>
      <c r="O239" s="7" t="s">
        <v>25</v>
      </c>
      <c r="P239" s="27">
        <v>0</v>
      </c>
      <c r="Q239" s="69"/>
      <c r="R239" s="28"/>
      <c r="S239" s="7" t="s">
        <v>145</v>
      </c>
      <c r="T239" s="7" t="s">
        <v>925</v>
      </c>
      <c r="U239" s="7" t="s">
        <v>49</v>
      </c>
      <c r="V239" s="24" t="e">
        <f t="shared" ca="1" si="2"/>
        <v>#NAME?</v>
      </c>
      <c r="W239" s="7"/>
      <c r="X239" s="7"/>
      <c r="Y239" s="29" t="s">
        <v>147</v>
      </c>
      <c r="Z239" s="30"/>
      <c r="AA239" s="31">
        <v>45204</v>
      </c>
      <c r="AB239" s="32">
        <v>49075100011346</v>
      </c>
      <c r="AC239" s="30"/>
      <c r="AD239" s="30"/>
      <c r="AE239" s="30"/>
      <c r="AF239" s="30"/>
      <c r="AG239" s="30"/>
      <c r="AH239" s="30"/>
      <c r="AI239" s="30"/>
      <c r="AJ239" s="30"/>
      <c r="AK239" s="30"/>
      <c r="AL239" s="30"/>
      <c r="AM239" s="30"/>
      <c r="AN239" s="30">
        <v>0</v>
      </c>
      <c r="AO239" s="30">
        <v>0</v>
      </c>
      <c r="AP239" s="30">
        <v>0</v>
      </c>
      <c r="AQ239" s="30">
        <v>0</v>
      </c>
      <c r="AR239" s="30">
        <v>0</v>
      </c>
      <c r="AS239" s="30">
        <v>0</v>
      </c>
      <c r="AT239" s="30">
        <v>0</v>
      </c>
      <c r="AU239" s="30">
        <v>0</v>
      </c>
      <c r="AV239" s="30">
        <v>0</v>
      </c>
      <c r="AW239" s="30">
        <v>0</v>
      </c>
      <c r="AX239" s="30">
        <v>0</v>
      </c>
      <c r="AY239" s="30">
        <v>0</v>
      </c>
      <c r="AZ239" s="30">
        <v>0</v>
      </c>
      <c r="BA239" s="30" t="e">
        <f t="array" aca="1" ref="BA239" ca="1">_xludf.XLOOKUP(C239,'PL TOTAL D0'!A:A,'PL TOTAL D0'!C:C,"")</f>
        <v>#NAME?</v>
      </c>
    </row>
    <row r="240" spans="1:53" ht="15.75" customHeight="1">
      <c r="A240" s="23" t="s">
        <v>29</v>
      </c>
      <c r="B240" s="3" t="s">
        <v>926</v>
      </c>
      <c r="C240" s="4" t="s">
        <v>927</v>
      </c>
      <c r="D240" s="7" t="s">
        <v>19</v>
      </c>
      <c r="E240" s="7" t="s">
        <v>49</v>
      </c>
      <c r="F240" s="7" t="s">
        <v>166</v>
      </c>
      <c r="G240" s="7" t="e">
        <f t="shared" ca="1" si="0"/>
        <v>#NAME?</v>
      </c>
      <c r="H240" s="24" t="s">
        <v>161</v>
      </c>
      <c r="I240" s="24" t="s">
        <v>928</v>
      </c>
      <c r="J240" s="7" t="str">
        <f t="shared" si="12"/>
        <v>Não</v>
      </c>
      <c r="K240" s="25">
        <v>44974</v>
      </c>
      <c r="L240" s="7"/>
      <c r="M240" s="7" t="s">
        <v>42</v>
      </c>
      <c r="N240" s="26">
        <v>0.01</v>
      </c>
      <c r="O240" s="7" t="s">
        <v>25</v>
      </c>
      <c r="P240" s="27">
        <v>0</v>
      </c>
      <c r="Q240" s="28"/>
      <c r="R240" s="28"/>
      <c r="S240" s="7" t="s">
        <v>145</v>
      </c>
      <c r="T240" s="7" t="s">
        <v>929</v>
      </c>
      <c r="U240" s="7" t="s">
        <v>49</v>
      </c>
      <c r="V240" s="24" t="e">
        <f t="shared" ca="1" si="2"/>
        <v>#NAME?</v>
      </c>
      <c r="W240" s="7"/>
      <c r="X240" s="7"/>
      <c r="Y240" s="29" t="s">
        <v>147</v>
      </c>
      <c r="Z240" s="30"/>
      <c r="AA240" s="31">
        <v>44974</v>
      </c>
      <c r="AB240" s="32">
        <v>49075100005699</v>
      </c>
      <c r="AC240" s="30"/>
      <c r="AD240" s="30"/>
      <c r="AE240" s="30"/>
      <c r="AF240" s="30">
        <v>0</v>
      </c>
      <c r="AG240" s="30">
        <v>20003.03</v>
      </c>
      <c r="AH240" s="30">
        <v>20207.060000000001</v>
      </c>
      <c r="AI240" s="30">
        <v>32783.39</v>
      </c>
      <c r="AJ240" s="30">
        <v>23401.9</v>
      </c>
      <c r="AK240" s="30">
        <v>7154.16</v>
      </c>
      <c r="AL240" s="30">
        <v>7194.8</v>
      </c>
      <c r="AM240" s="30">
        <v>32273.1</v>
      </c>
      <c r="AN240" s="30">
        <v>32552.76</v>
      </c>
      <c r="AO240" s="30">
        <v>32798.239999999998</v>
      </c>
      <c r="AP240" s="30">
        <v>38043.74</v>
      </c>
      <c r="AQ240" s="30">
        <v>36234.35</v>
      </c>
      <c r="AR240" s="30">
        <v>36560.68</v>
      </c>
      <c r="AS240" s="30">
        <v>36884.33</v>
      </c>
      <c r="AT240" s="30">
        <v>31005.58</v>
      </c>
      <c r="AU240" s="30">
        <v>29301.19</v>
      </c>
      <c r="AV240" s="30">
        <v>29523.82</v>
      </c>
      <c r="AW240" s="30">
        <v>29752.3</v>
      </c>
      <c r="AX240" s="30">
        <v>29992.85</v>
      </c>
      <c r="AY240" s="30">
        <v>30233.83</v>
      </c>
      <c r="AZ240" s="30">
        <v>30339.88</v>
      </c>
      <c r="BA240" s="30" t="e">
        <f t="array" aca="1" ref="BA240" ca="1">_xludf.XLOOKUP(C240,'PL TOTAL D0'!A:A,'PL TOTAL D0'!C:C,"")</f>
        <v>#NAME?</v>
      </c>
    </row>
    <row r="241" spans="1:53" ht="15.75" customHeight="1">
      <c r="A241" s="93" t="s">
        <v>29</v>
      </c>
      <c r="B241" s="40" t="s">
        <v>930</v>
      </c>
      <c r="C241" s="41" t="s">
        <v>931</v>
      </c>
      <c r="D241" s="94" t="s">
        <v>64</v>
      </c>
      <c r="E241" s="94" t="s">
        <v>20</v>
      </c>
      <c r="F241" s="94" t="s">
        <v>142</v>
      </c>
      <c r="G241" s="7" t="e">
        <f t="shared" ca="1" si="0"/>
        <v>#NAME?</v>
      </c>
      <c r="H241" s="95" t="s">
        <v>143</v>
      </c>
      <c r="I241" s="95" t="s">
        <v>25</v>
      </c>
      <c r="J241" s="7" t="str">
        <f t="shared" si="12"/>
        <v>Não</v>
      </c>
      <c r="K241" s="96">
        <v>45187</v>
      </c>
      <c r="L241" s="96">
        <v>45530</v>
      </c>
      <c r="M241" s="94" t="s">
        <v>58</v>
      </c>
      <c r="N241" s="97">
        <v>0.01</v>
      </c>
      <c r="O241" s="94" t="s">
        <v>37</v>
      </c>
      <c r="P241" s="98">
        <v>0.1</v>
      </c>
      <c r="Q241" s="99"/>
      <c r="R241" s="99"/>
      <c r="S241" s="94" t="s">
        <v>145</v>
      </c>
      <c r="T241" s="94" t="s">
        <v>932</v>
      </c>
      <c r="U241" s="94" t="s">
        <v>20</v>
      </c>
      <c r="V241" s="24" t="e">
        <f t="shared" ca="1" si="2"/>
        <v>#NAME?</v>
      </c>
      <c r="W241" s="94"/>
      <c r="X241" s="94"/>
      <c r="Y241" s="100" t="s">
        <v>253</v>
      </c>
      <c r="Z241" s="101"/>
      <c r="AA241" s="102">
        <v>45187</v>
      </c>
      <c r="AB241" s="103">
        <v>49075100011354</v>
      </c>
      <c r="AC241" s="101"/>
      <c r="AD241" s="101"/>
      <c r="AE241" s="101"/>
      <c r="AF241" s="101"/>
      <c r="AG241" s="101"/>
      <c r="AH241" s="101"/>
      <c r="AI241" s="101"/>
      <c r="AJ241" s="101"/>
      <c r="AK241" s="101"/>
      <c r="AL241" s="101"/>
      <c r="AM241" s="101"/>
      <c r="AN241" s="101">
        <v>0</v>
      </c>
      <c r="AO241" s="101">
        <v>5646.25</v>
      </c>
      <c r="AP241" s="30">
        <v>85674.41</v>
      </c>
      <c r="AQ241" s="30">
        <v>86783.11</v>
      </c>
      <c r="AR241" s="30">
        <v>86552.22</v>
      </c>
      <c r="AS241" s="30">
        <v>85956.1</v>
      </c>
      <c r="AT241" s="30">
        <v>86482.09</v>
      </c>
      <c r="AU241" s="30">
        <v>86501.88</v>
      </c>
      <c r="AV241" s="30">
        <v>86668.2</v>
      </c>
      <c r="AW241" s="30">
        <v>91146.23</v>
      </c>
      <c r="AX241" s="30">
        <v>104225.3</v>
      </c>
      <c r="AY241" s="30">
        <v>0</v>
      </c>
      <c r="AZ241" s="30">
        <v>0</v>
      </c>
      <c r="BA241" s="30" t="e">
        <f t="array" aca="1" ref="BA241" ca="1">_xludf.XLOOKUP(C241,'PL TOTAL D0'!A:A,'PL TOTAL D0'!C:C,"")</f>
        <v>#NAME?</v>
      </c>
    </row>
    <row r="242" spans="1:53" ht="15.75" customHeight="1">
      <c r="A242" s="23" t="s">
        <v>29</v>
      </c>
      <c r="B242" s="3" t="s">
        <v>933</v>
      </c>
      <c r="C242" s="4" t="s">
        <v>934</v>
      </c>
      <c r="D242" s="7" t="s">
        <v>19</v>
      </c>
      <c r="E242" s="7" t="s">
        <v>34</v>
      </c>
      <c r="F242" s="7" t="s">
        <v>35</v>
      </c>
      <c r="G242" s="7" t="e">
        <f t="shared" ca="1" si="0"/>
        <v>#NAME?</v>
      </c>
      <c r="H242" s="24" t="s">
        <v>152</v>
      </c>
      <c r="I242" s="24" t="s">
        <v>25</v>
      </c>
      <c r="J242" s="7" t="str">
        <f t="shared" si="12"/>
        <v>Não</v>
      </c>
      <c r="K242" s="25">
        <v>45071</v>
      </c>
      <c r="L242" s="7"/>
      <c r="M242" s="7" t="s">
        <v>58</v>
      </c>
      <c r="N242" s="26">
        <v>1.2E-2</v>
      </c>
      <c r="O242" s="7" t="s">
        <v>25</v>
      </c>
      <c r="P242" s="27">
        <v>0</v>
      </c>
      <c r="Q242" s="45"/>
      <c r="R242" s="28" t="s">
        <v>935</v>
      </c>
      <c r="S242" s="7" t="s">
        <v>145</v>
      </c>
      <c r="T242" s="7" t="s">
        <v>936</v>
      </c>
      <c r="U242" s="7" t="s">
        <v>39</v>
      </c>
      <c r="V242" s="24" t="e">
        <f t="shared" ca="1" si="2"/>
        <v>#NAME?</v>
      </c>
      <c r="W242" s="7"/>
      <c r="X242" s="7"/>
      <c r="Y242" s="29" t="s">
        <v>147</v>
      </c>
      <c r="Z242" s="30"/>
      <c r="AA242" s="31">
        <v>45071</v>
      </c>
      <c r="AB242" s="32">
        <v>49075100007391</v>
      </c>
      <c r="AC242" s="30"/>
      <c r="AD242" s="30"/>
      <c r="AE242" s="30"/>
      <c r="AF242" s="30"/>
      <c r="AG242" s="30"/>
      <c r="AH242" s="30">
        <v>0</v>
      </c>
      <c r="AI242" s="30">
        <v>4494.3599999999997</v>
      </c>
      <c r="AJ242" s="30">
        <v>9042.84</v>
      </c>
      <c r="AK242" s="30">
        <v>55803.18</v>
      </c>
      <c r="AL242" s="30">
        <v>64644.78</v>
      </c>
      <c r="AM242" s="30">
        <v>69724.149999999994</v>
      </c>
      <c r="AN242" s="30">
        <v>73758.13</v>
      </c>
      <c r="AO242" s="30">
        <v>78462.55</v>
      </c>
      <c r="AP242" s="30">
        <v>83672.86</v>
      </c>
      <c r="AQ242" s="30">
        <v>89237.43</v>
      </c>
      <c r="AR242" s="30">
        <v>93604.02</v>
      </c>
      <c r="AS242" s="30">
        <v>98900.44</v>
      </c>
      <c r="AT242" s="30">
        <v>104351.34</v>
      </c>
      <c r="AU242" s="30">
        <v>108888.25</v>
      </c>
      <c r="AV242" s="30">
        <v>114106.6</v>
      </c>
      <c r="AW242" s="30">
        <v>119817.4</v>
      </c>
      <c r="AX242" s="30">
        <v>121130.6</v>
      </c>
      <c r="AY242" s="30">
        <v>132376.59</v>
      </c>
      <c r="AZ242" s="30">
        <v>137816.73000000001</v>
      </c>
      <c r="BA242" s="30" t="e">
        <f t="array" aca="1" ref="BA242" ca="1">_xludf.XLOOKUP(C242,'PL TOTAL D0'!A:A,'PL TOTAL D0'!C:C,"")</f>
        <v>#NAME?</v>
      </c>
    </row>
    <row r="243" spans="1:53" ht="15.75" customHeight="1">
      <c r="A243" s="23" t="s">
        <v>29</v>
      </c>
      <c r="B243" s="37" t="s">
        <v>937</v>
      </c>
      <c r="C243" s="4" t="s">
        <v>938</v>
      </c>
      <c r="D243" s="7" t="s">
        <v>19</v>
      </c>
      <c r="E243" s="7" t="s">
        <v>34</v>
      </c>
      <c r="F243" s="7" t="s">
        <v>262</v>
      </c>
      <c r="G243" s="7" t="e">
        <f t="shared" ca="1" si="0"/>
        <v>#NAME?</v>
      </c>
      <c r="H243" s="24" t="s">
        <v>161</v>
      </c>
      <c r="I243" s="24" t="s">
        <v>211</v>
      </c>
      <c r="J243" s="7" t="str">
        <f t="shared" si="12"/>
        <v>Não</v>
      </c>
      <c r="K243" s="25">
        <v>45042</v>
      </c>
      <c r="L243" s="7"/>
      <c r="M243" s="7" t="s">
        <v>345</v>
      </c>
      <c r="N243" s="26">
        <v>0.02</v>
      </c>
      <c r="O243" s="7" t="s">
        <v>37</v>
      </c>
      <c r="P243" s="27">
        <v>0.2</v>
      </c>
      <c r="Q243" s="28"/>
      <c r="R243" s="28"/>
      <c r="S243" s="7" t="s">
        <v>145</v>
      </c>
      <c r="T243" s="7" t="s">
        <v>939</v>
      </c>
      <c r="U243" s="7" t="s">
        <v>39</v>
      </c>
      <c r="V243" s="24" t="e">
        <f t="shared" ca="1" si="2"/>
        <v>#NAME?</v>
      </c>
      <c r="W243" s="7"/>
      <c r="X243" s="7"/>
      <c r="Y243" s="29" t="s">
        <v>147</v>
      </c>
      <c r="Z243" s="30"/>
      <c r="AA243" s="31">
        <v>45042</v>
      </c>
      <c r="AB243" s="32">
        <v>49075100009090</v>
      </c>
      <c r="AC243" s="30"/>
      <c r="AD243" s="30"/>
      <c r="AE243" s="30"/>
      <c r="AF243" s="30"/>
      <c r="AG243" s="30"/>
      <c r="AH243" s="30">
        <v>0</v>
      </c>
      <c r="AI243" s="30">
        <v>985211.98</v>
      </c>
      <c r="AJ243" s="30">
        <v>1042177.69</v>
      </c>
      <c r="AK243" s="30">
        <v>1065696.25</v>
      </c>
      <c r="AL243" s="30">
        <v>1175708.77</v>
      </c>
      <c r="AM243" s="30">
        <v>1162884.52</v>
      </c>
      <c r="AN243" s="30">
        <v>1164737.49</v>
      </c>
      <c r="AO243" s="30">
        <v>1148983.4099999999</v>
      </c>
      <c r="AP243" s="30">
        <v>1187739.6299999999</v>
      </c>
      <c r="AQ243" s="30">
        <v>1101264.32</v>
      </c>
      <c r="AR243" s="30">
        <v>1063698.27</v>
      </c>
      <c r="AS243" s="30">
        <v>1068183.97</v>
      </c>
      <c r="AT243" s="30">
        <v>1009941.62</v>
      </c>
      <c r="AU243" s="30">
        <v>991333.88</v>
      </c>
      <c r="AV243" s="30">
        <v>980816</v>
      </c>
      <c r="AW243" s="30">
        <v>985470.1</v>
      </c>
      <c r="AX243" s="30">
        <v>639417.30000000005</v>
      </c>
      <c r="AY243" s="30">
        <v>648303.14</v>
      </c>
      <c r="AZ243" s="30">
        <v>641286.57999999996</v>
      </c>
      <c r="BA243" s="30" t="e">
        <f t="array" aca="1" ref="BA243" ca="1">_xludf.XLOOKUP(C243,'PL TOTAL D0'!A:A,'PL TOTAL D0'!C:C,"")</f>
        <v>#NAME?</v>
      </c>
    </row>
    <row r="244" spans="1:53" ht="15.75" customHeight="1">
      <c r="A244" s="23" t="s">
        <v>29</v>
      </c>
      <c r="B244" s="75" t="s">
        <v>940</v>
      </c>
      <c r="C244" s="55" t="s">
        <v>941</v>
      </c>
      <c r="D244" s="7" t="s">
        <v>19</v>
      </c>
      <c r="E244" s="7" t="s">
        <v>20</v>
      </c>
      <c r="F244" s="7" t="s">
        <v>942</v>
      </c>
      <c r="G244" s="7" t="e">
        <f t="shared" ca="1" si="0"/>
        <v>#NAME?</v>
      </c>
      <c r="H244" s="24" t="s">
        <v>143</v>
      </c>
      <c r="I244" s="24" t="s">
        <v>25</v>
      </c>
      <c r="J244" s="7" t="str">
        <f t="shared" si="12"/>
        <v>Não</v>
      </c>
      <c r="K244" s="25">
        <v>45280</v>
      </c>
      <c r="L244" s="25">
        <v>45478</v>
      </c>
      <c r="M244" s="7" t="s">
        <v>42</v>
      </c>
      <c r="N244" s="56">
        <v>2.0000000000000001E-4</v>
      </c>
      <c r="O244" s="57" t="s">
        <v>25</v>
      </c>
      <c r="P244" s="58">
        <v>0</v>
      </c>
      <c r="Q244" s="28"/>
      <c r="R244" s="28" t="s">
        <v>943</v>
      </c>
      <c r="S244" s="7" t="s">
        <v>145</v>
      </c>
      <c r="T244" s="7" t="s">
        <v>944</v>
      </c>
      <c r="U244" s="7" t="s">
        <v>20</v>
      </c>
      <c r="V244" s="24" t="e">
        <f t="shared" ca="1" si="2"/>
        <v>#NAME?</v>
      </c>
      <c r="W244" s="7"/>
      <c r="X244" s="7"/>
      <c r="Y244" s="29" t="s">
        <v>452</v>
      </c>
      <c r="Z244" s="30"/>
      <c r="AA244" s="31">
        <v>45280</v>
      </c>
      <c r="AB244" s="32">
        <v>49075100012962</v>
      </c>
      <c r="AC244" s="30"/>
      <c r="AD244" s="30"/>
      <c r="AE244" s="30"/>
      <c r="AF244" s="30"/>
      <c r="AG244" s="30"/>
      <c r="AH244" s="30"/>
      <c r="AI244" s="30"/>
      <c r="AJ244" s="30"/>
      <c r="AK244" s="30"/>
      <c r="AL244" s="30"/>
      <c r="AM244" s="30"/>
      <c r="AN244" s="30"/>
      <c r="AO244" s="30"/>
      <c r="AP244" s="30"/>
      <c r="AQ244" s="30">
        <v>91568.41</v>
      </c>
      <c r="AR244" s="30">
        <v>133744.66</v>
      </c>
      <c r="AS244" s="30">
        <v>135542.85</v>
      </c>
      <c r="AT244" s="30">
        <v>137351.63</v>
      </c>
      <c r="AU244" s="30">
        <v>138995.12</v>
      </c>
      <c r="AV244" s="30">
        <v>140520</v>
      </c>
      <c r="AW244" s="30">
        <v>142110.6</v>
      </c>
      <c r="AX244" s="30">
        <v>0</v>
      </c>
      <c r="AY244" s="30">
        <v>0</v>
      </c>
      <c r="AZ244" s="30">
        <v>0</v>
      </c>
      <c r="BA244" s="30" t="e">
        <f t="array" aca="1" ref="BA244" ca="1">_xludf.XLOOKUP(C244,'PL TOTAL D0'!A:A,'PL TOTAL D0'!C:C,"")</f>
        <v>#NAME?</v>
      </c>
    </row>
    <row r="245" spans="1:53" ht="15.75" customHeight="1">
      <c r="A245" s="23" t="s">
        <v>29</v>
      </c>
      <c r="B245" s="23" t="s">
        <v>945</v>
      </c>
      <c r="C245" s="4" t="s">
        <v>946</v>
      </c>
      <c r="D245" s="7" t="s">
        <v>64</v>
      </c>
      <c r="E245" s="7" t="s">
        <v>20</v>
      </c>
      <c r="F245" s="7" t="s">
        <v>142</v>
      </c>
      <c r="G245" s="7" t="e">
        <f t="shared" ca="1" si="0"/>
        <v>#NAME?</v>
      </c>
      <c r="H245" s="24" t="s">
        <v>143</v>
      </c>
      <c r="I245" s="24" t="s">
        <v>25</v>
      </c>
      <c r="J245" s="7" t="str">
        <f t="shared" si="12"/>
        <v>Não</v>
      </c>
      <c r="K245" s="25">
        <v>45105</v>
      </c>
      <c r="L245" s="25">
        <v>45524</v>
      </c>
      <c r="M245" s="7" t="s">
        <v>200</v>
      </c>
      <c r="N245" s="26">
        <v>1.2E-2</v>
      </c>
      <c r="O245" s="7" t="s">
        <v>37</v>
      </c>
      <c r="P245" s="27">
        <v>0.2</v>
      </c>
      <c r="Q245" s="45"/>
      <c r="R245" s="45" t="s">
        <v>947</v>
      </c>
      <c r="S245" s="7" t="s">
        <v>145</v>
      </c>
      <c r="T245" s="7" t="s">
        <v>948</v>
      </c>
      <c r="U245" s="7" t="s">
        <v>585</v>
      </c>
      <c r="V245" s="24" t="e">
        <f t="shared" ca="1" si="2"/>
        <v>#NAME?</v>
      </c>
      <c r="W245" s="7"/>
      <c r="X245" s="7"/>
      <c r="Y245" s="29" t="s">
        <v>147</v>
      </c>
      <c r="Z245" s="30"/>
      <c r="AA245" s="31">
        <v>45105</v>
      </c>
      <c r="AB245" s="32">
        <v>49075100007195</v>
      </c>
      <c r="AC245" s="30"/>
      <c r="AD245" s="30"/>
      <c r="AE245" s="30"/>
      <c r="AF245" s="30"/>
      <c r="AG245" s="30"/>
      <c r="AH245" s="30"/>
      <c r="AI245" s="30"/>
      <c r="AJ245" s="30"/>
      <c r="AK245" s="30">
        <v>1560140.11</v>
      </c>
      <c r="AL245" s="30">
        <v>2076597.42</v>
      </c>
      <c r="AM245" s="30">
        <v>2078715.76</v>
      </c>
      <c r="AN245" s="30">
        <v>2077435.12</v>
      </c>
      <c r="AO245" s="30">
        <v>2065620.69</v>
      </c>
      <c r="AP245" s="30">
        <v>2086106.44</v>
      </c>
      <c r="AQ245" s="30">
        <v>2108824.09</v>
      </c>
      <c r="AR245" s="30">
        <v>2093470.31</v>
      </c>
      <c r="AS245" s="30">
        <v>2089150.94</v>
      </c>
      <c r="AT245" s="30">
        <v>863638.46</v>
      </c>
      <c r="AU245" s="30">
        <v>842995.72</v>
      </c>
      <c r="AV245" s="30">
        <v>834989.7</v>
      </c>
      <c r="AW245" s="30">
        <v>839414.8</v>
      </c>
      <c r="AX245" s="30">
        <v>0</v>
      </c>
      <c r="AY245" s="30">
        <v>0</v>
      </c>
      <c r="AZ245" s="30">
        <v>0</v>
      </c>
      <c r="BA245" s="30" t="e">
        <f t="array" aca="1" ref="BA245" ca="1">_xludf.XLOOKUP(C245,'PL TOTAL D0'!A:A,'PL TOTAL D0'!C:C,"")</f>
        <v>#NAME?</v>
      </c>
    </row>
    <row r="246" spans="1:53" ht="15.75" customHeight="1">
      <c r="A246" s="23" t="s">
        <v>29</v>
      </c>
      <c r="B246" s="23" t="s">
        <v>945</v>
      </c>
      <c r="C246" s="44" t="s">
        <v>949</v>
      </c>
      <c r="D246" s="7" t="s">
        <v>64</v>
      </c>
      <c r="E246" s="7" t="s">
        <v>20</v>
      </c>
      <c r="F246" s="7" t="s">
        <v>142</v>
      </c>
      <c r="G246" s="7" t="e">
        <f t="shared" ca="1" si="0"/>
        <v>#NAME?</v>
      </c>
      <c r="H246" s="24" t="s">
        <v>143</v>
      </c>
      <c r="I246" s="24" t="s">
        <v>25</v>
      </c>
      <c r="J246" s="7" t="str">
        <f t="shared" si="12"/>
        <v>Não</v>
      </c>
      <c r="K246" s="25">
        <v>45365</v>
      </c>
      <c r="L246" s="25">
        <v>45524</v>
      </c>
      <c r="M246" s="7" t="s">
        <v>58</v>
      </c>
      <c r="N246" s="26">
        <v>1.4E-2</v>
      </c>
      <c r="O246" s="7" t="s">
        <v>37</v>
      </c>
      <c r="P246" s="27">
        <v>0.1</v>
      </c>
      <c r="Q246" s="45"/>
      <c r="R246" s="45" t="s">
        <v>947</v>
      </c>
      <c r="S246" s="7" t="s">
        <v>145</v>
      </c>
      <c r="T246" s="12" t="s">
        <v>948</v>
      </c>
      <c r="U246" s="7" t="s">
        <v>585</v>
      </c>
      <c r="V246" s="24" t="e">
        <f t="shared" ca="1" si="2"/>
        <v>#NAME?</v>
      </c>
      <c r="W246" s="7"/>
      <c r="X246" s="7"/>
      <c r="Y246" s="29" t="s">
        <v>147</v>
      </c>
      <c r="Z246" s="30"/>
      <c r="AA246" s="31">
        <v>45365</v>
      </c>
      <c r="AB246" s="32">
        <v>49075100013764</v>
      </c>
      <c r="AC246" s="30"/>
      <c r="AD246" s="30"/>
      <c r="AE246" s="30"/>
      <c r="AF246" s="30"/>
      <c r="AG246" s="30"/>
      <c r="AH246" s="30"/>
      <c r="AI246" s="30"/>
      <c r="AJ246" s="30"/>
      <c r="AK246" s="30"/>
      <c r="AL246" s="30"/>
      <c r="AM246" s="30"/>
      <c r="AN246" s="30"/>
      <c r="AO246" s="30"/>
      <c r="AP246" s="30"/>
      <c r="AQ246" s="30"/>
      <c r="AR246" s="30"/>
      <c r="AS246" s="30"/>
      <c r="AT246" s="30">
        <v>1239870.1499999999</v>
      </c>
      <c r="AU246" s="30">
        <v>1241516.29</v>
      </c>
      <c r="AV246" s="30">
        <v>1228909</v>
      </c>
      <c r="AW246" s="30">
        <v>1218631</v>
      </c>
      <c r="AX246" s="30">
        <v>0</v>
      </c>
      <c r="AY246" s="30">
        <v>0</v>
      </c>
      <c r="AZ246" s="30">
        <v>0</v>
      </c>
      <c r="BA246" s="30" t="e">
        <f t="array" aca="1" ref="BA246" ca="1">_xludf.XLOOKUP(C246,'PL TOTAL D0'!A:A,'PL TOTAL D0'!C:C,"")</f>
        <v>#NAME?</v>
      </c>
    </row>
    <row r="247" spans="1:53" ht="15.75" customHeight="1">
      <c r="A247" s="23" t="s">
        <v>29</v>
      </c>
      <c r="B247" s="3" t="s">
        <v>950</v>
      </c>
      <c r="C247" s="4" t="s">
        <v>951</v>
      </c>
      <c r="D247" s="7" t="s">
        <v>19</v>
      </c>
      <c r="E247" s="7" t="s">
        <v>60</v>
      </c>
      <c r="F247" s="7" t="s">
        <v>661</v>
      </c>
      <c r="G247" s="7" t="e">
        <f t="shared" ca="1" si="0"/>
        <v>#NAME?</v>
      </c>
      <c r="H247" s="24" t="s">
        <v>152</v>
      </c>
      <c r="I247" s="24" t="s">
        <v>25</v>
      </c>
      <c r="J247" s="7" t="str">
        <f t="shared" si="12"/>
        <v>Não</v>
      </c>
      <c r="K247" s="25">
        <v>45166</v>
      </c>
      <c r="L247" s="7"/>
      <c r="M247" s="7" t="s">
        <v>200</v>
      </c>
      <c r="N247" s="26">
        <v>1.4999999999999999E-2</v>
      </c>
      <c r="O247" s="7" t="s">
        <v>37</v>
      </c>
      <c r="P247" s="27">
        <v>0.1</v>
      </c>
      <c r="Q247" s="28"/>
      <c r="R247" s="28"/>
      <c r="S247" s="7" t="s">
        <v>145</v>
      </c>
      <c r="T247" s="7" t="s">
        <v>952</v>
      </c>
      <c r="U247" s="7" t="s">
        <v>20</v>
      </c>
      <c r="V247" s="24" t="e">
        <f t="shared" ca="1" si="2"/>
        <v>#NAME?</v>
      </c>
      <c r="W247" s="7"/>
      <c r="X247" s="7"/>
      <c r="Y247" s="29" t="s">
        <v>147</v>
      </c>
      <c r="Z247" s="30"/>
      <c r="AA247" s="31">
        <v>45166</v>
      </c>
      <c r="AB247" s="32">
        <v>49075100006849</v>
      </c>
      <c r="AC247" s="30"/>
      <c r="AD247" s="30"/>
      <c r="AE247" s="30"/>
      <c r="AF247" s="30"/>
      <c r="AG247" s="30"/>
      <c r="AH247" s="30"/>
      <c r="AI247" s="30"/>
      <c r="AJ247" s="30"/>
      <c r="AK247" s="30"/>
      <c r="AL247" s="30"/>
      <c r="AM247" s="30">
        <v>49881.29</v>
      </c>
      <c r="AN247" s="30">
        <v>50235.48</v>
      </c>
      <c r="AO247" s="30">
        <v>50213.72</v>
      </c>
      <c r="AP247" s="30">
        <v>56319.69</v>
      </c>
      <c r="AQ247" s="30">
        <v>57332.02</v>
      </c>
      <c r="AR247" s="30">
        <v>56651.28</v>
      </c>
      <c r="AS247" s="30">
        <v>62158.75</v>
      </c>
      <c r="AT247" s="30">
        <v>62837.01</v>
      </c>
      <c r="AU247" s="30">
        <v>62339.199999999997</v>
      </c>
      <c r="AV247" s="30">
        <v>67298.559999999998</v>
      </c>
      <c r="AW247" s="30">
        <v>67668.23</v>
      </c>
      <c r="AX247" s="30">
        <v>74561.100000000006</v>
      </c>
      <c r="AY247" s="30">
        <v>74929.789999999994</v>
      </c>
      <c r="AZ247" s="30">
        <v>75029.100000000006</v>
      </c>
      <c r="BA247" s="30" t="e">
        <f t="array" aca="1" ref="BA247" ca="1">_xludf.XLOOKUP(C247,'PL TOTAL D0'!A:A,'PL TOTAL D0'!C:C,"")</f>
        <v>#NAME?</v>
      </c>
    </row>
    <row r="248" spans="1:53" ht="13.5" customHeight="1">
      <c r="A248" s="23" t="s">
        <v>29</v>
      </c>
      <c r="B248" s="3" t="s">
        <v>953</v>
      </c>
      <c r="C248" s="4" t="s">
        <v>954</v>
      </c>
      <c r="D248" s="7" t="s">
        <v>64</v>
      </c>
      <c r="E248" s="7" t="s">
        <v>20</v>
      </c>
      <c r="F248" s="7" t="s">
        <v>955</v>
      </c>
      <c r="G248" s="7" t="e">
        <f t="shared" ca="1" si="0"/>
        <v>#NAME?</v>
      </c>
      <c r="H248" s="24" t="s">
        <v>143</v>
      </c>
      <c r="I248" s="24" t="s">
        <v>25</v>
      </c>
      <c r="J248" s="7" t="str">
        <f t="shared" si="12"/>
        <v>Não</v>
      </c>
      <c r="K248" s="25">
        <v>44879</v>
      </c>
      <c r="L248" s="25">
        <v>45516</v>
      </c>
      <c r="M248" s="7" t="s">
        <v>42</v>
      </c>
      <c r="N248" s="26">
        <v>0.01</v>
      </c>
      <c r="O248" s="7" t="s">
        <v>25</v>
      </c>
      <c r="P248" s="27">
        <v>0</v>
      </c>
      <c r="Q248" s="28"/>
      <c r="R248" s="28" t="s">
        <v>956</v>
      </c>
      <c r="S248" s="7" t="s">
        <v>145</v>
      </c>
      <c r="T248" s="7" t="s">
        <v>957</v>
      </c>
      <c r="U248" s="7" t="s">
        <v>20</v>
      </c>
      <c r="V248" s="24" t="e">
        <f t="shared" ca="1" si="2"/>
        <v>#NAME?</v>
      </c>
      <c r="W248" s="7"/>
      <c r="X248" s="7"/>
      <c r="Y248" s="29" t="s">
        <v>253</v>
      </c>
      <c r="Z248" s="30"/>
      <c r="AA248" s="31">
        <v>44879</v>
      </c>
      <c r="AB248" s="32">
        <v>49075100005702</v>
      </c>
      <c r="AC248" s="30"/>
      <c r="AD248" s="30"/>
      <c r="AE248" s="30">
        <v>10136.48</v>
      </c>
      <c r="AF248" s="30">
        <v>335914.5</v>
      </c>
      <c r="AG248" s="30">
        <v>374246.97</v>
      </c>
      <c r="AH248" s="30">
        <v>497306.27</v>
      </c>
      <c r="AI248" s="30">
        <v>563290.93999999994</v>
      </c>
      <c r="AJ248" s="30">
        <v>615707.80000000005</v>
      </c>
      <c r="AK248" s="30">
        <v>620316.84</v>
      </c>
      <c r="AL248" s="30">
        <v>625662.88</v>
      </c>
      <c r="AM248" s="30">
        <v>631821.54</v>
      </c>
      <c r="AN248" s="30">
        <v>635773.94999999995</v>
      </c>
      <c r="AO248" s="30">
        <v>675574.55</v>
      </c>
      <c r="AP248" s="30">
        <v>679688.24</v>
      </c>
      <c r="AQ248" s="30">
        <v>684973.02</v>
      </c>
      <c r="AR248" s="30">
        <v>690693.97</v>
      </c>
      <c r="AS248" s="30">
        <v>695825.83</v>
      </c>
      <c r="AT248" s="30">
        <v>697736.76</v>
      </c>
      <c r="AU248" s="30">
        <v>702259.73</v>
      </c>
      <c r="AV248" s="30">
        <v>707620.8</v>
      </c>
      <c r="AW248" s="30">
        <v>721077.1</v>
      </c>
      <c r="AX248" s="30">
        <v>726874.6</v>
      </c>
      <c r="AY248" s="30">
        <v>0</v>
      </c>
      <c r="AZ248" s="30">
        <v>0</v>
      </c>
      <c r="BA248" s="30" t="e">
        <f t="array" aca="1" ref="BA248" ca="1">_xludf.XLOOKUP(C248,'PL TOTAL D0'!A:A,'PL TOTAL D0'!C:C,"")</f>
        <v>#NAME?</v>
      </c>
    </row>
    <row r="249" spans="1:53" ht="13.5" customHeight="1">
      <c r="A249" s="23" t="s">
        <v>29</v>
      </c>
      <c r="B249" s="3" t="s">
        <v>958</v>
      </c>
      <c r="C249" s="35" t="s">
        <v>959</v>
      </c>
      <c r="D249" s="7" t="s">
        <v>19</v>
      </c>
      <c r="E249" s="7" t="s">
        <v>49</v>
      </c>
      <c r="F249" s="7" t="s">
        <v>50</v>
      </c>
      <c r="G249" s="7" t="e">
        <f t="shared" ca="1" si="0"/>
        <v>#NAME?</v>
      </c>
      <c r="H249" s="24" t="s">
        <v>152</v>
      </c>
      <c r="I249" s="24" t="s">
        <v>25</v>
      </c>
      <c r="J249" s="7" t="str">
        <f t="shared" si="12"/>
        <v>Não</v>
      </c>
      <c r="K249" s="25">
        <v>45331</v>
      </c>
      <c r="L249" s="7"/>
      <c r="M249" s="7" t="s">
        <v>42</v>
      </c>
      <c r="N249" s="26">
        <v>1.2E-2</v>
      </c>
      <c r="O249" s="7" t="s">
        <v>25</v>
      </c>
      <c r="P249" s="27">
        <v>0</v>
      </c>
      <c r="Q249" s="28"/>
      <c r="R249" s="28"/>
      <c r="S249" s="7" t="s">
        <v>187</v>
      </c>
      <c r="T249" s="6" t="s">
        <v>960</v>
      </c>
      <c r="U249" s="7" t="s">
        <v>49</v>
      </c>
      <c r="V249" s="24" t="e">
        <f t="shared" ca="1" si="2"/>
        <v>#NAME?</v>
      </c>
      <c r="W249" s="7"/>
      <c r="X249" s="7"/>
      <c r="Y249" s="29" t="s">
        <v>147</v>
      </c>
      <c r="Z249" s="30"/>
      <c r="AA249" s="31">
        <v>45331</v>
      </c>
      <c r="AB249" s="32">
        <v>49075100013330</v>
      </c>
      <c r="AC249" s="30"/>
      <c r="AD249" s="30"/>
      <c r="AE249" s="30"/>
      <c r="AF249" s="30"/>
      <c r="AG249" s="30"/>
      <c r="AH249" s="30"/>
      <c r="AI249" s="30"/>
      <c r="AJ249" s="30"/>
      <c r="AK249" s="30"/>
      <c r="AL249" s="30"/>
      <c r="AM249" s="30"/>
      <c r="AN249" s="30"/>
      <c r="AO249" s="30"/>
      <c r="AP249" s="30"/>
      <c r="AQ249" s="30"/>
      <c r="AR249" s="30"/>
      <c r="AS249" s="30">
        <v>0</v>
      </c>
      <c r="AT249" s="30">
        <v>50397.13</v>
      </c>
      <c r="AU249" s="30">
        <v>50833.68</v>
      </c>
      <c r="AV249" s="30">
        <v>51234.96</v>
      </c>
      <c r="AW249" s="30">
        <v>51665.89</v>
      </c>
      <c r="AX249" s="30">
        <v>52114.84</v>
      </c>
      <c r="AY249" s="30">
        <v>52548.2</v>
      </c>
      <c r="AZ249" s="30">
        <v>52916.24</v>
      </c>
      <c r="BA249" s="30" t="e">
        <f t="array" aca="1" ref="BA249" ca="1">_xludf.XLOOKUP(C249,'PL TOTAL D0'!A:A,'PL TOTAL D0'!C:C,"")</f>
        <v>#NAME?</v>
      </c>
    </row>
    <row r="250" spans="1:53" ht="12.75">
      <c r="A250" s="23" t="s">
        <v>29</v>
      </c>
      <c r="B250" s="104" t="s">
        <v>961</v>
      </c>
      <c r="C250" s="105" t="s">
        <v>962</v>
      </c>
      <c r="D250" s="7" t="s">
        <v>19</v>
      </c>
      <c r="E250" s="7" t="s">
        <v>34</v>
      </c>
      <c r="F250" s="9" t="s">
        <v>262</v>
      </c>
      <c r="G250" s="7" t="e">
        <f t="shared" ca="1" si="0"/>
        <v>#NAME?</v>
      </c>
      <c r="H250" s="24" t="s">
        <v>143</v>
      </c>
      <c r="I250" s="24" t="s">
        <v>25</v>
      </c>
      <c r="J250" s="7" t="str">
        <f t="shared" si="12"/>
        <v>Não</v>
      </c>
      <c r="K250" s="25">
        <v>45222</v>
      </c>
      <c r="L250" s="79">
        <v>45589</v>
      </c>
      <c r="M250" s="7" t="s">
        <v>172</v>
      </c>
      <c r="N250" s="26">
        <v>0</v>
      </c>
      <c r="O250" s="7" t="s">
        <v>25</v>
      </c>
      <c r="P250" s="27">
        <v>0</v>
      </c>
      <c r="Q250" s="28"/>
      <c r="R250" s="28"/>
      <c r="S250" s="7" t="s">
        <v>145</v>
      </c>
      <c r="T250" s="7" t="s">
        <v>963</v>
      </c>
      <c r="U250" s="7" t="s">
        <v>39</v>
      </c>
      <c r="V250" s="24" t="e">
        <f t="shared" ca="1" si="2"/>
        <v>#NAME?</v>
      </c>
      <c r="W250" s="7"/>
      <c r="X250" s="7"/>
      <c r="Y250" s="29" t="s">
        <v>147</v>
      </c>
      <c r="Z250" s="30"/>
      <c r="AA250" s="31">
        <v>45222</v>
      </c>
      <c r="AB250" s="32">
        <v>49075100012334</v>
      </c>
      <c r="AC250" s="30"/>
      <c r="AD250" s="30"/>
      <c r="AE250" s="30"/>
      <c r="AF250" s="30"/>
      <c r="AG250" s="30"/>
      <c r="AH250" s="30"/>
      <c r="AI250" s="30"/>
      <c r="AJ250" s="30"/>
      <c r="AK250" s="30"/>
      <c r="AL250" s="30"/>
      <c r="AM250" s="30"/>
      <c r="AN250" s="30"/>
      <c r="AO250" s="30">
        <v>0</v>
      </c>
      <c r="AP250" s="30">
        <v>0</v>
      </c>
      <c r="AQ250" s="30">
        <v>0</v>
      </c>
      <c r="AR250" s="30">
        <v>0</v>
      </c>
      <c r="AS250" s="30">
        <v>0</v>
      </c>
      <c r="AT250" s="30">
        <v>0</v>
      </c>
      <c r="AU250" s="30">
        <v>0</v>
      </c>
      <c r="AV250" s="30">
        <v>0</v>
      </c>
      <c r="AW250" s="30">
        <v>0</v>
      </c>
      <c r="AX250" s="30">
        <v>0</v>
      </c>
      <c r="AY250" s="30">
        <v>0</v>
      </c>
      <c r="AZ250" s="30">
        <v>0</v>
      </c>
      <c r="BA250" s="30" t="e">
        <f t="array" aca="1" ref="BA250" ca="1">_xludf.XLOOKUP(C250,'PL TOTAL D0'!A:A,'PL TOTAL D0'!C:C,"")</f>
        <v>#NAME?</v>
      </c>
    </row>
    <row r="251" spans="1:53" ht="13.5" customHeight="1">
      <c r="A251" s="23" t="s">
        <v>29</v>
      </c>
      <c r="B251" s="40" t="s">
        <v>964</v>
      </c>
      <c r="C251" s="41" t="s">
        <v>965</v>
      </c>
      <c r="D251" s="7" t="s">
        <v>64</v>
      </c>
      <c r="E251" s="7" t="s">
        <v>20</v>
      </c>
      <c r="F251" s="7" t="s">
        <v>489</v>
      </c>
      <c r="G251" s="7" t="e">
        <f t="shared" ca="1" si="0"/>
        <v>#NAME?</v>
      </c>
      <c r="H251" s="24" t="s">
        <v>143</v>
      </c>
      <c r="I251" s="24" t="s">
        <v>25</v>
      </c>
      <c r="J251" s="7" t="str">
        <f t="shared" si="12"/>
        <v>Não</v>
      </c>
      <c r="K251" s="25">
        <v>45174</v>
      </c>
      <c r="L251" s="25">
        <v>45526</v>
      </c>
      <c r="M251" s="7" t="s">
        <v>42</v>
      </c>
      <c r="N251" s="26">
        <v>8.5000000000000006E-3</v>
      </c>
      <c r="O251" s="7" t="s">
        <v>25</v>
      </c>
      <c r="P251" s="27">
        <v>0</v>
      </c>
      <c r="Q251" s="28"/>
      <c r="R251" s="28"/>
      <c r="S251" s="7" t="s">
        <v>145</v>
      </c>
      <c r="T251" s="7" t="s">
        <v>966</v>
      </c>
      <c r="U251" s="7" t="s">
        <v>60</v>
      </c>
      <c r="V251" s="24" t="e">
        <f t="shared" ca="1" si="2"/>
        <v>#NAME?</v>
      </c>
      <c r="W251" s="7"/>
      <c r="X251" s="7"/>
      <c r="Y251" s="29" t="s">
        <v>147</v>
      </c>
      <c r="Z251" s="30"/>
      <c r="AA251" s="31">
        <v>45174</v>
      </c>
      <c r="AB251" s="32">
        <v>49075100009228</v>
      </c>
      <c r="AC251" s="30"/>
      <c r="AD251" s="30"/>
      <c r="AE251" s="30"/>
      <c r="AF251" s="30"/>
      <c r="AG251" s="30"/>
      <c r="AH251" s="30"/>
      <c r="AI251" s="30"/>
      <c r="AJ251" s="30"/>
      <c r="AK251" s="30"/>
      <c r="AL251" s="30"/>
      <c r="AM251" s="30">
        <v>1008072</v>
      </c>
      <c r="AN251" s="30">
        <v>1015617.95</v>
      </c>
      <c r="AO251" s="30">
        <v>1024973.2</v>
      </c>
      <c r="AP251" s="30">
        <v>1032706.95</v>
      </c>
      <c r="AQ251" s="30">
        <v>1040938.18</v>
      </c>
      <c r="AR251" s="30">
        <v>1050466.33</v>
      </c>
      <c r="AS251" s="30">
        <v>1656050.13</v>
      </c>
      <c r="AT251" s="30">
        <v>1639208.17</v>
      </c>
      <c r="AU251" s="30">
        <v>1649756.35</v>
      </c>
      <c r="AV251" s="30">
        <v>1672059</v>
      </c>
      <c r="AW251" s="30">
        <v>1688895</v>
      </c>
      <c r="AX251" s="30">
        <v>1707258</v>
      </c>
      <c r="AY251" s="30">
        <v>0</v>
      </c>
      <c r="AZ251" s="30">
        <v>0</v>
      </c>
      <c r="BA251" s="30" t="e">
        <f t="array" aca="1" ref="BA251" ca="1">_xludf.XLOOKUP(C251,'PL TOTAL D0'!A:A,'PL TOTAL D0'!C:C,"")</f>
        <v>#NAME?</v>
      </c>
    </row>
    <row r="252" spans="1:53" ht="13.5" customHeight="1">
      <c r="A252" s="23" t="s">
        <v>29</v>
      </c>
      <c r="B252" s="106" t="s">
        <v>967</v>
      </c>
      <c r="C252" s="41" t="s">
        <v>968</v>
      </c>
      <c r="D252" s="7" t="s">
        <v>19</v>
      </c>
      <c r="E252" s="7" t="s">
        <v>20</v>
      </c>
      <c r="F252" s="9" t="s">
        <v>508</v>
      </c>
      <c r="G252" s="7" t="e">
        <f t="shared" ca="1" si="0"/>
        <v>#NAME?</v>
      </c>
      <c r="H252" s="24" t="s">
        <v>152</v>
      </c>
      <c r="I252" s="24" t="s">
        <v>25</v>
      </c>
      <c r="J252" s="7" t="str">
        <f t="shared" si="12"/>
        <v>Não</v>
      </c>
      <c r="K252" s="25">
        <v>45201</v>
      </c>
      <c r="L252" s="7"/>
      <c r="M252" s="7" t="s">
        <v>42</v>
      </c>
      <c r="N252" s="26">
        <v>1.2E-2</v>
      </c>
      <c r="O252" s="7" t="s">
        <v>25</v>
      </c>
      <c r="P252" s="27">
        <v>0</v>
      </c>
      <c r="Q252" s="69"/>
      <c r="R252" s="28"/>
      <c r="S252" s="7" t="s">
        <v>145</v>
      </c>
      <c r="T252" s="7" t="s">
        <v>969</v>
      </c>
      <c r="U252" s="7" t="s">
        <v>20</v>
      </c>
      <c r="V252" s="24" t="e">
        <f t="shared" ca="1" si="2"/>
        <v>#NAME?</v>
      </c>
      <c r="W252" s="7"/>
      <c r="X252" s="7"/>
      <c r="Y252" s="29" t="s">
        <v>147</v>
      </c>
      <c r="Z252" s="30"/>
      <c r="AA252" s="31">
        <v>45201</v>
      </c>
      <c r="AB252" s="32">
        <v>49075100011362</v>
      </c>
      <c r="AC252" s="30"/>
      <c r="AD252" s="30"/>
      <c r="AE252" s="30"/>
      <c r="AF252" s="30"/>
      <c r="AG252" s="30"/>
      <c r="AH252" s="30"/>
      <c r="AI252" s="30"/>
      <c r="AJ252" s="30"/>
      <c r="AK252" s="30"/>
      <c r="AL252" s="30"/>
      <c r="AM252" s="30"/>
      <c r="AN252" s="30">
        <v>20000</v>
      </c>
      <c r="AO252" s="30">
        <v>40282.69</v>
      </c>
      <c r="AP252" s="30">
        <v>40601.32</v>
      </c>
      <c r="AQ252" s="30">
        <v>40928</v>
      </c>
      <c r="AR252" s="30">
        <v>35241.03</v>
      </c>
      <c r="AS252" s="30">
        <v>35524.28</v>
      </c>
      <c r="AT252" s="30">
        <v>35820.129999999997</v>
      </c>
      <c r="AU252" s="30">
        <v>36122.49</v>
      </c>
      <c r="AV252" s="30">
        <v>36409.230000000003</v>
      </c>
      <c r="AW252" s="30">
        <v>36693.51</v>
      </c>
      <c r="AX252" s="30">
        <v>37017.25</v>
      </c>
      <c r="AY252" s="30">
        <v>37323.17</v>
      </c>
      <c r="AZ252" s="30">
        <v>66740.179999999993</v>
      </c>
      <c r="BA252" s="30" t="e">
        <f t="array" aca="1" ref="BA252" ca="1">_xludf.XLOOKUP(C252,'PL TOTAL D0'!A:A,'PL TOTAL D0'!C:C,"")</f>
        <v>#NAME?</v>
      </c>
    </row>
    <row r="253" spans="1:53" ht="13.5" customHeight="1">
      <c r="A253" s="23" t="s">
        <v>29</v>
      </c>
      <c r="B253" s="23" t="s">
        <v>970</v>
      </c>
      <c r="C253" s="44" t="s">
        <v>971</v>
      </c>
      <c r="D253" s="7" t="s">
        <v>19</v>
      </c>
      <c r="E253" s="7" t="s">
        <v>49</v>
      </c>
      <c r="F253" s="7" t="s">
        <v>77</v>
      </c>
      <c r="G253" s="7" t="e">
        <f t="shared" ca="1" si="0"/>
        <v>#NAME?</v>
      </c>
      <c r="H253" s="24" t="s">
        <v>152</v>
      </c>
      <c r="I253" s="24" t="s">
        <v>25</v>
      </c>
      <c r="J253" s="7" t="str">
        <f t="shared" si="12"/>
        <v>Não</v>
      </c>
      <c r="K253" s="25">
        <v>45373</v>
      </c>
      <c r="L253" s="7"/>
      <c r="M253" s="7" t="s">
        <v>42</v>
      </c>
      <c r="N253" s="26">
        <v>1.2E-2</v>
      </c>
      <c r="O253" s="7" t="s">
        <v>25</v>
      </c>
      <c r="P253" s="27">
        <v>0</v>
      </c>
      <c r="Q253" s="69"/>
      <c r="R253" s="28"/>
      <c r="S253" s="7" t="s">
        <v>145</v>
      </c>
      <c r="T253" s="12" t="s">
        <v>972</v>
      </c>
      <c r="U253" s="7" t="s">
        <v>49</v>
      </c>
      <c r="V253" s="24" t="e">
        <f t="shared" ca="1" si="2"/>
        <v>#NAME?</v>
      </c>
      <c r="W253" s="7"/>
      <c r="X253" s="7"/>
      <c r="Y253" s="29" t="s">
        <v>147</v>
      </c>
      <c r="Z253" s="30"/>
      <c r="AA253" s="31">
        <v>45373</v>
      </c>
      <c r="AB253" s="32">
        <v>49075100013772</v>
      </c>
      <c r="AC253" s="30"/>
      <c r="AD253" s="30"/>
      <c r="AE253" s="30"/>
      <c r="AF253" s="30"/>
      <c r="AG253" s="30"/>
      <c r="AH253" s="30"/>
      <c r="AI253" s="30"/>
      <c r="AJ253" s="30"/>
      <c r="AK253" s="30"/>
      <c r="AL253" s="30"/>
      <c r="AM253" s="30"/>
      <c r="AN253" s="30"/>
      <c r="AO253" s="30"/>
      <c r="AP253" s="30"/>
      <c r="AQ253" s="30"/>
      <c r="AR253" s="30"/>
      <c r="AS253" s="30"/>
      <c r="AT253" s="30">
        <v>50061.93</v>
      </c>
      <c r="AU253" s="30">
        <v>50477.13</v>
      </c>
      <c r="AV253" s="30">
        <v>50892.79</v>
      </c>
      <c r="AW253" s="30">
        <v>50309.87</v>
      </c>
      <c r="AX253" s="30">
        <v>150858.20000000001</v>
      </c>
      <c r="AY253" s="30">
        <v>151171.60999999999</v>
      </c>
      <c r="AZ253" s="30">
        <v>152264.85</v>
      </c>
      <c r="BA253" s="30" t="e">
        <f t="array" aca="1" ref="BA253" ca="1">_xludf.XLOOKUP(C253,'PL TOTAL D0'!A:A,'PL TOTAL D0'!C:C,"")</f>
        <v>#NAME?</v>
      </c>
    </row>
    <row r="254" spans="1:53" ht="15.75" customHeight="1">
      <c r="A254" s="23" t="s">
        <v>29</v>
      </c>
      <c r="B254" s="3" t="s">
        <v>973</v>
      </c>
      <c r="C254" s="4" t="s">
        <v>974</v>
      </c>
      <c r="D254" s="7" t="s">
        <v>19</v>
      </c>
      <c r="E254" s="7" t="s">
        <v>49</v>
      </c>
      <c r="F254" s="7" t="s">
        <v>50</v>
      </c>
      <c r="G254" s="7" t="e">
        <f t="shared" ca="1" si="0"/>
        <v>#NAME?</v>
      </c>
      <c r="H254" s="24" t="s">
        <v>161</v>
      </c>
      <c r="I254" s="24" t="s">
        <v>162</v>
      </c>
      <c r="J254" s="7" t="str">
        <f t="shared" si="12"/>
        <v>Não</v>
      </c>
      <c r="K254" s="25">
        <v>45033</v>
      </c>
      <c r="L254" s="7"/>
      <c r="M254" s="7" t="s">
        <v>42</v>
      </c>
      <c r="N254" s="26">
        <v>1.2E-2</v>
      </c>
      <c r="O254" s="7" t="s">
        <v>25</v>
      </c>
      <c r="P254" s="27">
        <v>0</v>
      </c>
      <c r="Q254" s="90"/>
      <c r="R254" s="28" t="s">
        <v>975</v>
      </c>
      <c r="S254" s="7" t="s">
        <v>145</v>
      </c>
      <c r="T254" s="7" t="s">
        <v>976</v>
      </c>
      <c r="U254" s="7" t="s">
        <v>977</v>
      </c>
      <c r="V254" s="24" t="e">
        <f t="shared" ca="1" si="2"/>
        <v>#NAME?</v>
      </c>
      <c r="W254" s="7"/>
      <c r="X254" s="7"/>
      <c r="Y254" s="29" t="s">
        <v>253</v>
      </c>
      <c r="Z254" s="30"/>
      <c r="AA254" s="31">
        <v>45033</v>
      </c>
      <c r="AB254" s="32">
        <v>49075100008744</v>
      </c>
      <c r="AC254" s="30"/>
      <c r="AD254" s="30"/>
      <c r="AE254" s="30"/>
      <c r="AF254" s="30"/>
      <c r="AG254" s="30"/>
      <c r="AH254" s="30">
        <v>0</v>
      </c>
      <c r="AI254" s="30">
        <v>46179.63</v>
      </c>
      <c r="AJ254" s="30">
        <v>80855.08</v>
      </c>
      <c r="AK254" s="30">
        <v>81626.89</v>
      </c>
      <c r="AL254" s="30">
        <v>119621.4</v>
      </c>
      <c r="AM254" s="30">
        <v>120539.62</v>
      </c>
      <c r="AN254" s="30">
        <v>120449.7</v>
      </c>
      <c r="AO254" s="30">
        <v>121096.23</v>
      </c>
      <c r="AP254" s="30">
        <v>125570.61</v>
      </c>
      <c r="AQ254" s="30">
        <v>126552.32000000001</v>
      </c>
      <c r="AR254" s="30">
        <v>127514.13</v>
      </c>
      <c r="AS254" s="30">
        <v>128381.85</v>
      </c>
      <c r="AT254" s="30">
        <v>144284.79999999999</v>
      </c>
      <c r="AU254" s="30">
        <v>102445.67</v>
      </c>
      <c r="AV254" s="30">
        <v>103185</v>
      </c>
      <c r="AW254" s="30">
        <v>104081.9</v>
      </c>
      <c r="AX254" s="30">
        <v>0</v>
      </c>
      <c r="AY254" s="30">
        <v>0.96</v>
      </c>
      <c r="AZ254" s="30">
        <v>0.96</v>
      </c>
      <c r="BA254" s="30" t="e">
        <f t="array" aca="1" ref="BA254" ca="1">_xludf.XLOOKUP(C254,'PL TOTAL D0'!A:A,'PL TOTAL D0'!C:C,"")</f>
        <v>#NAME?</v>
      </c>
    </row>
    <row r="255" spans="1:53" ht="15.75" customHeight="1">
      <c r="A255" s="23" t="s">
        <v>29</v>
      </c>
      <c r="B255" s="37" t="s">
        <v>978</v>
      </c>
      <c r="C255" s="4" t="s">
        <v>979</v>
      </c>
      <c r="D255" s="7" t="s">
        <v>19</v>
      </c>
      <c r="E255" s="7" t="s">
        <v>49</v>
      </c>
      <c r="F255" s="7" t="s">
        <v>277</v>
      </c>
      <c r="G255" s="7" t="e">
        <f t="shared" ca="1" si="0"/>
        <v>#NAME?</v>
      </c>
      <c r="H255" s="24" t="s">
        <v>152</v>
      </c>
      <c r="I255" s="24" t="s">
        <v>25</v>
      </c>
      <c r="J255" s="7" t="str">
        <f t="shared" si="12"/>
        <v>Não</v>
      </c>
      <c r="K255" s="25">
        <v>45156</v>
      </c>
      <c r="L255" s="7"/>
      <c r="M255" s="7" t="s">
        <v>42</v>
      </c>
      <c r="N255" s="26">
        <v>1.2E-2</v>
      </c>
      <c r="O255" s="7" t="s">
        <v>25</v>
      </c>
      <c r="P255" s="27">
        <v>0</v>
      </c>
      <c r="Q255" s="90"/>
      <c r="R255" s="90"/>
      <c r="S255" s="7" t="s">
        <v>145</v>
      </c>
      <c r="T255" s="7" t="s">
        <v>980</v>
      </c>
      <c r="U255" s="7" t="s">
        <v>49</v>
      </c>
      <c r="V255" s="24" t="e">
        <f t="shared" ca="1" si="2"/>
        <v>#NAME?</v>
      </c>
      <c r="W255" s="7"/>
      <c r="X255" s="7"/>
      <c r="Y255" s="29" t="s">
        <v>147</v>
      </c>
      <c r="Z255" s="30"/>
      <c r="AA255" s="31">
        <v>45156</v>
      </c>
      <c r="AB255" s="32">
        <v>49075100003467</v>
      </c>
      <c r="AC255" s="30"/>
      <c r="AD255" s="30"/>
      <c r="AE255" s="30"/>
      <c r="AF255" s="30"/>
      <c r="AG255" s="30"/>
      <c r="AH255" s="30"/>
      <c r="AI255" s="30"/>
      <c r="AJ255" s="30"/>
      <c r="AK255" s="30"/>
      <c r="AL255" s="30">
        <v>0</v>
      </c>
      <c r="AM255" s="30">
        <v>149636.09</v>
      </c>
      <c r="AN255" s="30">
        <v>150952.89000000001</v>
      </c>
      <c r="AO255" s="30">
        <v>232166.14</v>
      </c>
      <c r="AP255" s="30">
        <v>233935.6</v>
      </c>
      <c r="AQ255" s="30">
        <v>228169.1</v>
      </c>
      <c r="AR255" s="30">
        <v>226107.48</v>
      </c>
      <c r="AS255" s="30">
        <v>228001.65</v>
      </c>
      <c r="AT255" s="30">
        <v>229850.74</v>
      </c>
      <c r="AU255" s="30">
        <v>231564.76</v>
      </c>
      <c r="AV255" s="30">
        <v>233164.3</v>
      </c>
      <c r="AW255" s="30">
        <v>234974.7</v>
      </c>
      <c r="AX255" s="30">
        <v>236944.4</v>
      </c>
      <c r="AY255" s="30">
        <v>237514.14</v>
      </c>
      <c r="AZ255" s="30">
        <v>239191.17</v>
      </c>
      <c r="BA255" s="30" t="e">
        <f t="array" aca="1" ref="BA255" ca="1">_xludf.XLOOKUP(C255,'PL TOTAL D0'!A:A,'PL TOTAL D0'!C:C,"")</f>
        <v>#NAME?</v>
      </c>
    </row>
    <row r="256" spans="1:53" ht="15.75" customHeight="1">
      <c r="A256" s="23" t="s">
        <v>29</v>
      </c>
      <c r="B256" s="36" t="s">
        <v>981</v>
      </c>
      <c r="C256" s="64" t="s">
        <v>982</v>
      </c>
      <c r="D256" s="7" t="s">
        <v>19</v>
      </c>
      <c r="E256" s="7" t="s">
        <v>20</v>
      </c>
      <c r="F256" s="7" t="s">
        <v>372</v>
      </c>
      <c r="G256" s="7" t="e">
        <f t="shared" ca="1" si="0"/>
        <v>#NAME?</v>
      </c>
      <c r="H256" s="24" t="s">
        <v>161</v>
      </c>
      <c r="I256" s="24" t="s">
        <v>211</v>
      </c>
      <c r="J256" s="7" t="str">
        <f t="shared" si="12"/>
        <v>Não</v>
      </c>
      <c r="K256" s="25">
        <v>45244</v>
      </c>
      <c r="L256" s="7"/>
      <c r="M256" s="7" t="s">
        <v>42</v>
      </c>
      <c r="N256" s="10">
        <v>0.01</v>
      </c>
      <c r="O256" s="6" t="s">
        <v>25</v>
      </c>
      <c r="P256" s="11">
        <v>0</v>
      </c>
      <c r="Q256" s="28"/>
      <c r="R256" s="90"/>
      <c r="S256" s="7" t="s">
        <v>145</v>
      </c>
      <c r="T256" s="7" t="s">
        <v>983</v>
      </c>
      <c r="U256" s="7" t="s">
        <v>20</v>
      </c>
      <c r="V256" s="24" t="e">
        <f t="shared" ca="1" si="2"/>
        <v>#NAME?</v>
      </c>
      <c r="W256" s="7"/>
      <c r="X256" s="7"/>
      <c r="Y256" s="29" t="s">
        <v>147</v>
      </c>
      <c r="Z256" s="30"/>
      <c r="AA256" s="31">
        <v>45244</v>
      </c>
      <c r="AB256" s="32">
        <v>49075100012342</v>
      </c>
      <c r="AC256" s="30"/>
      <c r="AD256" s="30"/>
      <c r="AE256" s="30"/>
      <c r="AF256" s="30"/>
      <c r="AG256" s="30"/>
      <c r="AH256" s="30"/>
      <c r="AI256" s="30"/>
      <c r="AJ256" s="30"/>
      <c r="AK256" s="30"/>
      <c r="AL256" s="30"/>
      <c r="AM256" s="30"/>
      <c r="AN256" s="30"/>
      <c r="AO256" s="30"/>
      <c r="AP256" s="30">
        <v>501584.96</v>
      </c>
      <c r="AQ256" s="30">
        <v>506734.82</v>
      </c>
      <c r="AR256" s="30">
        <v>584099.36</v>
      </c>
      <c r="AS256" s="30">
        <v>589656.67000000004</v>
      </c>
      <c r="AT256" s="30">
        <v>594327.36</v>
      </c>
      <c r="AU256" s="30">
        <v>597388.77</v>
      </c>
      <c r="AV256" s="30">
        <v>753544.4</v>
      </c>
      <c r="AW256" s="30">
        <v>760617.8</v>
      </c>
      <c r="AX256" s="30">
        <v>767870.3</v>
      </c>
      <c r="AY256" s="30">
        <v>771094.43</v>
      </c>
      <c r="AZ256" s="30">
        <v>775965.69</v>
      </c>
      <c r="BA256" s="30" t="e">
        <f t="array" aca="1" ref="BA256" ca="1">_xludf.XLOOKUP(C256,'PL TOTAL D0'!A:A,'PL TOTAL D0'!C:C,"")</f>
        <v>#NAME?</v>
      </c>
    </row>
    <row r="257" spans="1:53" ht="15.75" customHeight="1">
      <c r="A257" s="23" t="s">
        <v>29</v>
      </c>
      <c r="B257" s="37" t="s">
        <v>984</v>
      </c>
      <c r="C257" s="4" t="s">
        <v>985</v>
      </c>
      <c r="D257" s="7" t="s">
        <v>19</v>
      </c>
      <c r="E257" s="7" t="s">
        <v>20</v>
      </c>
      <c r="F257" s="7" t="s">
        <v>21</v>
      </c>
      <c r="G257" s="7" t="e">
        <f t="shared" ca="1" si="0"/>
        <v>#NAME?</v>
      </c>
      <c r="H257" s="24" t="s">
        <v>152</v>
      </c>
      <c r="I257" s="24" t="s">
        <v>25</v>
      </c>
      <c r="J257" s="7" t="str">
        <f t="shared" si="12"/>
        <v>Não</v>
      </c>
      <c r="K257" s="25">
        <v>44998</v>
      </c>
      <c r="L257" s="7"/>
      <c r="M257" s="7" t="s">
        <v>42</v>
      </c>
      <c r="N257" s="26">
        <v>1.2E-2</v>
      </c>
      <c r="O257" s="7" t="s">
        <v>25</v>
      </c>
      <c r="P257" s="27">
        <v>0</v>
      </c>
      <c r="Q257" s="28"/>
      <c r="R257" s="28"/>
      <c r="S257" s="7" t="s">
        <v>145</v>
      </c>
      <c r="T257" s="7" t="s">
        <v>986</v>
      </c>
      <c r="U257" s="7" t="s">
        <v>20</v>
      </c>
      <c r="V257" s="24" t="e">
        <f t="shared" ca="1" si="2"/>
        <v>#NAME?</v>
      </c>
      <c r="W257" s="7"/>
      <c r="X257" s="7"/>
      <c r="Y257" s="29" t="s">
        <v>147</v>
      </c>
      <c r="Z257" s="30"/>
      <c r="AA257" s="31">
        <v>44998</v>
      </c>
      <c r="AB257" s="32">
        <v>49075100003841</v>
      </c>
      <c r="AC257" s="30"/>
      <c r="AD257" s="30"/>
      <c r="AE257" s="30"/>
      <c r="AF257" s="30"/>
      <c r="AG257" s="30"/>
      <c r="AH257" s="30"/>
      <c r="AI257" s="30">
        <v>510841.58</v>
      </c>
      <c r="AJ257" s="30">
        <v>515470.43</v>
      </c>
      <c r="AK257" s="30">
        <v>520486.64</v>
      </c>
      <c r="AL257" s="30">
        <v>524784.14</v>
      </c>
      <c r="AM257" s="30">
        <v>529994.43000000005</v>
      </c>
      <c r="AN257" s="30">
        <v>533367.24</v>
      </c>
      <c r="AO257" s="30">
        <v>537439</v>
      </c>
      <c r="AP257" s="30">
        <v>541742.34</v>
      </c>
      <c r="AQ257" s="30">
        <v>546100.61</v>
      </c>
      <c r="AR257" s="30">
        <v>550935.38</v>
      </c>
      <c r="AS257" s="30">
        <v>555141.12</v>
      </c>
      <c r="AT257" s="30">
        <v>555199.17000000004</v>
      </c>
      <c r="AU257" s="30">
        <v>559656.02</v>
      </c>
      <c r="AV257" s="30">
        <v>563600.9</v>
      </c>
      <c r="AW257" s="30">
        <v>567745.5</v>
      </c>
      <c r="AX257" s="30">
        <v>570624.1</v>
      </c>
      <c r="AY257" s="30">
        <v>575403.57999999996</v>
      </c>
      <c r="AZ257" s="30">
        <v>578549.06999999995</v>
      </c>
      <c r="BA257" s="30" t="e">
        <f t="array" aca="1" ref="BA257" ca="1">_xludf.XLOOKUP(C257,'PL TOTAL D0'!A:A,'PL TOTAL D0'!C:C,"")</f>
        <v>#NAME?</v>
      </c>
    </row>
    <row r="258" spans="1:53" ht="15.75" customHeight="1">
      <c r="A258" s="23" t="s">
        <v>29</v>
      </c>
      <c r="B258" s="37" t="s">
        <v>987</v>
      </c>
      <c r="C258" s="4" t="s">
        <v>988</v>
      </c>
      <c r="D258" s="7" t="s">
        <v>19</v>
      </c>
      <c r="E258" s="7" t="s">
        <v>20</v>
      </c>
      <c r="F258" s="7" t="s">
        <v>989</v>
      </c>
      <c r="G258" s="7" t="e">
        <f t="shared" ref="G258:G512" ca="1" si="13">_xludf.IFS($BA$3:$BA$864&lt;=500000,"Breno",$BA$3:$BA$864&lt;=20000000,"Bruno",$BA$3:$BA$864="","")</f>
        <v>#NAME?</v>
      </c>
      <c r="H258" s="24" t="s">
        <v>152</v>
      </c>
      <c r="I258" s="24" t="s">
        <v>25</v>
      </c>
      <c r="J258" s="7" t="str">
        <f t="shared" si="12"/>
        <v>Sim</v>
      </c>
      <c r="K258" s="25">
        <v>45503</v>
      </c>
      <c r="L258" s="7"/>
      <c r="M258" s="7" t="s">
        <v>200</v>
      </c>
      <c r="N258" s="26">
        <v>1.4999999999999999E-2</v>
      </c>
      <c r="O258" s="7" t="s">
        <v>37</v>
      </c>
      <c r="P258" s="27">
        <v>0.1</v>
      </c>
      <c r="Q258" s="28" t="s">
        <v>990</v>
      </c>
      <c r="R258" s="28"/>
      <c r="S258" s="7" t="s">
        <v>187</v>
      </c>
      <c r="T258" s="7" t="s">
        <v>991</v>
      </c>
      <c r="U258" s="7" t="s">
        <v>20</v>
      </c>
      <c r="V258" s="24" t="e">
        <f t="shared" ref="V258:V512" ca="1" si="14">_xludf.IFS(H:H="Encerrado","Encerrado",COUNTBLANK(AM258:AX258)&gt;0,"Ativo",SUM(AM258:AX258)=0,"Inativo",SUM(AM258:AX258)&gt;0,"Ativo")</f>
        <v>#NAME?</v>
      </c>
      <c r="W258" s="7"/>
      <c r="X258" s="7" t="s">
        <v>52</v>
      </c>
      <c r="Y258" s="29" t="s">
        <v>147</v>
      </c>
      <c r="Z258" s="30"/>
      <c r="AA258" s="31">
        <v>45503</v>
      </c>
      <c r="AB258" s="32">
        <v>49075100015351</v>
      </c>
      <c r="AC258" s="30"/>
      <c r="AD258" s="30"/>
      <c r="AE258" s="30"/>
      <c r="AF258" s="30"/>
      <c r="AG258" s="30"/>
      <c r="AH258" s="30"/>
      <c r="AI258" s="30"/>
      <c r="AJ258" s="30"/>
      <c r="AK258" s="30"/>
      <c r="AL258" s="30"/>
      <c r="AM258" s="30"/>
      <c r="AN258" s="30"/>
      <c r="AO258" s="30"/>
      <c r="AP258" s="30"/>
      <c r="AQ258" s="30"/>
      <c r="AR258" s="30"/>
      <c r="AS258" s="30"/>
      <c r="AT258" s="30"/>
      <c r="AU258" s="30"/>
      <c r="AV258" s="30"/>
      <c r="AW258" s="30"/>
      <c r="AX258" s="30">
        <v>672915.7</v>
      </c>
      <c r="AY258" s="30">
        <v>0</v>
      </c>
      <c r="AZ258" s="30">
        <v>0</v>
      </c>
      <c r="BA258" s="30" t="e">
        <f t="array" aca="1" ref="BA258" ca="1">_xludf.XLOOKUP(C258,'PL TOTAL D0'!A:A,'PL TOTAL D0'!C:C,"")</f>
        <v>#NAME?</v>
      </c>
    </row>
    <row r="259" spans="1:53" ht="15.75" customHeight="1">
      <c r="A259" s="23" t="s">
        <v>29</v>
      </c>
      <c r="B259" s="37" t="s">
        <v>992</v>
      </c>
      <c r="C259" s="4" t="s">
        <v>993</v>
      </c>
      <c r="D259" s="7" t="s">
        <v>19</v>
      </c>
      <c r="E259" s="7" t="s">
        <v>20</v>
      </c>
      <c r="F259" s="7" t="s">
        <v>199</v>
      </c>
      <c r="G259" s="7" t="e">
        <f t="shared" ca="1" si="13"/>
        <v>#NAME?</v>
      </c>
      <c r="H259" s="24" t="s">
        <v>161</v>
      </c>
      <c r="I259" s="24" t="s">
        <v>994</v>
      </c>
      <c r="J259" s="7" t="str">
        <f t="shared" si="12"/>
        <v>Não</v>
      </c>
      <c r="K259" s="25">
        <v>45447</v>
      </c>
      <c r="L259" s="7"/>
      <c r="M259" s="7" t="s">
        <v>42</v>
      </c>
      <c r="N259" s="26">
        <v>7.0000000000000001E-3</v>
      </c>
      <c r="O259" s="7" t="s">
        <v>25</v>
      </c>
      <c r="P259" s="27">
        <v>0</v>
      </c>
      <c r="Q259" s="28"/>
      <c r="R259" s="28"/>
      <c r="S259" s="7" t="s">
        <v>145</v>
      </c>
      <c r="T259" s="7" t="s">
        <v>995</v>
      </c>
      <c r="U259" s="7" t="s">
        <v>20</v>
      </c>
      <c r="V259" s="24" t="e">
        <f t="shared" ca="1" si="14"/>
        <v>#NAME?</v>
      </c>
      <c r="W259" s="7"/>
      <c r="X259" s="7" t="s">
        <v>52</v>
      </c>
      <c r="Y259" s="29" t="s">
        <v>147</v>
      </c>
      <c r="Z259" s="30"/>
      <c r="AA259" s="31">
        <v>45447</v>
      </c>
      <c r="AB259" s="32">
        <v>49075100014841</v>
      </c>
      <c r="AC259" s="30"/>
      <c r="AD259" s="30"/>
      <c r="AE259" s="30"/>
      <c r="AF259" s="30"/>
      <c r="AG259" s="30"/>
      <c r="AH259" s="30"/>
      <c r="AI259" s="30"/>
      <c r="AJ259" s="30"/>
      <c r="AK259" s="30"/>
      <c r="AL259" s="30"/>
      <c r="AM259" s="30"/>
      <c r="AN259" s="30"/>
      <c r="AO259" s="30"/>
      <c r="AP259" s="30"/>
      <c r="AQ259" s="30"/>
      <c r="AR259" s="30"/>
      <c r="AS259" s="30"/>
      <c r="AT259" s="30"/>
      <c r="AU259" s="30"/>
      <c r="AV259" s="30"/>
      <c r="AW259" s="30">
        <v>0</v>
      </c>
      <c r="AX259" s="30">
        <v>0</v>
      </c>
      <c r="AY259" s="30">
        <v>0</v>
      </c>
      <c r="AZ259" s="30">
        <v>0</v>
      </c>
      <c r="BA259" s="30" t="e">
        <f t="array" aca="1" ref="BA259" ca="1">_xludf.XLOOKUP(C259,'PL TOTAL D0'!A:A,'PL TOTAL D0'!C:C,"")</f>
        <v>#NAME?</v>
      </c>
    </row>
    <row r="260" spans="1:53" ht="15.75" customHeight="1">
      <c r="A260" s="23" t="s">
        <v>29</v>
      </c>
      <c r="B260" s="37" t="s">
        <v>996</v>
      </c>
      <c r="C260" s="4" t="s">
        <v>997</v>
      </c>
      <c r="D260" s="7" t="s">
        <v>19</v>
      </c>
      <c r="E260" s="7" t="s">
        <v>20</v>
      </c>
      <c r="F260" s="7" t="s">
        <v>942</v>
      </c>
      <c r="G260" s="7" t="e">
        <f t="shared" ca="1" si="13"/>
        <v>#NAME?</v>
      </c>
      <c r="H260" s="24" t="s">
        <v>143</v>
      </c>
      <c r="I260" s="24" t="s">
        <v>25</v>
      </c>
      <c r="J260" s="7" t="str">
        <f t="shared" si="12"/>
        <v>Não</v>
      </c>
      <c r="K260" s="25">
        <v>45121</v>
      </c>
      <c r="L260" s="25">
        <v>45449</v>
      </c>
      <c r="M260" s="7" t="s">
        <v>42</v>
      </c>
      <c r="N260" s="26">
        <v>7.0000000000000001E-3</v>
      </c>
      <c r="O260" s="7" t="s">
        <v>25</v>
      </c>
      <c r="P260" s="27">
        <v>0</v>
      </c>
      <c r="Q260" s="28"/>
      <c r="R260" s="28"/>
      <c r="S260" s="7" t="s">
        <v>145</v>
      </c>
      <c r="T260" s="7" t="s">
        <v>998</v>
      </c>
      <c r="U260" s="7" t="s">
        <v>20</v>
      </c>
      <c r="V260" s="24" t="e">
        <f t="shared" ca="1" si="14"/>
        <v>#NAME?</v>
      </c>
      <c r="W260" s="7"/>
      <c r="X260" s="7"/>
      <c r="Y260" s="29" t="s">
        <v>253</v>
      </c>
      <c r="Z260" s="30"/>
      <c r="AA260" s="31">
        <v>45121</v>
      </c>
      <c r="AB260" s="32">
        <v>49075100008711</v>
      </c>
      <c r="AC260" s="30"/>
      <c r="AD260" s="30"/>
      <c r="AE260" s="30"/>
      <c r="AF260" s="30"/>
      <c r="AG260" s="30"/>
      <c r="AH260" s="30"/>
      <c r="AI260" s="30"/>
      <c r="AJ260" s="30"/>
      <c r="AK260" s="30">
        <v>0</v>
      </c>
      <c r="AL260" s="30">
        <v>50227.21</v>
      </c>
      <c r="AM260" s="30">
        <v>894427.47</v>
      </c>
      <c r="AN260" s="30">
        <v>1048091.75</v>
      </c>
      <c r="AO260" s="30">
        <v>1058910.21</v>
      </c>
      <c r="AP260" s="30">
        <v>1068060.23</v>
      </c>
      <c r="AQ260" s="30">
        <v>1123444.54</v>
      </c>
      <c r="AR260" s="30">
        <v>1135918.5</v>
      </c>
      <c r="AS260" s="30">
        <v>1146195.55</v>
      </c>
      <c r="AT260" s="30">
        <v>1158198.3400000001</v>
      </c>
      <c r="AU260" s="30">
        <v>1168973.79</v>
      </c>
      <c r="AV260" s="30">
        <v>1180324</v>
      </c>
      <c r="AW260" s="30">
        <v>0</v>
      </c>
      <c r="AX260" s="30">
        <v>0</v>
      </c>
      <c r="AY260" s="30">
        <v>0</v>
      </c>
      <c r="AZ260" s="30">
        <v>0</v>
      </c>
      <c r="BA260" s="30" t="e">
        <f t="array" aca="1" ref="BA260" ca="1">_xludf.XLOOKUP(C260,'PL TOTAL D0'!A:A,'PL TOTAL D0'!C:C,"")</f>
        <v>#NAME?</v>
      </c>
    </row>
    <row r="261" spans="1:53" ht="15.75" customHeight="1">
      <c r="A261" s="23" t="s">
        <v>29</v>
      </c>
      <c r="B261" s="3" t="s">
        <v>999</v>
      </c>
      <c r="C261" s="4" t="s">
        <v>1000</v>
      </c>
      <c r="D261" s="7" t="s">
        <v>19</v>
      </c>
      <c r="E261" s="7" t="s">
        <v>34</v>
      </c>
      <c r="F261" s="7" t="s">
        <v>262</v>
      </c>
      <c r="G261" s="7" t="e">
        <f t="shared" ca="1" si="13"/>
        <v>#NAME?</v>
      </c>
      <c r="H261" s="24" t="s">
        <v>161</v>
      </c>
      <c r="I261" s="24" t="s">
        <v>211</v>
      </c>
      <c r="J261" s="7" t="str">
        <f t="shared" si="12"/>
        <v>Não</v>
      </c>
      <c r="K261" s="25">
        <v>44910</v>
      </c>
      <c r="L261" s="7"/>
      <c r="M261" s="7" t="s">
        <v>42</v>
      </c>
      <c r="N261" s="26">
        <v>0.01</v>
      </c>
      <c r="O261" s="7" t="s">
        <v>25</v>
      </c>
      <c r="P261" s="27">
        <v>0</v>
      </c>
      <c r="Q261" s="28"/>
      <c r="R261" s="28"/>
      <c r="S261" s="7" t="s">
        <v>145</v>
      </c>
      <c r="T261" s="7" t="s">
        <v>1001</v>
      </c>
      <c r="U261" s="7" t="s">
        <v>39</v>
      </c>
      <c r="V261" s="24" t="e">
        <f t="shared" ca="1" si="14"/>
        <v>#NAME?</v>
      </c>
      <c r="W261" s="7"/>
      <c r="X261" s="7"/>
      <c r="Y261" s="29" t="s">
        <v>253</v>
      </c>
      <c r="Z261" s="30"/>
      <c r="AA261" s="31">
        <v>44910</v>
      </c>
      <c r="AB261" s="32">
        <v>49075100005710</v>
      </c>
      <c r="AC261" s="30"/>
      <c r="AD261" s="30"/>
      <c r="AE261" s="30">
        <v>68943.58</v>
      </c>
      <c r="AF261" s="30">
        <v>118025.58</v>
      </c>
      <c r="AG261" s="30">
        <v>155121.31</v>
      </c>
      <c r="AH261" s="30">
        <v>184963.20000000001</v>
      </c>
      <c r="AI261" s="30">
        <v>236338.07</v>
      </c>
      <c r="AJ261" s="30">
        <v>268061.12</v>
      </c>
      <c r="AK261" s="30">
        <v>270457.40999999997</v>
      </c>
      <c r="AL261" s="30">
        <v>272850.52</v>
      </c>
      <c r="AM261" s="30">
        <v>275521.84999999998</v>
      </c>
      <c r="AN261" s="30">
        <v>267637.84999999998</v>
      </c>
      <c r="AO261" s="30">
        <v>330289.46999999997</v>
      </c>
      <c r="AP261" s="30">
        <v>332714.82</v>
      </c>
      <c r="AQ261" s="30">
        <v>334027.17</v>
      </c>
      <c r="AR261" s="30">
        <v>336894.57</v>
      </c>
      <c r="AS261" s="30">
        <v>339629.8</v>
      </c>
      <c r="AT261" s="30">
        <v>342743.89</v>
      </c>
      <c r="AU261" s="30">
        <v>344355.68</v>
      </c>
      <c r="AV261" s="30">
        <v>347010.6</v>
      </c>
      <c r="AW261" s="30">
        <v>349796.6</v>
      </c>
      <c r="AX261" s="30">
        <v>382099.5</v>
      </c>
      <c r="AY261" s="30">
        <v>385271.99</v>
      </c>
      <c r="AZ261" s="30">
        <v>372205.93</v>
      </c>
      <c r="BA261" s="30" t="e">
        <f t="array" aca="1" ref="BA261" ca="1">_xludf.XLOOKUP(C261,'PL TOTAL D0'!A:A,'PL TOTAL D0'!C:C,"")</f>
        <v>#NAME?</v>
      </c>
    </row>
    <row r="262" spans="1:53" ht="15.75" customHeight="1">
      <c r="A262" s="23" t="s">
        <v>29</v>
      </c>
      <c r="B262" s="3" t="s">
        <v>1002</v>
      </c>
      <c r="C262" s="4" t="s">
        <v>1003</v>
      </c>
      <c r="D262" s="7" t="s">
        <v>19</v>
      </c>
      <c r="E262" s="7" t="s">
        <v>49</v>
      </c>
      <c r="F262" s="7" t="s">
        <v>50</v>
      </c>
      <c r="G262" s="7" t="e">
        <f t="shared" ca="1" si="13"/>
        <v>#NAME?</v>
      </c>
      <c r="H262" s="24" t="s">
        <v>152</v>
      </c>
      <c r="I262" s="24" t="s">
        <v>25</v>
      </c>
      <c r="J262" s="7" t="str">
        <f t="shared" si="12"/>
        <v>Não</v>
      </c>
      <c r="K262" s="25">
        <v>44935</v>
      </c>
      <c r="L262" s="7"/>
      <c r="M262" s="7" t="s">
        <v>42</v>
      </c>
      <c r="N262" s="26">
        <v>0.01</v>
      </c>
      <c r="O262" s="7" t="s">
        <v>25</v>
      </c>
      <c r="P262" s="27">
        <v>0</v>
      </c>
      <c r="Q262" s="28"/>
      <c r="R262" s="28"/>
      <c r="S262" s="7" t="s">
        <v>145</v>
      </c>
      <c r="T262" s="7" t="s">
        <v>1004</v>
      </c>
      <c r="U262" s="7" t="s">
        <v>49</v>
      </c>
      <c r="V262" s="24" t="e">
        <f t="shared" ca="1" si="14"/>
        <v>#NAME?</v>
      </c>
      <c r="W262" s="7"/>
      <c r="X262" s="7"/>
      <c r="Y262" s="29" t="s">
        <v>253</v>
      </c>
      <c r="Z262" s="30"/>
      <c r="AA262" s="31">
        <v>44935</v>
      </c>
      <c r="AB262" s="32">
        <v>49075100005729</v>
      </c>
      <c r="AC262" s="30"/>
      <c r="AD262" s="30"/>
      <c r="AE262" s="30">
        <v>29136.77</v>
      </c>
      <c r="AF262" s="30">
        <v>45816.12</v>
      </c>
      <c r="AG262" s="30">
        <v>45679.42</v>
      </c>
      <c r="AH262" s="30">
        <v>46286.01</v>
      </c>
      <c r="AI262" s="30">
        <v>46680.77</v>
      </c>
      <c r="AJ262" s="30">
        <v>57317.61</v>
      </c>
      <c r="AK262" s="30">
        <v>57739.53</v>
      </c>
      <c r="AL262" s="30">
        <v>58198.8</v>
      </c>
      <c r="AM262" s="30">
        <v>38323.64</v>
      </c>
      <c r="AN262" s="30">
        <v>38613.83</v>
      </c>
      <c r="AO262" s="30">
        <v>38906.26</v>
      </c>
      <c r="AP262" s="30">
        <v>39184.51</v>
      </c>
      <c r="AQ262" s="30">
        <v>39488.94</v>
      </c>
      <c r="AR262" s="30">
        <v>39481.53</v>
      </c>
      <c r="AS262" s="30">
        <v>64947.6</v>
      </c>
      <c r="AT262" s="30">
        <v>68035.38</v>
      </c>
      <c r="AU262" s="30">
        <v>70984.149999999994</v>
      </c>
      <c r="AV262" s="30">
        <v>74044.52</v>
      </c>
      <c r="AW262" s="30">
        <v>77143.05</v>
      </c>
      <c r="AX262" s="30">
        <v>80311.960000000006</v>
      </c>
      <c r="AY262" s="30">
        <v>85481.85</v>
      </c>
      <c r="AZ262" s="30">
        <v>86081.53</v>
      </c>
      <c r="BA262" s="30" t="e">
        <f t="array" aca="1" ref="BA262" ca="1">_xludf.XLOOKUP(C262,'PL TOTAL D0'!A:A,'PL TOTAL D0'!C:C,"")</f>
        <v>#NAME?</v>
      </c>
    </row>
    <row r="263" spans="1:53" ht="15.75" customHeight="1">
      <c r="A263" s="23" t="s">
        <v>29</v>
      </c>
      <c r="B263" s="3" t="s">
        <v>1005</v>
      </c>
      <c r="C263" s="4" t="s">
        <v>1006</v>
      </c>
      <c r="D263" s="7" t="s">
        <v>64</v>
      </c>
      <c r="E263" s="7" t="s">
        <v>20</v>
      </c>
      <c r="F263" s="7" t="s">
        <v>142</v>
      </c>
      <c r="G263" s="7" t="e">
        <f t="shared" ca="1" si="13"/>
        <v>#NAME?</v>
      </c>
      <c r="H263" s="24" t="s">
        <v>143</v>
      </c>
      <c r="I263" s="24" t="s">
        <v>25</v>
      </c>
      <c r="J263" s="7" t="str">
        <f t="shared" si="12"/>
        <v>Não</v>
      </c>
      <c r="K263" s="25">
        <v>45148</v>
      </c>
      <c r="L263" s="25">
        <v>45525</v>
      </c>
      <c r="M263" s="7" t="s">
        <v>1007</v>
      </c>
      <c r="N263" s="26">
        <v>1.4E-2</v>
      </c>
      <c r="O263" s="7" t="s">
        <v>37</v>
      </c>
      <c r="P263" s="27">
        <v>0.1</v>
      </c>
      <c r="Q263" s="28"/>
      <c r="R263" s="28"/>
      <c r="S263" s="7" t="s">
        <v>145</v>
      </c>
      <c r="T263" s="7" t="s">
        <v>1008</v>
      </c>
      <c r="U263" s="7" t="s">
        <v>20</v>
      </c>
      <c r="V263" s="24" t="e">
        <f t="shared" ca="1" si="14"/>
        <v>#NAME?</v>
      </c>
      <c r="W263" s="7"/>
      <c r="X263" s="7"/>
      <c r="Y263" s="29" t="s">
        <v>147</v>
      </c>
      <c r="Z263" s="30"/>
      <c r="AA263" s="31">
        <v>45148</v>
      </c>
      <c r="AB263" s="32">
        <v>49075100009155</v>
      </c>
      <c r="AC263" s="30"/>
      <c r="AD263" s="30"/>
      <c r="AE263" s="30"/>
      <c r="AF263" s="30"/>
      <c r="AG263" s="30"/>
      <c r="AH263" s="30"/>
      <c r="AI263" s="30"/>
      <c r="AJ263" s="30"/>
      <c r="AK263" s="30"/>
      <c r="AL263" s="30"/>
      <c r="AM263" s="30">
        <v>426832.92</v>
      </c>
      <c r="AN263" s="30">
        <v>686106.35</v>
      </c>
      <c r="AO263" s="30">
        <v>903584.83</v>
      </c>
      <c r="AP263" s="30">
        <v>886418.22</v>
      </c>
      <c r="AQ263" s="30">
        <v>892959.85</v>
      </c>
      <c r="AR263" s="30">
        <v>856186.29</v>
      </c>
      <c r="AS263" s="30">
        <v>862035.76</v>
      </c>
      <c r="AT263" s="30">
        <v>868861.72</v>
      </c>
      <c r="AU263" s="30">
        <v>861235.1</v>
      </c>
      <c r="AV263" s="30">
        <v>856493.4</v>
      </c>
      <c r="AW263" s="30">
        <v>862623</v>
      </c>
      <c r="AX263" s="30">
        <v>868375.7</v>
      </c>
      <c r="AY263" s="30">
        <v>0</v>
      </c>
      <c r="AZ263" s="30">
        <v>0</v>
      </c>
      <c r="BA263" s="30" t="e">
        <f t="array" aca="1" ref="BA263" ca="1">_xludf.XLOOKUP(C263,'PL TOTAL D0'!A:A,'PL TOTAL D0'!C:C,"")</f>
        <v>#NAME?</v>
      </c>
    </row>
    <row r="264" spans="1:53" ht="15.75" customHeight="1">
      <c r="A264" s="23" t="s">
        <v>29</v>
      </c>
      <c r="B264" s="38" t="s">
        <v>1009</v>
      </c>
      <c r="C264" s="39" t="s">
        <v>1010</v>
      </c>
      <c r="D264" s="7" t="s">
        <v>80</v>
      </c>
      <c r="E264" s="7" t="s">
        <v>49</v>
      </c>
      <c r="F264" s="7" t="s">
        <v>81</v>
      </c>
      <c r="G264" s="7" t="e">
        <f t="shared" ca="1" si="13"/>
        <v>#NAME?</v>
      </c>
      <c r="H264" s="24" t="s">
        <v>152</v>
      </c>
      <c r="I264" s="24" t="s">
        <v>25</v>
      </c>
      <c r="J264" s="7" t="str">
        <f t="shared" si="12"/>
        <v>Sim</v>
      </c>
      <c r="K264" s="25">
        <v>45401</v>
      </c>
      <c r="L264" s="7"/>
      <c r="M264" s="7" t="s">
        <v>42</v>
      </c>
      <c r="N264" s="26">
        <v>1.2E-2</v>
      </c>
      <c r="O264" s="7" t="s">
        <v>25</v>
      </c>
      <c r="P264" s="27">
        <v>0</v>
      </c>
      <c r="Q264" s="36" t="s">
        <v>1011</v>
      </c>
      <c r="R264" s="28"/>
      <c r="S264" s="7" t="s">
        <v>145</v>
      </c>
      <c r="T264" s="6" t="s">
        <v>1012</v>
      </c>
      <c r="U264" s="7" t="s">
        <v>49</v>
      </c>
      <c r="V264" s="24" t="e">
        <f t="shared" ca="1" si="14"/>
        <v>#NAME?</v>
      </c>
      <c r="W264" s="7"/>
      <c r="X264" s="7" t="s">
        <v>52</v>
      </c>
      <c r="Y264" s="29" t="s">
        <v>147</v>
      </c>
      <c r="Z264" s="30"/>
      <c r="AA264" s="31">
        <v>45401</v>
      </c>
      <c r="AB264" s="32">
        <v>49075100014043</v>
      </c>
      <c r="AC264" s="30"/>
      <c r="AD264" s="30"/>
      <c r="AE264" s="30"/>
      <c r="AF264" s="30"/>
      <c r="AG264" s="30"/>
      <c r="AH264" s="30"/>
      <c r="AI264" s="30"/>
      <c r="AJ264" s="30"/>
      <c r="AK264" s="30"/>
      <c r="AL264" s="30"/>
      <c r="AM264" s="30"/>
      <c r="AN264" s="30"/>
      <c r="AO264" s="30"/>
      <c r="AP264" s="30"/>
      <c r="AQ264" s="30"/>
      <c r="AR264" s="30"/>
      <c r="AS264" s="30"/>
      <c r="AT264" s="30"/>
      <c r="AU264" s="30">
        <v>0</v>
      </c>
      <c r="AV264" s="30">
        <v>605077.19999999995</v>
      </c>
      <c r="AW264" s="30">
        <v>612210.9</v>
      </c>
      <c r="AX264" s="30">
        <v>614858.80000000005</v>
      </c>
      <c r="AY264" s="30">
        <v>618685.42000000004</v>
      </c>
      <c r="AZ264" s="30">
        <v>623878.99</v>
      </c>
      <c r="BA264" s="30" t="e">
        <f t="array" aca="1" ref="BA264" ca="1">_xludf.XLOOKUP(C264,'PL TOTAL D0'!A:A,'PL TOTAL D0'!C:C,"")</f>
        <v>#NAME?</v>
      </c>
    </row>
    <row r="265" spans="1:53" ht="15.75" customHeight="1">
      <c r="A265" s="23" t="s">
        <v>29</v>
      </c>
      <c r="B265" s="75" t="s">
        <v>1013</v>
      </c>
      <c r="C265" s="4" t="s">
        <v>1014</v>
      </c>
      <c r="D265" s="7" t="s">
        <v>80</v>
      </c>
      <c r="E265" s="7" t="s">
        <v>49</v>
      </c>
      <c r="F265" s="7" t="s">
        <v>81</v>
      </c>
      <c r="G265" s="7" t="e">
        <f t="shared" ca="1" si="13"/>
        <v>#NAME?</v>
      </c>
      <c r="H265" s="24" t="s">
        <v>152</v>
      </c>
      <c r="I265" s="24" t="s">
        <v>25</v>
      </c>
      <c r="J265" s="7" t="str">
        <f t="shared" si="12"/>
        <v>Não</v>
      </c>
      <c r="K265" s="25">
        <v>45356</v>
      </c>
      <c r="L265" s="7"/>
      <c r="M265" s="7" t="s">
        <v>42</v>
      </c>
      <c r="N265" s="26">
        <v>1.2E-2</v>
      </c>
      <c r="O265" s="7" t="s">
        <v>25</v>
      </c>
      <c r="P265" s="27">
        <v>0</v>
      </c>
      <c r="Q265" s="28"/>
      <c r="R265" s="28"/>
      <c r="S265" s="7" t="s">
        <v>145</v>
      </c>
      <c r="T265" s="12" t="s">
        <v>1015</v>
      </c>
      <c r="U265" s="7" t="s">
        <v>49</v>
      </c>
      <c r="V265" s="24" t="e">
        <f t="shared" ca="1" si="14"/>
        <v>#NAME?</v>
      </c>
      <c r="W265" s="7"/>
      <c r="X265" s="7"/>
      <c r="Y265" s="29" t="s">
        <v>147</v>
      </c>
      <c r="Z265" s="30"/>
      <c r="AA265" s="31">
        <v>45356</v>
      </c>
      <c r="AB265" s="32">
        <v>49075100013780</v>
      </c>
      <c r="AC265" s="30"/>
      <c r="AD265" s="30"/>
      <c r="AE265" s="30"/>
      <c r="AF265" s="30"/>
      <c r="AG265" s="30"/>
      <c r="AH265" s="30"/>
      <c r="AI265" s="30"/>
      <c r="AJ265" s="30"/>
      <c r="AK265" s="30"/>
      <c r="AL265" s="30"/>
      <c r="AM265" s="30"/>
      <c r="AN265" s="30"/>
      <c r="AO265" s="30"/>
      <c r="AP265" s="30"/>
      <c r="AQ265" s="30"/>
      <c r="AR265" s="30"/>
      <c r="AS265" s="30">
        <v>0</v>
      </c>
      <c r="AT265" s="30">
        <v>500890.57</v>
      </c>
      <c r="AU265" s="30">
        <v>505181.19</v>
      </c>
      <c r="AV265" s="30">
        <v>508577.4</v>
      </c>
      <c r="AW265" s="30">
        <v>512866.2</v>
      </c>
      <c r="AX265" s="30">
        <v>517207.5</v>
      </c>
      <c r="AY265" s="30">
        <v>521456.74</v>
      </c>
      <c r="AZ265" s="30">
        <v>524305.65</v>
      </c>
      <c r="BA265" s="30" t="e">
        <f t="array" aca="1" ref="BA265" ca="1">_xludf.XLOOKUP(C265,'PL TOTAL D0'!A:A,'PL TOTAL D0'!C:C,"")</f>
        <v>#NAME?</v>
      </c>
    </row>
    <row r="266" spans="1:53" ht="15.75" customHeight="1">
      <c r="A266" s="23" t="s">
        <v>29</v>
      </c>
      <c r="B266" s="3" t="s">
        <v>1016</v>
      </c>
      <c r="C266" s="4" t="s">
        <v>1017</v>
      </c>
      <c r="D266" s="7" t="s">
        <v>19</v>
      </c>
      <c r="E266" s="7" t="s">
        <v>49</v>
      </c>
      <c r="F266" s="7" t="s">
        <v>328</v>
      </c>
      <c r="G266" s="7" t="e">
        <f t="shared" ca="1" si="13"/>
        <v>#NAME?</v>
      </c>
      <c r="H266" s="24" t="s">
        <v>152</v>
      </c>
      <c r="I266" s="24" t="s">
        <v>25</v>
      </c>
      <c r="J266" s="7" t="str">
        <f t="shared" si="12"/>
        <v>Sim</v>
      </c>
      <c r="K266" s="25">
        <v>44887</v>
      </c>
      <c r="L266" s="7"/>
      <c r="M266" s="7" t="s">
        <v>42</v>
      </c>
      <c r="N266" s="26">
        <v>1.2E-2</v>
      </c>
      <c r="O266" s="7" t="s">
        <v>25</v>
      </c>
      <c r="P266" s="27">
        <v>0</v>
      </c>
      <c r="Q266" s="28" t="s">
        <v>1018</v>
      </c>
      <c r="R266" s="28" t="s">
        <v>1019</v>
      </c>
      <c r="S266" s="7" t="s">
        <v>145</v>
      </c>
      <c r="T266" s="7" t="s">
        <v>1020</v>
      </c>
      <c r="U266" s="7" t="s">
        <v>20</v>
      </c>
      <c r="V266" s="24" t="e">
        <f t="shared" ca="1" si="14"/>
        <v>#NAME?</v>
      </c>
      <c r="W266" s="7"/>
      <c r="X266" s="7"/>
      <c r="Y266" s="29" t="s">
        <v>253</v>
      </c>
      <c r="Z266" s="30"/>
      <c r="AA266" s="31">
        <v>44887</v>
      </c>
      <c r="AB266" s="32">
        <v>49075100005737</v>
      </c>
      <c r="AC266" s="30"/>
      <c r="AD266" s="30"/>
      <c r="AE266" s="30">
        <v>173707.66</v>
      </c>
      <c r="AF266" s="30">
        <v>235453.15</v>
      </c>
      <c r="AG266" s="30">
        <v>232519.02</v>
      </c>
      <c r="AH266" s="30">
        <v>254973.37</v>
      </c>
      <c r="AI266" s="30">
        <v>365637.43</v>
      </c>
      <c r="AJ266" s="30">
        <v>372607.98</v>
      </c>
      <c r="AK266" s="30">
        <v>380089.59999999998</v>
      </c>
      <c r="AL266" s="30">
        <v>361798.24</v>
      </c>
      <c r="AM266" s="30">
        <v>362265.63</v>
      </c>
      <c r="AN266" s="30">
        <v>362470.6</v>
      </c>
      <c r="AO266" s="30">
        <v>349419.43</v>
      </c>
      <c r="AP266" s="30">
        <v>353423.45</v>
      </c>
      <c r="AQ266" s="30">
        <v>357872.3</v>
      </c>
      <c r="AR266" s="30">
        <v>353814.22</v>
      </c>
      <c r="AS266" s="30">
        <v>356135.22</v>
      </c>
      <c r="AT266" s="30">
        <v>351339.11</v>
      </c>
      <c r="AU266" s="30">
        <v>338399.15</v>
      </c>
      <c r="AV266" s="30">
        <v>330280.5</v>
      </c>
      <c r="AW266" s="30">
        <v>218548.8</v>
      </c>
      <c r="AX266" s="30">
        <v>213578.4</v>
      </c>
      <c r="AY266" s="30">
        <v>213643.13</v>
      </c>
      <c r="AZ266" s="30">
        <v>167841.24</v>
      </c>
      <c r="BA266" s="30" t="e">
        <f t="array" aca="1" ref="BA266" ca="1">_xludf.XLOOKUP(C266,'PL TOTAL D0'!A:A,'PL TOTAL D0'!C:C,"")</f>
        <v>#NAME?</v>
      </c>
    </row>
    <row r="267" spans="1:53" ht="15.75" customHeight="1">
      <c r="A267" s="23" t="s">
        <v>29</v>
      </c>
      <c r="B267" s="3" t="s">
        <v>1021</v>
      </c>
      <c r="C267" s="4" t="s">
        <v>1022</v>
      </c>
      <c r="D267" s="7" t="s">
        <v>19</v>
      </c>
      <c r="E267" s="7" t="s">
        <v>49</v>
      </c>
      <c r="F267" s="7" t="s">
        <v>50</v>
      </c>
      <c r="G267" s="7" t="e">
        <f t="shared" ca="1" si="13"/>
        <v>#NAME?</v>
      </c>
      <c r="H267" s="24" t="s">
        <v>161</v>
      </c>
      <c r="I267" s="24" t="s">
        <v>162</v>
      </c>
      <c r="J267" s="7" t="str">
        <f t="shared" si="12"/>
        <v>Não</v>
      </c>
      <c r="K267" s="25">
        <v>45166</v>
      </c>
      <c r="L267" s="7"/>
      <c r="M267" s="7" t="s">
        <v>200</v>
      </c>
      <c r="N267" s="26">
        <v>1.4999999999999999E-2</v>
      </c>
      <c r="O267" s="7" t="s">
        <v>37</v>
      </c>
      <c r="P267" s="27">
        <v>0.1</v>
      </c>
      <c r="Q267" s="28"/>
      <c r="R267" s="28"/>
      <c r="S267" s="7" t="s">
        <v>187</v>
      </c>
      <c r="T267" s="7" t="s">
        <v>1023</v>
      </c>
      <c r="U267" s="7" t="s">
        <v>49</v>
      </c>
      <c r="V267" s="24" t="e">
        <f t="shared" ca="1" si="14"/>
        <v>#NAME?</v>
      </c>
      <c r="W267" s="7"/>
      <c r="X267" s="7"/>
      <c r="Y267" s="29" t="s">
        <v>147</v>
      </c>
      <c r="Z267" s="30"/>
      <c r="AA267" s="31">
        <v>45166</v>
      </c>
      <c r="AB267" s="32">
        <v>49075100011370</v>
      </c>
      <c r="AC267" s="30"/>
      <c r="AD267" s="30"/>
      <c r="AE267" s="30"/>
      <c r="AF267" s="30"/>
      <c r="AG267" s="30"/>
      <c r="AH267" s="30"/>
      <c r="AI267" s="30"/>
      <c r="AJ267" s="30"/>
      <c r="AK267" s="30"/>
      <c r="AL267" s="30">
        <v>0</v>
      </c>
      <c r="AM267" s="30">
        <v>0</v>
      </c>
      <c r="AN267" s="30">
        <v>0</v>
      </c>
      <c r="AO267" s="30">
        <v>0</v>
      </c>
      <c r="AP267" s="30">
        <v>0</v>
      </c>
      <c r="AQ267" s="30">
        <v>0</v>
      </c>
      <c r="AR267" s="30">
        <v>0</v>
      </c>
      <c r="AS267" s="30">
        <v>0</v>
      </c>
      <c r="AT267" s="30">
        <v>0</v>
      </c>
      <c r="AU267" s="30">
        <v>0</v>
      </c>
      <c r="AV267" s="30">
        <v>0</v>
      </c>
      <c r="AW267" s="30">
        <v>0</v>
      </c>
      <c r="AX267" s="30">
        <v>0</v>
      </c>
      <c r="AY267" s="30">
        <v>0</v>
      </c>
      <c r="AZ267" s="30">
        <v>0</v>
      </c>
      <c r="BA267" s="30" t="e">
        <f t="array" aca="1" ref="BA267" ca="1">_xludf.XLOOKUP(C267,'PL TOTAL D0'!A:A,'PL TOTAL D0'!C:C,"")</f>
        <v>#NAME?</v>
      </c>
    </row>
    <row r="268" spans="1:53" ht="15.75" customHeight="1">
      <c r="A268" s="23" t="s">
        <v>29</v>
      </c>
      <c r="B268" s="3" t="s">
        <v>1024</v>
      </c>
      <c r="C268" s="60" t="s">
        <v>1025</v>
      </c>
      <c r="D268" s="7" t="s">
        <v>19</v>
      </c>
      <c r="E268" s="7" t="s">
        <v>20</v>
      </c>
      <c r="F268" s="7" t="s">
        <v>199</v>
      </c>
      <c r="G268" s="7" t="e">
        <f t="shared" ca="1" si="13"/>
        <v>#NAME?</v>
      </c>
      <c r="H268" s="24" t="s">
        <v>152</v>
      </c>
      <c r="I268" s="24" t="s">
        <v>25</v>
      </c>
      <c r="J268" s="7" t="str">
        <f t="shared" si="12"/>
        <v>Sim</v>
      </c>
      <c r="K268" s="25">
        <v>45457</v>
      </c>
      <c r="L268" s="7"/>
      <c r="M268" s="7" t="s">
        <v>58</v>
      </c>
      <c r="N268" s="26">
        <v>1.2E-2</v>
      </c>
      <c r="O268" s="7" t="s">
        <v>37</v>
      </c>
      <c r="P268" s="27">
        <v>0.1</v>
      </c>
      <c r="Q268" s="28" t="s">
        <v>1026</v>
      </c>
      <c r="R268" s="28"/>
      <c r="S268" s="7" t="s">
        <v>145</v>
      </c>
      <c r="T268" s="7" t="s">
        <v>1027</v>
      </c>
      <c r="U268" s="7" t="s">
        <v>20</v>
      </c>
      <c r="V268" s="24" t="e">
        <f t="shared" ca="1" si="14"/>
        <v>#NAME?</v>
      </c>
      <c r="W268" s="7"/>
      <c r="X268" s="7" t="s">
        <v>52</v>
      </c>
      <c r="Y268" s="29" t="s">
        <v>147</v>
      </c>
      <c r="Z268" s="30"/>
      <c r="AA268" s="31">
        <v>45457</v>
      </c>
      <c r="AB268" s="32">
        <v>49075100015147</v>
      </c>
      <c r="AC268" s="30"/>
      <c r="AD268" s="30"/>
      <c r="AE268" s="30"/>
      <c r="AF268" s="30"/>
      <c r="AG268" s="30"/>
      <c r="AH268" s="30"/>
      <c r="AI268" s="30"/>
      <c r="AJ268" s="30"/>
      <c r="AK268" s="30"/>
      <c r="AL268" s="30"/>
      <c r="AM268" s="30"/>
      <c r="AN268" s="30"/>
      <c r="AO268" s="30"/>
      <c r="AP268" s="30"/>
      <c r="AQ268" s="30"/>
      <c r="AR268" s="30"/>
      <c r="AS268" s="30"/>
      <c r="AT268" s="30"/>
      <c r="AU268" s="30"/>
      <c r="AV268" s="30"/>
      <c r="AW268" s="30">
        <v>288518.7</v>
      </c>
      <c r="AX268" s="30">
        <v>299004.3</v>
      </c>
      <c r="AY268" s="30">
        <v>305884.89</v>
      </c>
      <c r="AZ268" s="30">
        <v>311679</v>
      </c>
      <c r="BA268" s="30" t="e">
        <f t="array" aca="1" ref="BA268" ca="1">_xludf.XLOOKUP(C268,'PL TOTAL D0'!A:A,'PL TOTAL D0'!C:C,"")</f>
        <v>#NAME?</v>
      </c>
    </row>
    <row r="269" spans="1:53" ht="15.75" customHeight="1">
      <c r="A269" s="23" t="s">
        <v>29</v>
      </c>
      <c r="B269" s="38" t="s">
        <v>1028</v>
      </c>
      <c r="C269" s="39" t="s">
        <v>1029</v>
      </c>
      <c r="D269" s="7" t="s">
        <v>19</v>
      </c>
      <c r="E269" s="7" t="s">
        <v>20</v>
      </c>
      <c r="F269" s="7" t="s">
        <v>171</v>
      </c>
      <c r="G269" s="7" t="e">
        <f t="shared" ca="1" si="13"/>
        <v>#NAME?</v>
      </c>
      <c r="H269" s="24" t="s">
        <v>152</v>
      </c>
      <c r="I269" s="24" t="s">
        <v>25</v>
      </c>
      <c r="J269" s="7" t="str">
        <f t="shared" si="12"/>
        <v>Não</v>
      </c>
      <c r="K269" s="25">
        <v>45441</v>
      </c>
      <c r="L269" s="7"/>
      <c r="M269" s="7" t="s">
        <v>42</v>
      </c>
      <c r="N269" s="26">
        <v>1.2E-2</v>
      </c>
      <c r="O269" s="7" t="s">
        <v>25</v>
      </c>
      <c r="P269" s="27">
        <v>0</v>
      </c>
      <c r="Q269" s="28"/>
      <c r="R269" s="28"/>
      <c r="S269" s="7" t="s">
        <v>145</v>
      </c>
      <c r="T269" s="7" t="s">
        <v>1030</v>
      </c>
      <c r="U269" s="7" t="s">
        <v>20</v>
      </c>
      <c r="V269" s="24" t="e">
        <f t="shared" ca="1" si="14"/>
        <v>#NAME?</v>
      </c>
      <c r="W269" s="7"/>
      <c r="X269" s="7" t="s">
        <v>52</v>
      </c>
      <c r="Y269" s="29" t="s">
        <v>147</v>
      </c>
      <c r="Z269" s="30"/>
      <c r="AA269" s="31">
        <v>45441</v>
      </c>
      <c r="AB269" s="32">
        <v>49075100014515</v>
      </c>
      <c r="AC269" s="30"/>
      <c r="AD269" s="30"/>
      <c r="AE269" s="30"/>
      <c r="AF269" s="30"/>
      <c r="AG269" s="30"/>
      <c r="AH269" s="30"/>
      <c r="AI269" s="30"/>
      <c r="AJ269" s="30"/>
      <c r="AK269" s="30"/>
      <c r="AL269" s="30"/>
      <c r="AM269" s="30"/>
      <c r="AN269" s="30"/>
      <c r="AO269" s="30"/>
      <c r="AP269" s="30"/>
      <c r="AQ269" s="30"/>
      <c r="AR269" s="30"/>
      <c r="AS269" s="30"/>
      <c r="AT269" s="30"/>
      <c r="AU269" s="30"/>
      <c r="AV269" s="30">
        <v>0</v>
      </c>
      <c r="AW269" s="30">
        <v>0</v>
      </c>
      <c r="AX269" s="30">
        <v>0</v>
      </c>
      <c r="AY269" s="30">
        <v>0</v>
      </c>
      <c r="AZ269" s="30">
        <v>0</v>
      </c>
      <c r="BA269" s="30" t="e">
        <f t="array" aca="1" ref="BA269" ca="1">_xludf.XLOOKUP(C269,'PL TOTAL D0'!A:A,'PL TOTAL D0'!C:C,"")</f>
        <v>#NAME?</v>
      </c>
    </row>
    <row r="270" spans="1:53" ht="15.75" customHeight="1">
      <c r="A270" s="23" t="s">
        <v>29</v>
      </c>
      <c r="B270" s="38" t="s">
        <v>1028</v>
      </c>
      <c r="C270" s="39" t="s">
        <v>1031</v>
      </c>
      <c r="D270" s="7" t="s">
        <v>19</v>
      </c>
      <c r="E270" s="7" t="s">
        <v>20</v>
      </c>
      <c r="F270" s="7" t="s">
        <v>171</v>
      </c>
      <c r="G270" s="7" t="e">
        <f t="shared" ca="1" si="13"/>
        <v>#NAME?</v>
      </c>
      <c r="H270" s="24" t="s">
        <v>152</v>
      </c>
      <c r="I270" s="24" t="s">
        <v>25</v>
      </c>
      <c r="J270" s="7" t="str">
        <f t="shared" si="12"/>
        <v>Sim</v>
      </c>
      <c r="K270" s="25">
        <v>45545</v>
      </c>
      <c r="L270" s="7"/>
      <c r="M270" s="7" t="s">
        <v>466</v>
      </c>
      <c r="N270" s="26">
        <v>7.0000000000000001E-3</v>
      </c>
      <c r="O270" s="7" t="s">
        <v>25</v>
      </c>
      <c r="P270" s="27">
        <v>0</v>
      </c>
      <c r="Q270" s="28" t="s">
        <v>1032</v>
      </c>
      <c r="R270" s="28"/>
      <c r="S270" s="7" t="s">
        <v>187</v>
      </c>
      <c r="T270" s="7" t="s">
        <v>1033</v>
      </c>
      <c r="U270" s="7" t="s">
        <v>49</v>
      </c>
      <c r="V270" s="24" t="e">
        <f t="shared" ca="1" si="14"/>
        <v>#NAME?</v>
      </c>
      <c r="W270" s="7"/>
      <c r="X270" s="7" t="s">
        <v>52</v>
      </c>
      <c r="Y270" s="29"/>
      <c r="Z270" s="30"/>
      <c r="AA270" s="30"/>
      <c r="AB270" s="32"/>
      <c r="AC270" s="30"/>
      <c r="AD270" s="30"/>
      <c r="AE270" s="30"/>
      <c r="AF270" s="30"/>
      <c r="AG270" s="30"/>
      <c r="AH270" s="30"/>
      <c r="AI270" s="30"/>
      <c r="AJ270" s="30"/>
      <c r="AK270" s="30"/>
      <c r="AL270" s="30"/>
      <c r="AM270" s="30"/>
      <c r="AN270" s="30"/>
      <c r="AO270" s="30"/>
      <c r="AP270" s="30"/>
      <c r="AQ270" s="30"/>
      <c r="AR270" s="30"/>
      <c r="AS270" s="30"/>
      <c r="AT270" s="30"/>
      <c r="AU270" s="30"/>
      <c r="AV270" s="30"/>
      <c r="AW270" s="30"/>
      <c r="AX270" s="30"/>
      <c r="AY270" s="30"/>
      <c r="AZ270" s="30">
        <v>432297.89</v>
      </c>
      <c r="BA270" s="30" t="e">
        <f t="array" aca="1" ref="BA270" ca="1">_xludf.XLOOKUP(C270,'PL TOTAL D0'!A:A,'PL TOTAL D0'!C:C,"")</f>
        <v>#NAME?</v>
      </c>
    </row>
    <row r="271" spans="1:53" ht="15.75" customHeight="1">
      <c r="A271" s="23" t="s">
        <v>29</v>
      </c>
      <c r="B271" s="36" t="s">
        <v>1034</v>
      </c>
      <c r="C271" s="64" t="s">
        <v>1035</v>
      </c>
      <c r="D271" s="7" t="s">
        <v>72</v>
      </c>
      <c r="E271" s="7" t="s">
        <v>20</v>
      </c>
      <c r="F271" s="7" t="s">
        <v>386</v>
      </c>
      <c r="G271" s="7" t="e">
        <f t="shared" ca="1" si="13"/>
        <v>#NAME?</v>
      </c>
      <c r="H271" s="24" t="s">
        <v>152</v>
      </c>
      <c r="I271" s="24" t="s">
        <v>25</v>
      </c>
      <c r="J271" s="7" t="str">
        <f t="shared" si="12"/>
        <v>Não</v>
      </c>
      <c r="K271" s="25">
        <v>45253</v>
      </c>
      <c r="L271" s="7"/>
      <c r="M271" s="9" t="s">
        <v>58</v>
      </c>
      <c r="N271" s="10">
        <v>1.2E-2</v>
      </c>
      <c r="O271" s="6" t="s">
        <v>37</v>
      </c>
      <c r="P271" s="11">
        <v>0.1</v>
      </c>
      <c r="Q271" s="28"/>
      <c r="R271" s="28"/>
      <c r="S271" s="7" t="s">
        <v>145</v>
      </c>
      <c r="T271" s="7" t="s">
        <v>1036</v>
      </c>
      <c r="U271" s="7" t="s">
        <v>20</v>
      </c>
      <c r="V271" s="24" t="e">
        <f t="shared" ca="1" si="14"/>
        <v>#NAME?</v>
      </c>
      <c r="W271" s="7"/>
      <c r="X271" s="7"/>
      <c r="Y271" s="29" t="s">
        <v>147</v>
      </c>
      <c r="Z271" s="30"/>
      <c r="AA271" s="31">
        <v>45253</v>
      </c>
      <c r="AB271" s="32">
        <v>49075100012350</v>
      </c>
      <c r="AC271" s="30"/>
      <c r="AD271" s="30"/>
      <c r="AE271" s="30"/>
      <c r="AF271" s="30"/>
      <c r="AG271" s="30"/>
      <c r="AH271" s="30"/>
      <c r="AI271" s="30"/>
      <c r="AJ271" s="30"/>
      <c r="AK271" s="30"/>
      <c r="AL271" s="30"/>
      <c r="AM271" s="30"/>
      <c r="AN271" s="30"/>
      <c r="AO271" s="30"/>
      <c r="AP271" s="30">
        <v>187798.24</v>
      </c>
      <c r="AQ271" s="30">
        <v>189858.08</v>
      </c>
      <c r="AR271" s="30">
        <v>189968.42</v>
      </c>
      <c r="AS271" s="30">
        <v>205457.16</v>
      </c>
      <c r="AT271" s="30">
        <v>207262.24</v>
      </c>
      <c r="AU271" s="30">
        <v>212115.66</v>
      </c>
      <c r="AV271" s="30">
        <v>213222.3</v>
      </c>
      <c r="AW271" s="30">
        <v>214719.1</v>
      </c>
      <c r="AX271" s="30">
        <v>216691.7</v>
      </c>
      <c r="AY271" s="30">
        <v>218399.53</v>
      </c>
      <c r="AZ271" s="30">
        <v>219574.08</v>
      </c>
      <c r="BA271" s="30" t="e">
        <f t="array" aca="1" ref="BA271" ca="1">_xludf.XLOOKUP(C271,'PL TOTAL D0'!A:A,'PL TOTAL D0'!C:C,"")</f>
        <v>#NAME?</v>
      </c>
    </row>
    <row r="272" spans="1:53" ht="15.75" customHeight="1">
      <c r="A272" s="23" t="s">
        <v>29</v>
      </c>
      <c r="B272" s="3" t="s">
        <v>1037</v>
      </c>
      <c r="C272" s="4" t="s">
        <v>1038</v>
      </c>
      <c r="D272" s="7" t="s">
        <v>19</v>
      </c>
      <c r="E272" s="7" t="s">
        <v>34</v>
      </c>
      <c r="F272" s="7" t="s">
        <v>262</v>
      </c>
      <c r="G272" s="7" t="e">
        <f t="shared" ca="1" si="13"/>
        <v>#NAME?</v>
      </c>
      <c r="H272" s="24" t="s">
        <v>143</v>
      </c>
      <c r="I272" s="24" t="s">
        <v>25</v>
      </c>
      <c r="J272" s="7" t="str">
        <f t="shared" si="12"/>
        <v>Não</v>
      </c>
      <c r="K272" s="25">
        <v>45156</v>
      </c>
      <c r="L272" s="25">
        <v>45449</v>
      </c>
      <c r="M272" s="7" t="s">
        <v>42</v>
      </c>
      <c r="N272" s="26">
        <v>1.2E-2</v>
      </c>
      <c r="O272" s="7" t="s">
        <v>25</v>
      </c>
      <c r="P272" s="27">
        <v>0</v>
      </c>
      <c r="Q272" s="28"/>
      <c r="R272" s="28" t="s">
        <v>309</v>
      </c>
      <c r="S272" s="7" t="s">
        <v>145</v>
      </c>
      <c r="T272" s="7" t="s">
        <v>1039</v>
      </c>
      <c r="U272" s="7" t="s">
        <v>39</v>
      </c>
      <c r="V272" s="24" t="e">
        <f t="shared" ca="1" si="14"/>
        <v>#NAME?</v>
      </c>
      <c r="W272" s="7"/>
      <c r="X272" s="7"/>
      <c r="Y272" s="29" t="s">
        <v>147</v>
      </c>
      <c r="Z272" s="30"/>
      <c r="AA272" s="31">
        <v>45156</v>
      </c>
      <c r="AB272" s="32">
        <v>49075100003823</v>
      </c>
      <c r="AC272" s="30"/>
      <c r="AD272" s="30"/>
      <c r="AE272" s="30"/>
      <c r="AF272" s="30"/>
      <c r="AG272" s="30"/>
      <c r="AH272" s="30"/>
      <c r="AI272" s="30"/>
      <c r="AJ272" s="30"/>
      <c r="AK272" s="30"/>
      <c r="AL272" s="30"/>
      <c r="AM272" s="30">
        <v>5022.66</v>
      </c>
      <c r="AN272" s="30">
        <v>5072.91</v>
      </c>
      <c r="AO272" s="30">
        <v>325.32</v>
      </c>
      <c r="AP272" s="30">
        <v>0</v>
      </c>
      <c r="AQ272" s="30">
        <v>0</v>
      </c>
      <c r="AR272" s="30">
        <v>0</v>
      </c>
      <c r="AS272" s="30">
        <v>0.3</v>
      </c>
      <c r="AT272" s="30">
        <v>1504.25</v>
      </c>
      <c r="AU272" s="30">
        <v>0</v>
      </c>
      <c r="AV272" s="30">
        <v>0</v>
      </c>
      <c r="AW272" s="30">
        <v>0</v>
      </c>
      <c r="AX272" s="30">
        <v>0</v>
      </c>
      <c r="AY272" s="30">
        <v>0</v>
      </c>
      <c r="AZ272" s="30">
        <v>0</v>
      </c>
      <c r="BA272" s="30" t="e">
        <f t="array" aca="1" ref="BA272" ca="1">_xludf.XLOOKUP(C272,'PL TOTAL D0'!A:A,'PL TOTAL D0'!C:C,"")</f>
        <v>#NAME?</v>
      </c>
    </row>
    <row r="273" spans="1:53" ht="15.75" customHeight="1">
      <c r="A273" s="23" t="s">
        <v>29</v>
      </c>
      <c r="B273" s="3" t="s">
        <v>1040</v>
      </c>
      <c r="C273" s="4" t="s">
        <v>1041</v>
      </c>
      <c r="D273" s="7" t="s">
        <v>19</v>
      </c>
      <c r="E273" s="7" t="s">
        <v>34</v>
      </c>
      <c r="F273" s="7" t="s">
        <v>262</v>
      </c>
      <c r="G273" s="7" t="e">
        <f t="shared" ca="1" si="13"/>
        <v>#NAME?</v>
      </c>
      <c r="H273" s="24" t="s">
        <v>161</v>
      </c>
      <c r="I273" s="24" t="s">
        <v>162</v>
      </c>
      <c r="J273" s="7" t="str">
        <f t="shared" si="12"/>
        <v>Não</v>
      </c>
      <c r="K273" s="25">
        <v>45166</v>
      </c>
      <c r="L273" s="7"/>
      <c r="M273" s="7" t="s">
        <v>42</v>
      </c>
      <c r="N273" s="26">
        <v>1.2E-2</v>
      </c>
      <c r="O273" s="7" t="s">
        <v>25</v>
      </c>
      <c r="P273" s="27">
        <v>0</v>
      </c>
      <c r="Q273" s="28"/>
      <c r="R273" s="28"/>
      <c r="S273" s="7" t="s">
        <v>145</v>
      </c>
      <c r="T273" s="7" t="s">
        <v>1042</v>
      </c>
      <c r="U273" s="7" t="s">
        <v>39</v>
      </c>
      <c r="V273" s="24" t="e">
        <f t="shared" ca="1" si="14"/>
        <v>#NAME?</v>
      </c>
      <c r="W273" s="7"/>
      <c r="X273" s="7"/>
      <c r="Y273" s="29" t="s">
        <v>147</v>
      </c>
      <c r="Z273" s="30"/>
      <c r="AA273" s="31">
        <v>45166</v>
      </c>
      <c r="AB273" s="32">
        <v>49075100011389</v>
      </c>
      <c r="AC273" s="30"/>
      <c r="AD273" s="30"/>
      <c r="AE273" s="30"/>
      <c r="AF273" s="30"/>
      <c r="AG273" s="30"/>
      <c r="AH273" s="30"/>
      <c r="AI273" s="30"/>
      <c r="AJ273" s="30"/>
      <c r="AK273" s="30"/>
      <c r="AL273" s="30"/>
      <c r="AM273" s="30">
        <v>0</v>
      </c>
      <c r="AN273" s="30">
        <v>0</v>
      </c>
      <c r="AO273" s="30">
        <v>0</v>
      </c>
      <c r="AP273" s="30">
        <v>0</v>
      </c>
      <c r="AQ273" s="30">
        <v>0</v>
      </c>
      <c r="AR273" s="30">
        <v>0</v>
      </c>
      <c r="AS273" s="30">
        <v>0</v>
      </c>
      <c r="AT273" s="30">
        <v>0</v>
      </c>
      <c r="AU273" s="30">
        <v>0</v>
      </c>
      <c r="AV273" s="30">
        <v>0</v>
      </c>
      <c r="AW273" s="30">
        <v>0</v>
      </c>
      <c r="AX273" s="30">
        <v>0</v>
      </c>
      <c r="AY273" s="30">
        <v>0</v>
      </c>
      <c r="AZ273" s="30">
        <v>0</v>
      </c>
      <c r="BA273" s="30" t="e">
        <f t="array" aca="1" ref="BA273" ca="1">_xludf.XLOOKUP(C273,'PL TOTAL D0'!A:A,'PL TOTAL D0'!C:C,"")</f>
        <v>#NAME?</v>
      </c>
    </row>
    <row r="274" spans="1:53" ht="15.75" customHeight="1">
      <c r="A274" s="23" t="s">
        <v>29</v>
      </c>
      <c r="B274" s="3" t="s">
        <v>1043</v>
      </c>
      <c r="C274" s="4" t="s">
        <v>1044</v>
      </c>
      <c r="D274" s="7" t="s">
        <v>19</v>
      </c>
      <c r="E274" s="7" t="s">
        <v>20</v>
      </c>
      <c r="F274" s="7" t="s">
        <v>21</v>
      </c>
      <c r="G274" s="7" t="e">
        <f t="shared" ca="1" si="13"/>
        <v>#NAME?</v>
      </c>
      <c r="H274" s="24" t="s">
        <v>161</v>
      </c>
      <c r="I274" s="24" t="s">
        <v>1045</v>
      </c>
      <c r="J274" s="7" t="str">
        <f t="shared" si="12"/>
        <v>Não</v>
      </c>
      <c r="K274" s="25">
        <v>45000</v>
      </c>
      <c r="L274" s="7"/>
      <c r="M274" s="7" t="s">
        <v>42</v>
      </c>
      <c r="N274" s="26">
        <v>7.0000000000000001E-3</v>
      </c>
      <c r="O274" s="7" t="s">
        <v>25</v>
      </c>
      <c r="P274" s="27">
        <v>0</v>
      </c>
      <c r="Q274" s="45"/>
      <c r="R274" s="28" t="s">
        <v>1046</v>
      </c>
      <c r="S274" s="7" t="s">
        <v>145</v>
      </c>
      <c r="T274" s="7" t="s">
        <v>1047</v>
      </c>
      <c r="U274" s="7" t="s">
        <v>20</v>
      </c>
      <c r="V274" s="24" t="e">
        <f t="shared" ca="1" si="14"/>
        <v>#NAME?</v>
      </c>
      <c r="W274" s="7"/>
      <c r="X274" s="7"/>
      <c r="Y274" s="29" t="s">
        <v>147</v>
      </c>
      <c r="Z274" s="30"/>
      <c r="AA274" s="31">
        <v>45000</v>
      </c>
      <c r="AB274" s="32">
        <v>49075100009341</v>
      </c>
      <c r="AC274" s="30"/>
      <c r="AD274" s="30"/>
      <c r="AE274" s="30"/>
      <c r="AF274" s="30"/>
      <c r="AG274" s="30">
        <v>0</v>
      </c>
      <c r="AH274" s="30">
        <v>730631.33</v>
      </c>
      <c r="AI274" s="30">
        <v>718977.18</v>
      </c>
      <c r="AJ274" s="30">
        <v>582319.12</v>
      </c>
      <c r="AK274" s="30">
        <v>557848.13</v>
      </c>
      <c r="AL274" s="30">
        <v>562832</v>
      </c>
      <c r="AM274" s="30">
        <v>567372.97</v>
      </c>
      <c r="AN274" s="30">
        <v>571465.31999999995</v>
      </c>
      <c r="AO274" s="30">
        <v>570352.28</v>
      </c>
      <c r="AP274" s="30">
        <v>575328.93000000005</v>
      </c>
      <c r="AQ274" s="30">
        <v>554246.48</v>
      </c>
      <c r="AR274" s="30">
        <v>559873.18999999994</v>
      </c>
      <c r="AS274" s="30">
        <v>564789.92000000004</v>
      </c>
      <c r="AT274" s="30">
        <v>569717.36</v>
      </c>
      <c r="AU274" s="30">
        <v>572877.19999999995</v>
      </c>
      <c r="AV274" s="30">
        <v>275261.40000000002</v>
      </c>
      <c r="AW274" s="30">
        <v>277036.5</v>
      </c>
      <c r="AX274" s="30">
        <v>177379.1</v>
      </c>
      <c r="AY274" s="30">
        <v>179079.72</v>
      </c>
      <c r="AZ274" s="30">
        <v>123251.29</v>
      </c>
      <c r="BA274" s="30" t="e">
        <f t="array" aca="1" ref="BA274" ca="1">_xludf.XLOOKUP(C274,'PL TOTAL D0'!A:A,'PL TOTAL D0'!C:C,"")</f>
        <v>#NAME?</v>
      </c>
    </row>
    <row r="275" spans="1:53" ht="15.75" customHeight="1">
      <c r="A275" s="23" t="s">
        <v>29</v>
      </c>
      <c r="B275" s="3" t="s">
        <v>1043</v>
      </c>
      <c r="C275" s="4" t="s">
        <v>1048</v>
      </c>
      <c r="D275" s="7" t="s">
        <v>19</v>
      </c>
      <c r="E275" s="7" t="s">
        <v>20</v>
      </c>
      <c r="F275" s="7" t="s">
        <v>21</v>
      </c>
      <c r="G275" s="7" t="e">
        <f t="shared" ca="1" si="13"/>
        <v>#NAME?</v>
      </c>
      <c r="H275" s="24" t="s">
        <v>152</v>
      </c>
      <c r="I275" s="24" t="s">
        <v>25</v>
      </c>
      <c r="J275" s="7" t="str">
        <f t="shared" si="12"/>
        <v>Não</v>
      </c>
      <c r="K275" s="25">
        <v>45007</v>
      </c>
      <c r="L275" s="7"/>
      <c r="M275" s="7" t="s">
        <v>257</v>
      </c>
      <c r="N275" s="26">
        <v>8.0000000000000002E-3</v>
      </c>
      <c r="O275" s="7" t="s">
        <v>258</v>
      </c>
      <c r="P275" s="27">
        <v>0.1</v>
      </c>
      <c r="Q275" s="45"/>
      <c r="R275" s="28" t="s">
        <v>1046</v>
      </c>
      <c r="S275" s="7" t="s">
        <v>145</v>
      </c>
      <c r="T275" s="7" t="s">
        <v>1047</v>
      </c>
      <c r="U275" s="7" t="s">
        <v>20</v>
      </c>
      <c r="V275" s="24" t="e">
        <f t="shared" ca="1" si="14"/>
        <v>#NAME?</v>
      </c>
      <c r="W275" s="7"/>
      <c r="X275" s="7"/>
      <c r="Y275" s="29" t="s">
        <v>147</v>
      </c>
      <c r="Z275" s="30"/>
      <c r="AA275" s="31">
        <v>45007</v>
      </c>
      <c r="AB275" s="32">
        <v>49075100009511</v>
      </c>
      <c r="AC275" s="30"/>
      <c r="AD275" s="30"/>
      <c r="AE275" s="30"/>
      <c r="AF275" s="30"/>
      <c r="AG275" s="30">
        <v>0</v>
      </c>
      <c r="AH275" s="30">
        <v>28599.53</v>
      </c>
      <c r="AI275" s="30">
        <v>28871.73</v>
      </c>
      <c r="AJ275" s="30">
        <v>166990.85999999999</v>
      </c>
      <c r="AK275" s="30">
        <v>171702.31</v>
      </c>
      <c r="AL275" s="30">
        <v>174734.94</v>
      </c>
      <c r="AM275" s="30">
        <v>175131.05</v>
      </c>
      <c r="AN275" s="30">
        <v>176450.43</v>
      </c>
      <c r="AO275" s="30">
        <v>175758.13</v>
      </c>
      <c r="AP275" s="30">
        <v>176255.91</v>
      </c>
      <c r="AQ275" s="30">
        <v>204219.98</v>
      </c>
      <c r="AR275" s="30">
        <v>204989.23</v>
      </c>
      <c r="AS275" s="30">
        <v>209221.56</v>
      </c>
      <c r="AT275" s="30">
        <v>210892.59</v>
      </c>
      <c r="AU275" s="30">
        <v>279899.46000000002</v>
      </c>
      <c r="AV275" s="30">
        <v>279046.2</v>
      </c>
      <c r="AW275" s="30">
        <v>277368.59999999998</v>
      </c>
      <c r="AX275" s="30">
        <v>280700.59999999998</v>
      </c>
      <c r="AY275" s="30">
        <v>284560.42</v>
      </c>
      <c r="AZ275" s="30">
        <v>280358.56</v>
      </c>
      <c r="BA275" s="30" t="e">
        <f t="array" aca="1" ref="BA275" ca="1">_xludf.XLOOKUP(C275,'PL TOTAL D0'!A:A,'PL TOTAL D0'!C:C,"")</f>
        <v>#NAME?</v>
      </c>
    </row>
    <row r="276" spans="1:53" ht="15.75" customHeight="1">
      <c r="A276" s="23" t="s">
        <v>29</v>
      </c>
      <c r="B276" s="3" t="s">
        <v>1049</v>
      </c>
      <c r="C276" s="4" t="s">
        <v>1050</v>
      </c>
      <c r="D276" s="7" t="s">
        <v>19</v>
      </c>
      <c r="E276" s="7" t="s">
        <v>49</v>
      </c>
      <c r="F276" s="7" t="s">
        <v>166</v>
      </c>
      <c r="G276" s="7" t="e">
        <f t="shared" ca="1" si="13"/>
        <v>#NAME?</v>
      </c>
      <c r="H276" s="24" t="s">
        <v>152</v>
      </c>
      <c r="I276" s="24" t="s">
        <v>25</v>
      </c>
      <c r="J276" s="7" t="str">
        <f t="shared" si="12"/>
        <v>Não</v>
      </c>
      <c r="K276" s="25">
        <v>45393</v>
      </c>
      <c r="L276" s="7"/>
      <c r="M276" s="7" t="s">
        <v>42</v>
      </c>
      <c r="N276" s="26">
        <v>1.2E-2</v>
      </c>
      <c r="O276" s="7" t="s">
        <v>25</v>
      </c>
      <c r="P276" s="27">
        <v>0</v>
      </c>
      <c r="Q276" s="45"/>
      <c r="R276" s="28"/>
      <c r="S276" s="7" t="s">
        <v>145</v>
      </c>
      <c r="T276" s="7" t="s">
        <v>1051</v>
      </c>
      <c r="U276" s="7" t="s">
        <v>49</v>
      </c>
      <c r="V276" s="24" t="e">
        <f t="shared" ca="1" si="14"/>
        <v>#NAME?</v>
      </c>
      <c r="W276" s="7"/>
      <c r="X276" s="7" t="s">
        <v>52</v>
      </c>
      <c r="Y276" s="29" t="s">
        <v>147</v>
      </c>
      <c r="Z276" s="30"/>
      <c r="AA276" s="31">
        <v>45393</v>
      </c>
      <c r="AB276" s="32">
        <v>49075100014051</v>
      </c>
      <c r="AC276" s="30"/>
      <c r="AD276" s="30"/>
      <c r="AE276" s="30"/>
      <c r="AF276" s="30"/>
      <c r="AG276" s="30"/>
      <c r="AH276" s="30"/>
      <c r="AI276" s="30"/>
      <c r="AJ276" s="30"/>
      <c r="AK276" s="30"/>
      <c r="AL276" s="30"/>
      <c r="AM276" s="30"/>
      <c r="AN276" s="30"/>
      <c r="AO276" s="30"/>
      <c r="AP276" s="30"/>
      <c r="AQ276" s="30"/>
      <c r="AR276" s="30"/>
      <c r="AS276" s="30"/>
      <c r="AT276" s="30"/>
      <c r="AU276" s="30">
        <v>0</v>
      </c>
      <c r="AV276" s="30">
        <v>100501.1</v>
      </c>
      <c r="AW276" s="30">
        <v>101336.5</v>
      </c>
      <c r="AX276" s="30">
        <v>102238.1</v>
      </c>
      <c r="AY276" s="30">
        <v>153407.09</v>
      </c>
      <c r="AZ276" s="30">
        <v>154517.35999999999</v>
      </c>
      <c r="BA276" s="30" t="e">
        <f t="array" aca="1" ref="BA276" ca="1">_xludf.XLOOKUP(C276,'PL TOTAL D0'!A:A,'PL TOTAL D0'!C:C,"")</f>
        <v>#NAME?</v>
      </c>
    </row>
    <row r="277" spans="1:53" ht="15.75" customHeight="1">
      <c r="A277" s="23" t="s">
        <v>29</v>
      </c>
      <c r="B277" s="3" t="s">
        <v>1052</v>
      </c>
      <c r="C277" s="4" t="s">
        <v>1053</v>
      </c>
      <c r="D277" s="7" t="s">
        <v>19</v>
      </c>
      <c r="E277" s="7" t="s">
        <v>20</v>
      </c>
      <c r="F277" s="7" t="s">
        <v>199</v>
      </c>
      <c r="G277" s="7" t="e">
        <f t="shared" ca="1" si="13"/>
        <v>#NAME?</v>
      </c>
      <c r="H277" s="24" t="s">
        <v>152</v>
      </c>
      <c r="I277" s="24" t="s">
        <v>25</v>
      </c>
      <c r="J277" s="7" t="str">
        <f t="shared" si="12"/>
        <v>Não</v>
      </c>
      <c r="K277" s="25">
        <v>45474</v>
      </c>
      <c r="L277" s="7"/>
      <c r="M277" s="7" t="s">
        <v>42</v>
      </c>
      <c r="N277" s="51">
        <v>1.2E-2</v>
      </c>
      <c r="O277" s="52" t="s">
        <v>25</v>
      </c>
      <c r="P277" s="53">
        <v>0</v>
      </c>
      <c r="Q277" s="45"/>
      <c r="R277" s="28"/>
      <c r="S277" s="7" t="s">
        <v>145</v>
      </c>
      <c r="T277" s="7" t="s">
        <v>1054</v>
      </c>
      <c r="U277" s="7" t="s">
        <v>20</v>
      </c>
      <c r="V277" s="24" t="e">
        <f t="shared" ca="1" si="14"/>
        <v>#NAME?</v>
      </c>
      <c r="W277" s="7"/>
      <c r="X277" s="7" t="s">
        <v>40</v>
      </c>
      <c r="Y277" s="29" t="s">
        <v>147</v>
      </c>
      <c r="Z277" s="30"/>
      <c r="AA277" s="31">
        <v>45474</v>
      </c>
      <c r="AB277" s="32">
        <v>49075100015449</v>
      </c>
      <c r="AC277" s="30"/>
      <c r="AD277" s="30"/>
      <c r="AE277" s="30"/>
      <c r="AF277" s="30"/>
      <c r="AG277" s="30"/>
      <c r="AH277" s="30"/>
      <c r="AI277" s="30"/>
      <c r="AJ277" s="30"/>
      <c r="AK277" s="30"/>
      <c r="AL277" s="30"/>
      <c r="AM277" s="30"/>
      <c r="AN277" s="30"/>
      <c r="AO277" s="30"/>
      <c r="AP277" s="30"/>
      <c r="AQ277" s="30"/>
      <c r="AR277" s="30"/>
      <c r="AS277" s="30"/>
      <c r="AT277" s="30"/>
      <c r="AU277" s="30"/>
      <c r="AV277" s="30"/>
      <c r="AW277" s="30"/>
      <c r="AX277" s="30">
        <v>148387.70000000001</v>
      </c>
      <c r="AY277" s="30">
        <v>159763.29</v>
      </c>
      <c r="AZ277" s="30">
        <v>160953.95000000001</v>
      </c>
      <c r="BA277" s="30" t="e">
        <f t="array" aca="1" ref="BA277" ca="1">_xludf.XLOOKUP(C277,'PL TOTAL D0'!A:A,'PL TOTAL D0'!C:C,"")</f>
        <v>#NAME?</v>
      </c>
    </row>
    <row r="278" spans="1:53" ht="15.75" customHeight="1">
      <c r="A278" s="23" t="s">
        <v>29</v>
      </c>
      <c r="B278" s="3" t="s">
        <v>1055</v>
      </c>
      <c r="C278" s="4" t="s">
        <v>1056</v>
      </c>
      <c r="D278" s="7" t="s">
        <v>19</v>
      </c>
      <c r="E278" s="7" t="s">
        <v>49</v>
      </c>
      <c r="F278" s="7" t="s">
        <v>328</v>
      </c>
      <c r="G278" s="7" t="e">
        <f t="shared" ca="1" si="13"/>
        <v>#NAME?</v>
      </c>
      <c r="H278" s="24" t="s">
        <v>152</v>
      </c>
      <c r="I278" s="24" t="s">
        <v>25</v>
      </c>
      <c r="J278" s="7" t="str">
        <f t="shared" si="12"/>
        <v>Sim</v>
      </c>
      <c r="K278" s="25">
        <v>45446</v>
      </c>
      <c r="L278" s="7"/>
      <c r="M278" s="85" t="s">
        <v>42</v>
      </c>
      <c r="N278" s="56">
        <v>1.2E-2</v>
      </c>
      <c r="O278" s="57" t="s">
        <v>25</v>
      </c>
      <c r="P278" s="58">
        <v>0</v>
      </c>
      <c r="Q278" s="13" t="s">
        <v>1057</v>
      </c>
      <c r="R278" s="28"/>
      <c r="S278" s="7" t="s">
        <v>145</v>
      </c>
      <c r="T278" s="7" t="s">
        <v>1058</v>
      </c>
      <c r="U278" s="7" t="s">
        <v>20</v>
      </c>
      <c r="V278" s="24" t="e">
        <f t="shared" ca="1" si="14"/>
        <v>#NAME?</v>
      </c>
      <c r="W278" s="7"/>
      <c r="X278" s="7" t="s">
        <v>40</v>
      </c>
      <c r="Y278" s="29" t="s">
        <v>147</v>
      </c>
      <c r="Z278" s="30"/>
      <c r="AA278" s="31">
        <v>45446</v>
      </c>
      <c r="AB278" s="32">
        <v>49075100014825</v>
      </c>
      <c r="AC278" s="30"/>
      <c r="AD278" s="30"/>
      <c r="AE278" s="30"/>
      <c r="AF278" s="30"/>
      <c r="AG278" s="30"/>
      <c r="AH278" s="30"/>
      <c r="AI278" s="30"/>
      <c r="AJ278" s="30"/>
      <c r="AK278" s="30"/>
      <c r="AL278" s="30"/>
      <c r="AM278" s="30"/>
      <c r="AN278" s="30"/>
      <c r="AO278" s="30"/>
      <c r="AP278" s="30"/>
      <c r="AQ278" s="30"/>
      <c r="AR278" s="30"/>
      <c r="AS278" s="30"/>
      <c r="AT278" s="30"/>
      <c r="AU278" s="30"/>
      <c r="AV278" s="30"/>
      <c r="AW278" s="30">
        <v>0</v>
      </c>
      <c r="AX278" s="30">
        <v>0</v>
      </c>
      <c r="AY278" s="30">
        <v>0</v>
      </c>
      <c r="AZ278" s="30">
        <v>0</v>
      </c>
      <c r="BA278" s="30" t="e">
        <f t="array" aca="1" ref="BA278" ca="1">_xludf.XLOOKUP(C278,'PL TOTAL D0'!A:A,'PL TOTAL D0'!C:C,"")</f>
        <v>#NAME?</v>
      </c>
    </row>
    <row r="279" spans="1:53" ht="15.75" customHeight="1">
      <c r="A279" s="23" t="s">
        <v>29</v>
      </c>
      <c r="B279" s="3" t="s">
        <v>1059</v>
      </c>
      <c r="C279" s="4" t="s">
        <v>1060</v>
      </c>
      <c r="D279" s="7" t="s">
        <v>64</v>
      </c>
      <c r="E279" s="7" t="s">
        <v>20</v>
      </c>
      <c r="F279" s="7" t="s">
        <v>142</v>
      </c>
      <c r="G279" s="7" t="e">
        <f t="shared" ca="1" si="13"/>
        <v>#NAME?</v>
      </c>
      <c r="H279" s="24" t="s">
        <v>143</v>
      </c>
      <c r="I279" s="24" t="s">
        <v>25</v>
      </c>
      <c r="J279" s="7" t="str">
        <f t="shared" si="12"/>
        <v>Não</v>
      </c>
      <c r="K279" s="25">
        <v>45133</v>
      </c>
      <c r="L279" s="25">
        <v>45527</v>
      </c>
      <c r="M279" s="7" t="s">
        <v>42</v>
      </c>
      <c r="N279" s="26">
        <v>1.2E-2</v>
      </c>
      <c r="O279" s="7" t="s">
        <v>25</v>
      </c>
      <c r="P279" s="27">
        <v>0</v>
      </c>
      <c r="Q279" s="28"/>
      <c r="R279" s="28"/>
      <c r="S279" s="7" t="s">
        <v>145</v>
      </c>
      <c r="T279" s="7" t="s">
        <v>1061</v>
      </c>
      <c r="U279" s="7" t="s">
        <v>20</v>
      </c>
      <c r="V279" s="24" t="e">
        <f t="shared" ca="1" si="14"/>
        <v>#NAME?</v>
      </c>
      <c r="W279" s="7"/>
      <c r="X279" s="7"/>
      <c r="Y279" s="29" t="s">
        <v>253</v>
      </c>
      <c r="Z279" s="30"/>
      <c r="AA279" s="31">
        <v>45133</v>
      </c>
      <c r="AB279" s="32">
        <v>49075100007349</v>
      </c>
      <c r="AC279" s="30"/>
      <c r="AD279" s="30"/>
      <c r="AE279" s="30"/>
      <c r="AF279" s="30"/>
      <c r="AG279" s="30"/>
      <c r="AH279" s="30"/>
      <c r="AI279" s="30"/>
      <c r="AJ279" s="30"/>
      <c r="AK279" s="30"/>
      <c r="AL279" s="30">
        <v>87914.05</v>
      </c>
      <c r="AM279" s="30">
        <v>88851.51</v>
      </c>
      <c r="AN279" s="30">
        <v>89560.38</v>
      </c>
      <c r="AO279" s="30">
        <v>95296.87</v>
      </c>
      <c r="AP279" s="30">
        <v>96133.77</v>
      </c>
      <c r="AQ279" s="30">
        <v>96979.47</v>
      </c>
      <c r="AR279" s="30">
        <v>97755.11</v>
      </c>
      <c r="AS279" s="30">
        <v>98497.47</v>
      </c>
      <c r="AT279" s="30">
        <v>98937.03</v>
      </c>
      <c r="AU279" s="30">
        <v>99482.6</v>
      </c>
      <c r="AV279" s="30">
        <v>114239.1</v>
      </c>
      <c r="AW279" s="30">
        <v>123100.2</v>
      </c>
      <c r="AX279" s="30">
        <v>132090.70000000001</v>
      </c>
      <c r="AY279" s="30">
        <v>0</v>
      </c>
      <c r="AZ279" s="30">
        <v>0</v>
      </c>
      <c r="BA279" s="30" t="e">
        <f t="array" aca="1" ref="BA279" ca="1">_xludf.XLOOKUP(C279,'PL TOTAL D0'!A:A,'PL TOTAL D0'!C:C,"")</f>
        <v>#NAME?</v>
      </c>
    </row>
    <row r="280" spans="1:53" ht="15.75" customHeight="1">
      <c r="A280" s="23" t="s">
        <v>29</v>
      </c>
      <c r="B280" s="3" t="s">
        <v>1062</v>
      </c>
      <c r="C280" s="4" t="s">
        <v>1063</v>
      </c>
      <c r="D280" s="7" t="s">
        <v>19</v>
      </c>
      <c r="E280" s="7" t="s">
        <v>34</v>
      </c>
      <c r="F280" s="7" t="s">
        <v>35</v>
      </c>
      <c r="G280" s="7" t="e">
        <f t="shared" ca="1" si="13"/>
        <v>#NAME?</v>
      </c>
      <c r="H280" s="24" t="s">
        <v>152</v>
      </c>
      <c r="I280" s="24" t="s">
        <v>25</v>
      </c>
      <c r="J280" s="7" t="str">
        <f t="shared" si="12"/>
        <v>Não</v>
      </c>
      <c r="K280" s="25">
        <v>45127</v>
      </c>
      <c r="L280" s="25"/>
      <c r="M280" s="7" t="s">
        <v>200</v>
      </c>
      <c r="N280" s="26">
        <v>1.4999999999999999E-2</v>
      </c>
      <c r="O280" s="7" t="s">
        <v>37</v>
      </c>
      <c r="P280" s="27">
        <v>0.1</v>
      </c>
      <c r="Q280" s="23"/>
      <c r="R280" s="28" t="s">
        <v>1064</v>
      </c>
      <c r="S280" s="7" t="s">
        <v>145</v>
      </c>
      <c r="T280" s="7" t="s">
        <v>1065</v>
      </c>
      <c r="U280" s="7" t="s">
        <v>39</v>
      </c>
      <c r="V280" s="24" t="e">
        <f t="shared" ca="1" si="14"/>
        <v>#NAME?</v>
      </c>
      <c r="W280" s="7"/>
      <c r="X280" s="7"/>
      <c r="Y280" s="29" t="s">
        <v>147</v>
      </c>
      <c r="Z280" s="30"/>
      <c r="AA280" s="31">
        <v>45127</v>
      </c>
      <c r="AB280" s="32">
        <v>49075100008892</v>
      </c>
      <c r="AC280" s="30"/>
      <c r="AD280" s="30"/>
      <c r="AE280" s="30"/>
      <c r="AF280" s="30"/>
      <c r="AG280" s="30"/>
      <c r="AH280" s="30"/>
      <c r="AI280" s="30">
        <v>0</v>
      </c>
      <c r="AJ280" s="30">
        <v>0</v>
      </c>
      <c r="AK280" s="30">
        <v>0</v>
      </c>
      <c r="AL280" s="30">
        <v>755370.21</v>
      </c>
      <c r="AM280" s="30">
        <v>750615.93</v>
      </c>
      <c r="AN280" s="30">
        <v>753820.19</v>
      </c>
      <c r="AO280" s="30">
        <v>751964.49</v>
      </c>
      <c r="AP280" s="30">
        <v>768079</v>
      </c>
      <c r="AQ280" s="30">
        <v>778605.93</v>
      </c>
      <c r="AR280" s="30">
        <v>767063.11</v>
      </c>
      <c r="AS280" s="30">
        <v>806356.24</v>
      </c>
      <c r="AT280" s="30">
        <v>815684.51</v>
      </c>
      <c r="AU280" s="30">
        <v>807916.64</v>
      </c>
      <c r="AV280" s="30">
        <v>805084.2</v>
      </c>
      <c r="AW280" s="30">
        <v>809340.6</v>
      </c>
      <c r="AX280" s="30">
        <v>818911.9</v>
      </c>
      <c r="AY280" s="30">
        <v>829201.89</v>
      </c>
      <c r="AZ280" s="30">
        <v>827038.04</v>
      </c>
      <c r="BA280" s="30" t="e">
        <f t="array" aca="1" ref="BA280" ca="1">_xludf.XLOOKUP(C280,'PL TOTAL D0'!A:A,'PL TOTAL D0'!C:C,"")</f>
        <v>#NAME?</v>
      </c>
    </row>
    <row r="281" spans="1:53" ht="15.75" customHeight="1">
      <c r="A281" s="23" t="s">
        <v>29</v>
      </c>
      <c r="B281" s="3" t="s">
        <v>1066</v>
      </c>
      <c r="C281" s="4" t="s">
        <v>1067</v>
      </c>
      <c r="D281" s="7" t="s">
        <v>19</v>
      </c>
      <c r="E281" s="7" t="s">
        <v>49</v>
      </c>
      <c r="F281" s="7" t="s">
        <v>50</v>
      </c>
      <c r="G281" s="7" t="e">
        <f t="shared" ca="1" si="13"/>
        <v>#NAME?</v>
      </c>
      <c r="H281" s="24" t="s">
        <v>143</v>
      </c>
      <c r="I281" s="24" t="s">
        <v>25</v>
      </c>
      <c r="J281" s="7" t="str">
        <f t="shared" si="12"/>
        <v>Não</v>
      </c>
      <c r="K281" s="25">
        <v>45016</v>
      </c>
      <c r="L281" s="79">
        <v>45579</v>
      </c>
      <c r="M281" s="7" t="s">
        <v>42</v>
      </c>
      <c r="N281" s="26">
        <v>1.2E-2</v>
      </c>
      <c r="O281" s="7" t="s">
        <v>25</v>
      </c>
      <c r="P281" s="27">
        <v>0</v>
      </c>
      <c r="Q281" s="23"/>
      <c r="R281" s="28"/>
      <c r="S281" s="7" t="s">
        <v>145</v>
      </c>
      <c r="T281" s="7" t="s">
        <v>1068</v>
      </c>
      <c r="U281" s="7" t="s">
        <v>60</v>
      </c>
      <c r="V281" s="24" t="e">
        <f t="shared" ca="1" si="14"/>
        <v>#NAME?</v>
      </c>
      <c r="W281" s="7"/>
      <c r="X281" s="7"/>
      <c r="Y281" s="29" t="s">
        <v>147</v>
      </c>
      <c r="Z281" s="30"/>
      <c r="AA281" s="31">
        <v>45016</v>
      </c>
      <c r="AB281" s="32">
        <v>49075100006741</v>
      </c>
      <c r="AC281" s="30"/>
      <c r="AD281" s="30"/>
      <c r="AE281" s="30"/>
      <c r="AF281" s="30"/>
      <c r="AG281" s="30"/>
      <c r="AH281" s="30">
        <v>52009.59</v>
      </c>
      <c r="AI281" s="30">
        <v>60212.68</v>
      </c>
      <c r="AJ281" s="30">
        <v>62211.39</v>
      </c>
      <c r="AK281" s="30">
        <v>63535.51</v>
      </c>
      <c r="AL281" s="30">
        <v>64110.84</v>
      </c>
      <c r="AM281" s="30">
        <v>64136.46</v>
      </c>
      <c r="AN281" s="30">
        <v>91165.55</v>
      </c>
      <c r="AO281" s="30">
        <v>96544.81</v>
      </c>
      <c r="AP281" s="30">
        <v>97652.92</v>
      </c>
      <c r="AQ281" s="30">
        <v>109125.88</v>
      </c>
      <c r="AR281" s="30">
        <v>115227.69</v>
      </c>
      <c r="AS281" s="30">
        <v>116081.77</v>
      </c>
      <c r="AT281" s="30">
        <v>117049</v>
      </c>
      <c r="AU281" s="30">
        <v>117631.63</v>
      </c>
      <c r="AV281" s="30">
        <v>120623.4</v>
      </c>
      <c r="AW281" s="30">
        <v>124398.5</v>
      </c>
      <c r="AX281" s="30">
        <v>128206.8</v>
      </c>
      <c r="AY281" s="30">
        <v>132152.73000000001</v>
      </c>
      <c r="AZ281" s="30">
        <v>135965.9</v>
      </c>
      <c r="BA281" s="30" t="e">
        <f t="array" aca="1" ref="BA281" ca="1">_xludf.XLOOKUP(C281,'PL TOTAL D0'!A:A,'PL TOTAL D0'!C:C,"")</f>
        <v>#NAME?</v>
      </c>
    </row>
    <row r="282" spans="1:53" ht="15.75" customHeight="1">
      <c r="A282" s="23" t="s">
        <v>29</v>
      </c>
      <c r="B282" s="3" t="s">
        <v>1069</v>
      </c>
      <c r="C282" s="4" t="s">
        <v>1070</v>
      </c>
      <c r="D282" s="7" t="s">
        <v>19</v>
      </c>
      <c r="E282" s="7" t="s">
        <v>20</v>
      </c>
      <c r="F282" s="7" t="s">
        <v>199</v>
      </c>
      <c r="G282" s="7" t="e">
        <f t="shared" ca="1" si="13"/>
        <v>#NAME?</v>
      </c>
      <c r="H282" s="24" t="s">
        <v>152</v>
      </c>
      <c r="I282" s="24" t="s">
        <v>25</v>
      </c>
      <c r="J282" s="7" t="str">
        <f t="shared" si="12"/>
        <v>Não</v>
      </c>
      <c r="K282" s="25">
        <v>45162</v>
      </c>
      <c r="L282" s="25"/>
      <c r="M282" s="7" t="s">
        <v>87</v>
      </c>
      <c r="N282" s="26">
        <v>0.02</v>
      </c>
      <c r="O282" s="7" t="s">
        <v>183</v>
      </c>
      <c r="P282" s="27">
        <v>0.2</v>
      </c>
      <c r="Q282" s="45"/>
      <c r="R282" s="45" t="s">
        <v>1071</v>
      </c>
      <c r="S282" s="7" t="s">
        <v>145</v>
      </c>
      <c r="T282" s="7" t="s">
        <v>1072</v>
      </c>
      <c r="U282" s="7" t="s">
        <v>46</v>
      </c>
      <c r="V282" s="24" t="e">
        <f t="shared" ca="1" si="14"/>
        <v>#NAME?</v>
      </c>
      <c r="W282" s="7"/>
      <c r="X282" s="7"/>
      <c r="Y282" s="29" t="s">
        <v>147</v>
      </c>
      <c r="Z282" s="30"/>
      <c r="AA282" s="31">
        <v>45162</v>
      </c>
      <c r="AB282" s="32">
        <v>49075100007837</v>
      </c>
      <c r="AC282" s="30"/>
      <c r="AD282" s="30"/>
      <c r="AE282" s="30"/>
      <c r="AF282" s="30"/>
      <c r="AG282" s="30"/>
      <c r="AH282" s="30"/>
      <c r="AI282" s="30"/>
      <c r="AJ282" s="30"/>
      <c r="AK282" s="30"/>
      <c r="AL282" s="30"/>
      <c r="AM282" s="30">
        <v>1025511.35</v>
      </c>
      <c r="AN282" s="30">
        <v>1122870.6299999999</v>
      </c>
      <c r="AO282" s="30">
        <v>1175913.46</v>
      </c>
      <c r="AP282" s="30">
        <v>1183757.76</v>
      </c>
      <c r="AQ282" s="30">
        <v>1239969.47</v>
      </c>
      <c r="AR282" s="30">
        <v>1150550.24</v>
      </c>
      <c r="AS282" s="30">
        <v>1247790.69</v>
      </c>
      <c r="AT282" s="30">
        <v>1066970.04</v>
      </c>
      <c r="AU282" s="30">
        <v>529275.36</v>
      </c>
      <c r="AV282" s="30">
        <v>513336.9</v>
      </c>
      <c r="AW282" s="30">
        <v>110881.1</v>
      </c>
      <c r="AX282" s="30">
        <v>113538.6</v>
      </c>
      <c r="AY282" s="30">
        <v>115842.31</v>
      </c>
      <c r="AZ282" s="30">
        <v>63555.14</v>
      </c>
      <c r="BA282" s="30" t="e">
        <f t="array" aca="1" ref="BA282" ca="1">_xludf.XLOOKUP(C282,'PL TOTAL D0'!A:A,'PL TOTAL D0'!C:C,"")</f>
        <v>#NAME?</v>
      </c>
    </row>
    <row r="283" spans="1:53" ht="15.75" customHeight="1">
      <c r="A283" s="23" t="s">
        <v>29</v>
      </c>
      <c r="B283" s="3" t="s">
        <v>1073</v>
      </c>
      <c r="C283" s="4" t="s">
        <v>1074</v>
      </c>
      <c r="D283" s="7" t="s">
        <v>19</v>
      </c>
      <c r="E283" s="7" t="s">
        <v>34</v>
      </c>
      <c r="F283" s="7" t="s">
        <v>35</v>
      </c>
      <c r="G283" s="7" t="e">
        <f t="shared" ca="1" si="13"/>
        <v>#NAME?</v>
      </c>
      <c r="H283" s="24" t="s">
        <v>152</v>
      </c>
      <c r="I283" s="24" t="s">
        <v>25</v>
      </c>
      <c r="J283" s="7" t="str">
        <f t="shared" si="12"/>
        <v>Não</v>
      </c>
      <c r="K283" s="25">
        <v>45166</v>
      </c>
      <c r="L283" s="25"/>
      <c r="M283" s="7" t="s">
        <v>200</v>
      </c>
      <c r="N283" s="26">
        <v>1.4999999999999999E-2</v>
      </c>
      <c r="O283" s="7" t="s">
        <v>37</v>
      </c>
      <c r="P283" s="27">
        <v>0.1</v>
      </c>
      <c r="Q283" s="28"/>
      <c r="R283" s="28" t="s">
        <v>1075</v>
      </c>
      <c r="S283" s="7" t="s">
        <v>145</v>
      </c>
      <c r="T283" s="7" t="s">
        <v>1076</v>
      </c>
      <c r="U283" s="7" t="s">
        <v>39</v>
      </c>
      <c r="V283" s="24" t="e">
        <f t="shared" ca="1" si="14"/>
        <v>#NAME?</v>
      </c>
      <c r="W283" s="7"/>
      <c r="X283" s="7"/>
      <c r="Y283" s="29" t="s">
        <v>147</v>
      </c>
      <c r="Z283" s="30"/>
      <c r="AA283" s="31">
        <v>45166</v>
      </c>
      <c r="AB283" s="32">
        <v>49075100006687</v>
      </c>
      <c r="AC283" s="30"/>
      <c r="AD283" s="30"/>
      <c r="AE283" s="30"/>
      <c r="AF283" s="30"/>
      <c r="AG283" s="30"/>
      <c r="AH283" s="30"/>
      <c r="AI283" s="30">
        <v>0</v>
      </c>
      <c r="AJ283" s="30">
        <v>0</v>
      </c>
      <c r="AK283" s="30">
        <v>0</v>
      </c>
      <c r="AL283" s="30">
        <v>0</v>
      </c>
      <c r="AM283" s="30">
        <v>150839.35999999999</v>
      </c>
      <c r="AN283" s="30">
        <v>151158.65</v>
      </c>
      <c r="AO283" s="30">
        <v>155985.48000000001</v>
      </c>
      <c r="AP283" s="30">
        <v>159430.39999999999</v>
      </c>
      <c r="AQ283" s="30">
        <v>162488.4</v>
      </c>
      <c r="AR283" s="30">
        <v>160193.34</v>
      </c>
      <c r="AS283" s="30">
        <v>161566.9</v>
      </c>
      <c r="AT283" s="30">
        <v>162955.89000000001</v>
      </c>
      <c r="AU283" s="30">
        <v>161962.69</v>
      </c>
      <c r="AV283" s="30">
        <v>161363.29999999999</v>
      </c>
      <c r="AW283" s="30">
        <v>162364.29999999999</v>
      </c>
      <c r="AX283" s="30">
        <v>164635.70000000001</v>
      </c>
      <c r="AY283" s="30">
        <v>166595.23000000001</v>
      </c>
      <c r="AZ283" s="30">
        <v>64742.15</v>
      </c>
      <c r="BA283" s="30" t="e">
        <f t="array" aca="1" ref="BA283" ca="1">_xludf.XLOOKUP(C283,'PL TOTAL D0'!A:A,'PL TOTAL D0'!C:C,"")</f>
        <v>#NAME?</v>
      </c>
    </row>
    <row r="284" spans="1:53" ht="15.75" customHeight="1">
      <c r="A284" s="23" t="s">
        <v>29</v>
      </c>
      <c r="B284" s="3" t="s">
        <v>1077</v>
      </c>
      <c r="C284" s="64" t="s">
        <v>1078</v>
      </c>
      <c r="D284" s="6" t="s">
        <v>64</v>
      </c>
      <c r="E284" s="6" t="s">
        <v>20</v>
      </c>
      <c r="F284" s="7" t="s">
        <v>142</v>
      </c>
      <c r="G284" s="7" t="e">
        <f t="shared" ca="1" si="13"/>
        <v>#NAME?</v>
      </c>
      <c r="H284" s="8" t="s">
        <v>143</v>
      </c>
      <c r="I284" s="24" t="s">
        <v>25</v>
      </c>
      <c r="J284" s="7" t="str">
        <f t="shared" si="12"/>
        <v>Não</v>
      </c>
      <c r="K284" s="107">
        <v>45140</v>
      </c>
      <c r="L284" s="107">
        <v>45516</v>
      </c>
      <c r="M284" s="7" t="s">
        <v>42</v>
      </c>
      <c r="N284" s="10">
        <v>0.01</v>
      </c>
      <c r="O284" s="6" t="s">
        <v>25</v>
      </c>
      <c r="P284" s="11">
        <v>0</v>
      </c>
      <c r="Q284" s="108"/>
      <c r="R284" s="108" t="s">
        <v>309</v>
      </c>
      <c r="S284" s="6" t="s">
        <v>145</v>
      </c>
      <c r="T284" s="7" t="s">
        <v>1079</v>
      </c>
      <c r="U284" s="6" t="s">
        <v>20</v>
      </c>
      <c r="V284" s="24" t="e">
        <f t="shared" ca="1" si="14"/>
        <v>#NAME?</v>
      </c>
      <c r="W284" s="6"/>
      <c r="X284" s="6"/>
      <c r="Y284" s="109" t="s">
        <v>147</v>
      </c>
      <c r="Z284" s="110"/>
      <c r="AA284" s="111">
        <v>45140</v>
      </c>
      <c r="AB284" s="112">
        <v>49075100007152</v>
      </c>
      <c r="AC284" s="110"/>
      <c r="AD284" s="110"/>
      <c r="AE284" s="110"/>
      <c r="AF284" s="110"/>
      <c r="AG284" s="110"/>
      <c r="AH284" s="110"/>
      <c r="AI284" s="110"/>
      <c r="AJ284" s="110"/>
      <c r="AK284" s="110"/>
      <c r="AL284" s="110"/>
      <c r="AM284" s="110">
        <v>2602048.34</v>
      </c>
      <c r="AN284" s="110">
        <v>2732335.22</v>
      </c>
      <c r="AO284" s="30">
        <v>2754067.6</v>
      </c>
      <c r="AP284" s="30">
        <v>2770541.78</v>
      </c>
      <c r="AQ284" s="30">
        <v>2791200.63</v>
      </c>
      <c r="AR284" s="30">
        <v>2800945.46</v>
      </c>
      <c r="AS284" s="30">
        <v>2815410.01</v>
      </c>
      <c r="AT284" s="30">
        <v>2839628.15</v>
      </c>
      <c r="AU284" s="30">
        <v>2853685.02</v>
      </c>
      <c r="AV284" s="30">
        <v>2872593</v>
      </c>
      <c r="AW284" s="30">
        <v>2893378</v>
      </c>
      <c r="AX284" s="30">
        <v>0</v>
      </c>
      <c r="AY284" s="30">
        <v>0</v>
      </c>
      <c r="AZ284" s="30">
        <v>0</v>
      </c>
      <c r="BA284" s="30" t="e">
        <f t="array" aca="1" ref="BA284" ca="1">_xludf.XLOOKUP(C284,'PL TOTAL D0'!A:A,'PL TOTAL D0'!C:C,"")</f>
        <v>#NAME?</v>
      </c>
    </row>
    <row r="285" spans="1:53" ht="15.75" customHeight="1">
      <c r="A285" s="23" t="s">
        <v>29</v>
      </c>
      <c r="B285" s="87" t="s">
        <v>1080</v>
      </c>
      <c r="C285" s="49" t="s">
        <v>1081</v>
      </c>
      <c r="D285" s="7" t="s">
        <v>19</v>
      </c>
      <c r="E285" s="7" t="s">
        <v>20</v>
      </c>
      <c r="F285" s="7" t="s">
        <v>210</v>
      </c>
      <c r="G285" s="7" t="e">
        <f t="shared" ca="1" si="13"/>
        <v>#NAME?</v>
      </c>
      <c r="H285" s="24" t="s">
        <v>143</v>
      </c>
      <c r="I285" s="24" t="s">
        <v>25</v>
      </c>
      <c r="J285" s="7" t="str">
        <f>IF(R285=0,"Não","Sim")</f>
        <v>Sim</v>
      </c>
      <c r="K285" s="25">
        <v>45180</v>
      </c>
      <c r="L285" s="25">
        <v>45449</v>
      </c>
      <c r="M285" s="7" t="s">
        <v>42</v>
      </c>
      <c r="N285" s="26">
        <v>1.2E-2</v>
      </c>
      <c r="O285" s="7" t="s">
        <v>25</v>
      </c>
      <c r="P285" s="27">
        <v>0</v>
      </c>
      <c r="Q285" s="84"/>
      <c r="R285" s="45" t="s">
        <v>309</v>
      </c>
      <c r="S285" s="7" t="s">
        <v>145</v>
      </c>
      <c r="T285" s="7" t="s">
        <v>1082</v>
      </c>
      <c r="U285" s="7" t="s">
        <v>886</v>
      </c>
      <c r="V285" s="24" t="e">
        <f t="shared" ca="1" si="14"/>
        <v>#NAME?</v>
      </c>
      <c r="W285" s="7"/>
      <c r="X285" s="7"/>
      <c r="Y285" s="29" t="s">
        <v>147</v>
      </c>
      <c r="Z285" s="30"/>
      <c r="AA285" s="31">
        <v>45180</v>
      </c>
      <c r="AB285" s="32">
        <v>49075100012369</v>
      </c>
      <c r="AC285" s="30"/>
      <c r="AD285" s="30"/>
      <c r="AE285" s="30"/>
      <c r="AF285" s="30"/>
      <c r="AG285" s="30"/>
      <c r="AH285" s="30"/>
      <c r="AI285" s="30"/>
      <c r="AJ285" s="30"/>
      <c r="AK285" s="30"/>
      <c r="AL285" s="30"/>
      <c r="AM285" s="30"/>
      <c r="AN285" s="30">
        <v>140046.35999999999</v>
      </c>
      <c r="AO285" s="30">
        <v>137218.75</v>
      </c>
      <c r="AP285" s="30">
        <v>142385.63</v>
      </c>
      <c r="AQ285" s="30">
        <v>144548.32</v>
      </c>
      <c r="AR285" s="30">
        <v>0</v>
      </c>
      <c r="AS285" s="30">
        <v>0</v>
      </c>
      <c r="AT285" s="30">
        <v>0</v>
      </c>
      <c r="AU285" s="30">
        <v>0</v>
      </c>
      <c r="AV285" s="30">
        <v>0</v>
      </c>
      <c r="AW285" s="30">
        <v>0</v>
      </c>
      <c r="AX285" s="30">
        <v>0</v>
      </c>
      <c r="AY285" s="30">
        <v>0</v>
      </c>
      <c r="AZ285" s="30">
        <v>0</v>
      </c>
      <c r="BA285" s="30" t="e">
        <f t="array" aca="1" ref="BA285" ca="1">_xludf.XLOOKUP(C285,'PL TOTAL D0'!A:A,'PL TOTAL D0'!C:C,"")</f>
        <v>#NAME?</v>
      </c>
    </row>
    <row r="286" spans="1:53" ht="15.75" customHeight="1">
      <c r="A286" s="23" t="s">
        <v>29</v>
      </c>
      <c r="B286" s="3" t="s">
        <v>1083</v>
      </c>
      <c r="C286" s="4" t="s">
        <v>1084</v>
      </c>
      <c r="D286" s="7" t="s">
        <v>19</v>
      </c>
      <c r="E286" s="7" t="s">
        <v>20</v>
      </c>
      <c r="F286" s="7" t="s">
        <v>199</v>
      </c>
      <c r="G286" s="7" t="e">
        <f t="shared" ca="1" si="13"/>
        <v>#NAME?</v>
      </c>
      <c r="H286" s="24" t="s">
        <v>161</v>
      </c>
      <c r="I286" s="24" t="s">
        <v>162</v>
      </c>
      <c r="J286" s="7" t="str">
        <f t="shared" ref="J286:J302" si="15">IF(Q286=0,"Não","Sim")</f>
        <v>Não</v>
      </c>
      <c r="K286" s="25">
        <v>45049</v>
      </c>
      <c r="L286" s="7"/>
      <c r="M286" s="7" t="s">
        <v>345</v>
      </c>
      <c r="N286" s="26">
        <v>0.02</v>
      </c>
      <c r="O286" s="7" t="s">
        <v>37</v>
      </c>
      <c r="P286" s="27">
        <v>0.2</v>
      </c>
      <c r="Q286" s="28"/>
      <c r="R286" s="28" t="s">
        <v>1085</v>
      </c>
      <c r="S286" s="7" t="s">
        <v>145</v>
      </c>
      <c r="T286" s="7" t="s">
        <v>1086</v>
      </c>
      <c r="U286" s="7" t="s">
        <v>20</v>
      </c>
      <c r="V286" s="24" t="e">
        <f t="shared" ca="1" si="14"/>
        <v>#NAME?</v>
      </c>
      <c r="W286" s="7"/>
      <c r="X286" s="7"/>
      <c r="Y286" s="29" t="s">
        <v>147</v>
      </c>
      <c r="Z286" s="30"/>
      <c r="AA286" s="31">
        <v>45049</v>
      </c>
      <c r="AB286" s="32">
        <v>49075100007225</v>
      </c>
      <c r="AC286" s="30"/>
      <c r="AD286" s="30"/>
      <c r="AE286" s="30"/>
      <c r="AF286" s="30"/>
      <c r="AG286" s="30"/>
      <c r="AH286" s="30"/>
      <c r="AI286" s="30">
        <v>20000</v>
      </c>
      <c r="AJ286" s="30">
        <v>22448.47</v>
      </c>
      <c r="AK286" s="30">
        <v>27560.74</v>
      </c>
      <c r="AL286" s="30">
        <v>30883.77</v>
      </c>
      <c r="AM286" s="30">
        <v>42960.57</v>
      </c>
      <c r="AN286" s="30">
        <v>42867.55</v>
      </c>
      <c r="AO286" s="30">
        <v>42436.21</v>
      </c>
      <c r="AP286" s="30">
        <v>45603.16</v>
      </c>
      <c r="AQ286" s="30">
        <v>46752.95</v>
      </c>
      <c r="AR286" s="30">
        <v>47818.23</v>
      </c>
      <c r="AS286" s="30">
        <v>48284.92</v>
      </c>
      <c r="AT286" s="30">
        <v>54098.91</v>
      </c>
      <c r="AU286" s="30">
        <v>55670.239999999998</v>
      </c>
      <c r="AV286" s="30">
        <v>55450.68</v>
      </c>
      <c r="AW286" s="30">
        <v>23307.53</v>
      </c>
      <c r="AX286" s="30">
        <v>268.05</v>
      </c>
      <c r="AY286" s="30">
        <v>173.61</v>
      </c>
      <c r="AZ286" s="30">
        <v>173.6</v>
      </c>
      <c r="BA286" s="30" t="e">
        <f t="array" aca="1" ref="BA286" ca="1">_xludf.XLOOKUP(C286,'PL TOTAL D0'!A:A,'PL TOTAL D0'!C:C,"")</f>
        <v>#NAME?</v>
      </c>
    </row>
    <row r="287" spans="1:53" ht="15.75" customHeight="1">
      <c r="A287" s="23" t="s">
        <v>29</v>
      </c>
      <c r="B287" s="3" t="s">
        <v>1087</v>
      </c>
      <c r="C287" s="4" t="s">
        <v>1088</v>
      </c>
      <c r="D287" s="7" t="s">
        <v>19</v>
      </c>
      <c r="E287" s="7" t="s">
        <v>20</v>
      </c>
      <c r="F287" s="7" t="s">
        <v>21</v>
      </c>
      <c r="G287" s="7" t="e">
        <f t="shared" ca="1" si="13"/>
        <v>#NAME?</v>
      </c>
      <c r="H287" s="24" t="s">
        <v>161</v>
      </c>
      <c r="I287" s="24" t="s">
        <v>222</v>
      </c>
      <c r="J287" s="7" t="str">
        <f t="shared" si="15"/>
        <v>Não</v>
      </c>
      <c r="K287" s="25">
        <v>44993</v>
      </c>
      <c r="L287" s="7"/>
      <c r="M287" s="7" t="s">
        <v>42</v>
      </c>
      <c r="N287" s="26">
        <v>1.2E-2</v>
      </c>
      <c r="O287" s="7" t="s">
        <v>25</v>
      </c>
      <c r="P287" s="27">
        <v>0</v>
      </c>
      <c r="Q287" s="28"/>
      <c r="R287" s="28"/>
      <c r="S287" s="7" t="s">
        <v>145</v>
      </c>
      <c r="T287" s="7" t="s">
        <v>1089</v>
      </c>
      <c r="U287" s="7" t="s">
        <v>20</v>
      </c>
      <c r="V287" s="24" t="e">
        <f t="shared" ca="1" si="14"/>
        <v>#NAME?</v>
      </c>
      <c r="W287" s="7"/>
      <c r="X287" s="7"/>
      <c r="Y287" s="29" t="s">
        <v>147</v>
      </c>
      <c r="Z287" s="30"/>
      <c r="AA287" s="31">
        <v>44993</v>
      </c>
      <c r="AB287" s="32">
        <v>49075100011397</v>
      </c>
      <c r="AC287" s="30"/>
      <c r="AD287" s="30"/>
      <c r="AE287" s="30"/>
      <c r="AF287" s="30"/>
      <c r="AG287" s="30">
        <v>0</v>
      </c>
      <c r="AH287" s="30">
        <v>67255.19</v>
      </c>
      <c r="AI287" s="30">
        <v>100244.63</v>
      </c>
      <c r="AJ287" s="30">
        <v>101366.48</v>
      </c>
      <c r="AK287" s="30">
        <v>40.97</v>
      </c>
      <c r="AL287" s="30">
        <v>0</v>
      </c>
      <c r="AM287" s="30">
        <v>0</v>
      </c>
      <c r="AN287" s="30">
        <v>0</v>
      </c>
      <c r="AO287" s="30">
        <v>0</v>
      </c>
      <c r="AP287" s="30">
        <v>0</v>
      </c>
      <c r="AQ287" s="30">
        <v>0</v>
      </c>
      <c r="AR287" s="30">
        <v>0</v>
      </c>
      <c r="AS287" s="30">
        <v>0</v>
      </c>
      <c r="AT287" s="30">
        <v>0</v>
      </c>
      <c r="AU287" s="30">
        <v>51.44</v>
      </c>
      <c r="AV287" s="30">
        <v>51.44</v>
      </c>
      <c r="AW287" s="30">
        <v>51.44</v>
      </c>
      <c r="AX287" s="30">
        <v>51.44</v>
      </c>
      <c r="AY287" s="30">
        <v>51.44</v>
      </c>
      <c r="AZ287" s="30">
        <v>51.44</v>
      </c>
      <c r="BA287" s="30" t="e">
        <f t="array" aca="1" ref="BA287" ca="1">_xludf.XLOOKUP(C287,'PL TOTAL D0'!A:A,'PL TOTAL D0'!C:C,"")</f>
        <v>#NAME?</v>
      </c>
    </row>
    <row r="288" spans="1:53" ht="15.75" customHeight="1">
      <c r="A288" s="23" t="s">
        <v>29</v>
      </c>
      <c r="B288" s="3" t="s">
        <v>1090</v>
      </c>
      <c r="C288" s="4" t="s">
        <v>1091</v>
      </c>
      <c r="D288" s="7" t="s">
        <v>19</v>
      </c>
      <c r="E288" s="7" t="s">
        <v>20</v>
      </c>
      <c r="F288" s="7" t="s">
        <v>21</v>
      </c>
      <c r="G288" s="7" t="e">
        <f t="shared" ca="1" si="13"/>
        <v>#NAME?</v>
      </c>
      <c r="H288" s="24" t="s">
        <v>161</v>
      </c>
      <c r="I288" s="24" t="s">
        <v>222</v>
      </c>
      <c r="J288" s="7" t="str">
        <f t="shared" si="15"/>
        <v>Não</v>
      </c>
      <c r="K288" s="25">
        <v>45056</v>
      </c>
      <c r="L288" s="25"/>
      <c r="M288" s="7" t="s">
        <v>87</v>
      </c>
      <c r="N288" s="26">
        <v>2.5000000000000001E-2</v>
      </c>
      <c r="O288" s="7" t="s">
        <v>183</v>
      </c>
      <c r="P288" s="27">
        <v>0.2</v>
      </c>
      <c r="Q288" s="28"/>
      <c r="R288" s="28"/>
      <c r="S288" s="7" t="s">
        <v>145</v>
      </c>
      <c r="T288" s="7" t="s">
        <v>1089</v>
      </c>
      <c r="U288" s="7" t="s">
        <v>20</v>
      </c>
      <c r="V288" s="24" t="e">
        <f t="shared" ca="1" si="14"/>
        <v>#NAME?</v>
      </c>
      <c r="W288" s="7"/>
      <c r="X288" s="7"/>
      <c r="Y288" s="29" t="s">
        <v>147</v>
      </c>
      <c r="Z288" s="30"/>
      <c r="AA288" s="31">
        <v>45056</v>
      </c>
      <c r="AB288" s="32">
        <v>49075100012377</v>
      </c>
      <c r="AC288" s="30"/>
      <c r="AD288" s="30"/>
      <c r="AE288" s="30"/>
      <c r="AF288" s="30"/>
      <c r="AG288" s="30">
        <v>0</v>
      </c>
      <c r="AH288" s="30">
        <v>0</v>
      </c>
      <c r="AI288" s="30">
        <v>0</v>
      </c>
      <c r="AJ288" s="30">
        <v>10590.8</v>
      </c>
      <c r="AK288" s="30">
        <v>862.31</v>
      </c>
      <c r="AL288" s="30">
        <v>0</v>
      </c>
      <c r="AM288" s="30">
        <v>0</v>
      </c>
      <c r="AN288" s="30">
        <v>0</v>
      </c>
      <c r="AO288" s="30">
        <v>0</v>
      </c>
      <c r="AP288" s="30">
        <v>0</v>
      </c>
      <c r="AQ288" s="30">
        <v>0</v>
      </c>
      <c r="AR288" s="30">
        <v>0</v>
      </c>
      <c r="AS288" s="30">
        <v>0</v>
      </c>
      <c r="AT288" s="30">
        <v>0</v>
      </c>
      <c r="AU288" s="30">
        <v>0</v>
      </c>
      <c r="AV288" s="30">
        <v>0</v>
      </c>
      <c r="AW288" s="30">
        <v>0</v>
      </c>
      <c r="AX288" s="30">
        <v>0</v>
      </c>
      <c r="AY288" s="30">
        <v>0</v>
      </c>
      <c r="AZ288" s="30">
        <v>0</v>
      </c>
      <c r="BA288" s="30" t="e">
        <f t="array" aca="1" ref="BA288" ca="1">_xludf.XLOOKUP(C288,'PL TOTAL D0'!A:A,'PL TOTAL D0'!C:C,"")</f>
        <v>#NAME?</v>
      </c>
    </row>
    <row r="289" spans="1:53" ht="15.75" customHeight="1">
      <c r="A289" s="23" t="s">
        <v>29</v>
      </c>
      <c r="B289" s="3" t="s">
        <v>1092</v>
      </c>
      <c r="C289" s="4" t="s">
        <v>1093</v>
      </c>
      <c r="D289" s="7" t="s">
        <v>80</v>
      </c>
      <c r="E289" s="7" t="s">
        <v>49</v>
      </c>
      <c r="F289" s="7" t="s">
        <v>81</v>
      </c>
      <c r="G289" s="7" t="e">
        <f t="shared" ca="1" si="13"/>
        <v>#NAME?</v>
      </c>
      <c r="H289" s="24" t="s">
        <v>152</v>
      </c>
      <c r="I289" s="24" t="s">
        <v>25</v>
      </c>
      <c r="J289" s="7" t="str">
        <f t="shared" si="15"/>
        <v>Sim</v>
      </c>
      <c r="K289" s="25">
        <v>45260</v>
      </c>
      <c r="L289" s="25"/>
      <c r="M289" s="7" t="s">
        <v>42</v>
      </c>
      <c r="N289" s="26">
        <v>0.01</v>
      </c>
      <c r="O289" s="7" t="s">
        <v>25</v>
      </c>
      <c r="P289" s="27">
        <v>0</v>
      </c>
      <c r="Q289" s="36" t="s">
        <v>1094</v>
      </c>
      <c r="R289" s="28"/>
      <c r="S289" s="7" t="s">
        <v>145</v>
      </c>
      <c r="T289" s="7" t="s">
        <v>1095</v>
      </c>
      <c r="U289" s="7" t="s">
        <v>49</v>
      </c>
      <c r="V289" s="24" t="e">
        <f t="shared" ca="1" si="14"/>
        <v>#NAME?</v>
      </c>
      <c r="W289" s="7"/>
      <c r="X289" s="7"/>
      <c r="Y289" s="29" t="s">
        <v>147</v>
      </c>
      <c r="Z289" s="30"/>
      <c r="AA289" s="31">
        <v>45260</v>
      </c>
      <c r="AB289" s="32">
        <v>49075100012393</v>
      </c>
      <c r="AC289" s="30"/>
      <c r="AD289" s="30"/>
      <c r="AE289" s="30"/>
      <c r="AF289" s="30"/>
      <c r="AG289" s="30"/>
      <c r="AH289" s="30"/>
      <c r="AI289" s="30"/>
      <c r="AJ289" s="30"/>
      <c r="AK289" s="30"/>
      <c r="AL289" s="30"/>
      <c r="AM289" s="30"/>
      <c r="AN289" s="30"/>
      <c r="AO289" s="30"/>
      <c r="AP289" s="30">
        <v>338036.22</v>
      </c>
      <c r="AQ289" s="30">
        <v>340522</v>
      </c>
      <c r="AR289" s="30">
        <v>343331.92</v>
      </c>
      <c r="AS289" s="30">
        <v>345734.41</v>
      </c>
      <c r="AT289" s="30">
        <v>348379.66</v>
      </c>
      <c r="AU289" s="30">
        <v>350826.87</v>
      </c>
      <c r="AV289" s="30">
        <v>670892.19999999995</v>
      </c>
      <c r="AW289" s="30">
        <v>676607.8</v>
      </c>
      <c r="AX289" s="30">
        <v>682511.6</v>
      </c>
      <c r="AY289" s="30">
        <v>687774.23</v>
      </c>
      <c r="AZ289" s="30">
        <v>692366.71</v>
      </c>
      <c r="BA289" s="30" t="e">
        <f t="array" aca="1" ref="BA289" ca="1">_xludf.XLOOKUP(C289,'PL TOTAL D0'!A:A,'PL TOTAL D0'!C:C,"")</f>
        <v>#NAME?</v>
      </c>
    </row>
    <row r="290" spans="1:53" ht="15.75" customHeight="1">
      <c r="A290" s="23" t="s">
        <v>29</v>
      </c>
      <c r="B290" s="3" t="s">
        <v>1092</v>
      </c>
      <c r="C290" s="60" t="s">
        <v>1096</v>
      </c>
      <c r="D290" s="7" t="s">
        <v>80</v>
      </c>
      <c r="E290" s="7" t="s">
        <v>49</v>
      </c>
      <c r="F290" s="7" t="s">
        <v>81</v>
      </c>
      <c r="G290" s="7" t="e">
        <f t="shared" ca="1" si="13"/>
        <v>#NAME?</v>
      </c>
      <c r="H290" s="24" t="s">
        <v>143</v>
      </c>
      <c r="I290" s="24" t="s">
        <v>25</v>
      </c>
      <c r="J290" s="7" t="str">
        <f t="shared" si="15"/>
        <v>Não</v>
      </c>
      <c r="K290" s="25">
        <v>45260</v>
      </c>
      <c r="L290" s="25">
        <v>45531</v>
      </c>
      <c r="M290" s="7" t="s">
        <v>31</v>
      </c>
      <c r="N290" s="26">
        <v>0</v>
      </c>
      <c r="O290" s="7" t="s">
        <v>25</v>
      </c>
      <c r="P290" s="27">
        <v>0</v>
      </c>
      <c r="Q290" s="99"/>
      <c r="R290" s="28"/>
      <c r="S290" s="7" t="s">
        <v>145</v>
      </c>
      <c r="T290" s="7" t="s">
        <v>1095</v>
      </c>
      <c r="U290" s="7" t="s">
        <v>49</v>
      </c>
      <c r="V290" s="24" t="e">
        <f t="shared" ca="1" si="14"/>
        <v>#NAME?</v>
      </c>
      <c r="W290" s="7"/>
      <c r="X290" s="7"/>
      <c r="Y290" s="29" t="s">
        <v>452</v>
      </c>
      <c r="Z290" s="30"/>
      <c r="AA290" s="31">
        <v>45260</v>
      </c>
      <c r="AB290" s="32">
        <v>49075100012385</v>
      </c>
      <c r="AC290" s="30"/>
      <c r="AD290" s="30"/>
      <c r="AE290" s="30"/>
      <c r="AF290" s="30"/>
      <c r="AG290" s="30"/>
      <c r="AH290" s="30"/>
      <c r="AI290" s="30"/>
      <c r="AJ290" s="30"/>
      <c r="AK290" s="30"/>
      <c r="AL290" s="30"/>
      <c r="AM290" s="30"/>
      <c r="AN290" s="30"/>
      <c r="AO290" s="30"/>
      <c r="AP290" s="30">
        <v>550719.1</v>
      </c>
      <c r="AQ290" s="30">
        <v>564843.35</v>
      </c>
      <c r="AR290" s="30">
        <v>557066.15</v>
      </c>
      <c r="AS290" s="30">
        <v>563498.62</v>
      </c>
      <c r="AT290" s="30">
        <v>568342.23</v>
      </c>
      <c r="AU290" s="30">
        <v>564452.38</v>
      </c>
      <c r="AV290" s="30">
        <v>560162.5</v>
      </c>
      <c r="AW290" s="30">
        <v>0</v>
      </c>
      <c r="AX290" s="30">
        <v>0</v>
      </c>
      <c r="AY290" s="30">
        <v>0</v>
      </c>
      <c r="AZ290" s="30">
        <v>0</v>
      </c>
      <c r="BA290" s="30" t="e">
        <f t="array" aca="1" ref="BA290" ca="1">_xludf.XLOOKUP(C290,'PL TOTAL D0'!A:A,'PL TOTAL D0'!C:C,"")</f>
        <v>#NAME?</v>
      </c>
    </row>
    <row r="291" spans="1:53" ht="15.75" customHeight="1">
      <c r="A291" s="23" t="s">
        <v>29</v>
      </c>
      <c r="B291" s="38" t="s">
        <v>1097</v>
      </c>
      <c r="C291" s="39" t="s">
        <v>1098</v>
      </c>
      <c r="D291" s="7" t="s">
        <v>19</v>
      </c>
      <c r="E291" s="7" t="s">
        <v>49</v>
      </c>
      <c r="F291" s="7" t="s">
        <v>277</v>
      </c>
      <c r="G291" s="7" t="e">
        <f t="shared" ca="1" si="13"/>
        <v>#NAME?</v>
      </c>
      <c r="H291" s="24" t="s">
        <v>161</v>
      </c>
      <c r="I291" s="24" t="s">
        <v>25</v>
      </c>
      <c r="J291" s="7" t="str">
        <f t="shared" si="15"/>
        <v>Não</v>
      </c>
      <c r="K291" s="25">
        <v>45446</v>
      </c>
      <c r="L291" s="25"/>
      <c r="M291" s="7" t="s">
        <v>42</v>
      </c>
      <c r="N291" s="26">
        <v>1.2E-2</v>
      </c>
      <c r="O291" s="7" t="s">
        <v>25</v>
      </c>
      <c r="P291" s="27">
        <v>0</v>
      </c>
      <c r="Q291" s="99"/>
      <c r="R291" s="28"/>
      <c r="S291" s="7" t="s">
        <v>145</v>
      </c>
      <c r="T291" s="7" t="s">
        <v>1099</v>
      </c>
      <c r="U291" s="7" t="s">
        <v>49</v>
      </c>
      <c r="V291" s="24" t="e">
        <f t="shared" ca="1" si="14"/>
        <v>#NAME?</v>
      </c>
      <c r="W291" s="7"/>
      <c r="X291" s="7" t="s">
        <v>40</v>
      </c>
      <c r="Y291" s="29" t="s">
        <v>147</v>
      </c>
      <c r="Z291" s="30"/>
      <c r="AA291" s="31">
        <v>45446</v>
      </c>
      <c r="AB291" s="32">
        <v>49075100014833</v>
      </c>
      <c r="AC291" s="30"/>
      <c r="AD291" s="30"/>
      <c r="AE291" s="30"/>
      <c r="AF291" s="30"/>
      <c r="AG291" s="30"/>
      <c r="AH291" s="30"/>
      <c r="AI291" s="30"/>
      <c r="AJ291" s="30"/>
      <c r="AK291" s="30"/>
      <c r="AL291" s="30"/>
      <c r="AM291" s="30"/>
      <c r="AN291" s="30"/>
      <c r="AO291" s="30"/>
      <c r="AP291" s="30"/>
      <c r="AQ291" s="30"/>
      <c r="AR291" s="30"/>
      <c r="AS291" s="30"/>
      <c r="AT291" s="30"/>
      <c r="AU291" s="30"/>
      <c r="AV291" s="30"/>
      <c r="AW291" s="30">
        <v>0</v>
      </c>
      <c r="AX291" s="30">
        <v>0</v>
      </c>
      <c r="AY291" s="30">
        <v>0</v>
      </c>
      <c r="AZ291" s="30">
        <v>0</v>
      </c>
      <c r="BA291" s="30" t="e">
        <f t="array" aca="1" ref="BA291" ca="1">_xludf.XLOOKUP(C291,'PL TOTAL D0'!A:A,'PL TOTAL D0'!C:C,"")</f>
        <v>#NAME?</v>
      </c>
    </row>
    <row r="292" spans="1:53" ht="15.75" customHeight="1">
      <c r="A292" s="23" t="s">
        <v>29</v>
      </c>
      <c r="B292" s="38" t="s">
        <v>1100</v>
      </c>
      <c r="C292" s="89" t="s">
        <v>1101</v>
      </c>
      <c r="D292" s="7" t="s">
        <v>80</v>
      </c>
      <c r="E292" s="7" t="s">
        <v>49</v>
      </c>
      <c r="F292" s="7" t="s">
        <v>81</v>
      </c>
      <c r="G292" s="7" t="e">
        <f t="shared" ca="1" si="13"/>
        <v>#NAME?</v>
      </c>
      <c r="H292" s="24" t="s">
        <v>152</v>
      </c>
      <c r="I292" s="24" t="s">
        <v>25</v>
      </c>
      <c r="J292" s="7" t="str">
        <f t="shared" si="15"/>
        <v>Não</v>
      </c>
      <c r="K292" s="25">
        <v>45483</v>
      </c>
      <c r="L292" s="25"/>
      <c r="M292" s="7" t="s">
        <v>42</v>
      </c>
      <c r="N292" s="26">
        <v>1.2E-2</v>
      </c>
      <c r="O292" s="7" t="s">
        <v>25</v>
      </c>
      <c r="P292" s="27">
        <v>0</v>
      </c>
      <c r="Q292" s="99"/>
      <c r="R292" s="28"/>
      <c r="S292" s="7" t="s">
        <v>145</v>
      </c>
      <c r="T292" s="7" t="s">
        <v>1102</v>
      </c>
      <c r="U292" s="7" t="s">
        <v>49</v>
      </c>
      <c r="V292" s="24" t="e">
        <f t="shared" ca="1" si="14"/>
        <v>#NAME?</v>
      </c>
      <c r="W292" s="7"/>
      <c r="X292" s="7" t="s">
        <v>52</v>
      </c>
      <c r="Y292" s="29" t="s">
        <v>147</v>
      </c>
      <c r="Z292" s="30"/>
      <c r="AA292" s="31">
        <v>45483</v>
      </c>
      <c r="AB292" s="32">
        <v>49075100015422</v>
      </c>
      <c r="AC292" s="30"/>
      <c r="AD292" s="30"/>
      <c r="AE292" s="30"/>
      <c r="AF292" s="30"/>
      <c r="AG292" s="30"/>
      <c r="AH292" s="30"/>
      <c r="AI292" s="30"/>
      <c r="AJ292" s="30"/>
      <c r="AK292" s="30"/>
      <c r="AL292" s="30"/>
      <c r="AM292" s="30"/>
      <c r="AN292" s="30"/>
      <c r="AO292" s="30"/>
      <c r="AP292" s="30"/>
      <c r="AQ292" s="30"/>
      <c r="AR292" s="30"/>
      <c r="AS292" s="30"/>
      <c r="AT292" s="30"/>
      <c r="AU292" s="30"/>
      <c r="AV292" s="30"/>
      <c r="AW292" s="30"/>
      <c r="AX292" s="30">
        <v>261935.8</v>
      </c>
      <c r="AY292" s="30">
        <v>265223.84999999998</v>
      </c>
      <c r="AZ292" s="30">
        <v>277309.7</v>
      </c>
      <c r="BA292" s="30" t="e">
        <f t="array" aca="1" ref="BA292" ca="1">_xludf.XLOOKUP(C292,'PL TOTAL D0'!A:A,'PL TOTAL D0'!C:C,"")</f>
        <v>#NAME?</v>
      </c>
    </row>
    <row r="293" spans="1:53" ht="15.75" customHeight="1">
      <c r="A293" s="23" t="s">
        <v>29</v>
      </c>
      <c r="B293" s="3" t="s">
        <v>1103</v>
      </c>
      <c r="C293" s="4" t="s">
        <v>1104</v>
      </c>
      <c r="D293" s="7" t="s">
        <v>19</v>
      </c>
      <c r="E293" s="7" t="s">
        <v>20</v>
      </c>
      <c r="F293" s="7" t="s">
        <v>171</v>
      </c>
      <c r="G293" s="7" t="e">
        <f t="shared" ca="1" si="13"/>
        <v>#NAME?</v>
      </c>
      <c r="H293" s="24" t="s">
        <v>152</v>
      </c>
      <c r="I293" s="24" t="s">
        <v>25</v>
      </c>
      <c r="J293" s="7" t="str">
        <f t="shared" si="15"/>
        <v>Não</v>
      </c>
      <c r="K293" s="25">
        <v>45264</v>
      </c>
      <c r="L293" s="25"/>
      <c r="M293" s="7" t="s">
        <v>58</v>
      </c>
      <c r="N293" s="26">
        <v>1.4E-2</v>
      </c>
      <c r="O293" s="7" t="s">
        <v>37</v>
      </c>
      <c r="P293" s="27">
        <v>0.2</v>
      </c>
      <c r="Q293" s="36"/>
      <c r="R293" s="28"/>
      <c r="S293" s="7" t="s">
        <v>145</v>
      </c>
      <c r="T293" s="7" t="s">
        <v>1105</v>
      </c>
      <c r="U293" s="7" t="s">
        <v>20</v>
      </c>
      <c r="V293" s="24" t="e">
        <f t="shared" ca="1" si="14"/>
        <v>#NAME?</v>
      </c>
      <c r="W293" s="7"/>
      <c r="X293" s="7"/>
      <c r="Y293" s="29" t="s">
        <v>147</v>
      </c>
      <c r="Z293" s="30"/>
      <c r="AA293" s="31">
        <v>45264</v>
      </c>
      <c r="AB293" s="32">
        <v>49075100012970</v>
      </c>
      <c r="AC293" s="30"/>
      <c r="AD293" s="30"/>
      <c r="AE293" s="30"/>
      <c r="AF293" s="30"/>
      <c r="AG293" s="30"/>
      <c r="AH293" s="30"/>
      <c r="AI293" s="30"/>
      <c r="AJ293" s="30"/>
      <c r="AK293" s="30"/>
      <c r="AL293" s="30"/>
      <c r="AM293" s="30"/>
      <c r="AN293" s="30"/>
      <c r="AO293" s="30"/>
      <c r="AP293" s="30">
        <v>24842.560000000001</v>
      </c>
      <c r="AQ293" s="30">
        <v>12876.33</v>
      </c>
      <c r="AR293" s="30">
        <v>12838.67</v>
      </c>
      <c r="AS293" s="30">
        <v>139108.07</v>
      </c>
      <c r="AT293" s="30">
        <v>140596.37</v>
      </c>
      <c r="AU293" s="30">
        <v>140726.53</v>
      </c>
      <c r="AV293" s="30">
        <v>115281.2</v>
      </c>
      <c r="AW293" s="30">
        <v>85219.14</v>
      </c>
      <c r="AX293" s="30">
        <v>133729.79999999999</v>
      </c>
      <c r="AY293" s="30">
        <v>135150.62</v>
      </c>
      <c r="AZ293" s="30">
        <v>135634.75</v>
      </c>
      <c r="BA293" s="30" t="e">
        <f t="array" aca="1" ref="BA293" ca="1">_xludf.XLOOKUP(C293,'PL TOTAL D0'!A:A,'PL TOTAL D0'!C:C,"")</f>
        <v>#NAME?</v>
      </c>
    </row>
    <row r="294" spans="1:53" ht="15.75" customHeight="1">
      <c r="A294" s="23" t="s">
        <v>29</v>
      </c>
      <c r="B294" s="3" t="s">
        <v>1106</v>
      </c>
      <c r="C294" s="4" t="s">
        <v>1107</v>
      </c>
      <c r="D294" s="7" t="s">
        <v>19</v>
      </c>
      <c r="E294" s="7" t="s">
        <v>34</v>
      </c>
      <c r="F294" s="7" t="s">
        <v>35</v>
      </c>
      <c r="G294" s="7" t="e">
        <f t="shared" ca="1" si="13"/>
        <v>#NAME?</v>
      </c>
      <c r="H294" s="24" t="s">
        <v>152</v>
      </c>
      <c r="I294" s="24" t="s">
        <v>25</v>
      </c>
      <c r="J294" s="7" t="str">
        <f t="shared" si="15"/>
        <v>Não</v>
      </c>
      <c r="K294" s="25">
        <v>45071</v>
      </c>
      <c r="L294" s="7"/>
      <c r="M294" s="7" t="s">
        <v>58</v>
      </c>
      <c r="N294" s="26">
        <v>1.2E-2</v>
      </c>
      <c r="O294" s="7" t="s">
        <v>25</v>
      </c>
      <c r="P294" s="27">
        <v>0</v>
      </c>
      <c r="Q294" s="45"/>
      <c r="R294" s="28" t="s">
        <v>935</v>
      </c>
      <c r="S294" s="7" t="s">
        <v>145</v>
      </c>
      <c r="T294" s="7" t="s">
        <v>1108</v>
      </c>
      <c r="U294" s="7" t="s">
        <v>39</v>
      </c>
      <c r="V294" s="24" t="e">
        <f t="shared" ca="1" si="14"/>
        <v>#NAME?</v>
      </c>
      <c r="W294" s="7"/>
      <c r="X294" s="7"/>
      <c r="Y294" s="29" t="s">
        <v>147</v>
      </c>
      <c r="Z294" s="30"/>
      <c r="AA294" s="31">
        <v>45071</v>
      </c>
      <c r="AB294" s="32">
        <v>49075100007403</v>
      </c>
      <c r="AC294" s="30"/>
      <c r="AD294" s="30"/>
      <c r="AE294" s="30"/>
      <c r="AF294" s="30"/>
      <c r="AG294" s="30"/>
      <c r="AH294" s="30">
        <v>0</v>
      </c>
      <c r="AI294" s="30">
        <v>4494.3599999999997</v>
      </c>
      <c r="AJ294" s="30">
        <v>9046.4500000000007</v>
      </c>
      <c r="AK294" s="30">
        <v>59580.63</v>
      </c>
      <c r="AL294" s="30">
        <v>64645.61</v>
      </c>
      <c r="AM294" s="30">
        <v>69737.710000000006</v>
      </c>
      <c r="AN294" s="30">
        <v>73780.3</v>
      </c>
      <c r="AO294" s="30">
        <v>78497.84</v>
      </c>
      <c r="AP294" s="30">
        <v>83684.320000000007</v>
      </c>
      <c r="AQ294" s="30">
        <v>89258.15</v>
      </c>
      <c r="AR294" s="30">
        <v>93577.49</v>
      </c>
      <c r="AS294" s="30">
        <v>98876.78</v>
      </c>
      <c r="AT294" s="30">
        <v>104327.22</v>
      </c>
      <c r="AU294" s="30">
        <v>108839.67999999999</v>
      </c>
      <c r="AV294" s="30">
        <v>114048.5</v>
      </c>
      <c r="AW294" s="30">
        <v>119832.7</v>
      </c>
      <c r="AX294" s="30">
        <v>121076.7</v>
      </c>
      <c r="AY294" s="30">
        <v>132304.68</v>
      </c>
      <c r="AZ294" s="30">
        <v>137740.87</v>
      </c>
      <c r="BA294" s="30" t="e">
        <f t="array" aca="1" ref="BA294" ca="1">_xludf.XLOOKUP(C294,'PL TOTAL D0'!A:A,'PL TOTAL D0'!C:C,"")</f>
        <v>#NAME?</v>
      </c>
    </row>
    <row r="295" spans="1:53" ht="15.75" customHeight="1">
      <c r="A295" s="23" t="s">
        <v>29</v>
      </c>
      <c r="B295" s="37" t="s">
        <v>1109</v>
      </c>
      <c r="C295" s="4" t="s">
        <v>1110</v>
      </c>
      <c r="D295" s="7" t="s">
        <v>19</v>
      </c>
      <c r="E295" s="7" t="s">
        <v>34</v>
      </c>
      <c r="F295" s="7" t="s">
        <v>35</v>
      </c>
      <c r="G295" s="7" t="e">
        <f t="shared" ca="1" si="13"/>
        <v>#NAME?</v>
      </c>
      <c r="H295" s="24" t="s">
        <v>152</v>
      </c>
      <c r="I295" s="24" t="s">
        <v>25</v>
      </c>
      <c r="J295" s="7" t="str">
        <f t="shared" si="15"/>
        <v>Não</v>
      </c>
      <c r="K295" s="25">
        <v>45166</v>
      </c>
      <c r="L295" s="25"/>
      <c r="M295" s="7" t="s">
        <v>42</v>
      </c>
      <c r="N295" s="26">
        <v>1.2E-2</v>
      </c>
      <c r="O295" s="7" t="s">
        <v>25</v>
      </c>
      <c r="P295" s="27">
        <v>0</v>
      </c>
      <c r="Q295" s="28"/>
      <c r="R295" s="28" t="s">
        <v>1111</v>
      </c>
      <c r="S295" s="7" t="s">
        <v>145</v>
      </c>
      <c r="T295" s="7" t="s">
        <v>1112</v>
      </c>
      <c r="U295" s="24" t="s">
        <v>39</v>
      </c>
      <c r="V295" s="24" t="e">
        <f t="shared" ca="1" si="14"/>
        <v>#NAME?</v>
      </c>
      <c r="W295" s="7"/>
      <c r="X295" s="7"/>
      <c r="Y295" s="29" t="s">
        <v>147</v>
      </c>
      <c r="Z295" s="113"/>
      <c r="AA295" s="114">
        <v>45166</v>
      </c>
      <c r="AB295" s="115">
        <v>49075100011419</v>
      </c>
      <c r="AC295" s="113"/>
      <c r="AD295" s="113"/>
      <c r="AE295" s="113"/>
      <c r="AF295" s="113"/>
      <c r="AG295" s="113"/>
      <c r="AH295" s="113"/>
      <c r="AI295" s="113">
        <v>0</v>
      </c>
      <c r="AJ295" s="30">
        <v>0</v>
      </c>
      <c r="AK295" s="30">
        <v>0</v>
      </c>
      <c r="AL295" s="30">
        <v>0</v>
      </c>
      <c r="AM295" s="30">
        <v>0</v>
      </c>
      <c r="AN295" s="30">
        <v>254370.41</v>
      </c>
      <c r="AO295" s="30">
        <v>255090.55</v>
      </c>
      <c r="AP295" s="30">
        <v>355615.23</v>
      </c>
      <c r="AQ295" s="30">
        <v>359033.96</v>
      </c>
      <c r="AR295" s="30">
        <v>359051.22</v>
      </c>
      <c r="AS295" s="30">
        <v>361215.79</v>
      </c>
      <c r="AT295" s="30">
        <v>361097.71</v>
      </c>
      <c r="AU295" s="30">
        <v>362952.49</v>
      </c>
      <c r="AV295" s="30">
        <v>363199.8</v>
      </c>
      <c r="AW295" s="30">
        <v>365484.1</v>
      </c>
      <c r="AX295" s="30">
        <v>364516.1</v>
      </c>
      <c r="AY295" s="30">
        <v>367726.22</v>
      </c>
      <c r="AZ295" s="30">
        <v>369655.64</v>
      </c>
      <c r="BA295" s="30" t="e">
        <f t="array" aca="1" ref="BA295" ca="1">_xludf.XLOOKUP(C295,'PL TOTAL D0'!A:A,'PL TOTAL D0'!C:C,"")</f>
        <v>#NAME?</v>
      </c>
    </row>
    <row r="296" spans="1:53" ht="15.75" customHeight="1">
      <c r="A296" s="23" t="s">
        <v>29</v>
      </c>
      <c r="B296" s="37" t="s">
        <v>1109</v>
      </c>
      <c r="C296" s="4" t="s">
        <v>1113</v>
      </c>
      <c r="D296" s="7" t="s">
        <v>19</v>
      </c>
      <c r="E296" s="7" t="s">
        <v>34</v>
      </c>
      <c r="F296" s="7" t="s">
        <v>35</v>
      </c>
      <c r="G296" s="7" t="e">
        <f t="shared" ca="1" si="13"/>
        <v>#NAME?</v>
      </c>
      <c r="H296" s="24" t="s">
        <v>161</v>
      </c>
      <c r="I296" s="24" t="s">
        <v>205</v>
      </c>
      <c r="J296" s="7" t="str">
        <f t="shared" si="15"/>
        <v>Sim</v>
      </c>
      <c r="K296" s="25">
        <v>45062</v>
      </c>
      <c r="L296" s="25"/>
      <c r="M296" s="7" t="s">
        <v>31</v>
      </c>
      <c r="N296" s="26">
        <v>0</v>
      </c>
      <c r="O296" s="7" t="s">
        <v>25</v>
      </c>
      <c r="P296" s="27">
        <v>0</v>
      </c>
      <c r="Q296" s="99" t="s">
        <v>1114</v>
      </c>
      <c r="R296" s="28"/>
      <c r="S296" s="7" t="s">
        <v>145</v>
      </c>
      <c r="T296" s="7" t="s">
        <v>1112</v>
      </c>
      <c r="U296" s="24" t="s">
        <v>39</v>
      </c>
      <c r="V296" s="24" t="e">
        <f t="shared" ca="1" si="14"/>
        <v>#NAME?</v>
      </c>
      <c r="W296" s="7"/>
      <c r="X296" s="7"/>
      <c r="Y296" s="29" t="s">
        <v>147</v>
      </c>
      <c r="Z296" s="113"/>
      <c r="AA296" s="114">
        <v>45062</v>
      </c>
      <c r="AB296" s="115">
        <v>49075100011400</v>
      </c>
      <c r="AC296" s="113"/>
      <c r="AD296" s="113"/>
      <c r="AE296" s="113"/>
      <c r="AF296" s="113"/>
      <c r="AG296" s="113"/>
      <c r="AH296" s="113"/>
      <c r="AI296" s="113">
        <v>0</v>
      </c>
      <c r="AJ296" s="30">
        <v>0</v>
      </c>
      <c r="AK296" s="30">
        <v>0</v>
      </c>
      <c r="AL296" s="30">
        <v>0</v>
      </c>
      <c r="AM296" s="30">
        <v>0</v>
      </c>
      <c r="AN296" s="30">
        <v>15451.87</v>
      </c>
      <c r="AO296" s="30">
        <v>111352.41</v>
      </c>
      <c r="AP296" s="30">
        <v>16431.38</v>
      </c>
      <c r="AQ296" s="30">
        <v>17943.63</v>
      </c>
      <c r="AR296" s="30">
        <v>16053.74</v>
      </c>
      <c r="AS296" s="30">
        <v>15802.56</v>
      </c>
      <c r="AT296" s="30">
        <v>18586.32</v>
      </c>
      <c r="AU296" s="30">
        <v>17453.16</v>
      </c>
      <c r="AV296" s="30">
        <v>17166.669999999998</v>
      </c>
      <c r="AW296" s="30">
        <v>16998.55</v>
      </c>
      <c r="AX296" s="30">
        <v>17498.169999999998</v>
      </c>
      <c r="AY296" s="30">
        <v>19551.07</v>
      </c>
      <c r="AZ296" s="30">
        <v>19050.13</v>
      </c>
      <c r="BA296" s="30" t="e">
        <f t="array" aca="1" ref="BA296" ca="1">_xludf.XLOOKUP(C296,'PL TOTAL D0'!A:A,'PL TOTAL D0'!C:C,"")</f>
        <v>#NAME?</v>
      </c>
    </row>
    <row r="297" spans="1:53" ht="15.75" customHeight="1">
      <c r="A297" s="23" t="s">
        <v>29</v>
      </c>
      <c r="B297" s="3" t="s">
        <v>1115</v>
      </c>
      <c r="C297" s="4" t="s">
        <v>1116</v>
      </c>
      <c r="D297" s="7" t="s">
        <v>64</v>
      </c>
      <c r="E297" s="7" t="s">
        <v>20</v>
      </c>
      <c r="F297" s="7" t="s">
        <v>955</v>
      </c>
      <c r="G297" s="7" t="e">
        <f t="shared" ca="1" si="13"/>
        <v>#NAME?</v>
      </c>
      <c r="H297" s="24" t="s">
        <v>152</v>
      </c>
      <c r="I297" s="24" t="s">
        <v>25</v>
      </c>
      <c r="J297" s="7" t="str">
        <f t="shared" si="15"/>
        <v>Sim</v>
      </c>
      <c r="K297" s="25">
        <v>44981</v>
      </c>
      <c r="L297" s="7"/>
      <c r="M297" s="7" t="s">
        <v>58</v>
      </c>
      <c r="N297" s="26">
        <v>8.0000000000000002E-3</v>
      </c>
      <c r="O297" s="7" t="s">
        <v>37</v>
      </c>
      <c r="P297" s="27">
        <v>0.1</v>
      </c>
      <c r="Q297" s="116" t="s">
        <v>1117</v>
      </c>
      <c r="R297" s="28" t="s">
        <v>1118</v>
      </c>
      <c r="S297" s="7" t="s">
        <v>145</v>
      </c>
      <c r="T297" s="7" t="s">
        <v>1119</v>
      </c>
      <c r="U297" s="7" t="s">
        <v>20</v>
      </c>
      <c r="V297" s="24" t="e">
        <f t="shared" ca="1" si="14"/>
        <v>#NAME?</v>
      </c>
      <c r="W297" s="7"/>
      <c r="X297" s="7"/>
      <c r="Y297" s="29" t="s">
        <v>147</v>
      </c>
      <c r="Z297" s="30"/>
      <c r="AA297" s="31">
        <v>44981</v>
      </c>
      <c r="AB297" s="32">
        <v>49075100003858</v>
      </c>
      <c r="AC297" s="30"/>
      <c r="AD297" s="30"/>
      <c r="AE297" s="30"/>
      <c r="AF297" s="30"/>
      <c r="AG297" s="30">
        <v>0</v>
      </c>
      <c r="AH297" s="30">
        <v>1024736.72</v>
      </c>
      <c r="AI297" s="30">
        <v>1124960.48</v>
      </c>
      <c r="AJ297" s="30">
        <v>1141560.8</v>
      </c>
      <c r="AK297" s="30">
        <v>1154904.3600000001</v>
      </c>
      <c r="AL297" s="30">
        <v>1185006.6200000001</v>
      </c>
      <c r="AM297" s="30">
        <v>1197819.19</v>
      </c>
      <c r="AN297" s="30">
        <v>1211281.02</v>
      </c>
      <c r="AO297" s="30">
        <v>1228233.75</v>
      </c>
      <c r="AP297" s="30">
        <v>1236755.29</v>
      </c>
      <c r="AQ297" s="30">
        <v>1261922.22</v>
      </c>
      <c r="AR297" s="30">
        <v>1272725.3899999999</v>
      </c>
      <c r="AS297" s="30">
        <v>1282631.02</v>
      </c>
      <c r="AT297" s="30">
        <v>1312108.3700000001</v>
      </c>
      <c r="AU297" s="30">
        <v>1313712.5</v>
      </c>
      <c r="AV297" s="30">
        <v>1315401</v>
      </c>
      <c r="AW297" s="30">
        <v>1324639</v>
      </c>
      <c r="AX297" s="30">
        <v>1359087</v>
      </c>
      <c r="AY297" s="30">
        <v>1373241.25</v>
      </c>
      <c r="AZ297" s="30">
        <v>1381030.48</v>
      </c>
      <c r="BA297" s="30" t="e">
        <f t="array" aca="1" ref="BA297" ca="1">_xludf.XLOOKUP(C297,'PL TOTAL D0'!A:A,'PL TOTAL D0'!C:C,"")</f>
        <v>#NAME?</v>
      </c>
    </row>
    <row r="298" spans="1:53" ht="15.75" customHeight="1">
      <c r="A298" s="23" t="s">
        <v>29</v>
      </c>
      <c r="B298" s="3" t="s">
        <v>1120</v>
      </c>
      <c r="C298" s="4" t="s">
        <v>1121</v>
      </c>
      <c r="D298" s="7" t="s">
        <v>55</v>
      </c>
      <c r="E298" s="7" t="s">
        <v>34</v>
      </c>
      <c r="F298" s="7" t="s">
        <v>1122</v>
      </c>
      <c r="G298" s="7" t="e">
        <f t="shared" ca="1" si="13"/>
        <v>#NAME?</v>
      </c>
      <c r="H298" s="24" t="s">
        <v>152</v>
      </c>
      <c r="I298" s="24" t="s">
        <v>25</v>
      </c>
      <c r="J298" s="7" t="str">
        <f t="shared" si="15"/>
        <v>Não</v>
      </c>
      <c r="K298" s="25">
        <v>45558</v>
      </c>
      <c r="L298" s="7"/>
      <c r="M298" s="7" t="s">
        <v>58</v>
      </c>
      <c r="N298" s="26">
        <v>1.2E-2</v>
      </c>
      <c r="O298" s="7" t="s">
        <v>37</v>
      </c>
      <c r="P298" s="27">
        <v>0.1</v>
      </c>
      <c r="Q298" s="116"/>
      <c r="R298" s="28"/>
      <c r="S298" s="7" t="s">
        <v>187</v>
      </c>
      <c r="T298" s="7" t="s">
        <v>1123</v>
      </c>
      <c r="U298" s="7" t="s">
        <v>39</v>
      </c>
      <c r="V298" s="24" t="e">
        <f t="shared" ca="1" si="14"/>
        <v>#NAME?</v>
      </c>
      <c r="W298" s="7"/>
      <c r="X298" s="7" t="s">
        <v>40</v>
      </c>
      <c r="Y298" s="29"/>
      <c r="Z298" s="30"/>
      <c r="AA298" s="30"/>
      <c r="AB298" s="32"/>
      <c r="AC298" s="30"/>
      <c r="AD298" s="30"/>
      <c r="AE298" s="30"/>
      <c r="AF298" s="30"/>
      <c r="AG298" s="30"/>
      <c r="AH298" s="30"/>
      <c r="AI298" s="30"/>
      <c r="AJ298" s="30"/>
      <c r="AK298" s="30"/>
      <c r="AL298" s="30"/>
      <c r="AM298" s="30"/>
      <c r="AN298" s="30"/>
      <c r="AO298" s="30"/>
      <c r="AP298" s="30"/>
      <c r="AQ298" s="30"/>
      <c r="AR298" s="30"/>
      <c r="AS298" s="30"/>
      <c r="AT298" s="30"/>
      <c r="AU298" s="30"/>
      <c r="AV298" s="30"/>
      <c r="AW298" s="30"/>
      <c r="AX298" s="30"/>
      <c r="AY298" s="30"/>
      <c r="AZ298" s="30">
        <v>101140.59</v>
      </c>
      <c r="BA298" s="30" t="e">
        <f t="array" aca="1" ref="BA298" ca="1">_xludf.XLOOKUP(C298,'PL TOTAL D0'!A:A,'PL TOTAL D0'!C:C,"")</f>
        <v>#NAME?</v>
      </c>
    </row>
    <row r="299" spans="1:53" ht="15.75" customHeight="1">
      <c r="A299" s="23" t="s">
        <v>29</v>
      </c>
      <c r="B299" s="3" t="s">
        <v>1124</v>
      </c>
      <c r="C299" s="4" t="s">
        <v>1125</v>
      </c>
      <c r="D299" s="7" t="s">
        <v>19</v>
      </c>
      <c r="E299" s="7" t="s">
        <v>49</v>
      </c>
      <c r="F299" s="7" t="s">
        <v>50</v>
      </c>
      <c r="G299" s="7" t="e">
        <f t="shared" ca="1" si="13"/>
        <v>#NAME?</v>
      </c>
      <c r="H299" s="24" t="s">
        <v>152</v>
      </c>
      <c r="I299" s="24" t="s">
        <v>25</v>
      </c>
      <c r="J299" s="7" t="str">
        <f t="shared" si="15"/>
        <v>Não</v>
      </c>
      <c r="K299" s="25">
        <v>44951</v>
      </c>
      <c r="L299" s="7"/>
      <c r="M299" s="7" t="s">
        <v>42</v>
      </c>
      <c r="N299" s="26">
        <v>0.01</v>
      </c>
      <c r="O299" s="7" t="s">
        <v>25</v>
      </c>
      <c r="P299" s="27">
        <v>0</v>
      </c>
      <c r="Q299" s="45"/>
      <c r="R299" s="117" t="s">
        <v>1126</v>
      </c>
      <c r="S299" s="7" t="s">
        <v>187</v>
      </c>
      <c r="T299" s="7" t="s">
        <v>1127</v>
      </c>
      <c r="U299" s="7" t="s">
        <v>49</v>
      </c>
      <c r="V299" s="24" t="e">
        <f t="shared" ca="1" si="14"/>
        <v>#NAME?</v>
      </c>
      <c r="W299" s="7"/>
      <c r="X299" s="7"/>
      <c r="Y299" s="29" t="s">
        <v>253</v>
      </c>
      <c r="Z299" s="30"/>
      <c r="AA299" s="31">
        <v>44951</v>
      </c>
      <c r="AB299" s="32">
        <v>49075100005745</v>
      </c>
      <c r="AC299" s="30"/>
      <c r="AD299" s="30"/>
      <c r="AE299" s="30"/>
      <c r="AF299" s="30">
        <v>166812.44</v>
      </c>
      <c r="AG299" s="30">
        <v>172150.64</v>
      </c>
      <c r="AH299" s="30">
        <v>116340.75</v>
      </c>
      <c r="AI299" s="30">
        <v>33029.19</v>
      </c>
      <c r="AJ299" s="30">
        <v>33319.769999999997</v>
      </c>
      <c r="AK299" s="30">
        <v>33450.01</v>
      </c>
      <c r="AL299" s="30">
        <v>33570.75</v>
      </c>
      <c r="AM299" s="30">
        <v>33812.379999999997</v>
      </c>
      <c r="AN299" s="30">
        <v>34034.86</v>
      </c>
      <c r="AO299" s="30">
        <v>34177.440000000002</v>
      </c>
      <c r="AP299" s="30">
        <v>34378.83</v>
      </c>
      <c r="AQ299" s="30">
        <v>34313.300000000003</v>
      </c>
      <c r="AR299" s="30">
        <v>34671.11</v>
      </c>
      <c r="AS299" s="30">
        <v>34902.79</v>
      </c>
      <c r="AT299" s="30">
        <v>35304.36</v>
      </c>
      <c r="AU299" s="30">
        <v>35362.11</v>
      </c>
      <c r="AV299" s="30">
        <v>35644.19</v>
      </c>
      <c r="AW299" s="30">
        <v>35812.68</v>
      </c>
      <c r="AX299" s="30">
        <v>101632.4</v>
      </c>
      <c r="AY299" s="30">
        <v>102564.19</v>
      </c>
      <c r="AZ299" s="30">
        <v>103231.26</v>
      </c>
      <c r="BA299" s="30" t="e">
        <f t="array" aca="1" ref="BA299" ca="1">_xludf.XLOOKUP(C299,'PL TOTAL D0'!A:A,'PL TOTAL D0'!C:C,"")</f>
        <v>#NAME?</v>
      </c>
    </row>
    <row r="300" spans="1:53" ht="15.75" customHeight="1">
      <c r="A300" s="23" t="s">
        <v>29</v>
      </c>
      <c r="B300" s="3" t="s">
        <v>1128</v>
      </c>
      <c r="C300" s="4" t="s">
        <v>1129</v>
      </c>
      <c r="D300" s="7" t="s">
        <v>19</v>
      </c>
      <c r="E300" s="7" t="s">
        <v>34</v>
      </c>
      <c r="F300" s="7" t="s">
        <v>262</v>
      </c>
      <c r="G300" s="7" t="e">
        <f t="shared" ca="1" si="13"/>
        <v>#NAME?</v>
      </c>
      <c r="H300" s="24" t="s">
        <v>152</v>
      </c>
      <c r="I300" s="24" t="s">
        <v>25</v>
      </c>
      <c r="J300" s="7" t="str">
        <f t="shared" si="15"/>
        <v>Não</v>
      </c>
      <c r="K300" s="25">
        <v>45162</v>
      </c>
      <c r="L300" s="25"/>
      <c r="M300" s="7" t="s">
        <v>200</v>
      </c>
      <c r="N300" s="26">
        <v>1.4999999999999999E-2</v>
      </c>
      <c r="O300" s="7" t="s">
        <v>37</v>
      </c>
      <c r="P300" s="27">
        <v>0.1</v>
      </c>
      <c r="Q300" s="45"/>
      <c r="R300" s="28" t="s">
        <v>673</v>
      </c>
      <c r="S300" s="7" t="s">
        <v>145</v>
      </c>
      <c r="T300" s="7" t="s">
        <v>1130</v>
      </c>
      <c r="U300" s="7" t="s">
        <v>60</v>
      </c>
      <c r="V300" s="24" t="e">
        <f t="shared" ca="1" si="14"/>
        <v>#NAME?</v>
      </c>
      <c r="W300" s="7"/>
      <c r="X300" s="7"/>
      <c r="Y300" s="29" t="s">
        <v>147</v>
      </c>
      <c r="Z300" s="30"/>
      <c r="AA300" s="31">
        <v>45162</v>
      </c>
      <c r="AB300" s="32">
        <v>49075100008027</v>
      </c>
      <c r="AC300" s="30"/>
      <c r="AD300" s="30"/>
      <c r="AE300" s="30"/>
      <c r="AF300" s="30"/>
      <c r="AG300" s="30"/>
      <c r="AH300" s="30"/>
      <c r="AI300" s="30">
        <v>0</v>
      </c>
      <c r="AJ300" s="30">
        <v>0</v>
      </c>
      <c r="AK300" s="30">
        <v>0</v>
      </c>
      <c r="AL300" s="30">
        <v>0</v>
      </c>
      <c r="AM300" s="30">
        <v>215837.83</v>
      </c>
      <c r="AN300" s="30">
        <v>339032.61</v>
      </c>
      <c r="AO300" s="30">
        <v>334907.89</v>
      </c>
      <c r="AP300" s="30">
        <v>341266.8</v>
      </c>
      <c r="AQ300" s="30">
        <v>347862.26</v>
      </c>
      <c r="AR300" s="30">
        <v>291506.32</v>
      </c>
      <c r="AS300" s="30">
        <v>291958.98</v>
      </c>
      <c r="AT300" s="30">
        <v>294925.98</v>
      </c>
      <c r="AU300" s="30">
        <v>293014.21999999997</v>
      </c>
      <c r="AV300" s="30">
        <v>291363.09999999998</v>
      </c>
      <c r="AW300" s="30">
        <v>281582.3</v>
      </c>
      <c r="AX300" s="30">
        <v>285575</v>
      </c>
      <c r="AY300" s="30">
        <v>288456.62</v>
      </c>
      <c r="AZ300" s="30">
        <v>288085.88</v>
      </c>
      <c r="BA300" s="30" t="e">
        <f t="array" aca="1" ref="BA300" ca="1">_xludf.XLOOKUP(C300,'PL TOTAL D0'!A:A,'PL TOTAL D0'!C:C,"")</f>
        <v>#NAME?</v>
      </c>
    </row>
    <row r="301" spans="1:53" ht="15.75" customHeight="1">
      <c r="A301" s="23" t="s">
        <v>29</v>
      </c>
      <c r="B301" s="3" t="s">
        <v>1131</v>
      </c>
      <c r="C301" s="4" t="s">
        <v>1132</v>
      </c>
      <c r="D301" s="7" t="s">
        <v>19</v>
      </c>
      <c r="E301" s="7" t="s">
        <v>34</v>
      </c>
      <c r="F301" s="7" t="s">
        <v>35</v>
      </c>
      <c r="G301" s="7" t="e">
        <f t="shared" ca="1" si="13"/>
        <v>#NAME?</v>
      </c>
      <c r="H301" s="24" t="s">
        <v>161</v>
      </c>
      <c r="I301" s="24" t="s">
        <v>1133</v>
      </c>
      <c r="J301" s="7" t="str">
        <f t="shared" si="15"/>
        <v>Não</v>
      </c>
      <c r="K301" s="25">
        <v>45162</v>
      </c>
      <c r="L301" s="25"/>
      <c r="M301" s="7" t="s">
        <v>200</v>
      </c>
      <c r="N301" s="26">
        <v>1.4999999999999999E-2</v>
      </c>
      <c r="O301" s="7" t="s">
        <v>37</v>
      </c>
      <c r="P301" s="27">
        <v>0.1</v>
      </c>
      <c r="Q301" s="45"/>
      <c r="R301" s="28" t="s">
        <v>1134</v>
      </c>
      <c r="S301" s="7" t="s">
        <v>145</v>
      </c>
      <c r="T301" s="7" t="s">
        <v>1135</v>
      </c>
      <c r="U301" s="7" t="s">
        <v>39</v>
      </c>
      <c r="V301" s="24" t="e">
        <f t="shared" ca="1" si="14"/>
        <v>#NAME?</v>
      </c>
      <c r="W301" s="7"/>
      <c r="X301" s="7"/>
      <c r="Y301" s="29" t="s">
        <v>147</v>
      </c>
      <c r="Z301" s="30"/>
      <c r="AA301" s="31">
        <v>45162</v>
      </c>
      <c r="AB301" s="32">
        <v>49075100010188</v>
      </c>
      <c r="AC301" s="30"/>
      <c r="AD301" s="30"/>
      <c r="AE301" s="30"/>
      <c r="AF301" s="30"/>
      <c r="AG301" s="30"/>
      <c r="AH301" s="30">
        <v>0</v>
      </c>
      <c r="AI301" s="30">
        <v>0</v>
      </c>
      <c r="AJ301" s="30">
        <v>0</v>
      </c>
      <c r="AK301" s="30">
        <v>0</v>
      </c>
      <c r="AL301" s="30">
        <v>0</v>
      </c>
      <c r="AM301" s="30">
        <v>379303.12</v>
      </c>
      <c r="AN301" s="30">
        <v>380937.88</v>
      </c>
      <c r="AO301" s="30">
        <v>376718.5</v>
      </c>
      <c r="AP301" s="30">
        <v>385262.12</v>
      </c>
      <c r="AQ301" s="30">
        <v>392664.63</v>
      </c>
      <c r="AR301" s="30">
        <v>386516.66</v>
      </c>
      <c r="AS301" s="30">
        <v>388053.01</v>
      </c>
      <c r="AT301" s="30">
        <v>404628.32</v>
      </c>
      <c r="AU301" s="30">
        <v>400904.77</v>
      </c>
      <c r="AV301" s="30">
        <v>399765.9</v>
      </c>
      <c r="AW301" s="30">
        <v>402285</v>
      </c>
      <c r="AX301" s="30">
        <v>407855</v>
      </c>
      <c r="AY301" s="30">
        <v>44010.15</v>
      </c>
      <c r="AZ301" s="30">
        <v>827.9</v>
      </c>
      <c r="BA301" s="30" t="e">
        <f t="array" aca="1" ref="BA301" ca="1">_xludf.XLOOKUP(C301,'PL TOTAL D0'!A:A,'PL TOTAL D0'!C:C,"")</f>
        <v>#NAME?</v>
      </c>
    </row>
    <row r="302" spans="1:53" ht="15.75" customHeight="1">
      <c r="A302" s="23" t="s">
        <v>29</v>
      </c>
      <c r="B302" s="3" t="s">
        <v>1136</v>
      </c>
      <c r="C302" s="4" t="s">
        <v>1137</v>
      </c>
      <c r="D302" s="7" t="s">
        <v>19</v>
      </c>
      <c r="E302" s="7" t="s">
        <v>49</v>
      </c>
      <c r="F302" s="7" t="s">
        <v>328</v>
      </c>
      <c r="G302" s="7" t="e">
        <f t="shared" ca="1" si="13"/>
        <v>#NAME?</v>
      </c>
      <c r="H302" s="24" t="s">
        <v>161</v>
      </c>
      <c r="I302" s="24" t="s">
        <v>162</v>
      </c>
      <c r="J302" s="7" t="str">
        <f t="shared" si="15"/>
        <v>Não</v>
      </c>
      <c r="K302" s="25">
        <v>44928</v>
      </c>
      <c r="L302" s="7"/>
      <c r="M302" s="7" t="s">
        <v>42</v>
      </c>
      <c r="N302" s="26">
        <v>0.01</v>
      </c>
      <c r="O302" s="7" t="s">
        <v>25</v>
      </c>
      <c r="P302" s="27">
        <v>0</v>
      </c>
      <c r="Q302" s="28"/>
      <c r="R302" s="28" t="s">
        <v>1138</v>
      </c>
      <c r="S302" s="7" t="s">
        <v>145</v>
      </c>
      <c r="T302" s="7" t="s">
        <v>1139</v>
      </c>
      <c r="U302" s="7" t="s">
        <v>20</v>
      </c>
      <c r="V302" s="24" t="e">
        <f t="shared" ca="1" si="14"/>
        <v>#NAME?</v>
      </c>
      <c r="W302" s="7"/>
      <c r="X302" s="7"/>
      <c r="Y302" s="29" t="s">
        <v>253</v>
      </c>
      <c r="Z302" s="30"/>
      <c r="AA302" s="31">
        <v>44928</v>
      </c>
      <c r="AB302" s="32">
        <v>49075100012407</v>
      </c>
      <c r="AC302" s="30"/>
      <c r="AD302" s="30"/>
      <c r="AE302" s="30">
        <v>20142.900000000001</v>
      </c>
      <c r="AF302" s="30">
        <v>7109.61</v>
      </c>
      <c r="AG302" s="30">
        <v>7168.33</v>
      </c>
      <c r="AH302" s="30">
        <v>9.65</v>
      </c>
      <c r="AI302" s="30">
        <v>9.66</v>
      </c>
      <c r="AJ302" s="30">
        <v>9.67</v>
      </c>
      <c r="AK302" s="30">
        <v>9.67</v>
      </c>
      <c r="AL302" s="30">
        <v>9.68</v>
      </c>
      <c r="AM302" s="30">
        <v>9.69</v>
      </c>
      <c r="AN302" s="30">
        <v>9.6999999999999993</v>
      </c>
      <c r="AO302" s="30">
        <v>9.7100000000000009</v>
      </c>
      <c r="AP302" s="30">
        <v>9.7100000000000009</v>
      </c>
      <c r="AQ302" s="30">
        <v>9.7200000000000006</v>
      </c>
      <c r="AR302" s="30">
        <v>9.73</v>
      </c>
      <c r="AS302" s="30">
        <v>9.73</v>
      </c>
      <c r="AT302" s="30">
        <v>9.74</v>
      </c>
      <c r="AU302" s="30">
        <v>9.75</v>
      </c>
      <c r="AV302" s="30">
        <v>9.76</v>
      </c>
      <c r="AW302" s="30">
        <v>9.76</v>
      </c>
      <c r="AX302" s="30">
        <v>9.77</v>
      </c>
      <c r="AY302" s="30">
        <v>9.7799999999999994</v>
      </c>
      <c r="AZ302" s="30">
        <v>9.7799999999999994</v>
      </c>
      <c r="BA302" s="30" t="e">
        <f t="array" aca="1" ref="BA302" ca="1">_xludf.XLOOKUP(C302,'PL TOTAL D0'!A:A,'PL TOTAL D0'!C:C,"")</f>
        <v>#NAME?</v>
      </c>
    </row>
    <row r="303" spans="1:53" ht="15.75" customHeight="1">
      <c r="A303" s="23" t="s">
        <v>29</v>
      </c>
      <c r="B303" s="3" t="s">
        <v>1140</v>
      </c>
      <c r="C303" s="4" t="s">
        <v>1141</v>
      </c>
      <c r="D303" s="7" t="s">
        <v>64</v>
      </c>
      <c r="E303" s="7" t="s">
        <v>20</v>
      </c>
      <c r="F303" s="7" t="s">
        <v>142</v>
      </c>
      <c r="G303" s="7" t="e">
        <f t="shared" ca="1" si="13"/>
        <v>#NAME?</v>
      </c>
      <c r="H303" s="24" t="s">
        <v>143</v>
      </c>
      <c r="I303" s="24" t="s">
        <v>25</v>
      </c>
      <c r="J303" s="7" t="s">
        <v>1142</v>
      </c>
      <c r="K303" s="25">
        <v>45392</v>
      </c>
      <c r="L303" s="79">
        <v>45525</v>
      </c>
      <c r="M303" s="7" t="s">
        <v>1143</v>
      </c>
      <c r="N303" s="26">
        <v>0.01</v>
      </c>
      <c r="O303" s="7" t="s">
        <v>25</v>
      </c>
      <c r="P303" s="27">
        <v>0</v>
      </c>
      <c r="Q303" s="28"/>
      <c r="R303" s="28"/>
      <c r="S303" s="7" t="s">
        <v>145</v>
      </c>
      <c r="T303" s="7" t="s">
        <v>1144</v>
      </c>
      <c r="U303" s="7" t="s">
        <v>886</v>
      </c>
      <c r="V303" s="24" t="e">
        <f t="shared" ca="1" si="14"/>
        <v>#NAME?</v>
      </c>
      <c r="W303" s="7"/>
      <c r="X303" s="7"/>
      <c r="Y303" s="29"/>
      <c r="Z303" s="30"/>
      <c r="AA303" s="31">
        <v>45392</v>
      </c>
      <c r="AB303" s="32">
        <v>49075100014361</v>
      </c>
      <c r="AC303" s="30"/>
      <c r="AD303" s="30"/>
      <c r="AE303" s="30"/>
      <c r="AF303" s="30"/>
      <c r="AG303" s="30"/>
      <c r="AH303" s="30"/>
      <c r="AI303" s="30"/>
      <c r="AJ303" s="30"/>
      <c r="AK303" s="30"/>
      <c r="AL303" s="30"/>
      <c r="AM303" s="30"/>
      <c r="AN303" s="30"/>
      <c r="AO303" s="30"/>
      <c r="AP303" s="30"/>
      <c r="AQ303" s="30"/>
      <c r="AR303" s="30"/>
      <c r="AS303" s="30"/>
      <c r="AT303" s="30"/>
      <c r="AU303" s="30">
        <v>572257.07999999996</v>
      </c>
      <c r="AV303" s="30">
        <v>588819.80000000005</v>
      </c>
      <c r="AW303" s="30">
        <v>579849.80000000005</v>
      </c>
      <c r="AX303" s="30">
        <v>602189</v>
      </c>
      <c r="AY303" s="30">
        <v>0</v>
      </c>
      <c r="AZ303" s="30">
        <v>0</v>
      </c>
      <c r="BA303" s="30" t="e">
        <f t="array" aca="1" ref="BA303" ca="1">_xludf.XLOOKUP(C303,'PL TOTAL D0'!A:A,'PL TOTAL D0'!C:C,"")</f>
        <v>#NAME?</v>
      </c>
    </row>
    <row r="304" spans="1:53" ht="15.75" customHeight="1">
      <c r="A304" s="23" t="s">
        <v>29</v>
      </c>
      <c r="B304" s="3" t="s">
        <v>1145</v>
      </c>
      <c r="C304" s="4" t="s">
        <v>1146</v>
      </c>
      <c r="D304" s="7" t="s">
        <v>19</v>
      </c>
      <c r="E304" s="7" t="s">
        <v>49</v>
      </c>
      <c r="F304" s="7" t="s">
        <v>50</v>
      </c>
      <c r="G304" s="7" t="e">
        <f t="shared" ca="1" si="13"/>
        <v>#NAME?</v>
      </c>
      <c r="H304" s="24" t="s">
        <v>143</v>
      </c>
      <c r="I304" s="24" t="s">
        <v>25</v>
      </c>
      <c r="J304" s="7" t="str">
        <f t="shared" ref="J304:J340" si="16">IF(Q304=0,"Não","Sim")</f>
        <v>Não</v>
      </c>
      <c r="K304" s="25">
        <v>44951</v>
      </c>
      <c r="L304" s="25">
        <v>45126</v>
      </c>
      <c r="M304" s="7" t="s">
        <v>42</v>
      </c>
      <c r="N304" s="26">
        <v>1.2E-2</v>
      </c>
      <c r="O304" s="7" t="s">
        <v>25</v>
      </c>
      <c r="P304" s="27">
        <v>0</v>
      </c>
      <c r="Q304" s="45"/>
      <c r="R304" s="28"/>
      <c r="S304" s="7" t="s">
        <v>145</v>
      </c>
      <c r="T304" s="7" t="s">
        <v>1147</v>
      </c>
      <c r="U304" s="7" t="s">
        <v>49</v>
      </c>
      <c r="V304" s="24" t="e">
        <f t="shared" ca="1" si="14"/>
        <v>#NAME?</v>
      </c>
      <c r="W304" s="7"/>
      <c r="X304" s="7"/>
      <c r="Y304" s="29"/>
      <c r="Z304" s="30"/>
      <c r="AA304" s="31">
        <v>44951</v>
      </c>
      <c r="AB304" s="32"/>
      <c r="AC304" s="30"/>
      <c r="AD304" s="30"/>
      <c r="AE304" s="30"/>
      <c r="AF304" s="30">
        <v>174735.51</v>
      </c>
      <c r="AG304" s="30">
        <v>175767.51</v>
      </c>
      <c r="AH304" s="30">
        <v>150419.13</v>
      </c>
      <c r="AI304" s="30">
        <v>163652.6</v>
      </c>
      <c r="AJ304" s="30">
        <v>165822.31</v>
      </c>
      <c r="AK304" s="30">
        <v>167418.82999999999</v>
      </c>
      <c r="AL304" s="30">
        <v>0</v>
      </c>
      <c r="AM304" s="30">
        <v>0</v>
      </c>
      <c r="AN304" s="30">
        <v>0</v>
      </c>
      <c r="AO304" s="30">
        <v>0</v>
      </c>
      <c r="AP304" s="30">
        <v>0</v>
      </c>
      <c r="AQ304" s="30">
        <v>0</v>
      </c>
      <c r="AR304" s="30">
        <v>0</v>
      </c>
      <c r="AS304" s="30">
        <v>0</v>
      </c>
      <c r="AT304" s="30">
        <v>0</v>
      </c>
      <c r="AU304" s="30">
        <v>0</v>
      </c>
      <c r="AV304" s="30">
        <v>0</v>
      </c>
      <c r="AW304" s="30">
        <v>0</v>
      </c>
      <c r="AX304" s="30">
        <v>0</v>
      </c>
      <c r="AY304" s="30">
        <v>0</v>
      </c>
      <c r="AZ304" s="30">
        <v>0</v>
      </c>
      <c r="BA304" s="30" t="e">
        <f t="array" aca="1" ref="BA304" ca="1">_xludf.XLOOKUP(C304,'PL TOTAL D0'!A:A,'PL TOTAL D0'!C:C,"")</f>
        <v>#NAME?</v>
      </c>
    </row>
    <row r="305" spans="1:53" ht="15.75" customHeight="1">
      <c r="A305" s="23" t="s">
        <v>29</v>
      </c>
      <c r="B305" s="3" t="s">
        <v>1148</v>
      </c>
      <c r="C305" s="4" t="s">
        <v>1149</v>
      </c>
      <c r="D305" s="7" t="s">
        <v>19</v>
      </c>
      <c r="E305" s="7" t="s">
        <v>20</v>
      </c>
      <c r="F305" s="7" t="s">
        <v>199</v>
      </c>
      <c r="G305" s="7" t="e">
        <f t="shared" ca="1" si="13"/>
        <v>#NAME?</v>
      </c>
      <c r="H305" s="24" t="s">
        <v>161</v>
      </c>
      <c r="I305" s="24" t="s">
        <v>162</v>
      </c>
      <c r="J305" s="7" t="str">
        <f t="shared" si="16"/>
        <v>Não</v>
      </c>
      <c r="K305" s="25">
        <v>44924</v>
      </c>
      <c r="L305" s="7"/>
      <c r="M305" s="7" t="s">
        <v>42</v>
      </c>
      <c r="N305" s="26">
        <v>1.2E-2</v>
      </c>
      <c r="O305" s="7" t="s">
        <v>25</v>
      </c>
      <c r="P305" s="27">
        <v>0</v>
      </c>
      <c r="Q305" s="90"/>
      <c r="R305" s="90"/>
      <c r="S305" s="7" t="s">
        <v>145</v>
      </c>
      <c r="T305" s="7" t="s">
        <v>1150</v>
      </c>
      <c r="U305" s="7" t="s">
        <v>886</v>
      </c>
      <c r="V305" s="24" t="e">
        <f t="shared" ca="1" si="14"/>
        <v>#NAME?</v>
      </c>
      <c r="W305" s="7"/>
      <c r="X305" s="7"/>
      <c r="Y305" s="29" t="s">
        <v>253</v>
      </c>
      <c r="Z305" s="30"/>
      <c r="AA305" s="31">
        <v>44924</v>
      </c>
      <c r="AB305" s="32">
        <v>49075100005771</v>
      </c>
      <c r="AC305" s="30"/>
      <c r="AD305" s="30"/>
      <c r="AE305" s="30">
        <v>200089.91</v>
      </c>
      <c r="AF305" s="30">
        <v>202258.1</v>
      </c>
      <c r="AG305" s="30">
        <v>203853.38</v>
      </c>
      <c r="AH305" s="30">
        <v>206066.06</v>
      </c>
      <c r="AI305" s="30">
        <v>207604.09</v>
      </c>
      <c r="AJ305" s="30">
        <v>209789.01</v>
      </c>
      <c r="AK305" s="30">
        <v>211684.93</v>
      </c>
      <c r="AL305" s="30">
        <v>213546.39</v>
      </c>
      <c r="AM305" s="30">
        <v>215625.62</v>
      </c>
      <c r="AN305" s="30">
        <v>217385.52</v>
      </c>
      <c r="AO305" s="30">
        <v>219295.9</v>
      </c>
      <c r="AP305" s="30">
        <v>207.97</v>
      </c>
      <c r="AQ305" s="30">
        <v>21.27</v>
      </c>
      <c r="AR305" s="30">
        <v>21.27</v>
      </c>
      <c r="AS305" s="30">
        <v>136.82</v>
      </c>
      <c r="AT305" s="30">
        <v>137.32</v>
      </c>
      <c r="AU305" s="30">
        <v>138.53</v>
      </c>
      <c r="AV305" s="30">
        <v>139.24</v>
      </c>
      <c r="AW305" s="30">
        <v>140.34</v>
      </c>
      <c r="AX305" s="30">
        <v>141.6</v>
      </c>
      <c r="AY305" s="30">
        <v>142.84</v>
      </c>
      <c r="AZ305" s="30">
        <v>144.03</v>
      </c>
      <c r="BA305" s="30" t="e">
        <f t="array" aca="1" ref="BA305" ca="1">_xludf.XLOOKUP(C305,'PL TOTAL D0'!A:A,'PL TOTAL D0'!C:C,"")</f>
        <v>#NAME?</v>
      </c>
    </row>
    <row r="306" spans="1:53" ht="15.75" customHeight="1">
      <c r="A306" s="23" t="s">
        <v>29</v>
      </c>
      <c r="B306" s="3" t="s">
        <v>1151</v>
      </c>
      <c r="C306" s="4" t="s">
        <v>1152</v>
      </c>
      <c r="D306" s="7" t="s">
        <v>19</v>
      </c>
      <c r="E306" s="7" t="s">
        <v>20</v>
      </c>
      <c r="F306" s="7" t="s">
        <v>199</v>
      </c>
      <c r="G306" s="7" t="e">
        <f t="shared" ca="1" si="13"/>
        <v>#NAME?</v>
      </c>
      <c r="H306" s="24" t="s">
        <v>152</v>
      </c>
      <c r="I306" s="24" t="s">
        <v>25</v>
      </c>
      <c r="J306" s="7" t="str">
        <f t="shared" si="16"/>
        <v>Sim</v>
      </c>
      <c r="K306" s="25">
        <v>45467</v>
      </c>
      <c r="L306" s="7"/>
      <c r="M306" s="7" t="s">
        <v>466</v>
      </c>
      <c r="N306" s="26">
        <v>8.0000000000000002E-3</v>
      </c>
      <c r="O306" s="7" t="s">
        <v>25</v>
      </c>
      <c r="P306" s="27">
        <v>0</v>
      </c>
      <c r="Q306" s="28" t="s">
        <v>1153</v>
      </c>
      <c r="R306" s="90"/>
      <c r="S306" s="7" t="s">
        <v>187</v>
      </c>
      <c r="T306" s="7" t="s">
        <v>1154</v>
      </c>
      <c r="U306" s="7" t="s">
        <v>20</v>
      </c>
      <c r="V306" s="24" t="e">
        <f t="shared" ca="1" si="14"/>
        <v>#NAME?</v>
      </c>
      <c r="W306" s="7"/>
      <c r="X306" s="7" t="s">
        <v>40</v>
      </c>
      <c r="Y306" s="29" t="s">
        <v>147</v>
      </c>
      <c r="Z306" s="30"/>
      <c r="AA306" s="31">
        <v>45467</v>
      </c>
      <c r="AB306" s="32">
        <v>49075100014914</v>
      </c>
      <c r="AC306" s="30"/>
      <c r="AD306" s="30"/>
      <c r="AE306" s="30"/>
      <c r="AF306" s="30"/>
      <c r="AG306" s="30"/>
      <c r="AH306" s="30"/>
      <c r="AI306" s="30"/>
      <c r="AJ306" s="30"/>
      <c r="AK306" s="30"/>
      <c r="AL306" s="30"/>
      <c r="AM306" s="30"/>
      <c r="AN306" s="30"/>
      <c r="AO306" s="30"/>
      <c r="AP306" s="30"/>
      <c r="AQ306" s="30"/>
      <c r="AR306" s="30"/>
      <c r="AS306" s="30"/>
      <c r="AT306" s="30"/>
      <c r="AU306" s="30"/>
      <c r="AV306" s="30"/>
      <c r="AW306" s="30">
        <v>0</v>
      </c>
      <c r="AX306" s="30">
        <v>850511.4</v>
      </c>
      <c r="AY306" s="30">
        <v>858378.29</v>
      </c>
      <c r="AZ306" s="30">
        <v>865281.54</v>
      </c>
      <c r="BA306" s="30" t="e">
        <f t="array" aca="1" ref="BA306" ca="1">_xludf.XLOOKUP(C306,'PL TOTAL D0'!A:A,'PL TOTAL D0'!C:C,"")</f>
        <v>#NAME?</v>
      </c>
    </row>
    <row r="307" spans="1:53" ht="15.75" customHeight="1">
      <c r="A307" s="23" t="s">
        <v>29</v>
      </c>
      <c r="B307" s="3" t="s">
        <v>1155</v>
      </c>
      <c r="C307" s="4" t="s">
        <v>1156</v>
      </c>
      <c r="D307" s="7" t="s">
        <v>19</v>
      </c>
      <c r="E307" s="7" t="s">
        <v>34</v>
      </c>
      <c r="F307" s="7" t="s">
        <v>616</v>
      </c>
      <c r="G307" s="7" t="e">
        <f t="shared" ca="1" si="13"/>
        <v>#NAME?</v>
      </c>
      <c r="H307" s="24" t="s">
        <v>161</v>
      </c>
      <c r="I307" s="24" t="s">
        <v>162</v>
      </c>
      <c r="J307" s="7" t="str">
        <f t="shared" si="16"/>
        <v>Não</v>
      </c>
      <c r="K307" s="25">
        <v>45166</v>
      </c>
      <c r="L307" s="25"/>
      <c r="M307" s="7" t="s">
        <v>42</v>
      </c>
      <c r="N307" s="26">
        <v>7.0000000000000001E-3</v>
      </c>
      <c r="O307" s="7" t="s">
        <v>25</v>
      </c>
      <c r="P307" s="27">
        <v>0</v>
      </c>
      <c r="Q307" s="90"/>
      <c r="R307" s="28" t="s">
        <v>1157</v>
      </c>
      <c r="S307" s="7" t="s">
        <v>145</v>
      </c>
      <c r="T307" s="7" t="s">
        <v>1158</v>
      </c>
      <c r="U307" s="7" t="s">
        <v>60</v>
      </c>
      <c r="V307" s="24" t="e">
        <f t="shared" ca="1" si="14"/>
        <v>#NAME?</v>
      </c>
      <c r="W307" s="7"/>
      <c r="X307" s="7"/>
      <c r="Y307" s="29" t="s">
        <v>147</v>
      </c>
      <c r="Z307" s="30"/>
      <c r="AA307" s="31">
        <v>45166</v>
      </c>
      <c r="AB307" s="32">
        <v>49075100011427</v>
      </c>
      <c r="AC307" s="30"/>
      <c r="AD307" s="30"/>
      <c r="AE307" s="30"/>
      <c r="AF307" s="30"/>
      <c r="AG307" s="30"/>
      <c r="AH307" s="30"/>
      <c r="AI307" s="30">
        <v>0</v>
      </c>
      <c r="AJ307" s="30">
        <v>0</v>
      </c>
      <c r="AK307" s="30">
        <v>0</v>
      </c>
      <c r="AL307" s="30">
        <v>0</v>
      </c>
      <c r="AM307" s="30">
        <v>0</v>
      </c>
      <c r="AN307" s="30">
        <v>0</v>
      </c>
      <c r="AO307" s="30">
        <v>0</v>
      </c>
      <c r="AP307" s="30">
        <v>0</v>
      </c>
      <c r="AQ307" s="30">
        <v>0</v>
      </c>
      <c r="AR307" s="30">
        <v>0</v>
      </c>
      <c r="AS307" s="30">
        <v>0</v>
      </c>
      <c r="AT307" s="30">
        <v>0</v>
      </c>
      <c r="AU307" s="30">
        <v>0</v>
      </c>
      <c r="AV307" s="30">
        <v>0</v>
      </c>
      <c r="AW307" s="30">
        <v>0</v>
      </c>
      <c r="AX307" s="30">
        <v>0</v>
      </c>
      <c r="AY307" s="30">
        <v>0</v>
      </c>
      <c r="AZ307" s="30">
        <v>0</v>
      </c>
      <c r="BA307" s="30" t="e">
        <f t="array" aca="1" ref="BA307" ca="1">_xludf.XLOOKUP(C307,'PL TOTAL D0'!A:A,'PL TOTAL D0'!C:C,"")</f>
        <v>#NAME?</v>
      </c>
    </row>
    <row r="308" spans="1:53" ht="15.75" customHeight="1">
      <c r="A308" s="23" t="s">
        <v>29</v>
      </c>
      <c r="B308" s="83" t="s">
        <v>1159</v>
      </c>
      <c r="C308" s="44" t="s">
        <v>1160</v>
      </c>
      <c r="D308" s="7" t="s">
        <v>19</v>
      </c>
      <c r="E308" s="7" t="s">
        <v>49</v>
      </c>
      <c r="F308" s="7" t="s">
        <v>50</v>
      </c>
      <c r="G308" s="7" t="e">
        <f t="shared" ca="1" si="13"/>
        <v>#NAME?</v>
      </c>
      <c r="H308" s="24" t="s">
        <v>143</v>
      </c>
      <c r="I308" s="24" t="s">
        <v>25</v>
      </c>
      <c r="J308" s="7" t="str">
        <f t="shared" si="16"/>
        <v>Não</v>
      </c>
      <c r="K308" s="25">
        <v>45219</v>
      </c>
      <c r="L308" s="25">
        <v>45539</v>
      </c>
      <c r="M308" s="7" t="s">
        <v>42</v>
      </c>
      <c r="N308" s="118">
        <v>8.0000000000000002E-3</v>
      </c>
      <c r="O308" s="7" t="s">
        <v>25</v>
      </c>
      <c r="P308" s="27">
        <v>0</v>
      </c>
      <c r="Q308" s="28"/>
      <c r="R308" s="28"/>
      <c r="S308" s="7" t="s">
        <v>187</v>
      </c>
      <c r="T308" s="7" t="s">
        <v>1161</v>
      </c>
      <c r="U308" s="7" t="s">
        <v>49</v>
      </c>
      <c r="V308" s="24" t="e">
        <f t="shared" ca="1" si="14"/>
        <v>#NAME?</v>
      </c>
      <c r="W308" s="7"/>
      <c r="X308" s="7"/>
      <c r="Y308" s="29" t="s">
        <v>147</v>
      </c>
      <c r="Z308" s="30"/>
      <c r="AA308" s="31">
        <v>45219</v>
      </c>
      <c r="AB308" s="32">
        <v>49075100012482</v>
      </c>
      <c r="AC308" s="30"/>
      <c r="AD308" s="30"/>
      <c r="AE308" s="30"/>
      <c r="AF308" s="30"/>
      <c r="AG308" s="30"/>
      <c r="AH308" s="30"/>
      <c r="AI308" s="30"/>
      <c r="AJ308" s="30"/>
      <c r="AK308" s="30"/>
      <c r="AL308" s="30"/>
      <c r="AM308" s="30"/>
      <c r="AN308" s="30"/>
      <c r="AO308" s="30">
        <v>0</v>
      </c>
      <c r="AP308" s="30">
        <v>0</v>
      </c>
      <c r="AQ308" s="30">
        <v>0</v>
      </c>
      <c r="AR308" s="30">
        <v>0</v>
      </c>
      <c r="AS308" s="30">
        <v>886613.59</v>
      </c>
      <c r="AT308" s="30">
        <v>983365.96</v>
      </c>
      <c r="AU308" s="30">
        <v>1493039.19</v>
      </c>
      <c r="AV308" s="30">
        <v>2057689</v>
      </c>
      <c r="AW308" s="30">
        <v>2075857</v>
      </c>
      <c r="AX308" s="30">
        <v>2259102</v>
      </c>
      <c r="AY308" s="30">
        <v>2165469.91</v>
      </c>
      <c r="AZ308" s="30">
        <v>0</v>
      </c>
      <c r="BA308" s="30" t="e">
        <f t="array" aca="1" ref="BA308" ca="1">_xludf.XLOOKUP(C308,'PL TOTAL D0'!A:A,'PL TOTAL D0'!C:C,"")</f>
        <v>#NAME?</v>
      </c>
    </row>
    <row r="309" spans="1:53" ht="15.75" customHeight="1">
      <c r="A309" s="23" t="s">
        <v>29</v>
      </c>
      <c r="B309" s="3" t="s">
        <v>1162</v>
      </c>
      <c r="C309" s="4" t="s">
        <v>1163</v>
      </c>
      <c r="D309" s="7" t="s">
        <v>19</v>
      </c>
      <c r="E309" s="7" t="s">
        <v>49</v>
      </c>
      <c r="F309" s="7" t="s">
        <v>50</v>
      </c>
      <c r="G309" s="7" t="e">
        <f t="shared" ca="1" si="13"/>
        <v>#NAME?</v>
      </c>
      <c r="H309" s="24" t="s">
        <v>161</v>
      </c>
      <c r="I309" s="24" t="s">
        <v>162</v>
      </c>
      <c r="J309" s="7" t="str">
        <f t="shared" si="16"/>
        <v>Não</v>
      </c>
      <c r="K309" s="25">
        <v>44998</v>
      </c>
      <c r="L309" s="7"/>
      <c r="M309" s="7" t="s">
        <v>42</v>
      </c>
      <c r="N309" s="26">
        <v>1.2E-2</v>
      </c>
      <c r="O309" s="7" t="s">
        <v>25</v>
      </c>
      <c r="P309" s="27">
        <v>0</v>
      </c>
      <c r="Q309" s="90"/>
      <c r="R309" s="90"/>
      <c r="S309" s="7" t="s">
        <v>145</v>
      </c>
      <c r="T309" s="7" t="s">
        <v>1164</v>
      </c>
      <c r="U309" s="7" t="s">
        <v>49</v>
      </c>
      <c r="V309" s="24" t="e">
        <f t="shared" ca="1" si="14"/>
        <v>#NAME?</v>
      </c>
      <c r="W309" s="7"/>
      <c r="X309" s="7"/>
      <c r="Y309" s="29" t="s">
        <v>147</v>
      </c>
      <c r="Z309" s="30"/>
      <c r="AA309" s="31">
        <v>44998</v>
      </c>
      <c r="AB309" s="32">
        <v>49075100008558</v>
      </c>
      <c r="AC309" s="30"/>
      <c r="AD309" s="30"/>
      <c r="AE309" s="30"/>
      <c r="AF309" s="30"/>
      <c r="AG309" s="30">
        <v>21865.15</v>
      </c>
      <c r="AH309" s="30">
        <v>43465.11</v>
      </c>
      <c r="AI309" s="30">
        <v>43794.1</v>
      </c>
      <c r="AJ309" s="30">
        <v>43995.85</v>
      </c>
      <c r="AK309" s="30">
        <v>44411.94</v>
      </c>
      <c r="AL309" s="30">
        <v>43803.839999999997</v>
      </c>
      <c r="AM309" s="30">
        <v>8628.77</v>
      </c>
      <c r="AN309" s="30">
        <v>8648.56</v>
      </c>
      <c r="AO309" s="30">
        <v>8712.66</v>
      </c>
      <c r="AP309" s="30">
        <v>8769.11</v>
      </c>
      <c r="AQ309" s="30">
        <v>8830.75</v>
      </c>
      <c r="AR309" s="30">
        <v>8914.99</v>
      </c>
      <c r="AS309" s="30">
        <v>8989.08</v>
      </c>
      <c r="AT309" s="30">
        <v>9079.5</v>
      </c>
      <c r="AU309" s="30">
        <v>9175.44</v>
      </c>
      <c r="AV309" s="30">
        <v>9241.1</v>
      </c>
      <c r="AW309" s="30">
        <v>9315.07</v>
      </c>
      <c r="AX309" s="30">
        <v>0</v>
      </c>
      <c r="AY309" s="30">
        <v>0.03</v>
      </c>
      <c r="AZ309" s="30">
        <v>0.03</v>
      </c>
      <c r="BA309" s="30" t="e">
        <f t="array" aca="1" ref="BA309" ca="1">_xludf.XLOOKUP(C309,'PL TOTAL D0'!A:A,'PL TOTAL D0'!C:C,"")</f>
        <v>#NAME?</v>
      </c>
    </row>
    <row r="310" spans="1:53" ht="15.75" customHeight="1">
      <c r="A310" s="23" t="s">
        <v>29</v>
      </c>
      <c r="B310" s="3" t="s">
        <v>1165</v>
      </c>
      <c r="C310" s="4" t="s">
        <v>1166</v>
      </c>
      <c r="D310" s="7" t="s">
        <v>19</v>
      </c>
      <c r="E310" s="7" t="s">
        <v>20</v>
      </c>
      <c r="F310" s="7" t="s">
        <v>372</v>
      </c>
      <c r="G310" s="7" t="e">
        <f t="shared" ca="1" si="13"/>
        <v>#NAME?</v>
      </c>
      <c r="H310" s="24" t="s">
        <v>152</v>
      </c>
      <c r="I310" s="24" t="s">
        <v>25</v>
      </c>
      <c r="J310" s="7" t="str">
        <f t="shared" si="16"/>
        <v>Não</v>
      </c>
      <c r="K310" s="25">
        <v>45086</v>
      </c>
      <c r="L310" s="7"/>
      <c r="M310" s="7" t="s">
        <v>172</v>
      </c>
      <c r="N310" s="26">
        <v>0</v>
      </c>
      <c r="O310" s="7" t="s">
        <v>25</v>
      </c>
      <c r="P310" s="27">
        <v>0</v>
      </c>
      <c r="Q310" s="28"/>
      <c r="R310" s="28" t="s">
        <v>1167</v>
      </c>
      <c r="S310" s="7" t="s">
        <v>145</v>
      </c>
      <c r="T310" s="7" t="s">
        <v>1168</v>
      </c>
      <c r="U310" s="7" t="s">
        <v>20</v>
      </c>
      <c r="V310" s="24" t="e">
        <f t="shared" ca="1" si="14"/>
        <v>#NAME?</v>
      </c>
      <c r="W310" s="7"/>
      <c r="X310" s="7"/>
      <c r="Y310" s="29" t="s">
        <v>147</v>
      </c>
      <c r="Z310" s="30"/>
      <c r="AA310" s="31">
        <v>45086</v>
      </c>
      <c r="AB310" s="32">
        <v>49075100010145</v>
      </c>
      <c r="AC310" s="30"/>
      <c r="AD310" s="30"/>
      <c r="AE310" s="30"/>
      <c r="AF310" s="30"/>
      <c r="AG310" s="30"/>
      <c r="AH310" s="30"/>
      <c r="AI310" s="30"/>
      <c r="AJ310" s="30">
        <v>0</v>
      </c>
      <c r="AK310" s="30">
        <v>25144.17</v>
      </c>
      <c r="AL310" s="30">
        <v>25359.46</v>
      </c>
      <c r="AM310" s="30">
        <v>25603.34</v>
      </c>
      <c r="AN310" s="30">
        <v>25643.06</v>
      </c>
      <c r="AO310" s="30">
        <v>25817.29</v>
      </c>
      <c r="AP310" s="30">
        <v>25753.040000000001</v>
      </c>
      <c r="AQ310" s="30">
        <v>25949.84</v>
      </c>
      <c r="AR310" s="30">
        <v>26197.119999999999</v>
      </c>
      <c r="AS310" s="30">
        <v>26382.92</v>
      </c>
      <c r="AT310" s="30">
        <v>26561.96</v>
      </c>
      <c r="AU310" s="30">
        <v>25673.55</v>
      </c>
      <c r="AV310" s="30">
        <v>25878.66</v>
      </c>
      <c r="AW310" s="30">
        <v>25936.27</v>
      </c>
      <c r="AX310" s="30">
        <v>26178.17</v>
      </c>
      <c r="AY310" s="30">
        <v>24382.5</v>
      </c>
      <c r="AZ310" s="30">
        <v>24575.11</v>
      </c>
      <c r="BA310" s="30" t="e">
        <f t="array" aca="1" ref="BA310" ca="1">_xludf.XLOOKUP(C310,'PL TOTAL D0'!A:A,'PL TOTAL D0'!C:C,"")</f>
        <v>#NAME?</v>
      </c>
    </row>
    <row r="311" spans="1:53" ht="15.75" customHeight="1">
      <c r="A311" s="23" t="s">
        <v>29</v>
      </c>
      <c r="B311" s="40" t="s">
        <v>1169</v>
      </c>
      <c r="C311" s="34" t="s">
        <v>1170</v>
      </c>
      <c r="D311" s="7" t="s">
        <v>19</v>
      </c>
      <c r="E311" s="7" t="s">
        <v>34</v>
      </c>
      <c r="F311" s="9" t="s">
        <v>35</v>
      </c>
      <c r="G311" s="7" t="e">
        <f t="shared" ca="1" si="13"/>
        <v>#NAME?</v>
      </c>
      <c r="H311" s="24" t="s">
        <v>161</v>
      </c>
      <c r="I311" s="24" t="s">
        <v>162</v>
      </c>
      <c r="J311" s="7" t="str">
        <f t="shared" si="16"/>
        <v>Não</v>
      </c>
      <c r="K311" s="25">
        <v>45212</v>
      </c>
      <c r="L311" s="7"/>
      <c r="M311" s="7" t="s">
        <v>172</v>
      </c>
      <c r="N311" s="26">
        <v>0</v>
      </c>
      <c r="O311" s="7" t="s">
        <v>25</v>
      </c>
      <c r="P311" s="27">
        <v>0</v>
      </c>
      <c r="Q311" s="23"/>
      <c r="R311" s="28"/>
      <c r="S311" s="7" t="s">
        <v>145</v>
      </c>
      <c r="T311" s="7" t="s">
        <v>1171</v>
      </c>
      <c r="U311" s="7" t="s">
        <v>39</v>
      </c>
      <c r="V311" s="24" t="e">
        <f t="shared" ca="1" si="14"/>
        <v>#NAME?</v>
      </c>
      <c r="W311" s="7"/>
      <c r="X311" s="7"/>
      <c r="Y311" s="29" t="s">
        <v>147</v>
      </c>
      <c r="Z311" s="30"/>
      <c r="AA311" s="31">
        <v>45212</v>
      </c>
      <c r="AB311" s="32">
        <v>49075100012415</v>
      </c>
      <c r="AC311" s="30"/>
      <c r="AD311" s="30"/>
      <c r="AE311" s="30"/>
      <c r="AF311" s="30"/>
      <c r="AG311" s="30"/>
      <c r="AH311" s="30"/>
      <c r="AI311" s="30"/>
      <c r="AJ311" s="30"/>
      <c r="AK311" s="30"/>
      <c r="AL311" s="30"/>
      <c r="AM311" s="30"/>
      <c r="AN311" s="30"/>
      <c r="AO311" s="30">
        <v>20580.91</v>
      </c>
      <c r="AP311" s="30">
        <v>20755.490000000002</v>
      </c>
      <c r="AQ311" s="30">
        <v>20889.91</v>
      </c>
      <c r="AR311" s="30">
        <v>0</v>
      </c>
      <c r="AS311" s="30">
        <v>0.09</v>
      </c>
      <c r="AT311" s="30">
        <v>0.09</v>
      </c>
      <c r="AU311" s="30">
        <v>0.09</v>
      </c>
      <c r="AV311" s="30">
        <v>0.09</v>
      </c>
      <c r="AW311" s="30">
        <v>0.09</v>
      </c>
      <c r="AX311" s="30">
        <v>0.09</v>
      </c>
      <c r="AY311" s="30">
        <v>0.09</v>
      </c>
      <c r="AZ311" s="30">
        <v>0.09</v>
      </c>
      <c r="BA311" s="30" t="e">
        <f t="array" aca="1" ref="BA311" ca="1">_xludf.XLOOKUP(C311,'PL TOTAL D0'!A:A,'PL TOTAL D0'!C:C,"")</f>
        <v>#NAME?</v>
      </c>
    </row>
    <row r="312" spans="1:53" ht="15.75" customHeight="1">
      <c r="A312" s="23" t="s">
        <v>29</v>
      </c>
      <c r="B312" s="40" t="s">
        <v>1172</v>
      </c>
      <c r="C312" s="34" t="s">
        <v>1173</v>
      </c>
      <c r="D312" s="7" t="s">
        <v>19</v>
      </c>
      <c r="E312" s="7" t="s">
        <v>20</v>
      </c>
      <c r="F312" s="9" t="s">
        <v>989</v>
      </c>
      <c r="G312" s="7" t="e">
        <f t="shared" ca="1" si="13"/>
        <v>#NAME?</v>
      </c>
      <c r="H312" s="24" t="s">
        <v>152</v>
      </c>
      <c r="I312" s="24" t="s">
        <v>25</v>
      </c>
      <c r="J312" s="7" t="str">
        <f t="shared" si="16"/>
        <v>Não</v>
      </c>
      <c r="K312" s="25">
        <v>45454</v>
      </c>
      <c r="L312" s="7"/>
      <c r="M312" s="7" t="s">
        <v>42</v>
      </c>
      <c r="N312" s="26">
        <v>1.2E-2</v>
      </c>
      <c r="O312" s="7" t="s">
        <v>25</v>
      </c>
      <c r="P312" s="27">
        <v>0</v>
      </c>
      <c r="Q312" s="23"/>
      <c r="R312" s="28"/>
      <c r="S312" s="7" t="s">
        <v>145</v>
      </c>
      <c r="T312" s="7" t="s">
        <v>1174</v>
      </c>
      <c r="U312" s="7" t="s">
        <v>60</v>
      </c>
      <c r="V312" s="24" t="e">
        <f t="shared" ca="1" si="14"/>
        <v>#NAME?</v>
      </c>
      <c r="W312" s="7"/>
      <c r="X312" s="7" t="s">
        <v>52</v>
      </c>
      <c r="Y312" s="29" t="s">
        <v>147</v>
      </c>
      <c r="Z312" s="30"/>
      <c r="AA312" s="31">
        <v>45454</v>
      </c>
      <c r="AB312" s="32">
        <v>49075100015120</v>
      </c>
      <c r="AC312" s="30"/>
      <c r="AD312" s="30"/>
      <c r="AE312" s="30"/>
      <c r="AF312" s="30"/>
      <c r="AG312" s="30"/>
      <c r="AH312" s="30"/>
      <c r="AI312" s="30"/>
      <c r="AJ312" s="30"/>
      <c r="AK312" s="30"/>
      <c r="AL312" s="30"/>
      <c r="AM312" s="30"/>
      <c r="AN312" s="30"/>
      <c r="AO312" s="30"/>
      <c r="AP312" s="30"/>
      <c r="AQ312" s="30"/>
      <c r="AR312" s="30"/>
      <c r="AS312" s="30"/>
      <c r="AT312" s="30"/>
      <c r="AU312" s="30"/>
      <c r="AV312" s="30"/>
      <c r="AW312" s="30">
        <v>125681.7</v>
      </c>
      <c r="AX312" s="30">
        <v>153893.79999999999</v>
      </c>
      <c r="AY312" s="30">
        <v>155321.13</v>
      </c>
      <c r="AZ312" s="30">
        <v>156486.46</v>
      </c>
      <c r="BA312" s="30" t="e">
        <f t="array" aca="1" ref="BA312" ca="1">_xludf.XLOOKUP(C312,'PL TOTAL D0'!A:A,'PL TOTAL D0'!C:C,"")</f>
        <v>#NAME?</v>
      </c>
    </row>
    <row r="313" spans="1:53" ht="15.75" customHeight="1">
      <c r="A313" s="23" t="s">
        <v>29</v>
      </c>
      <c r="B313" s="40" t="s">
        <v>1175</v>
      </c>
      <c r="C313" s="34" t="s">
        <v>1176</v>
      </c>
      <c r="D313" s="7" t="s">
        <v>19</v>
      </c>
      <c r="E313" s="7" t="s">
        <v>20</v>
      </c>
      <c r="F313" s="9" t="s">
        <v>199</v>
      </c>
      <c r="G313" s="7" t="e">
        <f t="shared" ca="1" si="13"/>
        <v>#NAME?</v>
      </c>
      <c r="H313" s="24" t="s">
        <v>167</v>
      </c>
      <c r="I313" s="24" t="s">
        <v>222</v>
      </c>
      <c r="J313" s="7" t="str">
        <f t="shared" si="16"/>
        <v>Não</v>
      </c>
      <c r="K313" s="25">
        <v>45582</v>
      </c>
      <c r="L313" s="7"/>
      <c r="M313" s="7" t="s">
        <v>172</v>
      </c>
      <c r="N313" s="26">
        <v>0</v>
      </c>
      <c r="O313" s="7" t="s">
        <v>25</v>
      </c>
      <c r="P313" s="27">
        <v>0</v>
      </c>
      <c r="Q313" s="23"/>
      <c r="R313" s="28"/>
      <c r="S313" s="7" t="s">
        <v>145</v>
      </c>
      <c r="T313" s="7" t="s">
        <v>1177</v>
      </c>
      <c r="U313" s="7" t="s">
        <v>20</v>
      </c>
      <c r="V313" s="24" t="e">
        <f t="shared" ca="1" si="14"/>
        <v>#NAME?</v>
      </c>
      <c r="W313" s="7"/>
      <c r="X313" s="7" t="s">
        <v>40</v>
      </c>
      <c r="Y313" s="29"/>
      <c r="Z313" s="30"/>
      <c r="AA313" s="31"/>
      <c r="AB313" s="32"/>
      <c r="AC313" s="30"/>
      <c r="AD313" s="30"/>
      <c r="AE313" s="30"/>
      <c r="AF313" s="30"/>
      <c r="AG313" s="30"/>
      <c r="AH313" s="30"/>
      <c r="AI313" s="30"/>
      <c r="AJ313" s="30"/>
      <c r="AK313" s="30"/>
      <c r="AL313" s="30"/>
      <c r="AM313" s="30"/>
      <c r="AN313" s="30"/>
      <c r="AO313" s="30"/>
      <c r="AP313" s="30"/>
      <c r="AQ313" s="30"/>
      <c r="AR313" s="30"/>
      <c r="AS313" s="30"/>
      <c r="AT313" s="30"/>
      <c r="AU313" s="30"/>
      <c r="AV313" s="30"/>
      <c r="AW313" s="30"/>
      <c r="AX313" s="30"/>
      <c r="AY313" s="30"/>
      <c r="AZ313" s="30"/>
      <c r="BA313" s="30" t="e">
        <f t="array" aca="1" ref="BA313" ca="1">_xludf.XLOOKUP(C313,'PL TOTAL D0'!A:A,'PL TOTAL D0'!C:C,"")</f>
        <v>#NAME?</v>
      </c>
    </row>
    <row r="314" spans="1:53" ht="15.75" customHeight="1">
      <c r="A314" s="23" t="s">
        <v>29</v>
      </c>
      <c r="B314" s="3" t="s">
        <v>1178</v>
      </c>
      <c r="C314" s="4" t="s">
        <v>1179</v>
      </c>
      <c r="D314" s="7" t="s">
        <v>19</v>
      </c>
      <c r="E314" s="7" t="s">
        <v>49</v>
      </c>
      <c r="F314" s="7" t="s">
        <v>166</v>
      </c>
      <c r="G314" s="7" t="e">
        <f t="shared" ca="1" si="13"/>
        <v>#NAME?</v>
      </c>
      <c r="H314" s="24" t="s">
        <v>152</v>
      </c>
      <c r="I314" s="24" t="s">
        <v>25</v>
      </c>
      <c r="J314" s="7" t="str">
        <f t="shared" si="16"/>
        <v>Não</v>
      </c>
      <c r="K314" s="25">
        <v>45086</v>
      </c>
      <c r="L314" s="7"/>
      <c r="M314" s="7" t="s">
        <v>42</v>
      </c>
      <c r="N314" s="26">
        <v>1.2E-2</v>
      </c>
      <c r="O314" s="7" t="s">
        <v>25</v>
      </c>
      <c r="P314" s="27">
        <v>0</v>
      </c>
      <c r="Q314" s="28"/>
      <c r="R314" s="90"/>
      <c r="S314" s="7" t="s">
        <v>145</v>
      </c>
      <c r="T314" s="7" t="s">
        <v>1180</v>
      </c>
      <c r="U314" s="7" t="s">
        <v>49</v>
      </c>
      <c r="V314" s="24" t="e">
        <f t="shared" ca="1" si="14"/>
        <v>#NAME?</v>
      </c>
      <c r="W314" s="7"/>
      <c r="X314" s="7"/>
      <c r="Y314" s="29" t="s">
        <v>147</v>
      </c>
      <c r="Z314" s="30"/>
      <c r="AA314" s="31">
        <v>45086</v>
      </c>
      <c r="AB314" s="32">
        <v>49075100005958</v>
      </c>
      <c r="AC314" s="30"/>
      <c r="AD314" s="30"/>
      <c r="AE314" s="30"/>
      <c r="AF314" s="30"/>
      <c r="AG314" s="30"/>
      <c r="AH314" s="30"/>
      <c r="AI314" s="30"/>
      <c r="AJ314" s="30"/>
      <c r="AK314" s="30">
        <v>130886.44</v>
      </c>
      <c r="AL314" s="30">
        <v>132006.38</v>
      </c>
      <c r="AM314" s="30">
        <v>133338.15</v>
      </c>
      <c r="AN314" s="30">
        <v>119244.02</v>
      </c>
      <c r="AO314" s="30">
        <v>106189.75999999999</v>
      </c>
      <c r="AP314" s="30">
        <v>106947</v>
      </c>
      <c r="AQ314" s="30">
        <v>61874.96</v>
      </c>
      <c r="AR314" s="30">
        <v>62390.42</v>
      </c>
      <c r="AS314" s="30">
        <v>62854.8</v>
      </c>
      <c r="AT314" s="30">
        <v>57945.120000000003</v>
      </c>
      <c r="AU314" s="30">
        <v>58386.23</v>
      </c>
      <c r="AV314" s="30">
        <v>58807.360000000001</v>
      </c>
      <c r="AW314" s="30">
        <v>14752.63</v>
      </c>
      <c r="AX314" s="30">
        <v>14861.67</v>
      </c>
      <c r="AY314" s="30">
        <v>14973.35</v>
      </c>
      <c r="AZ314" s="30">
        <v>15053.03</v>
      </c>
      <c r="BA314" s="30" t="e">
        <f t="array" aca="1" ref="BA314" ca="1">_xludf.XLOOKUP(C314,'PL TOTAL D0'!A:A,'PL TOTAL D0'!C:C,"")</f>
        <v>#NAME?</v>
      </c>
    </row>
    <row r="315" spans="1:53" ht="15.75" customHeight="1">
      <c r="A315" s="23" t="s">
        <v>29</v>
      </c>
      <c r="B315" s="3" t="s">
        <v>1181</v>
      </c>
      <c r="C315" s="41" t="s">
        <v>1182</v>
      </c>
      <c r="D315" s="7" t="s">
        <v>64</v>
      </c>
      <c r="E315" s="7" t="s">
        <v>20</v>
      </c>
      <c r="F315" s="7" t="s">
        <v>142</v>
      </c>
      <c r="G315" s="7" t="e">
        <f t="shared" ca="1" si="13"/>
        <v>#NAME?</v>
      </c>
      <c r="H315" s="24" t="s">
        <v>143</v>
      </c>
      <c r="I315" s="24" t="s">
        <v>25</v>
      </c>
      <c r="J315" s="7" t="str">
        <f t="shared" si="16"/>
        <v>Não</v>
      </c>
      <c r="K315" s="25">
        <v>45173</v>
      </c>
      <c r="L315" s="25">
        <v>45513</v>
      </c>
      <c r="M315" s="7" t="s">
        <v>200</v>
      </c>
      <c r="N315" s="26">
        <v>0.01</v>
      </c>
      <c r="O315" s="7" t="s">
        <v>37</v>
      </c>
      <c r="P315" s="27">
        <v>0.1</v>
      </c>
      <c r="Q315" s="28"/>
      <c r="R315" s="90" t="s">
        <v>702</v>
      </c>
      <c r="S315" s="7" t="s">
        <v>145</v>
      </c>
      <c r="T315" s="7" t="s">
        <v>1183</v>
      </c>
      <c r="U315" s="7" t="s">
        <v>20</v>
      </c>
      <c r="V315" s="24" t="e">
        <f t="shared" ca="1" si="14"/>
        <v>#NAME?</v>
      </c>
      <c r="W315" s="7"/>
      <c r="X315" s="7"/>
      <c r="Y315" s="29" t="s">
        <v>147</v>
      </c>
      <c r="Z315" s="30"/>
      <c r="AA315" s="31">
        <v>45173</v>
      </c>
      <c r="AB315" s="32">
        <v>49075100007950</v>
      </c>
      <c r="AC315" s="30"/>
      <c r="AD315" s="30"/>
      <c r="AE315" s="30"/>
      <c r="AF315" s="30"/>
      <c r="AG315" s="30"/>
      <c r="AH315" s="30"/>
      <c r="AI315" s="30"/>
      <c r="AJ315" s="30"/>
      <c r="AK315" s="30"/>
      <c r="AL315" s="30"/>
      <c r="AM315" s="30">
        <v>272748.49</v>
      </c>
      <c r="AN315" s="30">
        <v>406616.99</v>
      </c>
      <c r="AO315" s="30">
        <v>408579.22</v>
      </c>
      <c r="AP315" s="30">
        <v>414068.26</v>
      </c>
      <c r="AQ315" s="30">
        <v>421408.31</v>
      </c>
      <c r="AR315" s="30">
        <v>416908.41</v>
      </c>
      <c r="AS315" s="30">
        <v>421109.72</v>
      </c>
      <c r="AT315" s="30">
        <v>425000.19</v>
      </c>
      <c r="AU315" s="30">
        <v>421252.01</v>
      </c>
      <c r="AV315" s="30">
        <v>419970.6</v>
      </c>
      <c r="AW315" s="30">
        <v>422664.1</v>
      </c>
      <c r="AX315" s="30">
        <v>0</v>
      </c>
      <c r="AY315" s="30">
        <v>0</v>
      </c>
      <c r="AZ315" s="30">
        <v>0</v>
      </c>
      <c r="BA315" s="30" t="e">
        <f t="array" aca="1" ref="BA315" ca="1">_xludf.XLOOKUP(C315,'PL TOTAL D0'!A:A,'PL TOTAL D0'!C:C,"")</f>
        <v>#NAME?</v>
      </c>
    </row>
    <row r="316" spans="1:53" ht="15.75" customHeight="1">
      <c r="A316" s="23" t="s">
        <v>29</v>
      </c>
      <c r="B316" s="3" t="s">
        <v>1184</v>
      </c>
      <c r="C316" s="4" t="s">
        <v>1185</v>
      </c>
      <c r="D316" s="7" t="s">
        <v>64</v>
      </c>
      <c r="E316" s="7" t="s">
        <v>20</v>
      </c>
      <c r="F316" s="7" t="s">
        <v>204</v>
      </c>
      <c r="G316" s="7" t="e">
        <f t="shared" ca="1" si="13"/>
        <v>#NAME?</v>
      </c>
      <c r="H316" s="24" t="s">
        <v>161</v>
      </c>
      <c r="I316" s="24" t="s">
        <v>205</v>
      </c>
      <c r="J316" s="7" t="str">
        <f t="shared" si="16"/>
        <v>Sim</v>
      </c>
      <c r="K316" s="25">
        <v>45279</v>
      </c>
      <c r="L316" s="7"/>
      <c r="M316" s="7" t="s">
        <v>31</v>
      </c>
      <c r="N316" s="26">
        <v>3.0000000000000001E-3</v>
      </c>
      <c r="O316" s="7" t="s">
        <v>25</v>
      </c>
      <c r="P316" s="27">
        <v>0</v>
      </c>
      <c r="Q316" s="36" t="s">
        <v>1186</v>
      </c>
      <c r="R316" s="90"/>
      <c r="S316" s="7" t="s">
        <v>145</v>
      </c>
      <c r="T316" s="7" t="s">
        <v>1187</v>
      </c>
      <c r="U316" s="7" t="s">
        <v>20</v>
      </c>
      <c r="V316" s="24" t="e">
        <f t="shared" ca="1" si="14"/>
        <v>#NAME?</v>
      </c>
      <c r="W316" s="7"/>
      <c r="X316" s="7"/>
      <c r="Y316" s="29" t="s">
        <v>147</v>
      </c>
      <c r="Z316" s="30"/>
      <c r="AA316" s="31">
        <v>45279</v>
      </c>
      <c r="AB316" s="32">
        <v>49075100013349</v>
      </c>
      <c r="AC316" s="30"/>
      <c r="AD316" s="30"/>
      <c r="AE316" s="30"/>
      <c r="AF316" s="30"/>
      <c r="AG316" s="30"/>
      <c r="AH316" s="30"/>
      <c r="AI316" s="30"/>
      <c r="AJ316" s="30"/>
      <c r="AK316" s="30"/>
      <c r="AL316" s="30"/>
      <c r="AM316" s="30"/>
      <c r="AN316" s="30"/>
      <c r="AO316" s="30"/>
      <c r="AP316" s="30"/>
      <c r="AQ316" s="30">
        <v>702013.08</v>
      </c>
      <c r="AR316" s="30">
        <v>863930.09</v>
      </c>
      <c r="AS316" s="30">
        <v>16.18</v>
      </c>
      <c r="AT316" s="30">
        <v>16.18</v>
      </c>
      <c r="AU316" s="30">
        <v>16.18</v>
      </c>
      <c r="AV316" s="30">
        <v>16.18</v>
      </c>
      <c r="AW316" s="30">
        <v>19.2</v>
      </c>
      <c r="AX316" s="30">
        <v>19.2</v>
      </c>
      <c r="AY316" s="30">
        <v>19.2</v>
      </c>
      <c r="AZ316" s="30">
        <v>19.2</v>
      </c>
      <c r="BA316" s="30" t="e">
        <f t="array" aca="1" ref="BA316" ca="1">_xludf.XLOOKUP(C316,'PL TOTAL D0'!A:A,'PL TOTAL D0'!C:C,"")</f>
        <v>#NAME?</v>
      </c>
    </row>
    <row r="317" spans="1:53" ht="15.75" customHeight="1">
      <c r="A317" s="23" t="s">
        <v>29</v>
      </c>
      <c r="B317" s="37" t="s">
        <v>1188</v>
      </c>
      <c r="C317" s="4" t="s">
        <v>1189</v>
      </c>
      <c r="D317" s="7" t="s">
        <v>19</v>
      </c>
      <c r="E317" s="7" t="s">
        <v>34</v>
      </c>
      <c r="F317" s="7" t="s">
        <v>262</v>
      </c>
      <c r="G317" s="7" t="e">
        <f t="shared" ca="1" si="13"/>
        <v>#NAME?</v>
      </c>
      <c r="H317" s="24" t="s">
        <v>152</v>
      </c>
      <c r="I317" s="24" t="s">
        <v>25</v>
      </c>
      <c r="J317" s="7" t="str">
        <f t="shared" si="16"/>
        <v>Não</v>
      </c>
      <c r="K317" s="25">
        <v>45022</v>
      </c>
      <c r="L317" s="7"/>
      <c r="M317" s="7" t="s">
        <v>200</v>
      </c>
      <c r="N317" s="26">
        <v>1.4999999999999999E-2</v>
      </c>
      <c r="O317" s="7" t="s">
        <v>37</v>
      </c>
      <c r="P317" s="27">
        <v>0.1</v>
      </c>
      <c r="Q317" s="28"/>
      <c r="R317" s="90"/>
      <c r="S317" s="7" t="s">
        <v>145</v>
      </c>
      <c r="T317" s="7" t="s">
        <v>1190</v>
      </c>
      <c r="U317" s="7" t="s">
        <v>39</v>
      </c>
      <c r="V317" s="24" t="e">
        <f t="shared" ca="1" si="14"/>
        <v>#NAME?</v>
      </c>
      <c r="W317" s="7"/>
      <c r="X317" s="7"/>
      <c r="Y317" s="29" t="s">
        <v>147</v>
      </c>
      <c r="Z317" s="30"/>
      <c r="AA317" s="31">
        <v>45022</v>
      </c>
      <c r="AB317" s="32">
        <v>49075100005801</v>
      </c>
      <c r="AC317" s="30"/>
      <c r="AD317" s="30"/>
      <c r="AE317" s="30"/>
      <c r="AF317" s="30"/>
      <c r="AG317" s="30"/>
      <c r="AH317" s="30">
        <v>0</v>
      </c>
      <c r="AI317" s="30">
        <v>178768.84</v>
      </c>
      <c r="AJ317" s="30">
        <v>217959.2</v>
      </c>
      <c r="AK317" s="30">
        <v>227559.12</v>
      </c>
      <c r="AL317" s="30">
        <v>233832.43</v>
      </c>
      <c r="AM317" s="30">
        <v>211821.84</v>
      </c>
      <c r="AN317" s="30">
        <v>212805.65</v>
      </c>
      <c r="AO317" s="30">
        <v>215002.09</v>
      </c>
      <c r="AP317" s="30">
        <v>231266.51</v>
      </c>
      <c r="AQ317" s="30">
        <v>235736.95999999999</v>
      </c>
      <c r="AR317" s="30">
        <v>236622.47</v>
      </c>
      <c r="AS317" s="30">
        <v>241182.41</v>
      </c>
      <c r="AT317" s="30">
        <v>245498.57</v>
      </c>
      <c r="AU317" s="30">
        <v>186316.5</v>
      </c>
      <c r="AV317" s="30">
        <v>187781.6</v>
      </c>
      <c r="AW317" s="30">
        <v>190591.7</v>
      </c>
      <c r="AX317" s="30">
        <v>195283</v>
      </c>
      <c r="AY317" s="30">
        <v>197113.79</v>
      </c>
      <c r="AZ317" s="30">
        <v>197261.56</v>
      </c>
      <c r="BA317" s="30" t="e">
        <f t="array" aca="1" ref="BA317" ca="1">_xludf.XLOOKUP(C317,'PL TOTAL D0'!A:A,'PL TOTAL D0'!C:C,"")</f>
        <v>#NAME?</v>
      </c>
    </row>
    <row r="318" spans="1:53" ht="15.75" customHeight="1">
      <c r="A318" s="23" t="s">
        <v>29</v>
      </c>
      <c r="B318" s="3" t="s">
        <v>1191</v>
      </c>
      <c r="C318" s="4" t="s">
        <v>1192</v>
      </c>
      <c r="D318" s="7" t="s">
        <v>19</v>
      </c>
      <c r="E318" s="7" t="s">
        <v>49</v>
      </c>
      <c r="F318" s="7" t="s">
        <v>277</v>
      </c>
      <c r="G318" s="7" t="e">
        <f t="shared" ca="1" si="13"/>
        <v>#NAME?</v>
      </c>
      <c r="H318" s="24" t="s">
        <v>152</v>
      </c>
      <c r="I318" s="24" t="s">
        <v>25</v>
      </c>
      <c r="J318" s="7" t="str">
        <f t="shared" si="16"/>
        <v>Não</v>
      </c>
      <c r="K318" s="25">
        <v>45000</v>
      </c>
      <c r="L318" s="7"/>
      <c r="M318" s="7" t="s">
        <v>42</v>
      </c>
      <c r="N318" s="26">
        <v>1.2E-2</v>
      </c>
      <c r="O318" s="7" t="s">
        <v>25</v>
      </c>
      <c r="P318" s="27">
        <v>0</v>
      </c>
      <c r="Q318" s="90"/>
      <c r="R318" s="90"/>
      <c r="S318" s="7" t="s">
        <v>145</v>
      </c>
      <c r="T318" s="7" t="s">
        <v>1193</v>
      </c>
      <c r="U318" s="7" t="s">
        <v>49</v>
      </c>
      <c r="V318" s="24" t="e">
        <f t="shared" ca="1" si="14"/>
        <v>#NAME?</v>
      </c>
      <c r="W318" s="7"/>
      <c r="X318" s="7"/>
      <c r="Y318" s="29" t="s">
        <v>253</v>
      </c>
      <c r="Z318" s="30"/>
      <c r="AA318" s="31">
        <v>45000</v>
      </c>
      <c r="AB318" s="32">
        <v>49075100009686</v>
      </c>
      <c r="AC318" s="30"/>
      <c r="AD318" s="30"/>
      <c r="AE318" s="30"/>
      <c r="AF318" s="30"/>
      <c r="AG318" s="30"/>
      <c r="AH318" s="30">
        <v>174896.65</v>
      </c>
      <c r="AI318" s="30">
        <v>206415.12</v>
      </c>
      <c r="AJ318" s="30">
        <v>704652.48</v>
      </c>
      <c r="AK318" s="30">
        <v>706625.56</v>
      </c>
      <c r="AL318" s="30">
        <v>705083.3</v>
      </c>
      <c r="AM318" s="30">
        <v>716756.26</v>
      </c>
      <c r="AN318" s="30">
        <v>722243.24</v>
      </c>
      <c r="AO318" s="30">
        <v>761808.76</v>
      </c>
      <c r="AP318" s="30">
        <v>793383.7</v>
      </c>
      <c r="AQ318" s="30">
        <v>799717.97</v>
      </c>
      <c r="AR318" s="30">
        <v>806972.53</v>
      </c>
      <c r="AS318" s="30">
        <v>802850.76</v>
      </c>
      <c r="AT318" s="30">
        <v>801302.32</v>
      </c>
      <c r="AU318" s="30">
        <v>808094.5</v>
      </c>
      <c r="AV318" s="30">
        <v>100308.8</v>
      </c>
      <c r="AW318" s="30">
        <v>100820.7</v>
      </c>
      <c r="AX318" s="30">
        <v>101685.4</v>
      </c>
      <c r="AY318" s="30">
        <v>102520.01</v>
      </c>
      <c r="AZ318" s="30">
        <v>103242.54</v>
      </c>
      <c r="BA318" s="30" t="e">
        <f t="array" aca="1" ref="BA318" ca="1">_xludf.XLOOKUP(C318,'PL TOTAL D0'!A:A,'PL TOTAL D0'!C:C,"")</f>
        <v>#NAME?</v>
      </c>
    </row>
    <row r="319" spans="1:53" ht="15.75" customHeight="1">
      <c r="A319" s="23" t="s">
        <v>29</v>
      </c>
      <c r="B319" s="38" t="s">
        <v>1194</v>
      </c>
      <c r="C319" s="39" t="s">
        <v>1195</v>
      </c>
      <c r="D319" s="7" t="s">
        <v>19</v>
      </c>
      <c r="E319" s="7" t="s">
        <v>20</v>
      </c>
      <c r="F319" s="7" t="s">
        <v>210</v>
      </c>
      <c r="G319" s="7" t="e">
        <f t="shared" ca="1" si="13"/>
        <v>#NAME?</v>
      </c>
      <c r="H319" s="24" t="s">
        <v>152</v>
      </c>
      <c r="I319" s="24" t="s">
        <v>25</v>
      </c>
      <c r="J319" s="7" t="str">
        <f t="shared" si="16"/>
        <v>Não</v>
      </c>
      <c r="K319" s="25">
        <v>45439</v>
      </c>
      <c r="L319" s="7"/>
      <c r="M319" s="7" t="s">
        <v>58</v>
      </c>
      <c r="N319" s="26">
        <v>1.2E-2</v>
      </c>
      <c r="O319" s="7" t="s">
        <v>37</v>
      </c>
      <c r="P319" s="27">
        <v>0.1</v>
      </c>
      <c r="Q319" s="90"/>
      <c r="R319" s="90"/>
      <c r="S319" s="7" t="s">
        <v>145</v>
      </c>
      <c r="T319" s="12" t="s">
        <v>1196</v>
      </c>
      <c r="U319" s="7" t="s">
        <v>20</v>
      </c>
      <c r="V319" s="24" t="e">
        <f t="shared" ca="1" si="14"/>
        <v>#NAME?</v>
      </c>
      <c r="W319" s="7"/>
      <c r="X319" s="7" t="s">
        <v>52</v>
      </c>
      <c r="Y319" s="29" t="s">
        <v>147</v>
      </c>
      <c r="Z319" s="30"/>
      <c r="AA319" s="31">
        <v>45439</v>
      </c>
      <c r="AB319" s="32">
        <v>49075100014523</v>
      </c>
      <c r="AC319" s="30"/>
      <c r="AD319" s="30"/>
      <c r="AE319" s="30"/>
      <c r="AF319" s="30"/>
      <c r="AG319" s="30"/>
      <c r="AH319" s="30"/>
      <c r="AI319" s="30"/>
      <c r="AJ319" s="30"/>
      <c r="AK319" s="30"/>
      <c r="AL319" s="30"/>
      <c r="AM319" s="30"/>
      <c r="AN319" s="30"/>
      <c r="AO319" s="30"/>
      <c r="AP319" s="30"/>
      <c r="AQ319" s="30"/>
      <c r="AR319" s="30"/>
      <c r="AS319" s="30"/>
      <c r="AT319" s="30"/>
      <c r="AU319" s="30"/>
      <c r="AV319" s="30">
        <v>62779.43</v>
      </c>
      <c r="AW319" s="30">
        <v>66910.080000000002</v>
      </c>
      <c r="AX319" s="30">
        <v>74709.77</v>
      </c>
      <c r="AY319" s="30">
        <v>75292.17</v>
      </c>
      <c r="AZ319" s="30">
        <v>58750.76</v>
      </c>
      <c r="BA319" s="30" t="e">
        <f t="array" aca="1" ref="BA319" ca="1">_xludf.XLOOKUP(C319,'PL TOTAL D0'!A:A,'PL TOTAL D0'!C:C,"")</f>
        <v>#NAME?</v>
      </c>
    </row>
    <row r="320" spans="1:53" ht="15.75" customHeight="1">
      <c r="A320" s="23" t="s">
        <v>29</v>
      </c>
      <c r="B320" s="3" t="s">
        <v>1197</v>
      </c>
      <c r="C320" s="4" t="s">
        <v>1198</v>
      </c>
      <c r="D320" s="7" t="s">
        <v>19</v>
      </c>
      <c r="E320" s="7" t="s">
        <v>20</v>
      </c>
      <c r="F320" s="7" t="s">
        <v>372</v>
      </c>
      <c r="G320" s="7" t="e">
        <f t="shared" ca="1" si="13"/>
        <v>#NAME?</v>
      </c>
      <c r="H320" s="24" t="s">
        <v>152</v>
      </c>
      <c r="I320" s="24" t="s">
        <v>25</v>
      </c>
      <c r="J320" s="7" t="str">
        <f t="shared" si="16"/>
        <v>Não</v>
      </c>
      <c r="K320" s="25">
        <v>45012</v>
      </c>
      <c r="L320" s="7"/>
      <c r="M320" s="7" t="s">
        <v>42</v>
      </c>
      <c r="N320" s="26">
        <v>1.2E-2</v>
      </c>
      <c r="O320" s="7" t="s">
        <v>25</v>
      </c>
      <c r="P320" s="27">
        <v>0</v>
      </c>
      <c r="Q320" s="28"/>
      <c r="R320" s="90"/>
      <c r="S320" s="7" t="s">
        <v>145</v>
      </c>
      <c r="T320" s="7" t="s">
        <v>1199</v>
      </c>
      <c r="U320" s="119" t="s">
        <v>1200</v>
      </c>
      <c r="V320" s="24" t="e">
        <f t="shared" ca="1" si="14"/>
        <v>#NAME?</v>
      </c>
      <c r="W320" s="7"/>
      <c r="X320" s="7"/>
      <c r="Y320" s="29" t="s">
        <v>147</v>
      </c>
      <c r="Z320" s="30"/>
      <c r="AA320" s="31">
        <v>45012</v>
      </c>
      <c r="AB320" s="32">
        <v>49075100008833</v>
      </c>
      <c r="AC320" s="30"/>
      <c r="AD320" s="30"/>
      <c r="AE320" s="30"/>
      <c r="AF320" s="30"/>
      <c r="AG320" s="30"/>
      <c r="AH320" s="30">
        <v>25864.7</v>
      </c>
      <c r="AI320" s="30">
        <v>30146.55</v>
      </c>
      <c r="AJ320" s="30">
        <v>30452.71</v>
      </c>
      <c r="AK320" s="30">
        <v>35206.620000000003</v>
      </c>
      <c r="AL320" s="30">
        <v>35422.57</v>
      </c>
      <c r="AM320" s="30">
        <v>40792.839999999997</v>
      </c>
      <c r="AN320" s="30">
        <v>41124.97</v>
      </c>
      <c r="AO320" s="30">
        <v>41413.94</v>
      </c>
      <c r="AP320" s="30">
        <v>41684.11</v>
      </c>
      <c r="AQ320" s="30">
        <v>41999.88</v>
      </c>
      <c r="AR320" s="30">
        <v>42204.33</v>
      </c>
      <c r="AS320" s="30">
        <v>42543.11</v>
      </c>
      <c r="AT320" s="30">
        <v>42896.63</v>
      </c>
      <c r="AU320" s="30">
        <v>43196.12</v>
      </c>
      <c r="AV320" s="30">
        <v>43521.48</v>
      </c>
      <c r="AW320" s="30">
        <v>43853.62</v>
      </c>
      <c r="AX320" s="30">
        <v>44207.53</v>
      </c>
      <c r="AY320" s="30">
        <v>44545.66</v>
      </c>
      <c r="AZ320" s="30">
        <v>44842.47</v>
      </c>
      <c r="BA320" s="30" t="e">
        <f t="array" aca="1" ref="BA320" ca="1">_xludf.XLOOKUP(C320,'PL TOTAL D0'!A:A,'PL TOTAL D0'!C:C,"")</f>
        <v>#NAME?</v>
      </c>
    </row>
    <row r="321" spans="1:53" ht="15.75" customHeight="1">
      <c r="A321" s="23" t="s">
        <v>29</v>
      </c>
      <c r="B321" s="38" t="s">
        <v>1201</v>
      </c>
      <c r="C321" s="39" t="s">
        <v>1202</v>
      </c>
      <c r="D321" s="7" t="s">
        <v>19</v>
      </c>
      <c r="E321" s="7" t="s">
        <v>49</v>
      </c>
      <c r="F321" s="7" t="s">
        <v>50</v>
      </c>
      <c r="G321" s="7" t="e">
        <f t="shared" ca="1" si="13"/>
        <v>#NAME?</v>
      </c>
      <c r="H321" s="24" t="s">
        <v>152</v>
      </c>
      <c r="I321" s="24" t="s">
        <v>25</v>
      </c>
      <c r="J321" s="7" t="str">
        <f t="shared" si="16"/>
        <v>Não</v>
      </c>
      <c r="K321" s="25">
        <v>45414</v>
      </c>
      <c r="L321" s="7"/>
      <c r="M321" s="7" t="s">
        <v>42</v>
      </c>
      <c r="N321" s="26">
        <v>1.2E-2</v>
      </c>
      <c r="O321" s="7" t="s">
        <v>25</v>
      </c>
      <c r="P321" s="27">
        <v>0</v>
      </c>
      <c r="Q321" s="90"/>
      <c r="R321" s="90"/>
      <c r="S321" s="7" t="s">
        <v>187</v>
      </c>
      <c r="T321" s="12" t="s">
        <v>1203</v>
      </c>
      <c r="U321" s="12" t="s">
        <v>49</v>
      </c>
      <c r="V321" s="24" t="e">
        <f t="shared" ca="1" si="14"/>
        <v>#NAME?</v>
      </c>
      <c r="W321" s="7"/>
      <c r="X321" s="7" t="s">
        <v>52</v>
      </c>
      <c r="Y321" s="29" t="s">
        <v>147</v>
      </c>
      <c r="Z321" s="30"/>
      <c r="AA321" s="31">
        <v>45414</v>
      </c>
      <c r="AB321" s="32">
        <v>49075100014531</v>
      </c>
      <c r="AC321" s="30"/>
      <c r="AD321" s="30"/>
      <c r="AE321" s="30"/>
      <c r="AF321" s="30"/>
      <c r="AG321" s="30"/>
      <c r="AH321" s="30"/>
      <c r="AI321" s="30"/>
      <c r="AJ321" s="30"/>
      <c r="AK321" s="30"/>
      <c r="AL321" s="30"/>
      <c r="AM321" s="30"/>
      <c r="AN321" s="30"/>
      <c r="AO321" s="30"/>
      <c r="AP321" s="30"/>
      <c r="AQ321" s="30"/>
      <c r="AR321" s="30"/>
      <c r="AS321" s="30"/>
      <c r="AT321" s="30"/>
      <c r="AU321" s="30"/>
      <c r="AV321" s="30">
        <v>0</v>
      </c>
      <c r="AW321" s="30">
        <v>0</v>
      </c>
      <c r="AX321" s="30">
        <v>201741.4</v>
      </c>
      <c r="AY321" s="30">
        <v>203608.77</v>
      </c>
      <c r="AZ321" s="30">
        <v>204952.06</v>
      </c>
      <c r="BA321" s="30" t="e">
        <f t="array" aca="1" ref="BA321" ca="1">_xludf.XLOOKUP(C321,'PL TOTAL D0'!A:A,'PL TOTAL D0'!C:C,"")</f>
        <v>#NAME?</v>
      </c>
    </row>
    <row r="322" spans="1:53" ht="15.75" customHeight="1">
      <c r="A322" s="23" t="s">
        <v>29</v>
      </c>
      <c r="B322" s="36" t="s">
        <v>1204</v>
      </c>
      <c r="C322" s="44" t="s">
        <v>1205</v>
      </c>
      <c r="D322" s="7" t="s">
        <v>64</v>
      </c>
      <c r="E322" s="7" t="s">
        <v>20</v>
      </c>
      <c r="F322" s="7" t="s">
        <v>142</v>
      </c>
      <c r="G322" s="7" t="e">
        <f t="shared" ca="1" si="13"/>
        <v>#NAME?</v>
      </c>
      <c r="H322" s="24" t="s">
        <v>143</v>
      </c>
      <c r="I322" s="24" t="s">
        <v>25</v>
      </c>
      <c r="J322" s="7" t="str">
        <f t="shared" si="16"/>
        <v>Não</v>
      </c>
      <c r="K322" s="25">
        <v>45257</v>
      </c>
      <c r="L322" s="25">
        <v>45530</v>
      </c>
      <c r="M322" s="7" t="s">
        <v>58</v>
      </c>
      <c r="N322" s="26">
        <v>1.2E-2</v>
      </c>
      <c r="O322" s="7" t="s">
        <v>37</v>
      </c>
      <c r="P322" s="27">
        <v>0.1</v>
      </c>
      <c r="Q322" s="90"/>
      <c r="R322" s="90"/>
      <c r="S322" s="7" t="s">
        <v>145</v>
      </c>
      <c r="T322" s="7" t="s">
        <v>1206</v>
      </c>
      <c r="U322" s="120" t="s">
        <v>20</v>
      </c>
      <c r="V322" s="24" t="e">
        <f t="shared" ca="1" si="14"/>
        <v>#NAME?</v>
      </c>
      <c r="W322" s="7"/>
      <c r="X322" s="7"/>
      <c r="Y322" s="29" t="s">
        <v>147</v>
      </c>
      <c r="Z322" s="30"/>
      <c r="AA322" s="31">
        <v>45257</v>
      </c>
      <c r="AB322" s="32">
        <v>49075100012423</v>
      </c>
      <c r="AC322" s="30"/>
      <c r="AD322" s="30"/>
      <c r="AE322" s="30"/>
      <c r="AF322" s="30"/>
      <c r="AG322" s="30"/>
      <c r="AH322" s="30"/>
      <c r="AI322" s="30"/>
      <c r="AJ322" s="30"/>
      <c r="AK322" s="30"/>
      <c r="AL322" s="30"/>
      <c r="AM322" s="30"/>
      <c r="AN322" s="30"/>
      <c r="AO322" s="30"/>
      <c r="AP322" s="30">
        <v>697839.31</v>
      </c>
      <c r="AQ322" s="30">
        <v>341582.5</v>
      </c>
      <c r="AR322" s="30">
        <v>341631.92</v>
      </c>
      <c r="AS322" s="30">
        <v>344322.63</v>
      </c>
      <c r="AT322" s="30">
        <v>345713.6</v>
      </c>
      <c r="AU322" s="30">
        <v>240293.79</v>
      </c>
      <c r="AV322" s="30">
        <v>189082.7</v>
      </c>
      <c r="AW322" s="30">
        <v>190381.5</v>
      </c>
      <c r="AX322" s="30">
        <v>139512</v>
      </c>
      <c r="AY322" s="30">
        <v>0</v>
      </c>
      <c r="AZ322" s="30">
        <v>0</v>
      </c>
      <c r="BA322" s="30" t="e">
        <f t="array" aca="1" ref="BA322" ca="1">_xludf.XLOOKUP(C322,'PL TOTAL D0'!A:A,'PL TOTAL D0'!C:C,"")</f>
        <v>#NAME?</v>
      </c>
    </row>
    <row r="323" spans="1:53" ht="15.75" customHeight="1">
      <c r="A323" s="23" t="s">
        <v>29</v>
      </c>
      <c r="B323" s="3" t="s">
        <v>1207</v>
      </c>
      <c r="C323" s="4" t="s">
        <v>1208</v>
      </c>
      <c r="D323" s="7" t="s">
        <v>19</v>
      </c>
      <c r="E323" s="7" t="s">
        <v>49</v>
      </c>
      <c r="F323" s="7" t="s">
        <v>277</v>
      </c>
      <c r="G323" s="7" t="e">
        <f t="shared" ca="1" si="13"/>
        <v>#NAME?</v>
      </c>
      <c r="H323" s="24" t="s">
        <v>152</v>
      </c>
      <c r="I323" s="24" t="s">
        <v>25</v>
      </c>
      <c r="J323" s="7" t="str">
        <f t="shared" si="16"/>
        <v>Não</v>
      </c>
      <c r="K323" s="25">
        <v>45132</v>
      </c>
      <c r="L323" s="7"/>
      <c r="M323" s="7" t="s">
        <v>42</v>
      </c>
      <c r="N323" s="26">
        <v>1.2E-2</v>
      </c>
      <c r="O323" s="7" t="s">
        <v>25</v>
      </c>
      <c r="P323" s="27">
        <v>0</v>
      </c>
      <c r="Q323" s="90"/>
      <c r="R323" s="90"/>
      <c r="S323" s="7" t="s">
        <v>145</v>
      </c>
      <c r="T323" s="7" t="s">
        <v>1209</v>
      </c>
      <c r="U323" s="7" t="s">
        <v>49</v>
      </c>
      <c r="V323" s="24" t="e">
        <f t="shared" ca="1" si="14"/>
        <v>#NAME?</v>
      </c>
      <c r="W323" s="7"/>
      <c r="X323" s="7"/>
      <c r="Y323" s="29" t="s">
        <v>147</v>
      </c>
      <c r="Z323" s="30"/>
      <c r="AA323" s="31">
        <v>45132</v>
      </c>
      <c r="AB323" s="32">
        <v>49075100008094</v>
      </c>
      <c r="AC323" s="30"/>
      <c r="AD323" s="30"/>
      <c r="AE323" s="30"/>
      <c r="AF323" s="30"/>
      <c r="AG323" s="30"/>
      <c r="AH323" s="30"/>
      <c r="AI323" s="30"/>
      <c r="AJ323" s="30"/>
      <c r="AK323" s="30"/>
      <c r="AL323" s="30">
        <v>320613.61</v>
      </c>
      <c r="AM323" s="30">
        <v>323891.64</v>
      </c>
      <c r="AN323" s="30">
        <v>326428.52</v>
      </c>
      <c r="AO323" s="30">
        <v>329253.36</v>
      </c>
      <c r="AP323" s="30">
        <v>331557.81</v>
      </c>
      <c r="AQ323" s="30">
        <v>323510.06</v>
      </c>
      <c r="AR323" s="30">
        <v>326108.63</v>
      </c>
      <c r="AS323" s="30">
        <v>328312.53999999998</v>
      </c>
      <c r="AT323" s="30">
        <v>330757.68</v>
      </c>
      <c r="AU323" s="30">
        <v>333159.46999999997</v>
      </c>
      <c r="AV323" s="30">
        <v>386215.9</v>
      </c>
      <c r="AW323" s="30">
        <v>429875.5</v>
      </c>
      <c r="AX323" s="30">
        <v>383090.2</v>
      </c>
      <c r="AY323" s="30">
        <v>385895.1</v>
      </c>
      <c r="AZ323" s="30">
        <v>368162.34</v>
      </c>
      <c r="BA323" s="30" t="e">
        <f t="array" aca="1" ref="BA323" ca="1">_xludf.XLOOKUP(C323,'PL TOTAL D0'!A:A,'PL TOTAL D0'!C:C,"")</f>
        <v>#NAME?</v>
      </c>
    </row>
    <row r="324" spans="1:53" ht="15.75" customHeight="1">
      <c r="A324" s="23" t="s">
        <v>29</v>
      </c>
      <c r="B324" s="3" t="s">
        <v>1210</v>
      </c>
      <c r="C324" s="4" t="s">
        <v>1211</v>
      </c>
      <c r="D324" s="7" t="s">
        <v>19</v>
      </c>
      <c r="E324" s="7" t="s">
        <v>34</v>
      </c>
      <c r="F324" s="7" t="s">
        <v>262</v>
      </c>
      <c r="G324" s="7" t="e">
        <f t="shared" ca="1" si="13"/>
        <v>#NAME?</v>
      </c>
      <c r="H324" s="24" t="s">
        <v>161</v>
      </c>
      <c r="I324" s="24" t="s">
        <v>162</v>
      </c>
      <c r="J324" s="7" t="str">
        <f t="shared" si="16"/>
        <v>Não</v>
      </c>
      <c r="K324" s="25">
        <v>45103</v>
      </c>
      <c r="L324" s="7"/>
      <c r="M324" s="7" t="s">
        <v>200</v>
      </c>
      <c r="N324" s="26">
        <v>1.4999999999999999E-2</v>
      </c>
      <c r="O324" s="7" t="s">
        <v>37</v>
      </c>
      <c r="P324" s="27">
        <v>0.1</v>
      </c>
      <c r="Q324" s="90"/>
      <c r="R324" s="82" t="s">
        <v>1212</v>
      </c>
      <c r="S324" s="7" t="s">
        <v>145</v>
      </c>
      <c r="T324" s="7" t="s">
        <v>1213</v>
      </c>
      <c r="U324" s="7" t="s">
        <v>886</v>
      </c>
      <c r="V324" s="24" t="e">
        <f t="shared" ca="1" si="14"/>
        <v>#NAME?</v>
      </c>
      <c r="W324" s="7"/>
      <c r="X324" s="7"/>
      <c r="Y324" s="29" t="s">
        <v>147</v>
      </c>
      <c r="Z324" s="30"/>
      <c r="AA324" s="31">
        <v>45103</v>
      </c>
      <c r="AB324" s="32">
        <v>49075100004609</v>
      </c>
      <c r="AC324" s="30"/>
      <c r="AD324" s="30"/>
      <c r="AE324" s="30"/>
      <c r="AF324" s="30"/>
      <c r="AG324" s="30"/>
      <c r="AH324" s="30"/>
      <c r="AI324" s="30"/>
      <c r="AJ324" s="30"/>
      <c r="AK324" s="30"/>
      <c r="AL324" s="30">
        <v>0</v>
      </c>
      <c r="AM324" s="30">
        <v>434</v>
      </c>
      <c r="AN324" s="30">
        <v>334</v>
      </c>
      <c r="AO324" s="30">
        <v>0</v>
      </c>
      <c r="AP324" s="30">
        <v>0</v>
      </c>
      <c r="AQ324" s="30">
        <v>0</v>
      </c>
      <c r="AR324" s="30">
        <v>0</v>
      </c>
      <c r="AS324" s="30">
        <v>0</v>
      </c>
      <c r="AT324" s="30">
        <v>0</v>
      </c>
      <c r="AU324" s="30">
        <v>0</v>
      </c>
      <c r="AV324" s="30">
        <v>0</v>
      </c>
      <c r="AW324" s="30">
        <v>0</v>
      </c>
      <c r="AX324" s="30">
        <v>0</v>
      </c>
      <c r="AY324" s="30">
        <v>0</v>
      </c>
      <c r="AZ324" s="30">
        <v>0</v>
      </c>
      <c r="BA324" s="30" t="e">
        <f t="array" aca="1" ref="BA324" ca="1">_xludf.XLOOKUP(C324,'PL TOTAL D0'!A:A,'PL TOTAL D0'!C:C,"")</f>
        <v>#NAME?</v>
      </c>
    </row>
    <row r="325" spans="1:53" ht="15.75" customHeight="1">
      <c r="A325" s="23" t="s">
        <v>29</v>
      </c>
      <c r="B325" s="37" t="s">
        <v>1214</v>
      </c>
      <c r="C325" s="4" t="s">
        <v>1215</v>
      </c>
      <c r="D325" s="7" t="s">
        <v>19</v>
      </c>
      <c r="E325" s="7" t="s">
        <v>49</v>
      </c>
      <c r="F325" s="7" t="s">
        <v>50</v>
      </c>
      <c r="G325" s="7" t="e">
        <f t="shared" ca="1" si="13"/>
        <v>#NAME?</v>
      </c>
      <c r="H325" s="24" t="s">
        <v>152</v>
      </c>
      <c r="I325" s="24" t="s">
        <v>25</v>
      </c>
      <c r="J325" s="7" t="str">
        <f t="shared" si="16"/>
        <v>Sim</v>
      </c>
      <c r="K325" s="25">
        <v>45013</v>
      </c>
      <c r="L325" s="7"/>
      <c r="M325" s="7" t="s">
        <v>36</v>
      </c>
      <c r="N325" s="26">
        <v>1.2E-2</v>
      </c>
      <c r="O325" s="7" t="s">
        <v>37</v>
      </c>
      <c r="P325" s="27">
        <v>0.1</v>
      </c>
      <c r="Q325" s="116" t="s">
        <v>1216</v>
      </c>
      <c r="R325" s="121" t="s">
        <v>1217</v>
      </c>
      <c r="S325" s="7" t="s">
        <v>145</v>
      </c>
      <c r="T325" s="7" t="s">
        <v>1218</v>
      </c>
      <c r="U325" s="7" t="s">
        <v>49</v>
      </c>
      <c r="V325" s="24" t="e">
        <f t="shared" ca="1" si="14"/>
        <v>#NAME?</v>
      </c>
      <c r="W325" s="7"/>
      <c r="X325" s="7"/>
      <c r="Y325" s="29" t="s">
        <v>147</v>
      </c>
      <c r="Z325" s="30"/>
      <c r="AA325" s="31">
        <v>45013</v>
      </c>
      <c r="AB325" s="32">
        <v>49075100006751</v>
      </c>
      <c r="AC325" s="30"/>
      <c r="AD325" s="30"/>
      <c r="AE325" s="30"/>
      <c r="AF325" s="30"/>
      <c r="AG325" s="30"/>
      <c r="AH325" s="30">
        <v>104138.41</v>
      </c>
      <c r="AI325" s="30">
        <v>1219227.02</v>
      </c>
      <c r="AJ325" s="30">
        <v>1236011.28</v>
      </c>
      <c r="AK325" s="30">
        <v>1248592.6299999999</v>
      </c>
      <c r="AL325" s="30">
        <v>1259014.6599999999</v>
      </c>
      <c r="AM325" s="30">
        <v>1271123.79</v>
      </c>
      <c r="AN325" s="30">
        <v>1281011.8899999999</v>
      </c>
      <c r="AO325" s="30">
        <v>1287933.72</v>
      </c>
      <c r="AP325" s="30">
        <v>1296732.8700000001</v>
      </c>
      <c r="AQ325" s="30">
        <v>1359249.82</v>
      </c>
      <c r="AR325" s="30">
        <v>1369971.36</v>
      </c>
      <c r="AS325" s="30">
        <v>1432652.01</v>
      </c>
      <c r="AT325" s="30">
        <v>1444199.99</v>
      </c>
      <c r="AU325" s="30">
        <v>1646633.99</v>
      </c>
      <c r="AV325" s="30">
        <v>1693514</v>
      </c>
      <c r="AW325" s="30">
        <v>1793006</v>
      </c>
      <c r="AX325" s="30">
        <v>1857679</v>
      </c>
      <c r="AY325" s="30">
        <v>1661555.83</v>
      </c>
      <c r="AZ325" s="30">
        <v>1657160.51</v>
      </c>
      <c r="BA325" s="30" t="e">
        <f t="array" aca="1" ref="BA325" ca="1">_xludf.XLOOKUP(C325,'PL TOTAL D0'!A:A,'PL TOTAL D0'!C:C,"")</f>
        <v>#NAME?</v>
      </c>
    </row>
    <row r="326" spans="1:53" ht="15.75" customHeight="1">
      <c r="A326" s="23" t="s">
        <v>29</v>
      </c>
      <c r="B326" s="3" t="s">
        <v>1219</v>
      </c>
      <c r="C326" s="4" t="s">
        <v>1220</v>
      </c>
      <c r="D326" s="7" t="s">
        <v>80</v>
      </c>
      <c r="E326" s="7" t="s">
        <v>49</v>
      </c>
      <c r="F326" s="7" t="s">
        <v>81</v>
      </c>
      <c r="G326" s="7" t="e">
        <f t="shared" ca="1" si="13"/>
        <v>#NAME?</v>
      </c>
      <c r="H326" s="24" t="s">
        <v>152</v>
      </c>
      <c r="I326" s="24" t="s">
        <v>25</v>
      </c>
      <c r="J326" s="7" t="str">
        <f t="shared" si="16"/>
        <v>Não</v>
      </c>
      <c r="K326" s="25">
        <v>45301</v>
      </c>
      <c r="L326" s="7"/>
      <c r="M326" s="7" t="s">
        <v>42</v>
      </c>
      <c r="N326" s="26">
        <v>1.2E-2</v>
      </c>
      <c r="O326" s="7" t="s">
        <v>25</v>
      </c>
      <c r="P326" s="27">
        <v>0</v>
      </c>
      <c r="Q326" s="90"/>
      <c r="R326" s="90"/>
      <c r="S326" s="7" t="s">
        <v>145</v>
      </c>
      <c r="T326" s="7" t="s">
        <v>1221</v>
      </c>
      <c r="U326" s="7" t="s">
        <v>49</v>
      </c>
      <c r="V326" s="24" t="e">
        <f t="shared" ca="1" si="14"/>
        <v>#NAME?</v>
      </c>
      <c r="W326" s="7"/>
      <c r="X326" s="7"/>
      <c r="Y326" s="29" t="s">
        <v>147</v>
      </c>
      <c r="Z326" s="30"/>
      <c r="AA326" s="31">
        <v>45301</v>
      </c>
      <c r="AB326" s="32">
        <v>49075100013152</v>
      </c>
      <c r="AC326" s="30"/>
      <c r="AD326" s="30"/>
      <c r="AE326" s="30"/>
      <c r="AF326" s="30"/>
      <c r="AG326" s="30"/>
      <c r="AH326" s="30"/>
      <c r="AI326" s="30"/>
      <c r="AJ326" s="30"/>
      <c r="AK326" s="30"/>
      <c r="AL326" s="30"/>
      <c r="AM326" s="30"/>
      <c r="AN326" s="30"/>
      <c r="AO326" s="30"/>
      <c r="AP326" s="30"/>
      <c r="AQ326" s="30"/>
      <c r="AR326" s="30">
        <v>360048.14</v>
      </c>
      <c r="AS326" s="30">
        <v>362928.01</v>
      </c>
      <c r="AT326" s="30">
        <v>366231.42</v>
      </c>
      <c r="AU326" s="30">
        <v>368738.79</v>
      </c>
      <c r="AV326" s="30">
        <v>369682.5</v>
      </c>
      <c r="AW326" s="30">
        <v>372594.1</v>
      </c>
      <c r="AX326" s="30">
        <v>375367.2</v>
      </c>
      <c r="AY326" s="30">
        <v>376700.36</v>
      </c>
      <c r="AZ326" s="30">
        <v>379198.71999999997</v>
      </c>
      <c r="BA326" s="30" t="e">
        <f t="array" aca="1" ref="BA326" ca="1">_xludf.XLOOKUP(C326,'PL TOTAL D0'!A:A,'PL TOTAL D0'!C:C,"")</f>
        <v>#NAME?</v>
      </c>
    </row>
    <row r="327" spans="1:53" ht="15.75" customHeight="1">
      <c r="A327" s="23" t="s">
        <v>29</v>
      </c>
      <c r="B327" s="48" t="s">
        <v>1222</v>
      </c>
      <c r="C327" s="41" t="s">
        <v>1223</v>
      </c>
      <c r="D327" s="7" t="s">
        <v>19</v>
      </c>
      <c r="E327" s="7" t="s">
        <v>34</v>
      </c>
      <c r="F327" s="7" t="s">
        <v>262</v>
      </c>
      <c r="G327" s="7" t="e">
        <f t="shared" ca="1" si="13"/>
        <v>#NAME?</v>
      </c>
      <c r="H327" s="24" t="s">
        <v>143</v>
      </c>
      <c r="I327" s="24" t="s">
        <v>25</v>
      </c>
      <c r="J327" s="7" t="str">
        <f t="shared" si="16"/>
        <v>Não</v>
      </c>
      <c r="K327" s="25">
        <v>45187</v>
      </c>
      <c r="L327" s="25">
        <v>45440</v>
      </c>
      <c r="M327" s="7" t="s">
        <v>42</v>
      </c>
      <c r="N327" s="26">
        <v>1.2E-2</v>
      </c>
      <c r="O327" s="7" t="s">
        <v>25</v>
      </c>
      <c r="P327" s="27">
        <v>0</v>
      </c>
      <c r="Q327" s="90"/>
      <c r="R327" s="28" t="s">
        <v>1212</v>
      </c>
      <c r="S327" s="7" t="s">
        <v>145</v>
      </c>
      <c r="T327" s="7" t="s">
        <v>1224</v>
      </c>
      <c r="U327" s="7" t="s">
        <v>39</v>
      </c>
      <c r="V327" s="24" t="e">
        <f t="shared" ca="1" si="14"/>
        <v>#NAME?</v>
      </c>
      <c r="W327" s="7"/>
      <c r="X327" s="7"/>
      <c r="Y327" s="29" t="s">
        <v>147</v>
      </c>
      <c r="Z327" s="30"/>
      <c r="AA327" s="31">
        <v>45187</v>
      </c>
      <c r="AB327" s="32">
        <v>49075100011435</v>
      </c>
      <c r="AC327" s="30"/>
      <c r="AD327" s="30"/>
      <c r="AE327" s="30"/>
      <c r="AF327" s="30"/>
      <c r="AG327" s="30"/>
      <c r="AH327" s="30"/>
      <c r="AI327" s="30"/>
      <c r="AJ327" s="30"/>
      <c r="AK327" s="30"/>
      <c r="AL327" s="30"/>
      <c r="AM327" s="30"/>
      <c r="AN327" s="30">
        <v>3010.17</v>
      </c>
      <c r="AO327" s="30">
        <v>7075.21</v>
      </c>
      <c r="AP327" s="30">
        <v>11157.62</v>
      </c>
      <c r="AQ327" s="30">
        <v>11248.06</v>
      </c>
      <c r="AR327" s="30">
        <v>11345.97</v>
      </c>
      <c r="AS327" s="30">
        <v>11426.78</v>
      </c>
      <c r="AT327" s="30">
        <v>11512.46</v>
      </c>
      <c r="AU327" s="30">
        <v>11604.37</v>
      </c>
      <c r="AV327" s="30">
        <v>0</v>
      </c>
      <c r="AW327" s="30">
        <v>0</v>
      </c>
      <c r="AX327" s="30">
        <v>0</v>
      </c>
      <c r="AY327" s="30">
        <v>0</v>
      </c>
      <c r="AZ327" s="30">
        <v>0</v>
      </c>
      <c r="BA327" s="30" t="e">
        <f t="array" aca="1" ref="BA327" ca="1">_xludf.XLOOKUP(C327,'PL TOTAL D0'!A:A,'PL TOTAL D0'!C:C,"")</f>
        <v>#NAME?</v>
      </c>
    </row>
    <row r="328" spans="1:53" ht="15.75" customHeight="1">
      <c r="A328" s="23" t="s">
        <v>29</v>
      </c>
      <c r="B328" s="38" t="s">
        <v>1225</v>
      </c>
      <c r="C328" s="39" t="s">
        <v>1226</v>
      </c>
      <c r="D328" s="7" t="s">
        <v>72</v>
      </c>
      <c r="E328" s="7" t="s">
        <v>20</v>
      </c>
      <c r="F328" s="7" t="s">
        <v>337</v>
      </c>
      <c r="G328" s="7" t="e">
        <f t="shared" ca="1" si="13"/>
        <v>#NAME?</v>
      </c>
      <c r="H328" s="24" t="s">
        <v>152</v>
      </c>
      <c r="I328" s="24" t="s">
        <v>25</v>
      </c>
      <c r="J328" s="7" t="str">
        <f t="shared" si="16"/>
        <v>Não</v>
      </c>
      <c r="K328" s="25">
        <v>45418</v>
      </c>
      <c r="L328" s="7"/>
      <c r="M328" s="7" t="s">
        <v>42</v>
      </c>
      <c r="N328" s="26">
        <v>1.2E-2</v>
      </c>
      <c r="O328" s="7" t="s">
        <v>25</v>
      </c>
      <c r="P328" s="27">
        <v>0</v>
      </c>
      <c r="Q328" s="90"/>
      <c r="R328" s="28"/>
      <c r="S328" s="7" t="s">
        <v>145</v>
      </c>
      <c r="T328" s="7" t="s">
        <v>1227</v>
      </c>
      <c r="U328" s="7" t="s">
        <v>20</v>
      </c>
      <c r="V328" s="24" t="e">
        <f t="shared" ca="1" si="14"/>
        <v>#NAME?</v>
      </c>
      <c r="W328" s="7"/>
      <c r="X328" s="7" t="s">
        <v>52</v>
      </c>
      <c r="Y328" s="29" t="s">
        <v>147</v>
      </c>
      <c r="Z328" s="30"/>
      <c r="AA328" s="31">
        <v>45418</v>
      </c>
      <c r="AB328" s="32">
        <v>49075100014541</v>
      </c>
      <c r="AC328" s="30"/>
      <c r="AD328" s="30"/>
      <c r="AE328" s="30"/>
      <c r="AF328" s="30"/>
      <c r="AG328" s="30"/>
      <c r="AH328" s="30"/>
      <c r="AI328" s="30"/>
      <c r="AJ328" s="30"/>
      <c r="AK328" s="30"/>
      <c r="AL328" s="30"/>
      <c r="AM328" s="30"/>
      <c r="AN328" s="30"/>
      <c r="AO328" s="30"/>
      <c r="AP328" s="30"/>
      <c r="AQ328" s="30"/>
      <c r="AR328" s="30"/>
      <c r="AS328" s="30"/>
      <c r="AT328" s="30"/>
      <c r="AU328" s="30"/>
      <c r="AV328" s="30">
        <v>658865.30000000005</v>
      </c>
      <c r="AW328" s="30">
        <v>663758.80000000005</v>
      </c>
      <c r="AX328" s="30">
        <v>669086.1</v>
      </c>
      <c r="AY328" s="30">
        <v>673443.75</v>
      </c>
      <c r="AZ328" s="30">
        <v>676594.62</v>
      </c>
      <c r="BA328" s="30" t="e">
        <f t="array" aca="1" ref="BA328" ca="1">_xludf.XLOOKUP(C328,'PL TOTAL D0'!A:A,'PL TOTAL D0'!C:C,"")</f>
        <v>#NAME?</v>
      </c>
    </row>
    <row r="329" spans="1:53" ht="15.75" customHeight="1">
      <c r="A329" s="23" t="s">
        <v>29</v>
      </c>
      <c r="B329" s="3" t="s">
        <v>1228</v>
      </c>
      <c r="C329" s="4" t="s">
        <v>1229</v>
      </c>
      <c r="D329" s="7" t="s">
        <v>19</v>
      </c>
      <c r="E329" s="7" t="s">
        <v>20</v>
      </c>
      <c r="F329" s="7" t="s">
        <v>372</v>
      </c>
      <c r="G329" s="7" t="e">
        <f t="shared" ca="1" si="13"/>
        <v>#NAME?</v>
      </c>
      <c r="H329" s="24" t="s">
        <v>161</v>
      </c>
      <c r="I329" s="24" t="s">
        <v>162</v>
      </c>
      <c r="J329" s="7" t="str">
        <f t="shared" si="16"/>
        <v>Não</v>
      </c>
      <c r="K329" s="25">
        <v>44955</v>
      </c>
      <c r="L329" s="7"/>
      <c r="M329" s="7" t="s">
        <v>42</v>
      </c>
      <c r="N329" s="26">
        <v>0.01</v>
      </c>
      <c r="O329" s="7" t="s">
        <v>25</v>
      </c>
      <c r="P329" s="27">
        <v>0</v>
      </c>
      <c r="Q329" s="28"/>
      <c r="R329" s="90"/>
      <c r="S329" s="7" t="s">
        <v>145</v>
      </c>
      <c r="T329" s="7" t="s">
        <v>1230</v>
      </c>
      <c r="U329" s="7" t="s">
        <v>20</v>
      </c>
      <c r="V329" s="24" t="e">
        <f t="shared" ca="1" si="14"/>
        <v>#NAME?</v>
      </c>
      <c r="W329" s="7"/>
      <c r="X329" s="7"/>
      <c r="Y329" s="29" t="s">
        <v>147</v>
      </c>
      <c r="Z329" s="30"/>
      <c r="AA329" s="31">
        <v>44955</v>
      </c>
      <c r="AB329" s="32">
        <v>49075100005788</v>
      </c>
      <c r="AC329" s="30"/>
      <c r="AD329" s="30"/>
      <c r="AE329" s="30"/>
      <c r="AF329" s="30">
        <v>86000.57</v>
      </c>
      <c r="AG329" s="30">
        <v>99999.09</v>
      </c>
      <c r="AH329" s="30">
        <v>101013.83</v>
      </c>
      <c r="AI329" s="30">
        <v>101652.76</v>
      </c>
      <c r="AJ329" s="30">
        <v>102562.49</v>
      </c>
      <c r="AK329" s="30">
        <v>103228.03</v>
      </c>
      <c r="AL329" s="30">
        <v>104020.22</v>
      </c>
      <c r="AM329" s="30">
        <v>104899.6</v>
      </c>
      <c r="AN329" s="30">
        <v>105646.39999999999</v>
      </c>
      <c r="AO329" s="30">
        <v>106495.19</v>
      </c>
      <c r="AP329" s="30">
        <v>107148.96</v>
      </c>
      <c r="AQ329" s="30">
        <v>107896.84</v>
      </c>
      <c r="AR329" s="30">
        <v>106244.51</v>
      </c>
      <c r="AS329" s="30">
        <v>107072.08</v>
      </c>
      <c r="AT329" s="30">
        <v>107989.36</v>
      </c>
      <c r="AU329" s="30">
        <v>108872.81</v>
      </c>
      <c r="AV329" s="30">
        <v>109449.7</v>
      </c>
      <c r="AW329" s="30">
        <v>105689.3</v>
      </c>
      <c r="AX329" s="30">
        <v>0</v>
      </c>
      <c r="AY329" s="30">
        <v>25.08</v>
      </c>
      <c r="AZ329" s="30">
        <v>25.08</v>
      </c>
      <c r="BA329" s="30" t="e">
        <f t="array" aca="1" ref="BA329" ca="1">_xludf.XLOOKUP(C329,'PL TOTAL D0'!A:A,'PL TOTAL D0'!C:C,"")</f>
        <v>#NAME?</v>
      </c>
    </row>
    <row r="330" spans="1:53" ht="15.75" customHeight="1">
      <c r="A330" s="23" t="s">
        <v>29</v>
      </c>
      <c r="B330" s="122" t="s">
        <v>1231</v>
      </c>
      <c r="C330" s="91" t="s">
        <v>1232</v>
      </c>
      <c r="D330" s="7" t="s">
        <v>19</v>
      </c>
      <c r="E330" s="7" t="s">
        <v>49</v>
      </c>
      <c r="F330" s="7" t="s">
        <v>50</v>
      </c>
      <c r="G330" s="7" t="e">
        <f t="shared" ca="1" si="13"/>
        <v>#NAME?</v>
      </c>
      <c r="H330" s="24" t="s">
        <v>161</v>
      </c>
      <c r="I330" s="24" t="s">
        <v>162</v>
      </c>
      <c r="J330" s="7" t="str">
        <f t="shared" si="16"/>
        <v>Não</v>
      </c>
      <c r="K330" s="25">
        <v>45223</v>
      </c>
      <c r="L330" s="7"/>
      <c r="M330" s="7" t="s">
        <v>42</v>
      </c>
      <c r="N330" s="26">
        <v>1.2E-2</v>
      </c>
      <c r="O330" s="7" t="s">
        <v>25</v>
      </c>
      <c r="P330" s="27">
        <v>0</v>
      </c>
      <c r="Q330" s="104"/>
      <c r="R330" s="90" t="s">
        <v>1233</v>
      </c>
      <c r="S330" s="7" t="s">
        <v>145</v>
      </c>
      <c r="T330" s="7" t="s">
        <v>1234</v>
      </c>
      <c r="U330" s="7" t="s">
        <v>49</v>
      </c>
      <c r="V330" s="24" t="e">
        <f t="shared" ca="1" si="14"/>
        <v>#NAME?</v>
      </c>
      <c r="W330" s="7"/>
      <c r="X330" s="7"/>
      <c r="Y330" s="29" t="s">
        <v>147</v>
      </c>
      <c r="Z330" s="30"/>
      <c r="AA330" s="31">
        <v>45223</v>
      </c>
      <c r="AB330" s="32">
        <v>49075100012431</v>
      </c>
      <c r="AC330" s="30"/>
      <c r="AD330" s="30"/>
      <c r="AE330" s="30"/>
      <c r="AF330" s="30"/>
      <c r="AG330" s="30"/>
      <c r="AH330" s="30"/>
      <c r="AI330" s="30"/>
      <c r="AJ330" s="30"/>
      <c r="AK330" s="30"/>
      <c r="AL330" s="30"/>
      <c r="AM330" s="30"/>
      <c r="AN330" s="30"/>
      <c r="AO330" s="30">
        <v>0</v>
      </c>
      <c r="AP330" s="30">
        <v>0</v>
      </c>
      <c r="AQ330" s="30">
        <v>0</v>
      </c>
      <c r="AR330" s="30">
        <v>0</v>
      </c>
      <c r="AS330" s="30">
        <v>0</v>
      </c>
      <c r="AT330" s="30">
        <v>0</v>
      </c>
      <c r="AU330" s="30">
        <v>0</v>
      </c>
      <c r="AV330" s="30">
        <v>0</v>
      </c>
      <c r="AW330" s="30">
        <v>0</v>
      </c>
      <c r="AX330" s="30">
        <v>0</v>
      </c>
      <c r="AY330" s="30">
        <v>0</v>
      </c>
      <c r="AZ330" s="30">
        <v>0</v>
      </c>
      <c r="BA330" s="30" t="e">
        <f t="array" aca="1" ref="BA330" ca="1">_xludf.XLOOKUP(C330,'PL TOTAL D0'!A:A,'PL TOTAL D0'!C:C,"")</f>
        <v>#NAME?</v>
      </c>
    </row>
    <row r="331" spans="1:53" ht="15.75" customHeight="1">
      <c r="A331" s="23" t="s">
        <v>29</v>
      </c>
      <c r="B331" s="3" t="s">
        <v>1235</v>
      </c>
      <c r="C331" s="4" t="s">
        <v>1236</v>
      </c>
      <c r="D331" s="7" t="s">
        <v>194</v>
      </c>
      <c r="E331" s="7" t="s">
        <v>20</v>
      </c>
      <c r="F331" s="7" t="s">
        <v>195</v>
      </c>
      <c r="G331" s="7" t="e">
        <f t="shared" ca="1" si="13"/>
        <v>#NAME?</v>
      </c>
      <c r="H331" s="24" t="s">
        <v>152</v>
      </c>
      <c r="I331" s="24" t="s">
        <v>25</v>
      </c>
      <c r="J331" s="7" t="str">
        <f t="shared" si="16"/>
        <v>Não</v>
      </c>
      <c r="K331" s="25">
        <v>45544</v>
      </c>
      <c r="L331" s="7"/>
      <c r="M331" s="123" t="s">
        <v>42</v>
      </c>
      <c r="N331" s="124">
        <v>1.2E-2</v>
      </c>
      <c r="O331" s="125" t="s">
        <v>25</v>
      </c>
      <c r="P331" s="126">
        <v>0</v>
      </c>
      <c r="Q331" s="28"/>
      <c r="R331" s="90"/>
      <c r="S331" s="7" t="s">
        <v>145</v>
      </c>
      <c r="T331" s="7" t="s">
        <v>1237</v>
      </c>
      <c r="U331" s="7" t="s">
        <v>20</v>
      </c>
      <c r="V331" s="24" t="e">
        <f t="shared" ca="1" si="14"/>
        <v>#NAME?</v>
      </c>
      <c r="W331" s="7"/>
      <c r="X331" s="7" t="s">
        <v>52</v>
      </c>
      <c r="Y331" s="29"/>
      <c r="Z331" s="30"/>
      <c r="AA331" s="30"/>
      <c r="AB331" s="32"/>
      <c r="AC331" s="30"/>
      <c r="AD331" s="30"/>
      <c r="AE331" s="30"/>
      <c r="AF331" s="30"/>
      <c r="AG331" s="30"/>
      <c r="AH331" s="30"/>
      <c r="AI331" s="30"/>
      <c r="AJ331" s="30"/>
      <c r="AK331" s="30"/>
      <c r="AL331" s="30"/>
      <c r="AM331" s="30"/>
      <c r="AN331" s="30"/>
      <c r="AO331" s="30"/>
      <c r="AP331" s="30"/>
      <c r="AQ331" s="30"/>
      <c r="AR331" s="30"/>
      <c r="AS331" s="30"/>
      <c r="AT331" s="30"/>
      <c r="AU331" s="30"/>
      <c r="AV331" s="30"/>
      <c r="AW331" s="30"/>
      <c r="AX331" s="30"/>
      <c r="AY331" s="30"/>
      <c r="AZ331" s="30">
        <v>30202.57</v>
      </c>
      <c r="BA331" s="30" t="e">
        <f t="array" aca="1" ref="BA331" ca="1">_xludf.XLOOKUP(C331,'PL TOTAL D0'!A:A,'PL TOTAL D0'!C:C,"")</f>
        <v>#NAME?</v>
      </c>
    </row>
    <row r="332" spans="1:53" ht="15.75" customHeight="1">
      <c r="A332" s="23" t="s">
        <v>29</v>
      </c>
      <c r="B332" s="37" t="s">
        <v>1238</v>
      </c>
      <c r="C332" s="4" t="s">
        <v>1239</v>
      </c>
      <c r="D332" s="7" t="s">
        <v>19</v>
      </c>
      <c r="E332" s="7" t="s">
        <v>49</v>
      </c>
      <c r="F332" s="7" t="s">
        <v>328</v>
      </c>
      <c r="G332" s="7" t="e">
        <f t="shared" ca="1" si="13"/>
        <v>#NAME?</v>
      </c>
      <c r="H332" s="24" t="s">
        <v>152</v>
      </c>
      <c r="I332" s="24" t="s">
        <v>25</v>
      </c>
      <c r="J332" s="7" t="str">
        <f t="shared" si="16"/>
        <v>Sim</v>
      </c>
      <c r="K332" s="25">
        <v>45364</v>
      </c>
      <c r="L332" s="7"/>
      <c r="M332" s="7" t="s">
        <v>58</v>
      </c>
      <c r="N332" s="26">
        <v>1.2E-2</v>
      </c>
      <c r="O332" s="7" t="s">
        <v>37</v>
      </c>
      <c r="P332" s="27">
        <v>0.1</v>
      </c>
      <c r="Q332" s="36" t="s">
        <v>1240</v>
      </c>
      <c r="R332" s="90"/>
      <c r="S332" s="7" t="s">
        <v>145</v>
      </c>
      <c r="T332" s="6" t="s">
        <v>1241</v>
      </c>
      <c r="U332" s="7" t="s">
        <v>49</v>
      </c>
      <c r="V332" s="24" t="e">
        <f t="shared" ca="1" si="14"/>
        <v>#NAME?</v>
      </c>
      <c r="W332" s="7"/>
      <c r="X332" s="7"/>
      <c r="Y332" s="29" t="s">
        <v>147</v>
      </c>
      <c r="Z332" s="30"/>
      <c r="AA332" s="31">
        <v>45364</v>
      </c>
      <c r="AB332" s="32">
        <v>49075100013799</v>
      </c>
      <c r="AC332" s="30"/>
      <c r="AD332" s="30"/>
      <c r="AE332" s="30"/>
      <c r="AF332" s="30"/>
      <c r="AG332" s="30"/>
      <c r="AH332" s="30"/>
      <c r="AI332" s="30"/>
      <c r="AJ332" s="30"/>
      <c r="AK332" s="30"/>
      <c r="AL332" s="30"/>
      <c r="AM332" s="30"/>
      <c r="AN332" s="30"/>
      <c r="AO332" s="30"/>
      <c r="AP332" s="30"/>
      <c r="AQ332" s="30"/>
      <c r="AR332" s="30"/>
      <c r="AS332" s="30"/>
      <c r="AT332" s="30">
        <v>0</v>
      </c>
      <c r="AU332" s="30">
        <v>100000</v>
      </c>
      <c r="AV332" s="30">
        <v>101097.5</v>
      </c>
      <c r="AW332" s="30">
        <v>182553.5</v>
      </c>
      <c r="AX332" s="30">
        <v>184345.2</v>
      </c>
      <c r="AY332" s="30">
        <v>216312.19</v>
      </c>
      <c r="AZ332" s="30">
        <v>252768.61</v>
      </c>
      <c r="BA332" s="30" t="e">
        <f t="array" aca="1" ref="BA332" ca="1">_xludf.XLOOKUP(C332,'PL TOTAL D0'!A:A,'PL TOTAL D0'!C:C,"")</f>
        <v>#NAME?</v>
      </c>
    </row>
    <row r="333" spans="1:53" ht="15.75" customHeight="1">
      <c r="A333" s="23" t="s">
        <v>29</v>
      </c>
      <c r="B333" s="37" t="s">
        <v>1242</v>
      </c>
      <c r="C333" s="4" t="s">
        <v>1243</v>
      </c>
      <c r="D333" s="7" t="s">
        <v>80</v>
      </c>
      <c r="E333" s="7" t="s">
        <v>49</v>
      </c>
      <c r="F333" s="7" t="s">
        <v>81</v>
      </c>
      <c r="G333" s="7" t="e">
        <f t="shared" ca="1" si="13"/>
        <v>#NAME?</v>
      </c>
      <c r="H333" s="24" t="s">
        <v>152</v>
      </c>
      <c r="I333" s="24" t="s">
        <v>25</v>
      </c>
      <c r="J333" s="7" t="str">
        <f t="shared" si="16"/>
        <v>Não</v>
      </c>
      <c r="K333" s="25">
        <v>45446</v>
      </c>
      <c r="L333" s="7"/>
      <c r="M333" s="85" t="s">
        <v>42</v>
      </c>
      <c r="N333" s="56">
        <v>1.2E-2</v>
      </c>
      <c r="O333" s="57" t="s">
        <v>25</v>
      </c>
      <c r="P333" s="58">
        <v>0</v>
      </c>
      <c r="Q333" s="36"/>
      <c r="R333" s="90"/>
      <c r="S333" s="7" t="s">
        <v>145</v>
      </c>
      <c r="T333" s="6" t="s">
        <v>1244</v>
      </c>
      <c r="U333" s="7" t="s">
        <v>1245</v>
      </c>
      <c r="V333" s="24" t="e">
        <f t="shared" ca="1" si="14"/>
        <v>#NAME?</v>
      </c>
      <c r="W333" s="7"/>
      <c r="X333" s="7" t="s">
        <v>91</v>
      </c>
      <c r="Y333" s="29" t="s">
        <v>147</v>
      </c>
      <c r="Z333" s="30"/>
      <c r="AA333" s="31">
        <v>45446</v>
      </c>
      <c r="AB333" s="32">
        <v>49075100014981</v>
      </c>
      <c r="AC333" s="30"/>
      <c r="AD333" s="30"/>
      <c r="AE333" s="30"/>
      <c r="AF333" s="30"/>
      <c r="AG333" s="30"/>
      <c r="AH333" s="30"/>
      <c r="AI333" s="30"/>
      <c r="AJ333" s="30"/>
      <c r="AK333" s="30"/>
      <c r="AL333" s="30"/>
      <c r="AM333" s="30"/>
      <c r="AN333" s="30"/>
      <c r="AO333" s="30"/>
      <c r="AP333" s="30"/>
      <c r="AQ333" s="30"/>
      <c r="AR333" s="30"/>
      <c r="AS333" s="30"/>
      <c r="AT333" s="30"/>
      <c r="AU333" s="30"/>
      <c r="AV333" s="30"/>
      <c r="AW333" s="30">
        <v>564152.69999999995</v>
      </c>
      <c r="AX333" s="30">
        <v>565018.9</v>
      </c>
      <c r="AY333" s="30">
        <v>589010.72</v>
      </c>
      <c r="AZ333" s="30">
        <v>620273.87</v>
      </c>
      <c r="BA333" s="30" t="e">
        <f t="array" aca="1" ref="BA333" ca="1">_xludf.XLOOKUP(C333,'PL TOTAL D0'!A:A,'PL TOTAL D0'!C:C,"")</f>
        <v>#NAME?</v>
      </c>
    </row>
    <row r="334" spans="1:53" ht="15.75" customHeight="1">
      <c r="A334" s="23" t="s">
        <v>29</v>
      </c>
      <c r="B334" s="3" t="s">
        <v>1246</v>
      </c>
      <c r="C334" s="4" t="s">
        <v>1247</v>
      </c>
      <c r="D334" s="7" t="s">
        <v>19</v>
      </c>
      <c r="E334" s="7" t="s">
        <v>49</v>
      </c>
      <c r="F334" s="7" t="s">
        <v>166</v>
      </c>
      <c r="G334" s="7" t="e">
        <f t="shared" ca="1" si="13"/>
        <v>#NAME?</v>
      </c>
      <c r="H334" s="24" t="s">
        <v>161</v>
      </c>
      <c r="I334" s="24" t="s">
        <v>222</v>
      </c>
      <c r="J334" s="7" t="str">
        <f t="shared" si="16"/>
        <v>Não</v>
      </c>
      <c r="K334" s="25">
        <v>45309</v>
      </c>
      <c r="L334" s="7"/>
      <c r="M334" s="9" t="s">
        <v>42</v>
      </c>
      <c r="N334" s="10">
        <v>1.2E-2</v>
      </c>
      <c r="O334" s="6" t="s">
        <v>25</v>
      </c>
      <c r="P334" s="11">
        <v>0</v>
      </c>
      <c r="Q334" s="104"/>
      <c r="R334" s="90"/>
      <c r="S334" s="7" t="s">
        <v>187</v>
      </c>
      <c r="T334" s="7" t="s">
        <v>1248</v>
      </c>
      <c r="U334" s="7" t="s">
        <v>49</v>
      </c>
      <c r="V334" s="24" t="e">
        <f t="shared" ca="1" si="14"/>
        <v>#NAME?</v>
      </c>
      <c r="W334" s="7"/>
      <c r="X334" s="7"/>
      <c r="Y334" s="29" t="s">
        <v>147</v>
      </c>
      <c r="Z334" s="30"/>
      <c r="AA334" s="31">
        <v>45309</v>
      </c>
      <c r="AB334" s="32">
        <v>49075100013160</v>
      </c>
      <c r="AC334" s="30"/>
      <c r="AD334" s="30"/>
      <c r="AE334" s="30"/>
      <c r="AF334" s="30"/>
      <c r="AG334" s="30"/>
      <c r="AH334" s="30"/>
      <c r="AI334" s="30"/>
      <c r="AJ334" s="30"/>
      <c r="AK334" s="30"/>
      <c r="AL334" s="30"/>
      <c r="AM334" s="30"/>
      <c r="AN334" s="30"/>
      <c r="AO334" s="30"/>
      <c r="AP334" s="30"/>
      <c r="AQ334" s="30"/>
      <c r="AR334" s="30">
        <v>0</v>
      </c>
      <c r="AS334" s="30">
        <v>0</v>
      </c>
      <c r="AT334" s="30">
        <v>0</v>
      </c>
      <c r="AU334" s="30">
        <v>0</v>
      </c>
      <c r="AV334" s="30">
        <v>0</v>
      </c>
      <c r="AW334" s="30">
        <v>0</v>
      </c>
      <c r="AX334" s="30">
        <v>0</v>
      </c>
      <c r="AY334" s="30">
        <v>0</v>
      </c>
      <c r="AZ334" s="30">
        <v>0</v>
      </c>
      <c r="BA334" s="30" t="e">
        <f t="array" aca="1" ref="BA334" ca="1">_xludf.XLOOKUP(C334,'PL TOTAL D0'!A:A,'PL TOTAL D0'!C:C,"")</f>
        <v>#NAME?</v>
      </c>
    </row>
    <row r="335" spans="1:53" ht="15.75" customHeight="1">
      <c r="A335" s="23" t="s">
        <v>29</v>
      </c>
      <c r="B335" s="3" t="s">
        <v>1249</v>
      </c>
      <c r="C335" s="4" t="s">
        <v>1250</v>
      </c>
      <c r="D335" s="7" t="s">
        <v>19</v>
      </c>
      <c r="E335" s="7" t="s">
        <v>49</v>
      </c>
      <c r="F335" s="7" t="s">
        <v>50</v>
      </c>
      <c r="G335" s="7" t="e">
        <f t="shared" ca="1" si="13"/>
        <v>#NAME?</v>
      </c>
      <c r="H335" s="24" t="s">
        <v>152</v>
      </c>
      <c r="I335" s="24" t="s">
        <v>25</v>
      </c>
      <c r="J335" s="7" t="str">
        <f t="shared" si="16"/>
        <v>Não</v>
      </c>
      <c r="K335" s="25">
        <v>44944</v>
      </c>
      <c r="L335" s="7"/>
      <c r="M335" s="7" t="s">
        <v>36</v>
      </c>
      <c r="N335" s="26">
        <v>1.2E-2</v>
      </c>
      <c r="O335" s="7" t="s">
        <v>37</v>
      </c>
      <c r="P335" s="27">
        <v>0.1</v>
      </c>
      <c r="Q335" s="104"/>
      <c r="R335" s="28" t="s">
        <v>1251</v>
      </c>
      <c r="S335" s="7" t="s">
        <v>145</v>
      </c>
      <c r="T335" s="7" t="s">
        <v>1252</v>
      </c>
      <c r="U335" s="7" t="s">
        <v>49</v>
      </c>
      <c r="V335" s="24" t="e">
        <f t="shared" ca="1" si="14"/>
        <v>#NAME?</v>
      </c>
      <c r="W335" s="7"/>
      <c r="X335" s="7"/>
      <c r="Y335" s="29" t="s">
        <v>253</v>
      </c>
      <c r="Z335" s="30"/>
      <c r="AA335" s="31">
        <v>44944</v>
      </c>
      <c r="AB335" s="32">
        <v>49075100005796</v>
      </c>
      <c r="AC335" s="30"/>
      <c r="AD335" s="30"/>
      <c r="AE335" s="30"/>
      <c r="AF335" s="30">
        <v>5379.4</v>
      </c>
      <c r="AG335" s="30">
        <v>5432.22</v>
      </c>
      <c r="AH335" s="30">
        <v>44329.56</v>
      </c>
      <c r="AI335" s="30">
        <v>87717.56</v>
      </c>
      <c r="AJ335" s="30">
        <v>107326.56</v>
      </c>
      <c r="AK335" s="30">
        <v>108290.97</v>
      </c>
      <c r="AL335" s="30">
        <v>138763.10999999999</v>
      </c>
      <c r="AM335" s="30">
        <v>139892.01</v>
      </c>
      <c r="AN335" s="30">
        <v>142567.1</v>
      </c>
      <c r="AO335" s="30">
        <v>146745.03</v>
      </c>
      <c r="AP335" s="30">
        <v>147811.24</v>
      </c>
      <c r="AQ335" s="30">
        <v>148976.10999999999</v>
      </c>
      <c r="AR335" s="30">
        <v>152388.93</v>
      </c>
      <c r="AS335" s="30">
        <v>156551.96</v>
      </c>
      <c r="AT335" s="30">
        <v>160286.49</v>
      </c>
      <c r="AU335" s="30">
        <v>164453.17000000001</v>
      </c>
      <c r="AV335" s="30">
        <v>166956.4</v>
      </c>
      <c r="AW335" s="30">
        <v>170351.6</v>
      </c>
      <c r="AX335" s="30">
        <v>173931.2</v>
      </c>
      <c r="AY335" s="30">
        <v>176973.94</v>
      </c>
      <c r="AZ335" s="30">
        <v>179022.1</v>
      </c>
      <c r="BA335" s="30" t="e">
        <f t="array" aca="1" ref="BA335" ca="1">_xludf.XLOOKUP(C335,'PL TOTAL D0'!A:A,'PL TOTAL D0'!C:C,"")</f>
        <v>#NAME?</v>
      </c>
    </row>
    <row r="336" spans="1:53" ht="15.75" customHeight="1">
      <c r="A336" s="23" t="s">
        <v>29</v>
      </c>
      <c r="B336" s="3" t="s">
        <v>1253</v>
      </c>
      <c r="C336" s="4" t="s">
        <v>1254</v>
      </c>
      <c r="D336" s="7" t="s">
        <v>19</v>
      </c>
      <c r="E336" s="7" t="s">
        <v>49</v>
      </c>
      <c r="F336" s="7" t="s">
        <v>277</v>
      </c>
      <c r="G336" s="7" t="e">
        <f t="shared" ca="1" si="13"/>
        <v>#NAME?</v>
      </c>
      <c r="H336" s="24" t="s">
        <v>161</v>
      </c>
      <c r="I336" s="24" t="s">
        <v>162</v>
      </c>
      <c r="J336" s="7" t="str">
        <f t="shared" si="16"/>
        <v>Não</v>
      </c>
      <c r="K336" s="25">
        <v>45056</v>
      </c>
      <c r="L336" s="7"/>
      <c r="M336" s="7" t="s">
        <v>42</v>
      </c>
      <c r="N336" s="26">
        <v>1.2E-2</v>
      </c>
      <c r="O336" s="7" t="s">
        <v>25</v>
      </c>
      <c r="P336" s="27">
        <v>0</v>
      </c>
      <c r="Q336" s="90"/>
      <c r="R336" s="90"/>
      <c r="S336" s="7" t="s">
        <v>145</v>
      </c>
      <c r="T336" s="7" t="s">
        <v>1255</v>
      </c>
      <c r="U336" s="7" t="s">
        <v>49</v>
      </c>
      <c r="V336" s="24" t="e">
        <f t="shared" ca="1" si="14"/>
        <v>#NAME?</v>
      </c>
      <c r="W336" s="7"/>
      <c r="X336" s="7"/>
      <c r="Y336" s="29" t="s">
        <v>147</v>
      </c>
      <c r="Z336" s="30"/>
      <c r="AA336" s="31">
        <v>45056</v>
      </c>
      <c r="AB336" s="32">
        <v>49075100012441</v>
      </c>
      <c r="AC336" s="30"/>
      <c r="AD336" s="30"/>
      <c r="AE336" s="30"/>
      <c r="AF336" s="30"/>
      <c r="AG336" s="30"/>
      <c r="AH336" s="30"/>
      <c r="AI336" s="30">
        <v>445004.58</v>
      </c>
      <c r="AJ336" s="30">
        <v>450031.58</v>
      </c>
      <c r="AK336" s="30">
        <v>454481.44</v>
      </c>
      <c r="AL336" s="30">
        <v>458776.15</v>
      </c>
      <c r="AM336" s="30">
        <v>462672.2</v>
      </c>
      <c r="AN336" s="30">
        <v>466634.96</v>
      </c>
      <c r="AO336" s="30">
        <v>470661.51</v>
      </c>
      <c r="AP336" s="30">
        <v>474201.15</v>
      </c>
      <c r="AQ336" s="30">
        <v>477990.33</v>
      </c>
      <c r="AR336" s="30">
        <v>482406.36</v>
      </c>
      <c r="AS336" s="30">
        <v>197.68</v>
      </c>
      <c r="AT336" s="30">
        <v>146.74</v>
      </c>
      <c r="AU336" s="30">
        <v>147.63</v>
      </c>
      <c r="AV336" s="30">
        <v>147.69999999999999</v>
      </c>
      <c r="AW336" s="30">
        <v>148.61000000000001</v>
      </c>
      <c r="AX336" s="30">
        <v>149.55000000000001</v>
      </c>
      <c r="AY336" s="30">
        <v>150.47</v>
      </c>
      <c r="AZ336" s="30">
        <v>151.35</v>
      </c>
      <c r="BA336" s="30" t="e">
        <f t="array" aca="1" ref="BA336" ca="1">_xludf.XLOOKUP(C336,'PL TOTAL D0'!A:A,'PL TOTAL D0'!C:C,"")</f>
        <v>#NAME?</v>
      </c>
    </row>
    <row r="337" spans="1:53" ht="15.75" customHeight="1">
      <c r="A337" s="23" t="s">
        <v>29</v>
      </c>
      <c r="B337" s="40" t="s">
        <v>1256</v>
      </c>
      <c r="C337" s="41" t="s">
        <v>1257</v>
      </c>
      <c r="D337" s="7" t="s">
        <v>19</v>
      </c>
      <c r="E337" s="7" t="s">
        <v>49</v>
      </c>
      <c r="F337" s="7" t="s">
        <v>166</v>
      </c>
      <c r="G337" s="7" t="e">
        <f t="shared" ca="1" si="13"/>
        <v>#NAME?</v>
      </c>
      <c r="H337" s="24" t="s">
        <v>152</v>
      </c>
      <c r="I337" s="24" t="s">
        <v>25</v>
      </c>
      <c r="J337" s="7" t="str">
        <f t="shared" si="16"/>
        <v>Não</v>
      </c>
      <c r="K337" s="25">
        <v>45183</v>
      </c>
      <c r="L337" s="7"/>
      <c r="M337" s="7" t="s">
        <v>42</v>
      </c>
      <c r="N337" s="26">
        <v>1.2E-2</v>
      </c>
      <c r="O337" s="7" t="s">
        <v>25</v>
      </c>
      <c r="P337" s="27">
        <v>0</v>
      </c>
      <c r="Q337" s="28"/>
      <c r="R337" s="28" t="s">
        <v>1258</v>
      </c>
      <c r="S337" s="7" t="s">
        <v>145</v>
      </c>
      <c r="T337" s="7" t="s">
        <v>1259</v>
      </c>
      <c r="U337" s="7" t="s">
        <v>20</v>
      </c>
      <c r="V337" s="24" t="e">
        <f t="shared" ca="1" si="14"/>
        <v>#NAME?</v>
      </c>
      <c r="W337" s="7"/>
      <c r="X337" s="7" t="s">
        <v>91</v>
      </c>
      <c r="Y337" s="29" t="s">
        <v>147</v>
      </c>
      <c r="Z337" s="30"/>
      <c r="AA337" s="31">
        <v>45183</v>
      </c>
      <c r="AB337" s="32">
        <v>49075100011443</v>
      </c>
      <c r="AC337" s="30"/>
      <c r="AD337" s="30"/>
      <c r="AE337" s="30"/>
      <c r="AF337" s="30"/>
      <c r="AG337" s="30"/>
      <c r="AH337" s="30"/>
      <c r="AI337" s="30"/>
      <c r="AJ337" s="30"/>
      <c r="AK337" s="30"/>
      <c r="AL337" s="30"/>
      <c r="AM337" s="30"/>
      <c r="AN337" s="30">
        <v>92871.91</v>
      </c>
      <c r="AO337" s="30">
        <v>128014.39999999999</v>
      </c>
      <c r="AP337" s="30">
        <v>156010.57999999999</v>
      </c>
      <c r="AQ337" s="30">
        <v>188898.43</v>
      </c>
      <c r="AR337" s="30">
        <v>226640.08</v>
      </c>
      <c r="AS337" s="30">
        <v>261942.39</v>
      </c>
      <c r="AT337" s="30">
        <v>264749.49</v>
      </c>
      <c r="AU337" s="30">
        <v>262927.17</v>
      </c>
      <c r="AV337" s="30">
        <v>286396.5</v>
      </c>
      <c r="AW337" s="30">
        <v>288107.59999999998</v>
      </c>
      <c r="AX337" s="30">
        <v>292099.8</v>
      </c>
      <c r="AY337" s="30">
        <v>350411.34</v>
      </c>
      <c r="AZ337" s="30">
        <v>400079.6</v>
      </c>
      <c r="BA337" s="30" t="e">
        <f t="array" aca="1" ref="BA337" ca="1">_xludf.XLOOKUP(C337,'PL TOTAL D0'!A:A,'PL TOTAL D0'!C:C,"")</f>
        <v>#NAME?</v>
      </c>
    </row>
    <row r="338" spans="1:53" ht="15.75" customHeight="1">
      <c r="A338" s="23" t="s">
        <v>29</v>
      </c>
      <c r="B338" s="23" t="s">
        <v>1260</v>
      </c>
      <c r="C338" s="44" t="s">
        <v>1261</v>
      </c>
      <c r="D338" s="7" t="s">
        <v>64</v>
      </c>
      <c r="E338" s="7" t="s">
        <v>20</v>
      </c>
      <c r="F338" s="7" t="s">
        <v>142</v>
      </c>
      <c r="G338" s="7" t="e">
        <f t="shared" ca="1" si="13"/>
        <v>#NAME?</v>
      </c>
      <c r="H338" s="24" t="s">
        <v>161</v>
      </c>
      <c r="I338" s="24" t="s">
        <v>205</v>
      </c>
      <c r="J338" s="7" t="str">
        <f t="shared" si="16"/>
        <v>Não</v>
      </c>
      <c r="K338" s="25">
        <v>45370</v>
      </c>
      <c r="L338" s="7"/>
      <c r="M338" s="7" t="s">
        <v>31</v>
      </c>
      <c r="N338" s="26">
        <v>0</v>
      </c>
      <c r="O338" s="7" t="s">
        <v>25</v>
      </c>
      <c r="P338" s="27">
        <v>0</v>
      </c>
      <c r="Q338" s="90"/>
      <c r="R338" s="90"/>
      <c r="S338" s="7" t="s">
        <v>145</v>
      </c>
      <c r="T338" s="12" t="s">
        <v>1262</v>
      </c>
      <c r="U338" s="7" t="s">
        <v>20</v>
      </c>
      <c r="V338" s="24" t="e">
        <f t="shared" ca="1" si="14"/>
        <v>#NAME?</v>
      </c>
      <c r="W338" s="7"/>
      <c r="X338" s="7"/>
      <c r="Y338" s="29" t="s">
        <v>147</v>
      </c>
      <c r="Z338" s="30"/>
      <c r="AA338" s="31">
        <v>45370</v>
      </c>
      <c r="AB338" s="32">
        <v>49075100013802</v>
      </c>
      <c r="AC338" s="30"/>
      <c r="AD338" s="30"/>
      <c r="AE338" s="30"/>
      <c r="AF338" s="30"/>
      <c r="AG338" s="30"/>
      <c r="AH338" s="30"/>
      <c r="AI338" s="30"/>
      <c r="AJ338" s="30"/>
      <c r="AK338" s="30"/>
      <c r="AL338" s="30"/>
      <c r="AM338" s="30"/>
      <c r="AN338" s="30"/>
      <c r="AO338" s="30"/>
      <c r="AP338" s="30"/>
      <c r="AQ338" s="30"/>
      <c r="AR338" s="30"/>
      <c r="AS338" s="30"/>
      <c r="AT338" s="30">
        <v>0</v>
      </c>
      <c r="AU338" s="30">
        <v>0</v>
      </c>
      <c r="AV338" s="30">
        <v>0</v>
      </c>
      <c r="AW338" s="30">
        <v>1.1000000000000001</v>
      </c>
      <c r="AX338" s="30">
        <v>1.1000000000000001</v>
      </c>
      <c r="AY338" s="30">
        <v>1.1000000000000001</v>
      </c>
      <c r="AZ338" s="30">
        <v>1.1000000000000001</v>
      </c>
      <c r="BA338" s="30" t="e">
        <f t="array" aca="1" ref="BA338" ca="1">_xludf.XLOOKUP(C338,'PL TOTAL D0'!A:A,'PL TOTAL D0'!C:C,"")</f>
        <v>#NAME?</v>
      </c>
    </row>
    <row r="339" spans="1:53" ht="15.75" customHeight="1">
      <c r="A339" s="23" t="s">
        <v>29</v>
      </c>
      <c r="B339" s="3" t="s">
        <v>1263</v>
      </c>
      <c r="C339" s="4" t="s">
        <v>1264</v>
      </c>
      <c r="D339" s="7" t="s">
        <v>64</v>
      </c>
      <c r="E339" s="7" t="s">
        <v>20</v>
      </c>
      <c r="F339" s="7" t="s">
        <v>204</v>
      </c>
      <c r="G339" s="7" t="e">
        <f t="shared" ca="1" si="13"/>
        <v>#NAME?</v>
      </c>
      <c r="H339" s="24" t="s">
        <v>161</v>
      </c>
      <c r="I339" s="24" t="s">
        <v>205</v>
      </c>
      <c r="J339" s="7" t="str">
        <f t="shared" si="16"/>
        <v>Sim</v>
      </c>
      <c r="K339" s="25">
        <v>45279</v>
      </c>
      <c r="L339" s="7"/>
      <c r="M339" s="7" t="s">
        <v>31</v>
      </c>
      <c r="N339" s="26">
        <v>3.0000000000000001E-3</v>
      </c>
      <c r="O339" s="7" t="s">
        <v>25</v>
      </c>
      <c r="P339" s="27">
        <v>0</v>
      </c>
      <c r="Q339" s="36" t="s">
        <v>1186</v>
      </c>
      <c r="R339" s="90"/>
      <c r="S339" s="7" t="s">
        <v>145</v>
      </c>
      <c r="T339" s="7" t="s">
        <v>1265</v>
      </c>
      <c r="U339" s="7" t="s">
        <v>46</v>
      </c>
      <c r="V339" s="24" t="e">
        <f t="shared" ca="1" si="14"/>
        <v>#NAME?</v>
      </c>
      <c r="W339" s="7"/>
      <c r="X339" s="7"/>
      <c r="Y339" s="29" t="s">
        <v>147</v>
      </c>
      <c r="Z339" s="30"/>
      <c r="AA339" s="31">
        <v>45279</v>
      </c>
      <c r="AB339" s="32">
        <v>49075100013357</v>
      </c>
      <c r="AC339" s="30"/>
      <c r="AD339" s="30"/>
      <c r="AE339" s="30"/>
      <c r="AF339" s="30"/>
      <c r="AG339" s="30"/>
      <c r="AH339" s="30"/>
      <c r="AI339" s="30"/>
      <c r="AJ339" s="30"/>
      <c r="AK339" s="30"/>
      <c r="AL339" s="30"/>
      <c r="AM339" s="30"/>
      <c r="AN339" s="30"/>
      <c r="AO339" s="30"/>
      <c r="AP339" s="30"/>
      <c r="AQ339" s="30">
        <v>0</v>
      </c>
      <c r="AR339" s="30">
        <v>0</v>
      </c>
      <c r="AS339" s="30">
        <v>223.64</v>
      </c>
      <c r="AT339" s="30">
        <v>225.51</v>
      </c>
      <c r="AU339" s="30">
        <v>227.49</v>
      </c>
      <c r="AV339" s="30">
        <v>228.36</v>
      </c>
      <c r="AW339" s="30">
        <v>230.45</v>
      </c>
      <c r="AX339" s="30">
        <v>220073.4</v>
      </c>
      <c r="AY339" s="30">
        <v>118250</v>
      </c>
      <c r="AZ339" s="30">
        <v>118250</v>
      </c>
      <c r="BA339" s="30" t="e">
        <f t="array" aca="1" ref="BA339" ca="1">_xludf.XLOOKUP(C339,'PL TOTAL D0'!A:A,'PL TOTAL D0'!C:C,"")</f>
        <v>#NAME?</v>
      </c>
    </row>
    <row r="340" spans="1:53" ht="15.75" customHeight="1">
      <c r="A340" s="23" t="s">
        <v>29</v>
      </c>
      <c r="B340" s="36" t="s">
        <v>1266</v>
      </c>
      <c r="C340" s="44" t="s">
        <v>1267</v>
      </c>
      <c r="D340" s="7" t="s">
        <v>19</v>
      </c>
      <c r="E340" s="7" t="s">
        <v>34</v>
      </c>
      <c r="F340" s="7" t="s">
        <v>616</v>
      </c>
      <c r="G340" s="7" t="e">
        <f t="shared" ca="1" si="13"/>
        <v>#NAME?</v>
      </c>
      <c r="H340" s="24" t="s">
        <v>143</v>
      </c>
      <c r="I340" s="24" t="s">
        <v>25</v>
      </c>
      <c r="J340" s="7" t="str">
        <f t="shared" si="16"/>
        <v>Não</v>
      </c>
      <c r="K340" s="25">
        <v>45236</v>
      </c>
      <c r="L340" s="25">
        <v>45393</v>
      </c>
      <c r="M340" s="7" t="s">
        <v>172</v>
      </c>
      <c r="N340" s="26">
        <v>0</v>
      </c>
      <c r="O340" s="7" t="s">
        <v>25</v>
      </c>
      <c r="P340" s="27">
        <v>0</v>
      </c>
      <c r="Q340" s="28"/>
      <c r="R340" s="28" t="s">
        <v>1268</v>
      </c>
      <c r="S340" s="7" t="s">
        <v>145</v>
      </c>
      <c r="T340" s="7" t="s">
        <v>1269</v>
      </c>
      <c r="U340" s="7" t="s">
        <v>39</v>
      </c>
      <c r="V340" s="24" t="e">
        <f t="shared" ca="1" si="14"/>
        <v>#NAME?</v>
      </c>
      <c r="W340" s="7"/>
      <c r="X340" s="7"/>
      <c r="Y340" s="29" t="s">
        <v>147</v>
      </c>
      <c r="Z340" s="30"/>
      <c r="AA340" s="31">
        <v>45236</v>
      </c>
      <c r="AB340" s="32"/>
      <c r="AC340" s="30"/>
      <c r="AD340" s="30"/>
      <c r="AE340" s="30"/>
      <c r="AF340" s="30"/>
      <c r="AG340" s="30"/>
      <c r="AH340" s="30"/>
      <c r="AI340" s="30"/>
      <c r="AJ340" s="30"/>
      <c r="AK340" s="30"/>
      <c r="AL340" s="30"/>
      <c r="AM340" s="30"/>
      <c r="AN340" s="30"/>
      <c r="AO340" s="30"/>
      <c r="AP340" s="30">
        <v>1074083.05</v>
      </c>
      <c r="AQ340" s="30">
        <v>1082442.27</v>
      </c>
      <c r="AR340" s="30">
        <v>1032148.19</v>
      </c>
      <c r="AS340" s="30">
        <v>908055.54</v>
      </c>
      <c r="AT340" s="30">
        <v>862950.86</v>
      </c>
      <c r="AU340" s="30">
        <v>0</v>
      </c>
      <c r="AV340" s="30">
        <v>0</v>
      </c>
      <c r="AW340" s="30">
        <v>0</v>
      </c>
      <c r="AX340" s="30">
        <v>0</v>
      </c>
      <c r="AY340" s="30">
        <v>0</v>
      </c>
      <c r="AZ340" s="30">
        <v>0</v>
      </c>
      <c r="BA340" s="30" t="e">
        <f t="array" aca="1" ref="BA340" ca="1">_xludf.XLOOKUP(C340,'PL TOTAL D0'!A:A,'PL TOTAL D0'!C:C,"")</f>
        <v>#NAME?</v>
      </c>
    </row>
    <row r="341" spans="1:53" ht="15.75" customHeight="1">
      <c r="A341" s="23" t="s">
        <v>29</v>
      </c>
      <c r="B341" s="36" t="s">
        <v>1270</v>
      </c>
      <c r="C341" s="72" t="s">
        <v>1271</v>
      </c>
      <c r="D341" s="7" t="s">
        <v>64</v>
      </c>
      <c r="E341" s="7" t="s">
        <v>20</v>
      </c>
      <c r="F341" s="7" t="s">
        <v>489</v>
      </c>
      <c r="G341" s="7" t="e">
        <f t="shared" ca="1" si="13"/>
        <v>#NAME?</v>
      </c>
      <c r="H341" s="24" t="s">
        <v>143</v>
      </c>
      <c r="I341" s="24" t="s">
        <v>25</v>
      </c>
      <c r="J341" s="7" t="s">
        <v>181</v>
      </c>
      <c r="K341" s="25">
        <v>45120</v>
      </c>
      <c r="L341" s="25">
        <v>45513</v>
      </c>
      <c r="M341" s="7" t="s">
        <v>284</v>
      </c>
      <c r="N341" s="51">
        <v>0.01</v>
      </c>
      <c r="O341" s="52" t="s">
        <v>37</v>
      </c>
      <c r="P341" s="53">
        <v>0.1</v>
      </c>
      <c r="Q341" s="28"/>
      <c r="R341" s="28" t="s">
        <v>702</v>
      </c>
      <c r="S341" s="7" t="s">
        <v>145</v>
      </c>
      <c r="T341" s="7" t="s">
        <v>1272</v>
      </c>
      <c r="U341" s="7" t="s">
        <v>20</v>
      </c>
      <c r="V341" s="24" t="e">
        <f t="shared" ca="1" si="14"/>
        <v>#NAME?</v>
      </c>
      <c r="W341" s="7"/>
      <c r="X341" s="7"/>
      <c r="Y341" s="29" t="s">
        <v>147</v>
      </c>
      <c r="Z341" s="30"/>
      <c r="AA341" s="31">
        <v>45120</v>
      </c>
      <c r="AB341" s="32">
        <v>49075100009244</v>
      </c>
      <c r="AC341" s="30"/>
      <c r="AD341" s="30"/>
      <c r="AE341" s="30"/>
      <c r="AF341" s="30"/>
      <c r="AG341" s="30"/>
      <c r="AH341" s="30"/>
      <c r="AI341" s="30"/>
      <c r="AJ341" s="30"/>
      <c r="AK341" s="30"/>
      <c r="AL341" s="30"/>
      <c r="AM341" s="30"/>
      <c r="AN341" s="30"/>
      <c r="AO341" s="30"/>
      <c r="AP341" s="30"/>
      <c r="AQ341" s="30"/>
      <c r="AR341" s="30">
        <v>2954688.83</v>
      </c>
      <c r="AS341" s="30">
        <v>2988057.52</v>
      </c>
      <c r="AT341" s="30">
        <v>3023601.99</v>
      </c>
      <c r="AU341" s="30">
        <v>3016751.72</v>
      </c>
      <c r="AV341" s="30">
        <v>3331607</v>
      </c>
      <c r="AW341" s="30">
        <v>3363386</v>
      </c>
      <c r="AX341" s="30">
        <v>0</v>
      </c>
      <c r="AY341" s="30">
        <v>0</v>
      </c>
      <c r="AZ341" s="30">
        <v>0</v>
      </c>
      <c r="BA341" s="30" t="e">
        <f t="array" aca="1" ref="BA341" ca="1">_xludf.XLOOKUP(C341,'PL TOTAL D0'!A:A,'PL TOTAL D0'!C:C,"")</f>
        <v>#NAME?</v>
      </c>
    </row>
    <row r="342" spans="1:53" ht="15.75" customHeight="1">
      <c r="A342" s="23" t="s">
        <v>29</v>
      </c>
      <c r="B342" s="38" t="s">
        <v>1273</v>
      </c>
      <c r="C342" s="39" t="s">
        <v>1274</v>
      </c>
      <c r="D342" s="7" t="s">
        <v>19</v>
      </c>
      <c r="E342" s="7" t="s">
        <v>20</v>
      </c>
      <c r="F342" s="7" t="s">
        <v>199</v>
      </c>
      <c r="G342" s="7" t="e">
        <f t="shared" ca="1" si="13"/>
        <v>#NAME?</v>
      </c>
      <c r="H342" s="24" t="s">
        <v>152</v>
      </c>
      <c r="I342" s="24" t="s">
        <v>25</v>
      </c>
      <c r="J342" s="7" t="str">
        <f t="shared" ref="J342:J348" si="17">IF(Q342=0,"Não","Sim")</f>
        <v>Não</v>
      </c>
      <c r="K342" s="25">
        <v>45439</v>
      </c>
      <c r="L342" s="25"/>
      <c r="M342" s="127" t="s">
        <v>42</v>
      </c>
      <c r="N342" s="128">
        <v>1.2E-2</v>
      </c>
      <c r="O342" s="129" t="s">
        <v>25</v>
      </c>
      <c r="P342" s="130">
        <v>0</v>
      </c>
      <c r="Q342" s="28"/>
      <c r="R342" s="28"/>
      <c r="S342" s="7" t="s">
        <v>145</v>
      </c>
      <c r="T342" s="7" t="s">
        <v>1275</v>
      </c>
      <c r="U342" s="7" t="s">
        <v>20</v>
      </c>
      <c r="V342" s="24" t="e">
        <f t="shared" ca="1" si="14"/>
        <v>#NAME?</v>
      </c>
      <c r="W342" s="7"/>
      <c r="X342" s="7" t="s">
        <v>52</v>
      </c>
      <c r="Y342" s="29" t="s">
        <v>147</v>
      </c>
      <c r="Z342" s="30"/>
      <c r="AA342" s="31">
        <v>45439</v>
      </c>
      <c r="AB342" s="32">
        <v>49075100014558</v>
      </c>
      <c r="AC342" s="30"/>
      <c r="AD342" s="30"/>
      <c r="AE342" s="30"/>
      <c r="AF342" s="30"/>
      <c r="AG342" s="30"/>
      <c r="AH342" s="30"/>
      <c r="AI342" s="30"/>
      <c r="AJ342" s="30"/>
      <c r="AK342" s="30"/>
      <c r="AL342" s="30"/>
      <c r="AM342" s="30"/>
      <c r="AN342" s="30"/>
      <c r="AO342" s="30"/>
      <c r="AP342" s="30"/>
      <c r="AQ342" s="30"/>
      <c r="AR342" s="30"/>
      <c r="AS342" s="30"/>
      <c r="AT342" s="30"/>
      <c r="AU342" s="30"/>
      <c r="AV342" s="30">
        <v>200017.5</v>
      </c>
      <c r="AW342" s="30">
        <v>504224.4</v>
      </c>
      <c r="AX342" s="30">
        <v>508658.2</v>
      </c>
      <c r="AY342" s="30">
        <v>512943.72</v>
      </c>
      <c r="AZ342" s="30">
        <v>516240.44</v>
      </c>
      <c r="BA342" s="30" t="e">
        <f t="array" aca="1" ref="BA342" ca="1">_xludf.XLOOKUP(C342,'PL TOTAL D0'!A:A,'PL TOTAL D0'!C:C,"")</f>
        <v>#NAME?</v>
      </c>
    </row>
    <row r="343" spans="1:53" ht="15.75" customHeight="1">
      <c r="A343" s="23" t="s">
        <v>29</v>
      </c>
      <c r="B343" s="3" t="s">
        <v>661</v>
      </c>
      <c r="C343" s="4" t="s">
        <v>1276</v>
      </c>
      <c r="D343" s="7" t="s">
        <v>19</v>
      </c>
      <c r="E343" s="7" t="s">
        <v>60</v>
      </c>
      <c r="F343" s="7" t="s">
        <v>661</v>
      </c>
      <c r="G343" s="7" t="e">
        <f t="shared" ca="1" si="13"/>
        <v>#NAME?</v>
      </c>
      <c r="H343" s="24" t="s">
        <v>161</v>
      </c>
      <c r="I343" s="24" t="s">
        <v>162</v>
      </c>
      <c r="J343" s="7" t="str">
        <f t="shared" si="17"/>
        <v>Não</v>
      </c>
      <c r="K343" s="25">
        <v>45056</v>
      </c>
      <c r="L343" s="25"/>
      <c r="M343" s="7" t="s">
        <v>200</v>
      </c>
      <c r="N343" s="26">
        <v>1.2E-2</v>
      </c>
      <c r="O343" s="7" t="s">
        <v>37</v>
      </c>
      <c r="P343" s="27">
        <v>0.1</v>
      </c>
      <c r="Q343" s="45"/>
      <c r="R343" s="28"/>
      <c r="S343" s="7" t="s">
        <v>145</v>
      </c>
      <c r="T343" s="7" t="s">
        <v>1277</v>
      </c>
      <c r="U343" s="7" t="s">
        <v>60</v>
      </c>
      <c r="V343" s="24" t="e">
        <f t="shared" ca="1" si="14"/>
        <v>#NAME?</v>
      </c>
      <c r="W343" s="7"/>
      <c r="X343" s="7"/>
      <c r="Y343" s="29" t="s">
        <v>147</v>
      </c>
      <c r="Z343" s="30"/>
      <c r="AA343" s="31">
        <v>45056</v>
      </c>
      <c r="AB343" s="32">
        <v>49075100012466</v>
      </c>
      <c r="AC343" s="30"/>
      <c r="AD343" s="30"/>
      <c r="AE343" s="30"/>
      <c r="AF343" s="30">
        <v>0.01</v>
      </c>
      <c r="AG343" s="30">
        <v>0.01</v>
      </c>
      <c r="AH343" s="30">
        <v>0.01</v>
      </c>
      <c r="AI343" s="30">
        <v>0.01</v>
      </c>
      <c r="AJ343" s="30">
        <v>0.01</v>
      </c>
      <c r="AK343" s="30">
        <v>0.01</v>
      </c>
      <c r="AL343" s="30">
        <v>0.01</v>
      </c>
      <c r="AM343" s="30">
        <v>0.01</v>
      </c>
      <c r="AN343" s="30">
        <v>0.01</v>
      </c>
      <c r="AO343" s="30">
        <v>0.01</v>
      </c>
      <c r="AP343" s="30">
        <v>0.01</v>
      </c>
      <c r="AQ343" s="30">
        <v>0.01</v>
      </c>
      <c r="AR343" s="30">
        <v>0.01</v>
      </c>
      <c r="AS343" s="30">
        <v>0.01</v>
      </c>
      <c r="AT343" s="30">
        <v>0.01</v>
      </c>
      <c r="AU343" s="30">
        <v>0.01</v>
      </c>
      <c r="AV343" s="30">
        <v>0.01</v>
      </c>
      <c r="AW343" s="30">
        <v>0.01</v>
      </c>
      <c r="AX343" s="30">
        <v>0.01</v>
      </c>
      <c r="AY343" s="30">
        <v>0.01</v>
      </c>
      <c r="AZ343" s="30">
        <v>0.01</v>
      </c>
      <c r="BA343" s="30" t="e">
        <f t="array" aca="1" ref="BA343" ca="1">_xludf.XLOOKUP(C343,'PL TOTAL D0'!A:A,'PL TOTAL D0'!C:C,"")</f>
        <v>#NAME?</v>
      </c>
    </row>
    <row r="344" spans="1:53" ht="15.75" customHeight="1">
      <c r="A344" s="23" t="s">
        <v>29</v>
      </c>
      <c r="B344" s="3" t="s">
        <v>1278</v>
      </c>
      <c r="C344" s="60" t="s">
        <v>1279</v>
      </c>
      <c r="D344" s="7" t="s">
        <v>19</v>
      </c>
      <c r="E344" s="7" t="s">
        <v>60</v>
      </c>
      <c r="F344" s="7" t="s">
        <v>661</v>
      </c>
      <c r="G344" s="7" t="e">
        <f t="shared" ca="1" si="13"/>
        <v>#NAME?</v>
      </c>
      <c r="H344" s="24" t="s">
        <v>161</v>
      </c>
      <c r="I344" s="24" t="s">
        <v>162</v>
      </c>
      <c r="J344" s="7" t="str">
        <f t="shared" si="17"/>
        <v>Não</v>
      </c>
      <c r="K344" s="25">
        <v>45162</v>
      </c>
      <c r="L344" s="25"/>
      <c r="M344" s="7" t="s">
        <v>200</v>
      </c>
      <c r="N344" s="26">
        <v>1.2E-2</v>
      </c>
      <c r="O344" s="7" t="s">
        <v>37</v>
      </c>
      <c r="P344" s="27">
        <v>0.1</v>
      </c>
      <c r="Q344" s="45"/>
      <c r="R344" s="28"/>
      <c r="S344" s="7" t="s">
        <v>145</v>
      </c>
      <c r="T344" s="7" t="s">
        <v>1277</v>
      </c>
      <c r="U344" s="7" t="s">
        <v>60</v>
      </c>
      <c r="V344" s="24" t="e">
        <f t="shared" ca="1" si="14"/>
        <v>#NAME?</v>
      </c>
      <c r="W344" s="7"/>
      <c r="X344" s="7"/>
      <c r="Y344" s="29" t="s">
        <v>147</v>
      </c>
      <c r="Z344" s="30"/>
      <c r="AA344" s="31">
        <v>45162</v>
      </c>
      <c r="AB344" s="32">
        <v>49075100011451</v>
      </c>
      <c r="AC344" s="30"/>
      <c r="AD344" s="30"/>
      <c r="AE344" s="30"/>
      <c r="AF344" s="30">
        <v>0</v>
      </c>
      <c r="AG344" s="30">
        <v>0</v>
      </c>
      <c r="AH344" s="30">
        <v>0</v>
      </c>
      <c r="AI344" s="30">
        <v>0</v>
      </c>
      <c r="AJ344" s="30">
        <v>0</v>
      </c>
      <c r="AK344" s="30">
        <v>0</v>
      </c>
      <c r="AL344" s="30">
        <v>0</v>
      </c>
      <c r="AM344" s="30">
        <v>0</v>
      </c>
      <c r="AN344" s="30">
        <v>0</v>
      </c>
      <c r="AO344" s="30">
        <v>0</v>
      </c>
      <c r="AP344" s="30">
        <v>0</v>
      </c>
      <c r="AQ344" s="30">
        <v>0</v>
      </c>
      <c r="AR344" s="30">
        <v>0</v>
      </c>
      <c r="AS344" s="30">
        <v>0</v>
      </c>
      <c r="AT344" s="30">
        <v>0</v>
      </c>
      <c r="AU344" s="30">
        <v>0</v>
      </c>
      <c r="AV344" s="30">
        <v>0</v>
      </c>
      <c r="AW344" s="30">
        <v>0</v>
      </c>
      <c r="AX344" s="30">
        <v>0</v>
      </c>
      <c r="AY344" s="30">
        <v>0</v>
      </c>
      <c r="AZ344" s="30">
        <v>0</v>
      </c>
      <c r="BA344" s="30" t="e">
        <f t="array" aca="1" ref="BA344" ca="1">_xludf.XLOOKUP(C344,'PL TOTAL D0'!A:A,'PL TOTAL D0'!C:C,"")</f>
        <v>#NAME?</v>
      </c>
    </row>
    <row r="345" spans="1:53" ht="15.75" customHeight="1">
      <c r="A345" s="23" t="s">
        <v>29</v>
      </c>
      <c r="B345" s="37" t="s">
        <v>1280</v>
      </c>
      <c r="C345" s="4" t="s">
        <v>1281</v>
      </c>
      <c r="D345" s="7" t="s">
        <v>19</v>
      </c>
      <c r="E345" s="7" t="s">
        <v>34</v>
      </c>
      <c r="F345" s="7" t="s">
        <v>35</v>
      </c>
      <c r="G345" s="7" t="e">
        <f t="shared" ca="1" si="13"/>
        <v>#NAME?</v>
      </c>
      <c r="H345" s="24" t="s">
        <v>152</v>
      </c>
      <c r="I345" s="24" t="s">
        <v>25</v>
      </c>
      <c r="J345" s="7" t="str">
        <f t="shared" si="17"/>
        <v>Não</v>
      </c>
      <c r="K345" s="25">
        <v>45056</v>
      </c>
      <c r="L345" s="25"/>
      <c r="M345" s="7" t="s">
        <v>200</v>
      </c>
      <c r="N345" s="26">
        <v>1.4999999999999999E-2</v>
      </c>
      <c r="O345" s="7" t="s">
        <v>37</v>
      </c>
      <c r="P345" s="27">
        <v>0.1</v>
      </c>
      <c r="Q345" s="23"/>
      <c r="R345" s="28" t="s">
        <v>1282</v>
      </c>
      <c r="S345" s="7" t="s">
        <v>145</v>
      </c>
      <c r="T345" s="7" t="s">
        <v>1283</v>
      </c>
      <c r="U345" s="7" t="s">
        <v>39</v>
      </c>
      <c r="V345" s="24" t="e">
        <f t="shared" ca="1" si="14"/>
        <v>#NAME?</v>
      </c>
      <c r="W345" s="7"/>
      <c r="X345" s="7"/>
      <c r="Y345" s="29" t="s">
        <v>147</v>
      </c>
      <c r="Z345" s="30"/>
      <c r="AA345" s="31">
        <v>45056</v>
      </c>
      <c r="AB345" s="32">
        <v>49075100012474</v>
      </c>
      <c r="AC345" s="30"/>
      <c r="AD345" s="30"/>
      <c r="AE345" s="30"/>
      <c r="AF345" s="30"/>
      <c r="AG345" s="30"/>
      <c r="AH345" s="30">
        <v>0</v>
      </c>
      <c r="AI345" s="30">
        <v>0</v>
      </c>
      <c r="AJ345" s="30">
        <v>0</v>
      </c>
      <c r="AK345" s="30">
        <v>27481.85</v>
      </c>
      <c r="AL345" s="30">
        <v>28721.07</v>
      </c>
      <c r="AM345" s="30">
        <v>27772.17</v>
      </c>
      <c r="AN345" s="30">
        <v>27830.25</v>
      </c>
      <c r="AO345" s="30">
        <v>106670.24</v>
      </c>
      <c r="AP345" s="30">
        <v>109135.89</v>
      </c>
      <c r="AQ345" s="30">
        <v>111233.69</v>
      </c>
      <c r="AR345" s="30">
        <v>109627.24</v>
      </c>
      <c r="AS345" s="30">
        <v>110509.7</v>
      </c>
      <c r="AT345" s="30">
        <v>140287.07</v>
      </c>
      <c r="AU345" s="30">
        <v>139762.28</v>
      </c>
      <c r="AV345" s="30">
        <v>139250.79999999999</v>
      </c>
      <c r="AW345" s="30">
        <v>140130.70000000001</v>
      </c>
      <c r="AX345" s="30">
        <v>142118.6</v>
      </c>
      <c r="AY345" s="30">
        <v>143851.84</v>
      </c>
      <c r="AZ345" s="30">
        <v>143731.01</v>
      </c>
      <c r="BA345" s="30" t="e">
        <f t="array" aca="1" ref="BA345" ca="1">_xludf.XLOOKUP(C345,'PL TOTAL D0'!A:A,'PL TOTAL D0'!C:C,"")</f>
        <v>#NAME?</v>
      </c>
    </row>
    <row r="346" spans="1:53" ht="15.75" customHeight="1">
      <c r="A346" s="23" t="s">
        <v>29</v>
      </c>
      <c r="B346" s="3" t="s">
        <v>1284</v>
      </c>
      <c r="C346" s="4" t="s">
        <v>1285</v>
      </c>
      <c r="D346" s="7" t="s">
        <v>19</v>
      </c>
      <c r="E346" s="7" t="s">
        <v>34</v>
      </c>
      <c r="F346" s="7" t="s">
        <v>35</v>
      </c>
      <c r="G346" s="7" t="e">
        <f t="shared" ca="1" si="13"/>
        <v>#NAME?</v>
      </c>
      <c r="H346" s="24" t="s">
        <v>161</v>
      </c>
      <c r="I346" s="24" t="s">
        <v>162</v>
      </c>
      <c r="J346" s="7" t="str">
        <f t="shared" si="17"/>
        <v>Não</v>
      </c>
      <c r="K346" s="25">
        <v>45000</v>
      </c>
      <c r="L346" s="7"/>
      <c r="M346" s="7" t="s">
        <v>42</v>
      </c>
      <c r="N346" s="26">
        <v>1.2E-2</v>
      </c>
      <c r="O346" s="7" t="s">
        <v>25</v>
      </c>
      <c r="P346" s="27">
        <v>0</v>
      </c>
      <c r="Q346" s="28"/>
      <c r="R346" s="28"/>
      <c r="S346" s="7" t="s">
        <v>145</v>
      </c>
      <c r="T346" s="4" t="s">
        <v>1277</v>
      </c>
      <c r="U346" s="7" t="s">
        <v>39</v>
      </c>
      <c r="V346" s="24" t="e">
        <f t="shared" ca="1" si="14"/>
        <v>#NAME?</v>
      </c>
      <c r="W346" s="7"/>
      <c r="X346" s="7"/>
      <c r="Y346" s="29" t="s">
        <v>147</v>
      </c>
      <c r="Z346" s="30"/>
      <c r="AA346" s="31">
        <v>45000</v>
      </c>
      <c r="AB346" s="32">
        <v>49075100008663</v>
      </c>
      <c r="AC346" s="30"/>
      <c r="AD346" s="30"/>
      <c r="AE346" s="30"/>
      <c r="AF346" s="30"/>
      <c r="AG346" s="30"/>
      <c r="AH346" s="30">
        <v>1204769.98</v>
      </c>
      <c r="AI346" s="30">
        <v>1213660.8700000001</v>
      </c>
      <c r="AJ346" s="30">
        <v>1226801.03</v>
      </c>
      <c r="AK346" s="30">
        <v>984540.31</v>
      </c>
      <c r="AL346" s="30">
        <v>993536.81</v>
      </c>
      <c r="AM346" s="30">
        <v>1004120.36</v>
      </c>
      <c r="AN346" s="30">
        <v>1011117.33</v>
      </c>
      <c r="AO346" s="30">
        <v>1020081.73</v>
      </c>
      <c r="AP346" s="30">
        <v>399196.85</v>
      </c>
      <c r="AQ346" s="30">
        <v>189.08</v>
      </c>
      <c r="AR346" s="30">
        <v>0</v>
      </c>
      <c r="AS346" s="30">
        <v>81.8</v>
      </c>
      <c r="AT346" s="30">
        <v>0</v>
      </c>
      <c r="AU346" s="30">
        <v>0</v>
      </c>
      <c r="AV346" s="30">
        <v>0</v>
      </c>
      <c r="AW346" s="30">
        <v>0</v>
      </c>
      <c r="AX346" s="30">
        <v>0</v>
      </c>
      <c r="AY346" s="30">
        <v>0</v>
      </c>
      <c r="AZ346" s="30">
        <v>0</v>
      </c>
      <c r="BA346" s="30" t="e">
        <f t="array" aca="1" ref="BA346" ca="1">_xludf.XLOOKUP(C346,'PL TOTAL D0'!A:A,'PL TOTAL D0'!C:C,"")</f>
        <v>#NAME?</v>
      </c>
    </row>
    <row r="347" spans="1:53" ht="15.75" customHeight="1">
      <c r="A347" s="23" t="s">
        <v>29</v>
      </c>
      <c r="B347" s="3" t="s">
        <v>1286</v>
      </c>
      <c r="C347" s="4" t="s">
        <v>1287</v>
      </c>
      <c r="D347" s="7" t="s">
        <v>19</v>
      </c>
      <c r="E347" s="7" t="s">
        <v>34</v>
      </c>
      <c r="F347" s="7" t="s">
        <v>35</v>
      </c>
      <c r="G347" s="7" t="e">
        <f t="shared" ca="1" si="13"/>
        <v>#NAME?</v>
      </c>
      <c r="H347" s="24" t="s">
        <v>152</v>
      </c>
      <c r="I347" s="24" t="s">
        <v>25</v>
      </c>
      <c r="J347" s="7" t="str">
        <f t="shared" si="17"/>
        <v>Não</v>
      </c>
      <c r="K347" s="25">
        <v>45065</v>
      </c>
      <c r="L347" s="7"/>
      <c r="M347" s="7" t="s">
        <v>58</v>
      </c>
      <c r="N347" s="26">
        <v>1.2E-2</v>
      </c>
      <c r="O347" s="7" t="s">
        <v>25</v>
      </c>
      <c r="P347" s="27">
        <v>0</v>
      </c>
      <c r="Q347" s="28"/>
      <c r="R347" s="28"/>
      <c r="S347" s="7" t="s">
        <v>145</v>
      </c>
      <c r="T347" s="7" t="s">
        <v>1288</v>
      </c>
      <c r="U347" s="7" t="s">
        <v>39</v>
      </c>
      <c r="V347" s="24" t="e">
        <f t="shared" ca="1" si="14"/>
        <v>#NAME?</v>
      </c>
      <c r="W347" s="7"/>
      <c r="X347" s="7"/>
      <c r="Y347" s="29" t="s">
        <v>147</v>
      </c>
      <c r="Z347" s="30"/>
      <c r="AA347" s="31">
        <v>45065</v>
      </c>
      <c r="AB347" s="32">
        <v>49075100008450</v>
      </c>
      <c r="AC347" s="30"/>
      <c r="AD347" s="30"/>
      <c r="AE347" s="30"/>
      <c r="AF347" s="30"/>
      <c r="AG347" s="30"/>
      <c r="AH347" s="30">
        <v>0</v>
      </c>
      <c r="AI347" s="30">
        <v>0</v>
      </c>
      <c r="AJ347" s="30">
        <v>363226.57</v>
      </c>
      <c r="AK347" s="30">
        <v>366392.92</v>
      </c>
      <c r="AL347" s="30">
        <v>368988.46</v>
      </c>
      <c r="AM347" s="30">
        <v>371859.91</v>
      </c>
      <c r="AN347" s="30">
        <v>373297.73</v>
      </c>
      <c r="AO347" s="30">
        <v>373865</v>
      </c>
      <c r="AP347" s="30">
        <v>380177.08</v>
      </c>
      <c r="AQ347" s="30">
        <v>385489.77</v>
      </c>
      <c r="AR347" s="30">
        <v>384570.08</v>
      </c>
      <c r="AS347" s="30">
        <v>386416.47</v>
      </c>
      <c r="AT347" s="30">
        <v>390387.65</v>
      </c>
      <c r="AU347" s="30">
        <v>389403.06</v>
      </c>
      <c r="AV347" s="30">
        <v>387464.3</v>
      </c>
      <c r="AW347" s="30">
        <v>390000.8</v>
      </c>
      <c r="AX347" s="30">
        <v>394137</v>
      </c>
      <c r="AY347" s="30">
        <v>397539.5</v>
      </c>
      <c r="AZ347" s="30">
        <v>397651.12</v>
      </c>
      <c r="BA347" s="30" t="e">
        <f t="array" aca="1" ref="BA347" ca="1">_xludf.XLOOKUP(C347,'PL TOTAL D0'!A:A,'PL TOTAL D0'!C:C,"")</f>
        <v>#NAME?</v>
      </c>
    </row>
    <row r="348" spans="1:53" ht="15.75" customHeight="1">
      <c r="A348" s="23" t="s">
        <v>29</v>
      </c>
      <c r="B348" s="38" t="s">
        <v>1289</v>
      </c>
      <c r="C348" s="89" t="s">
        <v>1290</v>
      </c>
      <c r="D348" s="7" t="s">
        <v>19</v>
      </c>
      <c r="E348" s="7" t="s">
        <v>20</v>
      </c>
      <c r="F348" s="7" t="s">
        <v>21</v>
      </c>
      <c r="G348" s="7" t="e">
        <f t="shared" ca="1" si="13"/>
        <v>#NAME?</v>
      </c>
      <c r="H348" s="24" t="s">
        <v>161</v>
      </c>
      <c r="I348" s="24" t="s">
        <v>162</v>
      </c>
      <c r="J348" s="7" t="str">
        <f t="shared" si="17"/>
        <v>Não</v>
      </c>
      <c r="K348" s="25">
        <v>45385</v>
      </c>
      <c r="L348" s="25"/>
      <c r="M348" s="7" t="s">
        <v>42</v>
      </c>
      <c r="N348" s="26">
        <v>0</v>
      </c>
      <c r="O348" s="7" t="s">
        <v>25</v>
      </c>
      <c r="P348" s="27">
        <v>0</v>
      </c>
      <c r="Q348" s="45"/>
      <c r="R348" s="28" t="s">
        <v>1291</v>
      </c>
      <c r="S348" s="7" t="s">
        <v>145</v>
      </c>
      <c r="T348" s="6" t="s">
        <v>1292</v>
      </c>
      <c r="U348" s="7" t="s">
        <v>20</v>
      </c>
      <c r="V348" s="24" t="e">
        <f t="shared" ca="1" si="14"/>
        <v>#NAME?</v>
      </c>
      <c r="W348" s="7"/>
      <c r="X348" s="7"/>
      <c r="Y348" s="29" t="s">
        <v>147</v>
      </c>
      <c r="Z348" s="30"/>
      <c r="AA348" s="31">
        <v>45385</v>
      </c>
      <c r="AB348" s="32">
        <v>49075100014061</v>
      </c>
      <c r="AC348" s="30"/>
      <c r="AD348" s="30"/>
      <c r="AE348" s="30"/>
      <c r="AF348" s="30"/>
      <c r="AG348" s="30"/>
      <c r="AH348" s="30"/>
      <c r="AI348" s="30"/>
      <c r="AJ348" s="30"/>
      <c r="AK348" s="30"/>
      <c r="AL348" s="30"/>
      <c r="AM348" s="30"/>
      <c r="AN348" s="30"/>
      <c r="AO348" s="30"/>
      <c r="AP348" s="30"/>
      <c r="AQ348" s="30"/>
      <c r="AR348" s="30"/>
      <c r="AS348" s="30"/>
      <c r="AT348" s="30"/>
      <c r="AU348" s="30">
        <v>53000.04</v>
      </c>
      <c r="AV348" s="30">
        <v>50079.66</v>
      </c>
      <c r="AW348" s="30">
        <v>43484.62</v>
      </c>
      <c r="AX348" s="30">
        <v>38007.71</v>
      </c>
      <c r="AY348" s="30">
        <v>23803.19</v>
      </c>
      <c r="AZ348" s="30">
        <v>23828.44</v>
      </c>
      <c r="BA348" s="30" t="e">
        <f t="array" aca="1" ref="BA348" ca="1">_xludf.XLOOKUP(C348,'PL TOTAL D0'!A:A,'PL TOTAL D0'!C:C,"")</f>
        <v>#NAME?</v>
      </c>
    </row>
    <row r="349" spans="1:53" ht="15.75" customHeight="1">
      <c r="A349" s="23" t="s">
        <v>29</v>
      </c>
      <c r="B349" s="38" t="s">
        <v>1293</v>
      </c>
      <c r="C349" s="89" t="s">
        <v>1294</v>
      </c>
      <c r="D349" s="7" t="s">
        <v>19</v>
      </c>
      <c r="E349" s="7" t="s">
        <v>20</v>
      </c>
      <c r="F349" s="7" t="s">
        <v>21</v>
      </c>
      <c r="G349" s="7" t="e">
        <f t="shared" ca="1" si="13"/>
        <v>#NAME?</v>
      </c>
      <c r="H349" s="24" t="s">
        <v>152</v>
      </c>
      <c r="I349" s="24" t="s">
        <v>25</v>
      </c>
      <c r="J349" s="7" t="s">
        <v>181</v>
      </c>
      <c r="K349" s="25">
        <v>45464</v>
      </c>
      <c r="L349" s="25"/>
      <c r="M349" s="7" t="s">
        <v>1143</v>
      </c>
      <c r="N349" s="26">
        <v>1.4999999999999999E-2</v>
      </c>
      <c r="O349" s="7" t="s">
        <v>37</v>
      </c>
      <c r="P349" s="27">
        <v>0.1</v>
      </c>
      <c r="Q349" s="45"/>
      <c r="R349" s="28"/>
      <c r="S349" s="7" t="s">
        <v>145</v>
      </c>
      <c r="T349" s="6" t="s">
        <v>1295</v>
      </c>
      <c r="U349" s="7" t="s">
        <v>20</v>
      </c>
      <c r="V349" s="24" t="e">
        <f t="shared" ca="1" si="14"/>
        <v>#NAME?</v>
      </c>
      <c r="W349" s="7"/>
      <c r="X349" s="7" t="s">
        <v>91</v>
      </c>
      <c r="Y349" s="29" t="s">
        <v>147</v>
      </c>
      <c r="Z349" s="30"/>
      <c r="AA349" s="31">
        <v>45464</v>
      </c>
      <c r="AB349" s="32">
        <v>49075100015211</v>
      </c>
      <c r="AC349" s="30"/>
      <c r="AD349" s="30"/>
      <c r="AE349" s="30"/>
      <c r="AF349" s="30"/>
      <c r="AG349" s="30"/>
      <c r="AH349" s="30"/>
      <c r="AI349" s="30"/>
      <c r="AJ349" s="30"/>
      <c r="AK349" s="30"/>
      <c r="AL349" s="30"/>
      <c r="AM349" s="30"/>
      <c r="AN349" s="30"/>
      <c r="AO349" s="30"/>
      <c r="AP349" s="30"/>
      <c r="AQ349" s="30"/>
      <c r="AR349" s="30"/>
      <c r="AS349" s="30"/>
      <c r="AT349" s="30"/>
      <c r="AU349" s="30"/>
      <c r="AV349" s="131"/>
      <c r="AW349" s="68">
        <v>312431.3</v>
      </c>
      <c r="AX349" s="68">
        <v>316886.8</v>
      </c>
      <c r="AY349" s="30">
        <v>453967.58</v>
      </c>
      <c r="AZ349" s="30">
        <v>650446.81999999995</v>
      </c>
      <c r="BA349" s="30" t="e">
        <f t="array" aca="1" ref="BA349" ca="1">_xludf.XLOOKUP(C349,'PL TOTAL D0'!A:A,'PL TOTAL D0'!C:C,"")</f>
        <v>#NAME?</v>
      </c>
    </row>
    <row r="350" spans="1:53" ht="15.75" customHeight="1">
      <c r="A350" s="23" t="s">
        <v>29</v>
      </c>
      <c r="B350" s="38" t="s">
        <v>1293</v>
      </c>
      <c r="C350" s="89" t="s">
        <v>1296</v>
      </c>
      <c r="D350" s="7" t="s">
        <v>19</v>
      </c>
      <c r="E350" s="7" t="s">
        <v>20</v>
      </c>
      <c r="F350" s="7" t="s">
        <v>21</v>
      </c>
      <c r="G350" s="7" t="e">
        <f t="shared" ca="1" si="13"/>
        <v>#NAME?</v>
      </c>
      <c r="H350" s="24" t="s">
        <v>152</v>
      </c>
      <c r="I350" s="24" t="s">
        <v>25</v>
      </c>
      <c r="J350" s="7" t="s">
        <v>181</v>
      </c>
      <c r="K350" s="25">
        <v>45421</v>
      </c>
      <c r="L350" s="25"/>
      <c r="M350" s="7" t="s">
        <v>597</v>
      </c>
      <c r="N350" s="26">
        <v>0</v>
      </c>
      <c r="O350" s="7" t="s">
        <v>25</v>
      </c>
      <c r="P350" s="27">
        <v>0</v>
      </c>
      <c r="Q350" s="45"/>
      <c r="R350" s="28"/>
      <c r="S350" s="7" t="s">
        <v>145</v>
      </c>
      <c r="T350" s="6" t="s">
        <v>1295</v>
      </c>
      <c r="U350" s="7" t="s">
        <v>20</v>
      </c>
      <c r="V350" s="24" t="e">
        <f t="shared" ca="1" si="14"/>
        <v>#NAME?</v>
      </c>
      <c r="W350" s="7"/>
      <c r="X350" s="7" t="s">
        <v>91</v>
      </c>
      <c r="Y350" s="29" t="s">
        <v>147</v>
      </c>
      <c r="Z350" s="30"/>
      <c r="AA350" s="31">
        <v>45421</v>
      </c>
      <c r="AB350" s="32">
        <v>49075100014663</v>
      </c>
      <c r="AC350" s="30"/>
      <c r="AD350" s="30"/>
      <c r="AE350" s="30"/>
      <c r="AF350" s="30"/>
      <c r="AG350" s="30"/>
      <c r="AH350" s="30"/>
      <c r="AI350" s="30"/>
      <c r="AJ350" s="30"/>
      <c r="AK350" s="30"/>
      <c r="AL350" s="30"/>
      <c r="AM350" s="30"/>
      <c r="AN350" s="30"/>
      <c r="AO350" s="30"/>
      <c r="AP350" s="30"/>
      <c r="AQ350" s="30"/>
      <c r="AR350" s="30"/>
      <c r="AS350" s="30"/>
      <c r="AT350" s="30"/>
      <c r="AU350" s="30"/>
      <c r="AV350" s="68">
        <v>428588.3</v>
      </c>
      <c r="AW350" s="68">
        <v>395294.3</v>
      </c>
      <c r="AX350" s="68">
        <v>593524.69999999995</v>
      </c>
      <c r="AY350" s="30">
        <v>459125.74</v>
      </c>
      <c r="AZ350" s="30">
        <v>261940.78</v>
      </c>
      <c r="BA350" s="30" t="e">
        <f t="array" aca="1" ref="BA350" ca="1">_xludf.XLOOKUP(C350,'PL TOTAL D0'!A:A,'PL TOTAL D0'!C:C,"")</f>
        <v>#NAME?</v>
      </c>
    </row>
    <row r="351" spans="1:53" ht="15.75" customHeight="1">
      <c r="A351" s="23" t="s">
        <v>29</v>
      </c>
      <c r="B351" s="38" t="s">
        <v>1293</v>
      </c>
      <c r="C351" s="89" t="s">
        <v>1297</v>
      </c>
      <c r="D351" s="7" t="s">
        <v>19</v>
      </c>
      <c r="E351" s="7" t="s">
        <v>20</v>
      </c>
      <c r="F351" s="7" t="s">
        <v>21</v>
      </c>
      <c r="G351" s="7" t="e">
        <f t="shared" ca="1" si="13"/>
        <v>#NAME?</v>
      </c>
      <c r="H351" s="24" t="s">
        <v>143</v>
      </c>
      <c r="I351" s="24" t="s">
        <v>25</v>
      </c>
      <c r="J351" s="7" t="s">
        <v>181</v>
      </c>
      <c r="K351" s="25">
        <v>45419</v>
      </c>
      <c r="L351" s="25">
        <v>45464</v>
      </c>
      <c r="M351" s="7" t="s">
        <v>1143</v>
      </c>
      <c r="N351" s="26">
        <v>1.4999999999999999E-2</v>
      </c>
      <c r="O351" s="7" t="s">
        <v>37</v>
      </c>
      <c r="P351" s="27">
        <v>0.1</v>
      </c>
      <c r="Q351" s="45"/>
      <c r="R351" s="28"/>
      <c r="S351" s="7" t="s">
        <v>145</v>
      </c>
      <c r="T351" s="6" t="s">
        <v>1295</v>
      </c>
      <c r="U351" s="7" t="s">
        <v>20</v>
      </c>
      <c r="V351" s="24" t="e">
        <f t="shared" ca="1" si="14"/>
        <v>#NAME?</v>
      </c>
      <c r="W351" s="7"/>
      <c r="X351" s="7" t="s">
        <v>91</v>
      </c>
      <c r="Y351" s="29"/>
      <c r="Z351" s="30"/>
      <c r="AA351" s="31">
        <v>45419</v>
      </c>
      <c r="AB351" s="32"/>
      <c r="AC351" s="30"/>
      <c r="AD351" s="30"/>
      <c r="AE351" s="30"/>
      <c r="AF351" s="30"/>
      <c r="AG351" s="30"/>
      <c r="AH351" s="30"/>
      <c r="AI351" s="30"/>
      <c r="AJ351" s="30"/>
      <c r="AK351" s="30"/>
      <c r="AL351" s="30"/>
      <c r="AM351" s="30"/>
      <c r="AN351" s="30"/>
      <c r="AO351" s="30"/>
      <c r="AP351" s="30"/>
      <c r="AQ351" s="30"/>
      <c r="AR351" s="30"/>
      <c r="AS351" s="30"/>
      <c r="AT351" s="30"/>
      <c r="AU351" s="30"/>
      <c r="AV351" s="68">
        <v>0</v>
      </c>
      <c r="AW351" s="68">
        <v>0</v>
      </c>
      <c r="AX351" s="68">
        <v>0</v>
      </c>
      <c r="AY351" s="30">
        <v>0</v>
      </c>
      <c r="AZ351" s="30">
        <v>0</v>
      </c>
      <c r="BA351" s="30" t="e">
        <f t="array" aca="1" ref="BA351" ca="1">_xludf.XLOOKUP(C351,'PL TOTAL D0'!A:A,'PL TOTAL D0'!C:C,"")</f>
        <v>#NAME?</v>
      </c>
    </row>
    <row r="352" spans="1:53" ht="15.75" customHeight="1">
      <c r="A352" s="23" t="s">
        <v>29</v>
      </c>
      <c r="B352" s="37" t="s">
        <v>1298</v>
      </c>
      <c r="C352" s="4" t="s">
        <v>1299</v>
      </c>
      <c r="D352" s="7" t="s">
        <v>19</v>
      </c>
      <c r="E352" s="7" t="s">
        <v>34</v>
      </c>
      <c r="F352" s="7" t="s">
        <v>35</v>
      </c>
      <c r="G352" s="7" t="e">
        <f t="shared" ca="1" si="13"/>
        <v>#NAME?</v>
      </c>
      <c r="H352" s="24" t="s">
        <v>152</v>
      </c>
      <c r="I352" s="24" t="s">
        <v>25</v>
      </c>
      <c r="J352" s="7" t="str">
        <f t="shared" ref="J352:J411" si="18">IF(Q352=0,"Não","Sim")</f>
        <v>Não</v>
      </c>
      <c r="K352" s="25">
        <v>45134</v>
      </c>
      <c r="L352" s="25"/>
      <c r="M352" s="7" t="s">
        <v>200</v>
      </c>
      <c r="N352" s="26">
        <v>1.6E-2</v>
      </c>
      <c r="O352" s="7" t="s">
        <v>37</v>
      </c>
      <c r="P352" s="27">
        <v>0.2</v>
      </c>
      <c r="Q352" s="45"/>
      <c r="R352" s="28"/>
      <c r="S352" s="7" t="s">
        <v>145</v>
      </c>
      <c r="T352" s="7" t="s">
        <v>1300</v>
      </c>
      <c r="U352" s="7" t="s">
        <v>39</v>
      </c>
      <c r="V352" s="24" t="e">
        <f t="shared" ca="1" si="14"/>
        <v>#NAME?</v>
      </c>
      <c r="W352" s="7"/>
      <c r="X352" s="7"/>
      <c r="Y352" s="29" t="s">
        <v>147</v>
      </c>
      <c r="Z352" s="30"/>
      <c r="AA352" s="31">
        <v>45134</v>
      </c>
      <c r="AB352" s="32">
        <v>49075100007160</v>
      </c>
      <c r="AC352" s="30"/>
      <c r="AD352" s="30"/>
      <c r="AE352" s="30"/>
      <c r="AF352" s="30"/>
      <c r="AG352" s="30"/>
      <c r="AH352" s="30"/>
      <c r="AI352" s="30">
        <v>0</v>
      </c>
      <c r="AJ352" s="30">
        <v>0</v>
      </c>
      <c r="AK352" s="30">
        <v>0</v>
      </c>
      <c r="AL352" s="30">
        <v>357015.53</v>
      </c>
      <c r="AM352" s="30">
        <v>360860.21</v>
      </c>
      <c r="AN352" s="30">
        <v>362504.3</v>
      </c>
      <c r="AO352" s="30">
        <v>362332.13</v>
      </c>
      <c r="AP352" s="30">
        <v>371141.9</v>
      </c>
      <c r="AQ352" s="30">
        <v>378752.13</v>
      </c>
      <c r="AR352" s="30">
        <v>371962.12</v>
      </c>
      <c r="AS352" s="30">
        <v>372998.45</v>
      </c>
      <c r="AT352" s="30">
        <v>421870.6</v>
      </c>
      <c r="AU352" s="30">
        <v>415883.5</v>
      </c>
      <c r="AV352" s="30">
        <v>423050.6</v>
      </c>
      <c r="AW352" s="30">
        <v>429647.6</v>
      </c>
      <c r="AX352" s="30">
        <v>437316.6</v>
      </c>
      <c r="AY352" s="30">
        <v>447403.1</v>
      </c>
      <c r="AZ352" s="30">
        <v>448124.3</v>
      </c>
      <c r="BA352" s="30" t="e">
        <f t="array" aca="1" ref="BA352" ca="1">_xludf.XLOOKUP(C352,'PL TOTAL D0'!A:A,'PL TOTAL D0'!C:C,"")</f>
        <v>#NAME?</v>
      </c>
    </row>
    <row r="353" spans="1:53" ht="15.75" customHeight="1">
      <c r="A353" s="23" t="s">
        <v>29</v>
      </c>
      <c r="B353" s="3" t="s">
        <v>1298</v>
      </c>
      <c r="C353" s="46" t="s">
        <v>1301</v>
      </c>
      <c r="D353" s="7" t="s">
        <v>19</v>
      </c>
      <c r="E353" s="7" t="s">
        <v>34</v>
      </c>
      <c r="F353" s="7" t="s">
        <v>35</v>
      </c>
      <c r="G353" s="7" t="e">
        <f t="shared" ca="1" si="13"/>
        <v>#NAME?</v>
      </c>
      <c r="H353" s="24" t="s">
        <v>161</v>
      </c>
      <c r="I353" s="24" t="s">
        <v>162</v>
      </c>
      <c r="J353" s="7" t="str">
        <f t="shared" si="18"/>
        <v>Não</v>
      </c>
      <c r="K353" s="25">
        <v>45162</v>
      </c>
      <c r="L353" s="7"/>
      <c r="M353" s="7" t="s">
        <v>257</v>
      </c>
      <c r="N353" s="118">
        <v>8.0000000000000002E-3</v>
      </c>
      <c r="O353" s="7" t="s">
        <v>258</v>
      </c>
      <c r="P353" s="27">
        <v>0.1</v>
      </c>
      <c r="Q353" s="28"/>
      <c r="R353" s="28"/>
      <c r="S353" s="7" t="s">
        <v>145</v>
      </c>
      <c r="T353" s="7" t="s">
        <v>1300</v>
      </c>
      <c r="U353" s="7" t="s">
        <v>39</v>
      </c>
      <c r="V353" s="24" t="e">
        <f t="shared" ca="1" si="14"/>
        <v>#NAME?</v>
      </c>
      <c r="W353" s="7"/>
      <c r="X353" s="7"/>
      <c r="Y353" s="29" t="s">
        <v>452</v>
      </c>
      <c r="Z353" s="30"/>
      <c r="AA353" s="31">
        <v>45162</v>
      </c>
      <c r="AB353" s="32">
        <v>49075100011461</v>
      </c>
      <c r="AC353" s="30"/>
      <c r="AD353" s="30"/>
      <c r="AE353" s="30"/>
      <c r="AF353" s="30"/>
      <c r="AG353" s="30"/>
      <c r="AH353" s="30"/>
      <c r="AI353" s="30"/>
      <c r="AJ353" s="30"/>
      <c r="AK353" s="30">
        <v>0</v>
      </c>
      <c r="AL353" s="30">
        <v>0</v>
      </c>
      <c r="AM353" s="30">
        <v>0</v>
      </c>
      <c r="AN353" s="30">
        <v>0</v>
      </c>
      <c r="AO353" s="30">
        <v>0</v>
      </c>
      <c r="AP353" s="30">
        <v>0</v>
      </c>
      <c r="AQ353" s="30">
        <v>0</v>
      </c>
      <c r="AR353" s="30">
        <v>0</v>
      </c>
      <c r="AS353" s="30">
        <v>0</v>
      </c>
      <c r="AT353" s="30">
        <v>0</v>
      </c>
      <c r="AU353" s="30">
        <v>0</v>
      </c>
      <c r="AV353" s="30">
        <v>0</v>
      </c>
      <c r="AW353" s="30">
        <v>0</v>
      </c>
      <c r="AX353" s="30">
        <v>0</v>
      </c>
      <c r="AY353" s="30">
        <v>0</v>
      </c>
      <c r="AZ353" s="30">
        <v>0</v>
      </c>
      <c r="BA353" s="30" t="e">
        <f t="array" aca="1" ref="BA353" ca="1">_xludf.XLOOKUP(C353,'PL TOTAL D0'!A:A,'PL TOTAL D0'!C:C,"")</f>
        <v>#NAME?</v>
      </c>
    </row>
    <row r="354" spans="1:53" ht="15.75" customHeight="1">
      <c r="A354" s="23" t="s">
        <v>29</v>
      </c>
      <c r="B354" s="3" t="s">
        <v>1302</v>
      </c>
      <c r="C354" s="4" t="s">
        <v>1303</v>
      </c>
      <c r="D354" s="7" t="s">
        <v>19</v>
      </c>
      <c r="E354" s="7" t="s">
        <v>49</v>
      </c>
      <c r="F354" s="7" t="s">
        <v>277</v>
      </c>
      <c r="G354" s="7" t="e">
        <f t="shared" ca="1" si="13"/>
        <v>#NAME?</v>
      </c>
      <c r="H354" s="24" t="s">
        <v>161</v>
      </c>
      <c r="I354" s="24" t="s">
        <v>162</v>
      </c>
      <c r="J354" s="7" t="str">
        <f t="shared" si="18"/>
        <v>Não</v>
      </c>
      <c r="K354" s="25">
        <v>44928</v>
      </c>
      <c r="L354" s="7"/>
      <c r="M354" s="7" t="s">
        <v>42</v>
      </c>
      <c r="N354" s="26">
        <v>0.01</v>
      </c>
      <c r="O354" s="7" t="s">
        <v>25</v>
      </c>
      <c r="P354" s="27">
        <v>0</v>
      </c>
      <c r="Q354" s="28"/>
      <c r="R354" s="28"/>
      <c r="S354" s="7" t="s">
        <v>145</v>
      </c>
      <c r="T354" s="7" t="s">
        <v>1304</v>
      </c>
      <c r="U354" s="7" t="s">
        <v>49</v>
      </c>
      <c r="V354" s="24" t="e">
        <f t="shared" ca="1" si="14"/>
        <v>#NAME?</v>
      </c>
      <c r="W354" s="7"/>
      <c r="X354" s="7"/>
      <c r="Y354" s="29" t="s">
        <v>253</v>
      </c>
      <c r="Z354" s="30"/>
      <c r="AA354" s="31">
        <v>44928</v>
      </c>
      <c r="AB354" s="32">
        <v>49075100003165</v>
      </c>
      <c r="AC354" s="30"/>
      <c r="AD354" s="30"/>
      <c r="AE354" s="30">
        <v>60489.03</v>
      </c>
      <c r="AF354" s="30">
        <v>67871.16</v>
      </c>
      <c r="AG354" s="30">
        <v>68499.789999999994</v>
      </c>
      <c r="AH354" s="30">
        <v>55128.26</v>
      </c>
      <c r="AI354" s="30">
        <v>137580.65</v>
      </c>
      <c r="AJ354" s="30">
        <v>138871.22</v>
      </c>
      <c r="AK354" s="30">
        <v>133995.65</v>
      </c>
      <c r="AL354" s="30">
        <v>84945.2</v>
      </c>
      <c r="AM354" s="30">
        <v>83654.289999999994</v>
      </c>
      <c r="AN354" s="30">
        <v>75545.649999999994</v>
      </c>
      <c r="AO354" s="30">
        <v>50485.35</v>
      </c>
      <c r="AP354" s="30">
        <v>31521.88</v>
      </c>
      <c r="AQ354" s="30">
        <v>20080.36</v>
      </c>
      <c r="AR354" s="30">
        <v>32997.86</v>
      </c>
      <c r="AS354" s="30">
        <v>27116.67</v>
      </c>
      <c r="AT354" s="30">
        <v>10117.07</v>
      </c>
      <c r="AU354" s="30">
        <v>1167.18</v>
      </c>
      <c r="AV354" s="30">
        <v>1504.03</v>
      </c>
      <c r="AW354" s="30">
        <v>0.86</v>
      </c>
      <c r="AX354" s="30">
        <v>0.86</v>
      </c>
      <c r="AY354" s="30">
        <v>0.88</v>
      </c>
      <c r="AZ354" s="30">
        <v>0.88</v>
      </c>
      <c r="BA354" s="30" t="e">
        <f t="array" aca="1" ref="BA354" ca="1">_xludf.XLOOKUP(C354,'PL TOTAL D0'!A:A,'PL TOTAL D0'!C:C,"")</f>
        <v>#NAME?</v>
      </c>
    </row>
    <row r="355" spans="1:53" ht="15.75" customHeight="1">
      <c r="A355" s="23" t="s">
        <v>29</v>
      </c>
      <c r="B355" s="37" t="s">
        <v>1305</v>
      </c>
      <c r="C355" s="4" t="s">
        <v>1306</v>
      </c>
      <c r="D355" s="7" t="s">
        <v>19</v>
      </c>
      <c r="E355" s="7" t="s">
        <v>20</v>
      </c>
      <c r="F355" s="7" t="s">
        <v>210</v>
      </c>
      <c r="G355" s="7" t="e">
        <f t="shared" ca="1" si="13"/>
        <v>#NAME?</v>
      </c>
      <c r="H355" s="24" t="s">
        <v>152</v>
      </c>
      <c r="I355" s="24" t="s">
        <v>25</v>
      </c>
      <c r="J355" s="7" t="str">
        <f t="shared" si="18"/>
        <v>Não</v>
      </c>
      <c r="K355" s="25">
        <v>45014</v>
      </c>
      <c r="L355" s="7"/>
      <c r="M355" s="7" t="s">
        <v>42</v>
      </c>
      <c r="N355" s="26">
        <v>0.01</v>
      </c>
      <c r="O355" s="7" t="s">
        <v>25</v>
      </c>
      <c r="P355" s="27">
        <v>0</v>
      </c>
      <c r="Q355" s="28"/>
      <c r="R355" s="28" t="s">
        <v>1307</v>
      </c>
      <c r="S355" s="7" t="s">
        <v>145</v>
      </c>
      <c r="T355" s="7" t="s">
        <v>1308</v>
      </c>
      <c r="U355" s="7" t="s">
        <v>886</v>
      </c>
      <c r="V355" s="24" t="e">
        <f t="shared" ca="1" si="14"/>
        <v>#NAME?</v>
      </c>
      <c r="W355" s="7"/>
      <c r="X355" s="7"/>
      <c r="Y355" s="29" t="s">
        <v>147</v>
      </c>
      <c r="Z355" s="30"/>
      <c r="AA355" s="31">
        <v>45014</v>
      </c>
      <c r="AB355" s="32">
        <v>49075100009287</v>
      </c>
      <c r="AC355" s="30"/>
      <c r="AD355" s="30"/>
      <c r="AE355" s="30"/>
      <c r="AF355" s="30"/>
      <c r="AG355" s="30"/>
      <c r="AH355" s="30">
        <v>266535.09999999998</v>
      </c>
      <c r="AI355" s="30">
        <v>268529.91999999998</v>
      </c>
      <c r="AJ355" s="30">
        <v>280076.21000000002</v>
      </c>
      <c r="AK355" s="30">
        <v>282591.82</v>
      </c>
      <c r="AL355" s="30">
        <v>423787.5</v>
      </c>
      <c r="AM355" s="30">
        <v>320550.36</v>
      </c>
      <c r="AN355" s="30">
        <v>323015.09000000003</v>
      </c>
      <c r="AO355" s="30">
        <v>325639.67999999999</v>
      </c>
      <c r="AP355" s="30">
        <v>328069.17</v>
      </c>
      <c r="AQ355" s="30">
        <v>331670.26</v>
      </c>
      <c r="AR355" s="30">
        <v>336143.26</v>
      </c>
      <c r="AS355" s="30">
        <v>339018.15</v>
      </c>
      <c r="AT355" s="30">
        <v>346764.92</v>
      </c>
      <c r="AU355" s="30">
        <v>352465.83</v>
      </c>
      <c r="AV355" s="30">
        <v>355912.1</v>
      </c>
      <c r="AW355" s="30">
        <v>479981.2</v>
      </c>
      <c r="AX355" s="30">
        <v>487906</v>
      </c>
      <c r="AY355" s="30">
        <v>491591.04</v>
      </c>
      <c r="AZ355" s="30">
        <v>495696.1</v>
      </c>
      <c r="BA355" s="30" t="e">
        <f t="array" aca="1" ref="BA355" ca="1">_xludf.XLOOKUP(C355,'PL TOTAL D0'!A:A,'PL TOTAL D0'!C:C,"")</f>
        <v>#NAME?</v>
      </c>
    </row>
    <row r="356" spans="1:53" ht="15.75" customHeight="1">
      <c r="A356" s="23" t="s">
        <v>29</v>
      </c>
      <c r="B356" s="37" t="s">
        <v>1305</v>
      </c>
      <c r="C356" s="4" t="s">
        <v>1309</v>
      </c>
      <c r="D356" s="7" t="s">
        <v>19</v>
      </c>
      <c r="E356" s="7" t="s">
        <v>20</v>
      </c>
      <c r="F356" s="7" t="s">
        <v>210</v>
      </c>
      <c r="G356" s="7" t="e">
        <f t="shared" ca="1" si="13"/>
        <v>#NAME?</v>
      </c>
      <c r="H356" s="24" t="s">
        <v>161</v>
      </c>
      <c r="I356" s="24" t="s">
        <v>162</v>
      </c>
      <c r="J356" s="7" t="str">
        <f t="shared" si="18"/>
        <v>Não</v>
      </c>
      <c r="K356" s="25">
        <v>45155</v>
      </c>
      <c r="L356" s="7"/>
      <c r="M356" s="7" t="s">
        <v>200</v>
      </c>
      <c r="N356" s="26">
        <v>1.4999999999999999E-2</v>
      </c>
      <c r="O356" s="7" t="s">
        <v>37</v>
      </c>
      <c r="P356" s="27">
        <v>0.1</v>
      </c>
      <c r="Q356" s="28"/>
      <c r="R356" s="28" t="s">
        <v>1307</v>
      </c>
      <c r="S356" s="7" t="s">
        <v>145</v>
      </c>
      <c r="T356" s="7" t="s">
        <v>1308</v>
      </c>
      <c r="U356" s="7" t="s">
        <v>886</v>
      </c>
      <c r="V356" s="24" t="e">
        <f t="shared" ca="1" si="14"/>
        <v>#NAME?</v>
      </c>
      <c r="W356" s="7"/>
      <c r="X356" s="7"/>
      <c r="Y356" s="29" t="s">
        <v>147</v>
      </c>
      <c r="Z356" s="30"/>
      <c r="AA356" s="31">
        <v>45155</v>
      </c>
      <c r="AB356" s="32">
        <v>49075100005451</v>
      </c>
      <c r="AC356" s="30"/>
      <c r="AD356" s="30"/>
      <c r="AE356" s="30"/>
      <c r="AF356" s="30"/>
      <c r="AG356" s="30"/>
      <c r="AH356" s="30"/>
      <c r="AI356" s="30"/>
      <c r="AJ356" s="30"/>
      <c r="AK356" s="30"/>
      <c r="AL356" s="30">
        <v>0</v>
      </c>
      <c r="AM356" s="30">
        <v>105836.32</v>
      </c>
      <c r="AN356" s="30">
        <v>106490.87</v>
      </c>
      <c r="AO356" s="30">
        <v>106310.81</v>
      </c>
      <c r="AP356" s="30">
        <v>108368.87</v>
      </c>
      <c r="AQ356" s="30">
        <v>111434.97</v>
      </c>
      <c r="AR356" s="30">
        <v>109846.93</v>
      </c>
      <c r="AS356" s="30">
        <v>110817.33</v>
      </c>
      <c r="AT356" s="30">
        <v>111940.5</v>
      </c>
      <c r="AU356" s="30">
        <v>111118.47</v>
      </c>
      <c r="AV356" s="30">
        <v>110725.5</v>
      </c>
      <c r="AW356" s="30">
        <v>2532.29</v>
      </c>
      <c r="AX356" s="30">
        <v>248.6</v>
      </c>
      <c r="AY356" s="30">
        <v>249.58</v>
      </c>
      <c r="AZ356" s="30">
        <v>249.57</v>
      </c>
      <c r="BA356" s="30" t="e">
        <f t="array" aca="1" ref="BA356" ca="1">_xludf.XLOOKUP(C356,'PL TOTAL D0'!A:A,'PL TOTAL D0'!C:C,"")</f>
        <v>#NAME?</v>
      </c>
    </row>
    <row r="357" spans="1:53" ht="15.75" customHeight="1">
      <c r="A357" s="23" t="s">
        <v>29</v>
      </c>
      <c r="B357" s="3" t="s">
        <v>1310</v>
      </c>
      <c r="C357" s="4" t="s">
        <v>1311</v>
      </c>
      <c r="D357" s="7" t="s">
        <v>19</v>
      </c>
      <c r="E357" s="7" t="s">
        <v>49</v>
      </c>
      <c r="F357" s="7" t="s">
        <v>50</v>
      </c>
      <c r="G357" s="7" t="e">
        <f t="shared" ca="1" si="13"/>
        <v>#NAME?</v>
      </c>
      <c r="H357" s="24" t="s">
        <v>161</v>
      </c>
      <c r="I357" s="24" t="s">
        <v>25</v>
      </c>
      <c r="J357" s="7" t="str">
        <f t="shared" si="18"/>
        <v>Sim</v>
      </c>
      <c r="K357" s="25">
        <v>44945</v>
      </c>
      <c r="L357" s="7"/>
      <c r="M357" s="7" t="s">
        <v>42</v>
      </c>
      <c r="N357" s="26">
        <v>1.2E-2</v>
      </c>
      <c r="O357" s="7" t="s">
        <v>25</v>
      </c>
      <c r="P357" s="27">
        <v>0</v>
      </c>
      <c r="Q357" s="28" t="s">
        <v>1312</v>
      </c>
      <c r="R357" s="28"/>
      <c r="S357" s="7" t="s">
        <v>145</v>
      </c>
      <c r="T357" s="7" t="s">
        <v>1313</v>
      </c>
      <c r="U357" s="7" t="s">
        <v>49</v>
      </c>
      <c r="V357" s="24" t="e">
        <f t="shared" ca="1" si="14"/>
        <v>#NAME?</v>
      </c>
      <c r="W357" s="7"/>
      <c r="X357" s="7"/>
      <c r="Y357" s="29" t="s">
        <v>147</v>
      </c>
      <c r="Z357" s="30"/>
      <c r="AA357" s="31">
        <v>44945</v>
      </c>
      <c r="AB357" s="32">
        <v>49075100005818</v>
      </c>
      <c r="AC357" s="30"/>
      <c r="AD357" s="30"/>
      <c r="AE357" s="30"/>
      <c r="AF357" s="30">
        <v>1922920.39</v>
      </c>
      <c r="AG357" s="30">
        <v>2493271.63</v>
      </c>
      <c r="AH357" s="30">
        <v>2520762.31</v>
      </c>
      <c r="AI357" s="30">
        <v>2538779.4500000002</v>
      </c>
      <c r="AJ357" s="30">
        <v>2566640.21</v>
      </c>
      <c r="AK357" s="30">
        <v>2590353.9</v>
      </c>
      <c r="AL357" s="30">
        <v>2613104.75</v>
      </c>
      <c r="AM357" s="30">
        <v>2636690.92</v>
      </c>
      <c r="AN357" s="30">
        <v>2658373</v>
      </c>
      <c r="AO357" s="30">
        <v>2682028.77</v>
      </c>
      <c r="AP357" s="30">
        <v>2701699.72</v>
      </c>
      <c r="AQ357" s="30">
        <v>2722116.52</v>
      </c>
      <c r="AR357" s="30">
        <v>2714748.31</v>
      </c>
      <c r="AS357" s="30">
        <v>643021.64</v>
      </c>
      <c r="AT357" s="30">
        <v>648589.35</v>
      </c>
      <c r="AU357" s="30">
        <v>585320.18999999994</v>
      </c>
      <c r="AV357" s="30">
        <v>590091.30000000005</v>
      </c>
      <c r="AW357" s="30">
        <v>594830</v>
      </c>
      <c r="AX357" s="30">
        <v>599797.1</v>
      </c>
      <c r="AY357" s="30">
        <v>602394.51</v>
      </c>
      <c r="AZ357" s="30">
        <v>606345.25</v>
      </c>
      <c r="BA357" s="30" t="e">
        <f t="array" aca="1" ref="BA357" ca="1">_xludf.XLOOKUP(C357,'PL TOTAL D0'!A:A,'PL TOTAL D0'!C:C,"")</f>
        <v>#NAME?</v>
      </c>
    </row>
    <row r="358" spans="1:53" ht="15.75" customHeight="1">
      <c r="A358" s="23" t="s">
        <v>29</v>
      </c>
      <c r="B358" s="3" t="s">
        <v>1314</v>
      </c>
      <c r="C358" s="4" t="s">
        <v>1315</v>
      </c>
      <c r="D358" s="7" t="s">
        <v>19</v>
      </c>
      <c r="E358" s="7" t="s">
        <v>34</v>
      </c>
      <c r="F358" s="7" t="s">
        <v>262</v>
      </c>
      <c r="G358" s="7" t="e">
        <f t="shared" ca="1" si="13"/>
        <v>#NAME?</v>
      </c>
      <c r="H358" s="24" t="s">
        <v>152</v>
      </c>
      <c r="I358" s="24" t="s">
        <v>25</v>
      </c>
      <c r="J358" s="7" t="str">
        <f t="shared" si="18"/>
        <v>Não</v>
      </c>
      <c r="K358" s="25">
        <v>45028</v>
      </c>
      <c r="L358" s="7"/>
      <c r="M358" s="7" t="s">
        <v>1316</v>
      </c>
      <c r="N358" s="26">
        <v>1.4999999999999999E-2</v>
      </c>
      <c r="O358" s="7" t="s">
        <v>25</v>
      </c>
      <c r="P358" s="27">
        <v>0</v>
      </c>
      <c r="Q358" s="90"/>
      <c r="R358" s="28" t="s">
        <v>1317</v>
      </c>
      <c r="S358" s="7" t="s">
        <v>145</v>
      </c>
      <c r="T358" s="7" t="s">
        <v>1318</v>
      </c>
      <c r="U358" s="7" t="s">
        <v>20</v>
      </c>
      <c r="V358" s="24" t="e">
        <f t="shared" ca="1" si="14"/>
        <v>#NAME?</v>
      </c>
      <c r="W358" s="7"/>
      <c r="X358" s="7" t="s">
        <v>52</v>
      </c>
      <c r="Y358" s="29" t="s">
        <v>147</v>
      </c>
      <c r="Z358" s="30"/>
      <c r="AA358" s="31">
        <v>45028</v>
      </c>
      <c r="AB358" s="32">
        <v>49075100009910</v>
      </c>
      <c r="AC358" s="30"/>
      <c r="AD358" s="30"/>
      <c r="AE358" s="30"/>
      <c r="AF358" s="30">
        <v>0</v>
      </c>
      <c r="AG358" s="30">
        <v>0</v>
      </c>
      <c r="AH358" s="30">
        <v>0</v>
      </c>
      <c r="AI358" s="30">
        <v>1257106.81</v>
      </c>
      <c r="AJ358" s="30">
        <v>1279464.7</v>
      </c>
      <c r="AK358" s="30">
        <v>1303880.5</v>
      </c>
      <c r="AL358" s="30">
        <v>1319712.68</v>
      </c>
      <c r="AM358" s="30">
        <v>1301655.48</v>
      </c>
      <c r="AN358" s="30">
        <v>1306517.8999999999</v>
      </c>
      <c r="AO358" s="30">
        <v>1294721.43</v>
      </c>
      <c r="AP358" s="30">
        <v>1309541.25</v>
      </c>
      <c r="AQ358" s="30">
        <v>1332806.55</v>
      </c>
      <c r="AR358" s="30">
        <v>935959.23</v>
      </c>
      <c r="AS358" s="30">
        <v>939767.14</v>
      </c>
      <c r="AT358" s="30">
        <v>929335.64</v>
      </c>
      <c r="AU358" s="30">
        <v>915961.54</v>
      </c>
      <c r="AV358" s="30">
        <v>900357</v>
      </c>
      <c r="AW358" s="30">
        <v>878661.4</v>
      </c>
      <c r="AX358" s="30">
        <v>883206.4</v>
      </c>
      <c r="AY358" s="30">
        <v>883857.18</v>
      </c>
      <c r="AZ358" s="30">
        <v>0</v>
      </c>
      <c r="BA358" s="30" t="e">
        <f t="array" aca="1" ref="BA358" ca="1">_xludf.XLOOKUP(C358,'PL TOTAL D0'!A:A,'PL TOTAL D0'!C:C,"")</f>
        <v>#NAME?</v>
      </c>
    </row>
    <row r="359" spans="1:53" ht="15.75" customHeight="1">
      <c r="A359" s="23" t="s">
        <v>29</v>
      </c>
      <c r="B359" s="3" t="s">
        <v>1319</v>
      </c>
      <c r="C359" s="4" t="s">
        <v>1320</v>
      </c>
      <c r="D359" s="7" t="s">
        <v>19</v>
      </c>
      <c r="E359" s="7" t="s">
        <v>20</v>
      </c>
      <c r="F359" s="7" t="s">
        <v>449</v>
      </c>
      <c r="G359" s="7" t="e">
        <f t="shared" ca="1" si="13"/>
        <v>#NAME?</v>
      </c>
      <c r="H359" s="24" t="s">
        <v>152</v>
      </c>
      <c r="I359" s="24" t="s">
        <v>25</v>
      </c>
      <c r="J359" s="7" t="str">
        <f t="shared" si="18"/>
        <v>Não</v>
      </c>
      <c r="K359" s="25">
        <v>45470</v>
      </c>
      <c r="L359" s="7"/>
      <c r="M359" s="7" t="s">
        <v>42</v>
      </c>
      <c r="N359" s="26">
        <v>1.0999999999999999E-2</v>
      </c>
      <c r="O359" s="7" t="s">
        <v>25</v>
      </c>
      <c r="P359" s="27">
        <v>0</v>
      </c>
      <c r="Q359" s="90"/>
      <c r="R359" s="90"/>
      <c r="S359" s="7" t="s">
        <v>145</v>
      </c>
      <c r="T359" s="7" t="s">
        <v>1321</v>
      </c>
      <c r="U359" s="7" t="s">
        <v>20</v>
      </c>
      <c r="V359" s="24" t="e">
        <f t="shared" ca="1" si="14"/>
        <v>#NAME?</v>
      </c>
      <c r="W359" s="7"/>
      <c r="X359" s="7" t="s">
        <v>52</v>
      </c>
      <c r="Y359" s="29" t="s">
        <v>147</v>
      </c>
      <c r="Z359" s="30"/>
      <c r="AA359" s="31">
        <v>45470</v>
      </c>
      <c r="AB359" s="32">
        <v>49075100015236</v>
      </c>
      <c r="AC359" s="30"/>
      <c r="AD359" s="30"/>
      <c r="AE359" s="30"/>
      <c r="AF359" s="30"/>
      <c r="AG359" s="30"/>
      <c r="AH359" s="30"/>
      <c r="AI359" s="30"/>
      <c r="AJ359" s="30"/>
      <c r="AK359" s="30"/>
      <c r="AL359" s="30"/>
      <c r="AM359" s="30"/>
      <c r="AN359" s="30"/>
      <c r="AO359" s="30"/>
      <c r="AP359" s="30"/>
      <c r="AQ359" s="30"/>
      <c r="AR359" s="30"/>
      <c r="AS359" s="30"/>
      <c r="AT359" s="30"/>
      <c r="AU359" s="30"/>
      <c r="AV359" s="30"/>
      <c r="AW359" s="30">
        <v>300000</v>
      </c>
      <c r="AX359" s="30">
        <v>302866.7</v>
      </c>
      <c r="AY359" s="30">
        <v>305588.93</v>
      </c>
      <c r="AZ359" s="30">
        <v>307567</v>
      </c>
      <c r="BA359" s="30" t="e">
        <f t="array" aca="1" ref="BA359" ca="1">_xludf.XLOOKUP(C359,'PL TOTAL D0'!A:A,'PL TOTAL D0'!C:C,"")</f>
        <v>#NAME?</v>
      </c>
    </row>
    <row r="360" spans="1:53" ht="15.75" customHeight="1">
      <c r="A360" s="23" t="s">
        <v>29</v>
      </c>
      <c r="B360" s="3" t="s">
        <v>1319</v>
      </c>
      <c r="C360" s="4" t="s">
        <v>1322</v>
      </c>
      <c r="D360" s="7" t="s">
        <v>19</v>
      </c>
      <c r="E360" s="7" t="s">
        <v>20</v>
      </c>
      <c r="F360" s="7" t="s">
        <v>449</v>
      </c>
      <c r="G360" s="7" t="e">
        <f t="shared" ca="1" si="13"/>
        <v>#NAME?</v>
      </c>
      <c r="H360" s="24" t="s">
        <v>161</v>
      </c>
      <c r="I360" s="24" t="s">
        <v>162</v>
      </c>
      <c r="J360" s="7" t="str">
        <f t="shared" si="18"/>
        <v>Não</v>
      </c>
      <c r="K360" s="25">
        <v>45470</v>
      </c>
      <c r="L360" s="7"/>
      <c r="M360" s="7" t="s">
        <v>87</v>
      </c>
      <c r="N360" s="26">
        <v>1.7999999999999999E-2</v>
      </c>
      <c r="O360" s="7" t="s">
        <v>183</v>
      </c>
      <c r="P360" s="27">
        <v>0.2</v>
      </c>
      <c r="Q360" s="28"/>
      <c r="R360" s="90"/>
      <c r="S360" s="7" t="s">
        <v>145</v>
      </c>
      <c r="T360" s="7" t="s">
        <v>1321</v>
      </c>
      <c r="U360" s="7" t="s">
        <v>20</v>
      </c>
      <c r="V360" s="24" t="e">
        <f t="shared" ca="1" si="14"/>
        <v>#NAME?</v>
      </c>
      <c r="W360" s="7"/>
      <c r="X360" s="7" t="s">
        <v>52</v>
      </c>
      <c r="Y360" s="29" t="s">
        <v>147</v>
      </c>
      <c r="Z360" s="30"/>
      <c r="AA360" s="31">
        <v>45470</v>
      </c>
      <c r="AB360" s="32">
        <v>49075100014957</v>
      </c>
      <c r="AC360" s="30"/>
      <c r="AD360" s="30"/>
      <c r="AE360" s="30"/>
      <c r="AF360" s="30"/>
      <c r="AG360" s="30"/>
      <c r="AH360" s="30"/>
      <c r="AI360" s="30"/>
      <c r="AJ360" s="30"/>
      <c r="AK360" s="30"/>
      <c r="AL360" s="30"/>
      <c r="AM360" s="30"/>
      <c r="AN360" s="30"/>
      <c r="AO360" s="30"/>
      <c r="AP360" s="30"/>
      <c r="AQ360" s="30"/>
      <c r="AR360" s="30"/>
      <c r="AS360" s="30"/>
      <c r="AT360" s="30"/>
      <c r="AU360" s="30"/>
      <c r="AV360" s="30"/>
      <c r="AW360" s="30">
        <v>0</v>
      </c>
      <c r="AX360" s="30">
        <v>0</v>
      </c>
      <c r="AY360" s="30">
        <v>0</v>
      </c>
      <c r="AZ360" s="30">
        <v>0</v>
      </c>
      <c r="BA360" s="30" t="e">
        <f t="array" aca="1" ref="BA360" ca="1">_xludf.XLOOKUP(C360,'PL TOTAL D0'!A:A,'PL TOTAL D0'!C:C,"")</f>
        <v>#NAME?</v>
      </c>
    </row>
    <row r="361" spans="1:53" ht="15.75" customHeight="1">
      <c r="A361" s="23" t="s">
        <v>29</v>
      </c>
      <c r="B361" s="37" t="s">
        <v>1323</v>
      </c>
      <c r="C361" s="4" t="s">
        <v>1324</v>
      </c>
      <c r="D361" s="7" t="s">
        <v>19</v>
      </c>
      <c r="E361" s="7" t="s">
        <v>34</v>
      </c>
      <c r="F361" s="7" t="s">
        <v>35</v>
      </c>
      <c r="G361" s="7" t="e">
        <f t="shared" ca="1" si="13"/>
        <v>#NAME?</v>
      </c>
      <c r="H361" s="24" t="s">
        <v>152</v>
      </c>
      <c r="I361" s="24" t="s">
        <v>25</v>
      </c>
      <c r="J361" s="7" t="str">
        <f t="shared" si="18"/>
        <v>Não</v>
      </c>
      <c r="K361" s="25">
        <v>45028</v>
      </c>
      <c r="L361" s="7"/>
      <c r="M361" s="7" t="s">
        <v>200</v>
      </c>
      <c r="N361" s="26">
        <v>1.4999999999999999E-2</v>
      </c>
      <c r="O361" s="7" t="s">
        <v>37</v>
      </c>
      <c r="P361" s="27">
        <v>0.1</v>
      </c>
      <c r="Q361" s="90"/>
      <c r="R361" s="90"/>
      <c r="S361" s="7" t="s">
        <v>145</v>
      </c>
      <c r="T361" s="7" t="s">
        <v>1325</v>
      </c>
      <c r="U361" s="7" t="s">
        <v>39</v>
      </c>
      <c r="V361" s="24" t="e">
        <f t="shared" ca="1" si="14"/>
        <v>#NAME?</v>
      </c>
      <c r="W361" s="7"/>
      <c r="X361" s="7"/>
      <c r="Y361" s="29" t="s">
        <v>147</v>
      </c>
      <c r="Z361" s="30"/>
      <c r="AA361" s="31">
        <v>45028</v>
      </c>
      <c r="AB361" s="32">
        <v>49075100003599</v>
      </c>
      <c r="AC361" s="30"/>
      <c r="AD361" s="30"/>
      <c r="AE361" s="30"/>
      <c r="AF361" s="30"/>
      <c r="AG361" s="30"/>
      <c r="AH361" s="30">
        <v>0</v>
      </c>
      <c r="AI361" s="30">
        <v>355326.46</v>
      </c>
      <c r="AJ361" s="30">
        <v>360391.21</v>
      </c>
      <c r="AK361" s="30">
        <v>366511</v>
      </c>
      <c r="AL361" s="30">
        <v>370316.11</v>
      </c>
      <c r="AM361" s="30">
        <v>367855.05</v>
      </c>
      <c r="AN361" s="30">
        <v>369466.61</v>
      </c>
      <c r="AO361" s="30">
        <v>368762.06</v>
      </c>
      <c r="AP361" s="30">
        <v>376416.68</v>
      </c>
      <c r="AQ361" s="30">
        <v>381656.46</v>
      </c>
      <c r="AR361" s="30">
        <v>375998.35</v>
      </c>
      <c r="AS361" s="30">
        <v>378904.15</v>
      </c>
      <c r="AT361" s="30">
        <v>581827.86</v>
      </c>
      <c r="AU361" s="30">
        <v>577271.54</v>
      </c>
      <c r="AV361" s="30">
        <v>574841</v>
      </c>
      <c r="AW361" s="30">
        <v>578389.1</v>
      </c>
      <c r="AX361" s="30">
        <v>586389</v>
      </c>
      <c r="AY361" s="30">
        <v>593204.41</v>
      </c>
      <c r="AZ361" s="30">
        <v>592285.65</v>
      </c>
      <c r="BA361" s="30" t="e">
        <f t="array" aca="1" ref="BA361" ca="1">_xludf.XLOOKUP(C361,'PL TOTAL D0'!A:A,'PL TOTAL D0'!C:C,"")</f>
        <v>#NAME?</v>
      </c>
    </row>
    <row r="362" spans="1:53" ht="15.75" customHeight="1">
      <c r="A362" s="23" t="s">
        <v>29</v>
      </c>
      <c r="B362" s="37" t="s">
        <v>1326</v>
      </c>
      <c r="C362" s="4" t="s">
        <v>1327</v>
      </c>
      <c r="D362" s="7" t="s">
        <v>19</v>
      </c>
      <c r="E362" s="7" t="s">
        <v>20</v>
      </c>
      <c r="F362" s="7" t="s">
        <v>372</v>
      </c>
      <c r="G362" s="7" t="e">
        <f t="shared" ca="1" si="13"/>
        <v>#NAME?</v>
      </c>
      <c r="H362" s="24" t="s">
        <v>152</v>
      </c>
      <c r="I362" s="24" t="s">
        <v>25</v>
      </c>
      <c r="J362" s="7" t="str">
        <f t="shared" si="18"/>
        <v>Não</v>
      </c>
      <c r="K362" s="25">
        <v>45008</v>
      </c>
      <c r="L362" s="7"/>
      <c r="M362" s="7" t="s">
        <v>42</v>
      </c>
      <c r="N362" s="26">
        <v>1.2E-2</v>
      </c>
      <c r="O362" s="7" t="s">
        <v>25</v>
      </c>
      <c r="P362" s="27">
        <v>0</v>
      </c>
      <c r="Q362" s="28"/>
      <c r="R362" s="90"/>
      <c r="S362" s="7" t="s">
        <v>145</v>
      </c>
      <c r="T362" s="7" t="s">
        <v>1328</v>
      </c>
      <c r="U362" s="7" t="s">
        <v>886</v>
      </c>
      <c r="V362" s="24" t="e">
        <f t="shared" ca="1" si="14"/>
        <v>#NAME?</v>
      </c>
      <c r="W362" s="7"/>
      <c r="X362" s="7"/>
      <c r="Y362" s="29" t="s">
        <v>147</v>
      </c>
      <c r="Z362" s="30"/>
      <c r="AA362" s="31">
        <v>45008</v>
      </c>
      <c r="AB362" s="32">
        <v>49075100008167</v>
      </c>
      <c r="AC362" s="30"/>
      <c r="AD362" s="30"/>
      <c r="AE362" s="30"/>
      <c r="AF362" s="30"/>
      <c r="AG362" s="30"/>
      <c r="AH362" s="30">
        <v>501068.64</v>
      </c>
      <c r="AI362" s="30">
        <v>504869.41</v>
      </c>
      <c r="AJ362" s="30">
        <v>510334.32</v>
      </c>
      <c r="AK362" s="30">
        <v>514928.52</v>
      </c>
      <c r="AL362" s="30">
        <v>519371.42</v>
      </c>
      <c r="AM362" s="30">
        <v>524719.4</v>
      </c>
      <c r="AN362" s="30">
        <v>529041.09</v>
      </c>
      <c r="AO362" s="30">
        <v>533677.29</v>
      </c>
      <c r="AP362" s="30">
        <v>534608.02</v>
      </c>
      <c r="AQ362" s="30">
        <v>538744.15</v>
      </c>
      <c r="AR362" s="30">
        <v>543769.68000000005</v>
      </c>
      <c r="AS362" s="30">
        <v>548219.31999999995</v>
      </c>
      <c r="AT362" s="30">
        <v>550429.91</v>
      </c>
      <c r="AU362" s="30">
        <v>552172.42000000004</v>
      </c>
      <c r="AV362" s="30">
        <v>556571.5</v>
      </c>
      <c r="AW362" s="30">
        <v>560574.69999999995</v>
      </c>
      <c r="AX362" s="30">
        <v>535078.9</v>
      </c>
      <c r="AY362" s="30">
        <v>539239.78</v>
      </c>
      <c r="AZ362" s="30">
        <v>491506.42</v>
      </c>
      <c r="BA362" s="30" t="e">
        <f t="array" aca="1" ref="BA362" ca="1">_xludf.XLOOKUP(C362,'PL TOTAL D0'!A:A,'PL TOTAL D0'!C:C,"")</f>
        <v>#NAME?</v>
      </c>
    </row>
    <row r="363" spans="1:53" ht="15.75" customHeight="1">
      <c r="A363" s="23" t="s">
        <v>29</v>
      </c>
      <c r="B363" s="3" t="s">
        <v>1329</v>
      </c>
      <c r="C363" s="4" t="s">
        <v>1330</v>
      </c>
      <c r="D363" s="7" t="s">
        <v>19</v>
      </c>
      <c r="E363" s="7" t="s">
        <v>49</v>
      </c>
      <c r="F363" s="7" t="s">
        <v>277</v>
      </c>
      <c r="G363" s="7" t="e">
        <f t="shared" ca="1" si="13"/>
        <v>#NAME?</v>
      </c>
      <c r="H363" s="24" t="s">
        <v>152</v>
      </c>
      <c r="I363" s="24" t="s">
        <v>25</v>
      </c>
      <c r="J363" s="7" t="str">
        <f t="shared" si="18"/>
        <v>Não</v>
      </c>
      <c r="K363" s="25">
        <v>44909</v>
      </c>
      <c r="L363" s="7"/>
      <c r="M363" s="7" t="s">
        <v>42</v>
      </c>
      <c r="N363" s="26">
        <v>0.01</v>
      </c>
      <c r="O363" s="7" t="s">
        <v>25</v>
      </c>
      <c r="P363" s="27">
        <v>0</v>
      </c>
      <c r="Q363" s="90"/>
      <c r="R363" s="90"/>
      <c r="S363" s="7" t="s">
        <v>187</v>
      </c>
      <c r="T363" s="7">
        <v>47341517000108</v>
      </c>
      <c r="U363" s="7" t="s">
        <v>49</v>
      </c>
      <c r="V363" s="24" t="e">
        <f t="shared" ca="1" si="14"/>
        <v>#NAME?</v>
      </c>
      <c r="W363" s="7"/>
      <c r="X363" s="7"/>
      <c r="Y363" s="29" t="s">
        <v>253</v>
      </c>
      <c r="Z363" s="30"/>
      <c r="AA363" s="31">
        <v>44909</v>
      </c>
      <c r="AB363" s="32">
        <v>49075100004145</v>
      </c>
      <c r="AC363" s="30"/>
      <c r="AD363" s="30"/>
      <c r="AE363" s="30">
        <v>1200247.58</v>
      </c>
      <c r="AF363" s="30">
        <v>1178447.93</v>
      </c>
      <c r="AG363" s="30">
        <v>1152279.75</v>
      </c>
      <c r="AH363" s="30">
        <v>1129848.76</v>
      </c>
      <c r="AI363" s="30">
        <v>1110519.6000000001</v>
      </c>
      <c r="AJ363" s="30">
        <v>1098123.19</v>
      </c>
      <c r="AK363" s="30">
        <v>1093084.04</v>
      </c>
      <c r="AL363" s="30">
        <v>1090968.79</v>
      </c>
      <c r="AM363" s="30">
        <v>1064172.67</v>
      </c>
      <c r="AN363" s="30">
        <v>1072675.1399999999</v>
      </c>
      <c r="AO363" s="30">
        <v>1067565.04</v>
      </c>
      <c r="AP363" s="30">
        <v>1053672.81</v>
      </c>
      <c r="AQ363" s="30">
        <v>1045311.94</v>
      </c>
      <c r="AR363" s="30">
        <v>1037210.17</v>
      </c>
      <c r="AS363" s="30">
        <v>896369.06</v>
      </c>
      <c r="AT363" s="30">
        <v>874087.61</v>
      </c>
      <c r="AU363" s="30">
        <v>797210.69</v>
      </c>
      <c r="AV363" s="30">
        <v>716020.1</v>
      </c>
      <c r="AW363" s="30">
        <v>669078.6</v>
      </c>
      <c r="AX363" s="30">
        <v>652658.69999999995</v>
      </c>
      <c r="AY363" s="30">
        <v>625913.31000000006</v>
      </c>
      <c r="AZ363" s="30">
        <v>515910.76</v>
      </c>
      <c r="BA363" s="30" t="e">
        <f t="array" aca="1" ref="BA363" ca="1">_xludf.XLOOKUP(C363,'PL TOTAL D0'!A:A,'PL TOTAL D0'!C:C,"")</f>
        <v>#NAME?</v>
      </c>
    </row>
    <row r="364" spans="1:53" ht="15.75" customHeight="1">
      <c r="A364" s="23" t="s">
        <v>29</v>
      </c>
      <c r="B364" s="3" t="s">
        <v>1331</v>
      </c>
      <c r="C364" s="4" t="s">
        <v>1332</v>
      </c>
      <c r="D364" s="7" t="s">
        <v>19</v>
      </c>
      <c r="E364" s="7" t="s">
        <v>34</v>
      </c>
      <c r="F364" s="7" t="s">
        <v>35</v>
      </c>
      <c r="G364" s="7" t="e">
        <f t="shared" ca="1" si="13"/>
        <v>#NAME?</v>
      </c>
      <c r="H364" s="24" t="s">
        <v>152</v>
      </c>
      <c r="I364" s="24" t="s">
        <v>25</v>
      </c>
      <c r="J364" s="7" t="str">
        <f t="shared" si="18"/>
        <v>Não</v>
      </c>
      <c r="K364" s="25">
        <v>45034</v>
      </c>
      <c r="L364" s="7"/>
      <c r="M364" s="7" t="s">
        <v>87</v>
      </c>
      <c r="N364" s="26">
        <v>1.4999999999999999E-2</v>
      </c>
      <c r="O364" s="7" t="s">
        <v>183</v>
      </c>
      <c r="P364" s="27">
        <v>0.2</v>
      </c>
      <c r="Q364" s="28"/>
      <c r="R364" s="28"/>
      <c r="S364" s="7" t="s">
        <v>145</v>
      </c>
      <c r="T364" s="7" t="s">
        <v>1333</v>
      </c>
      <c r="U364" s="7" t="s">
        <v>39</v>
      </c>
      <c r="V364" s="24" t="e">
        <f t="shared" ca="1" si="14"/>
        <v>#NAME?</v>
      </c>
      <c r="W364" s="7"/>
      <c r="X364" s="7"/>
      <c r="Y364" s="29" t="s">
        <v>147</v>
      </c>
      <c r="Z364" s="30"/>
      <c r="AA364" s="31">
        <v>45034</v>
      </c>
      <c r="AB364" s="32">
        <v>49075100008361</v>
      </c>
      <c r="AC364" s="30"/>
      <c r="AD364" s="30"/>
      <c r="AE364" s="30"/>
      <c r="AF364" s="30"/>
      <c r="AG364" s="30"/>
      <c r="AH364" s="30">
        <v>0</v>
      </c>
      <c r="AI364" s="30">
        <v>14649.95</v>
      </c>
      <c r="AJ364" s="30">
        <v>347561.87</v>
      </c>
      <c r="AK364" s="30">
        <v>375835.95</v>
      </c>
      <c r="AL364" s="30">
        <v>460484.47</v>
      </c>
      <c r="AM364" s="30">
        <v>471049.81</v>
      </c>
      <c r="AN364" s="30">
        <v>499682.77</v>
      </c>
      <c r="AO364" s="30">
        <v>522608.53</v>
      </c>
      <c r="AP364" s="30">
        <v>572538.69999999995</v>
      </c>
      <c r="AQ364" s="30">
        <v>634632.13</v>
      </c>
      <c r="AR364" s="30">
        <v>593675.26</v>
      </c>
      <c r="AS364" s="30">
        <v>602012.14</v>
      </c>
      <c r="AT364" s="30">
        <v>640051.06999999995</v>
      </c>
      <c r="AU364" s="30">
        <v>614196.9</v>
      </c>
      <c r="AV364" s="30">
        <v>613215.19999999995</v>
      </c>
      <c r="AW364" s="30">
        <v>628701.6</v>
      </c>
      <c r="AX364" s="30">
        <v>646194.5</v>
      </c>
      <c r="AY364" s="30">
        <v>661166.6</v>
      </c>
      <c r="AZ364" s="30">
        <v>650121.30000000005</v>
      </c>
      <c r="BA364" s="30" t="e">
        <f t="array" aca="1" ref="BA364" ca="1">_xludf.XLOOKUP(C364,'PL TOTAL D0'!A:A,'PL TOTAL D0'!C:C,"")</f>
        <v>#NAME?</v>
      </c>
    </row>
    <row r="365" spans="1:53" ht="15.75" customHeight="1">
      <c r="A365" s="23" t="s">
        <v>29</v>
      </c>
      <c r="B365" s="37" t="s">
        <v>1331</v>
      </c>
      <c r="C365" s="4" t="s">
        <v>1334</v>
      </c>
      <c r="D365" s="7" t="s">
        <v>19</v>
      </c>
      <c r="E365" s="7" t="s">
        <v>34</v>
      </c>
      <c r="F365" s="7" t="s">
        <v>35</v>
      </c>
      <c r="G365" s="7" t="e">
        <f t="shared" ca="1" si="13"/>
        <v>#NAME?</v>
      </c>
      <c r="H365" s="24" t="s">
        <v>152</v>
      </c>
      <c r="I365" s="24" t="s">
        <v>25</v>
      </c>
      <c r="J365" s="7" t="str">
        <f t="shared" si="18"/>
        <v>Não</v>
      </c>
      <c r="K365" s="25">
        <v>45033</v>
      </c>
      <c r="L365" s="7"/>
      <c r="M365" s="7" t="s">
        <v>42</v>
      </c>
      <c r="N365" s="26">
        <v>1.2E-2</v>
      </c>
      <c r="O365" s="7" t="s">
        <v>25</v>
      </c>
      <c r="P365" s="27">
        <v>0</v>
      </c>
      <c r="Q365" s="90"/>
      <c r="R365" s="90"/>
      <c r="S365" s="7" t="s">
        <v>145</v>
      </c>
      <c r="T365" s="7" t="s">
        <v>1333</v>
      </c>
      <c r="U365" s="7" t="s">
        <v>39</v>
      </c>
      <c r="V365" s="24" t="e">
        <f t="shared" ca="1" si="14"/>
        <v>#NAME?</v>
      </c>
      <c r="W365" s="7"/>
      <c r="X365" s="7"/>
      <c r="Y365" s="29" t="s">
        <v>147</v>
      </c>
      <c r="Z365" s="30"/>
      <c r="AA365" s="31">
        <v>45033</v>
      </c>
      <c r="AB365" s="32">
        <v>49075100008515</v>
      </c>
      <c r="AC365" s="30"/>
      <c r="AD365" s="30"/>
      <c r="AE365" s="30"/>
      <c r="AF365" s="30"/>
      <c r="AG365" s="30"/>
      <c r="AH365" s="30">
        <v>0</v>
      </c>
      <c r="AI365" s="30">
        <v>15035.36</v>
      </c>
      <c r="AJ365" s="30">
        <v>494989.38</v>
      </c>
      <c r="AK365" s="30">
        <v>493279.87</v>
      </c>
      <c r="AL365" s="30">
        <v>532488.02</v>
      </c>
      <c r="AM365" s="30">
        <v>562884.98</v>
      </c>
      <c r="AN365" s="30">
        <v>592435.26</v>
      </c>
      <c r="AO365" s="30">
        <v>637936.48</v>
      </c>
      <c r="AP365" s="30">
        <v>672615.94</v>
      </c>
      <c r="AQ365" s="30">
        <v>717838.38</v>
      </c>
      <c r="AR365" s="30">
        <v>724329.76</v>
      </c>
      <c r="AS365" s="30">
        <v>729024.97</v>
      </c>
      <c r="AT365" s="30">
        <v>765575.63</v>
      </c>
      <c r="AU365" s="30">
        <v>771439.14</v>
      </c>
      <c r="AV365" s="30">
        <v>794094.8</v>
      </c>
      <c r="AW365" s="30">
        <v>799726.2</v>
      </c>
      <c r="AX365" s="30">
        <v>806135.5</v>
      </c>
      <c r="AY365" s="30">
        <v>810970.14</v>
      </c>
      <c r="AZ365" s="30">
        <v>850960.45</v>
      </c>
      <c r="BA365" s="30" t="e">
        <f t="array" aca="1" ref="BA365" ca="1">_xludf.XLOOKUP(C365,'PL TOTAL D0'!A:A,'PL TOTAL D0'!C:C,"")</f>
        <v>#NAME?</v>
      </c>
    </row>
    <row r="366" spans="1:53" ht="15.75" customHeight="1">
      <c r="A366" s="23" t="s">
        <v>29</v>
      </c>
      <c r="B366" s="37" t="s">
        <v>1331</v>
      </c>
      <c r="C366" s="4" t="s">
        <v>1335</v>
      </c>
      <c r="D366" s="7" t="s">
        <v>19</v>
      </c>
      <c r="E366" s="7" t="s">
        <v>34</v>
      </c>
      <c r="F366" s="7" t="s">
        <v>35</v>
      </c>
      <c r="G366" s="7" t="e">
        <f t="shared" ca="1" si="13"/>
        <v>#NAME?</v>
      </c>
      <c r="H366" s="24" t="s">
        <v>143</v>
      </c>
      <c r="I366" s="24" t="s">
        <v>25</v>
      </c>
      <c r="J366" s="7" t="str">
        <f t="shared" si="18"/>
        <v>Não</v>
      </c>
      <c r="K366" s="25">
        <v>45077</v>
      </c>
      <c r="L366" s="25">
        <v>45036</v>
      </c>
      <c r="M366" s="7" t="s">
        <v>87</v>
      </c>
      <c r="N366" s="26">
        <v>1.4999999999999999E-2</v>
      </c>
      <c r="O366" s="7" t="s">
        <v>183</v>
      </c>
      <c r="P366" s="27">
        <v>0.2</v>
      </c>
      <c r="Q366" s="78"/>
      <c r="R366" s="78"/>
      <c r="S366" s="7" t="s">
        <v>145</v>
      </c>
      <c r="T366" s="7" t="s">
        <v>1333</v>
      </c>
      <c r="U366" s="7" t="s">
        <v>39</v>
      </c>
      <c r="V366" s="24" t="e">
        <f t="shared" ca="1" si="14"/>
        <v>#NAME?</v>
      </c>
      <c r="W366" s="7"/>
      <c r="X366" s="7"/>
      <c r="Y366" s="29"/>
      <c r="Z366" s="30"/>
      <c r="AA366" s="31">
        <v>45077</v>
      </c>
      <c r="AB366" s="32"/>
      <c r="AC366" s="30"/>
      <c r="AD366" s="30"/>
      <c r="AE366" s="30"/>
      <c r="AF366" s="30"/>
      <c r="AG366" s="30"/>
      <c r="AH366" s="30">
        <v>0</v>
      </c>
      <c r="AI366" s="30">
        <v>0</v>
      </c>
      <c r="AJ366" s="30">
        <v>0</v>
      </c>
      <c r="AK366" s="30">
        <v>0</v>
      </c>
      <c r="AL366" s="30">
        <v>0</v>
      </c>
      <c r="AM366" s="30">
        <v>0</v>
      </c>
      <c r="AN366" s="30">
        <v>0</v>
      </c>
      <c r="AO366" s="30">
        <v>0</v>
      </c>
      <c r="AP366" s="30">
        <v>0</v>
      </c>
      <c r="AQ366" s="30">
        <v>0</v>
      </c>
      <c r="AR366" s="30">
        <v>0</v>
      </c>
      <c r="AS366" s="30">
        <v>0</v>
      </c>
      <c r="AT366" s="30">
        <v>0</v>
      </c>
      <c r="AU366" s="30">
        <v>0</v>
      </c>
      <c r="AV366" s="30">
        <v>0</v>
      </c>
      <c r="AW366" s="30">
        <v>0</v>
      </c>
      <c r="AX366" s="30">
        <v>0</v>
      </c>
      <c r="AY366" s="30">
        <v>0</v>
      </c>
      <c r="AZ366" s="30">
        <v>0</v>
      </c>
      <c r="BA366" s="30" t="e">
        <f t="array" aca="1" ref="BA366" ca="1">_xludf.XLOOKUP(C366,'PL TOTAL D0'!A:A,'PL TOTAL D0'!C:C,"")</f>
        <v>#NAME?</v>
      </c>
    </row>
    <row r="367" spans="1:53" ht="15.75" customHeight="1">
      <c r="A367" s="23" t="s">
        <v>29</v>
      </c>
      <c r="B367" s="37" t="s">
        <v>1336</v>
      </c>
      <c r="C367" s="4" t="s">
        <v>1337</v>
      </c>
      <c r="D367" s="7" t="s">
        <v>72</v>
      </c>
      <c r="E367" s="7" t="s">
        <v>20</v>
      </c>
      <c r="F367" s="7" t="s">
        <v>337</v>
      </c>
      <c r="G367" s="7" t="e">
        <f t="shared" ca="1" si="13"/>
        <v>#NAME?</v>
      </c>
      <c r="H367" s="24" t="s">
        <v>152</v>
      </c>
      <c r="I367" s="24" t="s">
        <v>25</v>
      </c>
      <c r="J367" s="7" t="str">
        <f t="shared" si="18"/>
        <v>Não</v>
      </c>
      <c r="K367" s="25">
        <v>45063</v>
      </c>
      <c r="L367" s="25"/>
      <c r="M367" s="7" t="s">
        <v>42</v>
      </c>
      <c r="N367" s="26">
        <v>0.01</v>
      </c>
      <c r="O367" s="7" t="s">
        <v>25</v>
      </c>
      <c r="P367" s="27">
        <v>0</v>
      </c>
      <c r="Q367" s="78"/>
      <c r="R367" s="78"/>
      <c r="S367" s="7" t="s">
        <v>187</v>
      </c>
      <c r="T367" s="7">
        <v>37057387000122</v>
      </c>
      <c r="U367" s="7" t="s">
        <v>20</v>
      </c>
      <c r="V367" s="24" t="e">
        <f t="shared" ca="1" si="14"/>
        <v>#NAME?</v>
      </c>
      <c r="W367" s="7"/>
      <c r="X367" s="7"/>
      <c r="Y367" s="29" t="s">
        <v>147</v>
      </c>
      <c r="Z367" s="30"/>
      <c r="AA367" s="31">
        <v>45063</v>
      </c>
      <c r="AB367" s="32">
        <v>49075100008787</v>
      </c>
      <c r="AC367" s="30"/>
      <c r="AD367" s="30"/>
      <c r="AE367" s="30"/>
      <c r="AF367" s="30"/>
      <c r="AG367" s="30"/>
      <c r="AH367" s="30"/>
      <c r="AI367" s="30">
        <v>0</v>
      </c>
      <c r="AJ367" s="30">
        <v>0</v>
      </c>
      <c r="AK367" s="30">
        <v>1273091.45</v>
      </c>
      <c r="AL367" s="30">
        <v>1283492.26</v>
      </c>
      <c r="AM367" s="30">
        <v>1291270</v>
      </c>
      <c r="AN367" s="30">
        <v>1297464.97</v>
      </c>
      <c r="AO367" s="30">
        <v>1337778.23</v>
      </c>
      <c r="AP367" s="30">
        <v>1347751.78</v>
      </c>
      <c r="AQ367" s="30">
        <v>1357641.77</v>
      </c>
      <c r="AR367" s="30">
        <v>1366302.01</v>
      </c>
      <c r="AS367" s="30">
        <v>1376805.84</v>
      </c>
      <c r="AT367" s="30">
        <v>1384069.46</v>
      </c>
      <c r="AU367" s="30">
        <v>1384590.58</v>
      </c>
      <c r="AV367" s="30">
        <v>1387450</v>
      </c>
      <c r="AW367" s="30">
        <v>1394987</v>
      </c>
      <c r="AX367" s="30">
        <v>1406681</v>
      </c>
      <c r="AY367" s="30">
        <v>1401763.31</v>
      </c>
      <c r="AZ367" s="30">
        <v>1411844.99</v>
      </c>
      <c r="BA367" s="30" t="e">
        <f t="array" aca="1" ref="BA367" ca="1">_xludf.XLOOKUP(C367,'PL TOTAL D0'!A:A,'PL TOTAL D0'!C:C,"")</f>
        <v>#NAME?</v>
      </c>
    </row>
    <row r="368" spans="1:53" ht="15.75" customHeight="1">
      <c r="A368" s="23" t="s">
        <v>29</v>
      </c>
      <c r="B368" s="3" t="s">
        <v>1338</v>
      </c>
      <c r="C368" s="4" t="s">
        <v>1339</v>
      </c>
      <c r="D368" s="7" t="s">
        <v>19</v>
      </c>
      <c r="E368" s="7" t="s">
        <v>49</v>
      </c>
      <c r="F368" s="7" t="s">
        <v>328</v>
      </c>
      <c r="G368" s="7" t="e">
        <f t="shared" ca="1" si="13"/>
        <v>#NAME?</v>
      </c>
      <c r="H368" s="24" t="s">
        <v>161</v>
      </c>
      <c r="I368" s="24" t="s">
        <v>162</v>
      </c>
      <c r="J368" s="7" t="str">
        <f t="shared" si="18"/>
        <v>Não</v>
      </c>
      <c r="K368" s="25">
        <v>45163</v>
      </c>
      <c r="L368" s="23"/>
      <c r="M368" s="7" t="s">
        <v>42</v>
      </c>
      <c r="N368" s="26">
        <v>1.2E-2</v>
      </c>
      <c r="O368" s="7" t="s">
        <v>25</v>
      </c>
      <c r="P368" s="27">
        <v>0</v>
      </c>
      <c r="Q368" s="45"/>
      <c r="R368" s="45"/>
      <c r="S368" s="7" t="s">
        <v>187</v>
      </c>
      <c r="T368" s="7" t="s">
        <v>1340</v>
      </c>
      <c r="U368" s="7" t="s">
        <v>49</v>
      </c>
      <c r="V368" s="24" t="e">
        <f t="shared" ca="1" si="14"/>
        <v>#NAME?</v>
      </c>
      <c r="W368" s="7"/>
      <c r="X368" s="7"/>
      <c r="Y368" s="29" t="s">
        <v>147</v>
      </c>
      <c r="Z368" s="132"/>
      <c r="AA368" s="133">
        <v>45163</v>
      </c>
      <c r="AB368" s="134">
        <v>49075100011478</v>
      </c>
      <c r="AC368" s="132"/>
      <c r="AD368" s="132"/>
      <c r="AE368" s="132"/>
      <c r="AF368" s="30"/>
      <c r="AG368" s="30"/>
      <c r="AH368" s="30"/>
      <c r="AI368" s="30"/>
      <c r="AJ368" s="30"/>
      <c r="AK368" s="30"/>
      <c r="AL368" s="30">
        <v>0</v>
      </c>
      <c r="AM368" s="30">
        <v>0</v>
      </c>
      <c r="AN368" s="30">
        <v>0</v>
      </c>
      <c r="AO368" s="30">
        <v>0</v>
      </c>
      <c r="AP368" s="30">
        <v>0</v>
      </c>
      <c r="AQ368" s="30">
        <v>100000</v>
      </c>
      <c r="AR368" s="30">
        <v>302510.09999999998</v>
      </c>
      <c r="AS368" s="30">
        <v>284642.17</v>
      </c>
      <c r="AT368" s="30">
        <v>53523.46</v>
      </c>
      <c r="AU368" s="30">
        <v>9670.6200000000008</v>
      </c>
      <c r="AV368" s="30">
        <v>9733.7199999999993</v>
      </c>
      <c r="AW368" s="30">
        <v>9792.17</v>
      </c>
      <c r="AX368" s="30">
        <v>0</v>
      </c>
      <c r="AY368" s="30">
        <v>0.02</v>
      </c>
      <c r="AZ368" s="30">
        <v>0.02</v>
      </c>
      <c r="BA368" s="30" t="e">
        <f t="array" aca="1" ref="BA368" ca="1">_xludf.XLOOKUP(C368,'PL TOTAL D0'!A:A,'PL TOTAL D0'!C:C,"")</f>
        <v>#NAME?</v>
      </c>
    </row>
    <row r="369" spans="1:53" ht="15.75" customHeight="1">
      <c r="A369" s="23" t="s">
        <v>29</v>
      </c>
      <c r="B369" s="3" t="s">
        <v>1338</v>
      </c>
      <c r="C369" s="4" t="s">
        <v>1341</v>
      </c>
      <c r="D369" s="7" t="s">
        <v>19</v>
      </c>
      <c r="E369" s="7" t="s">
        <v>49</v>
      </c>
      <c r="F369" s="7" t="s">
        <v>328</v>
      </c>
      <c r="G369" s="7" t="e">
        <f t="shared" ca="1" si="13"/>
        <v>#NAME?</v>
      </c>
      <c r="H369" s="24" t="s">
        <v>152</v>
      </c>
      <c r="I369" s="24" t="s">
        <v>25</v>
      </c>
      <c r="J369" s="7" t="str">
        <f t="shared" si="18"/>
        <v>Sim</v>
      </c>
      <c r="K369" s="25">
        <v>44964</v>
      </c>
      <c r="L369" s="7"/>
      <c r="M369" s="7" t="s">
        <v>58</v>
      </c>
      <c r="N369" s="26">
        <v>1.2E-2</v>
      </c>
      <c r="O369" s="7" t="s">
        <v>25</v>
      </c>
      <c r="P369" s="27">
        <v>0</v>
      </c>
      <c r="Q369" s="28" t="s">
        <v>1342</v>
      </c>
      <c r="R369" s="28"/>
      <c r="S369" s="7" t="s">
        <v>187</v>
      </c>
      <c r="T369" s="7" t="s">
        <v>1343</v>
      </c>
      <c r="U369" s="7" t="s">
        <v>49</v>
      </c>
      <c r="V369" s="24" t="e">
        <f t="shared" ca="1" si="14"/>
        <v>#NAME?</v>
      </c>
      <c r="W369" s="7"/>
      <c r="X369" s="7"/>
      <c r="Y369" s="29" t="s">
        <v>147</v>
      </c>
      <c r="Z369" s="30"/>
      <c r="AA369" s="31">
        <v>44964</v>
      </c>
      <c r="AB369" s="32">
        <v>49075100003017</v>
      </c>
      <c r="AC369" s="30"/>
      <c r="AD369" s="30"/>
      <c r="AE369" s="30"/>
      <c r="AF369" s="30">
        <v>0</v>
      </c>
      <c r="AG369" s="30">
        <v>15906624.59</v>
      </c>
      <c r="AH369" s="30">
        <v>15914768.17</v>
      </c>
      <c r="AI369" s="30">
        <v>16044618.609999999</v>
      </c>
      <c r="AJ369" s="30">
        <v>15896277.26</v>
      </c>
      <c r="AK369" s="30">
        <v>16058616.369999999</v>
      </c>
      <c r="AL369" s="30">
        <v>16099820.119999999</v>
      </c>
      <c r="AM369" s="30">
        <v>16141643.869999999</v>
      </c>
      <c r="AN369" s="30">
        <v>16028770.65</v>
      </c>
      <c r="AO369" s="30">
        <v>16054702.01</v>
      </c>
      <c r="AP369" s="30">
        <v>16212085.4</v>
      </c>
      <c r="AQ369" s="30">
        <v>16373991.43</v>
      </c>
      <c r="AR369" s="30">
        <v>16388186.82</v>
      </c>
      <c r="AS369" s="30">
        <v>16520783.050000001</v>
      </c>
      <c r="AT369" s="30">
        <v>16523890.02</v>
      </c>
      <c r="AU369" s="30">
        <v>16328821.82</v>
      </c>
      <c r="AV369" s="30">
        <v>16292999</v>
      </c>
      <c r="AW369" s="30">
        <v>15518198</v>
      </c>
      <c r="AX369" s="30">
        <v>15476393</v>
      </c>
      <c r="AY369" s="30">
        <v>15518565.640000001</v>
      </c>
      <c r="AZ369" s="30">
        <v>15491239.609999999</v>
      </c>
      <c r="BA369" s="30" t="e">
        <f t="array" aca="1" ref="BA369" ca="1">_xludf.XLOOKUP(C369,'PL TOTAL D0'!A:A,'PL TOTAL D0'!C:C,"")</f>
        <v>#NAME?</v>
      </c>
    </row>
    <row r="370" spans="1:53" ht="15.75" customHeight="1">
      <c r="A370" s="23" t="s">
        <v>29</v>
      </c>
      <c r="B370" s="3" t="s">
        <v>1338</v>
      </c>
      <c r="C370" s="4" t="s">
        <v>1344</v>
      </c>
      <c r="D370" s="7" t="s">
        <v>19</v>
      </c>
      <c r="E370" s="7" t="s">
        <v>49</v>
      </c>
      <c r="F370" s="7" t="s">
        <v>328</v>
      </c>
      <c r="G370" s="7" t="e">
        <f t="shared" ca="1" si="13"/>
        <v>#NAME?</v>
      </c>
      <c r="H370" s="24" t="s">
        <v>152</v>
      </c>
      <c r="I370" s="24" t="s">
        <v>25</v>
      </c>
      <c r="J370" s="7" t="str">
        <f t="shared" si="18"/>
        <v>Não</v>
      </c>
      <c r="K370" s="25">
        <v>44965</v>
      </c>
      <c r="L370" s="23"/>
      <c r="M370" s="7" t="s">
        <v>58</v>
      </c>
      <c r="N370" s="26">
        <v>1.2E-2</v>
      </c>
      <c r="O370" s="7" t="s">
        <v>25</v>
      </c>
      <c r="P370" s="27">
        <v>0</v>
      </c>
      <c r="Q370" s="45"/>
      <c r="R370" s="45"/>
      <c r="S370" s="7" t="s">
        <v>187</v>
      </c>
      <c r="T370" s="7" t="s">
        <v>1345</v>
      </c>
      <c r="U370" s="7" t="s">
        <v>49</v>
      </c>
      <c r="V370" s="24" t="e">
        <f t="shared" ca="1" si="14"/>
        <v>#NAME?</v>
      </c>
      <c r="W370" s="7"/>
      <c r="X370" s="7"/>
      <c r="Y370" s="29" t="s">
        <v>147</v>
      </c>
      <c r="Z370" s="132"/>
      <c r="AA370" s="133">
        <v>44965</v>
      </c>
      <c r="AB370" s="134">
        <v>49075100005842</v>
      </c>
      <c r="AC370" s="132"/>
      <c r="AD370" s="132"/>
      <c r="AE370" s="132"/>
      <c r="AF370" s="30">
        <v>0</v>
      </c>
      <c r="AG370" s="30">
        <v>1138799.1599999999</v>
      </c>
      <c r="AH370" s="30">
        <v>1152760.3799999999</v>
      </c>
      <c r="AI370" s="30">
        <v>1159316.29</v>
      </c>
      <c r="AJ370" s="30">
        <v>1160229.71</v>
      </c>
      <c r="AK370" s="30">
        <v>1171602.83</v>
      </c>
      <c r="AL370" s="30">
        <v>1139042.6499999999</v>
      </c>
      <c r="AM370" s="30">
        <v>1117404.69</v>
      </c>
      <c r="AN370" s="30">
        <v>1092085.04</v>
      </c>
      <c r="AO370" s="30">
        <v>1066207.24</v>
      </c>
      <c r="AP370" s="30">
        <v>1039388.49</v>
      </c>
      <c r="AQ370" s="30">
        <v>1013924.21</v>
      </c>
      <c r="AR370" s="30">
        <v>994627.3</v>
      </c>
      <c r="AS370" s="30">
        <v>967761.19</v>
      </c>
      <c r="AT370" s="30">
        <v>955552.47</v>
      </c>
      <c r="AU370" s="30">
        <v>962906.76</v>
      </c>
      <c r="AV370" s="30">
        <v>878129.5</v>
      </c>
      <c r="AW370" s="30">
        <v>884266.5</v>
      </c>
      <c r="AX370" s="30">
        <v>890870.4</v>
      </c>
      <c r="AY370" s="30">
        <v>861594.28</v>
      </c>
      <c r="AZ370" s="30">
        <v>862314.6</v>
      </c>
      <c r="BA370" s="30" t="e">
        <f t="array" aca="1" ref="BA370" ca="1">_xludf.XLOOKUP(C370,'PL TOTAL D0'!A:A,'PL TOTAL D0'!C:C,"")</f>
        <v>#NAME?</v>
      </c>
    </row>
    <row r="371" spans="1:53" ht="15.75" customHeight="1">
      <c r="A371" s="23" t="s">
        <v>29</v>
      </c>
      <c r="B371" s="40" t="s">
        <v>1346</v>
      </c>
      <c r="C371" s="44" t="s">
        <v>1347</v>
      </c>
      <c r="D371" s="7" t="s">
        <v>64</v>
      </c>
      <c r="E371" s="7" t="s">
        <v>20</v>
      </c>
      <c r="F371" s="7" t="s">
        <v>142</v>
      </c>
      <c r="G371" s="7" t="e">
        <f t="shared" ca="1" si="13"/>
        <v>#NAME?</v>
      </c>
      <c r="H371" s="24" t="s">
        <v>143</v>
      </c>
      <c r="I371" s="24" t="s">
        <v>25</v>
      </c>
      <c r="J371" s="7" t="str">
        <f t="shared" si="18"/>
        <v>Não</v>
      </c>
      <c r="K371" s="25">
        <v>45229</v>
      </c>
      <c r="L371" s="25">
        <v>45520</v>
      </c>
      <c r="M371" s="7" t="s">
        <v>58</v>
      </c>
      <c r="N371" s="26">
        <v>1.2E-2</v>
      </c>
      <c r="O371" s="7" t="s">
        <v>37</v>
      </c>
      <c r="P371" s="27">
        <v>0.1</v>
      </c>
      <c r="Q371" s="45"/>
      <c r="R371" s="45" t="s">
        <v>702</v>
      </c>
      <c r="S371" s="7" t="s">
        <v>145</v>
      </c>
      <c r="T371" s="7" t="s">
        <v>1348</v>
      </c>
      <c r="U371" s="7" t="s">
        <v>60</v>
      </c>
      <c r="V371" s="24" t="e">
        <f t="shared" ca="1" si="14"/>
        <v>#NAME?</v>
      </c>
      <c r="W371" s="7"/>
      <c r="X371" s="7"/>
      <c r="Y371" s="29" t="s">
        <v>253</v>
      </c>
      <c r="Z371" s="132"/>
      <c r="AA371" s="133">
        <v>45229</v>
      </c>
      <c r="AB371" s="134">
        <v>49075100012490</v>
      </c>
      <c r="AC371" s="132"/>
      <c r="AD371" s="132"/>
      <c r="AE371" s="132"/>
      <c r="AF371" s="30"/>
      <c r="AG371" s="30"/>
      <c r="AH371" s="30"/>
      <c r="AI371" s="30"/>
      <c r="AJ371" s="30"/>
      <c r="AK371" s="30"/>
      <c r="AL371" s="30"/>
      <c r="AM371" s="30"/>
      <c r="AN371" s="30"/>
      <c r="AO371" s="30">
        <v>904514.02</v>
      </c>
      <c r="AP371" s="30">
        <v>915017.5</v>
      </c>
      <c r="AQ371" s="30">
        <v>966258.68</v>
      </c>
      <c r="AR371" s="30">
        <v>963443.81</v>
      </c>
      <c r="AS371" s="30">
        <v>939249.23</v>
      </c>
      <c r="AT371" s="30">
        <v>948513.33</v>
      </c>
      <c r="AU371" s="30">
        <v>946014.79</v>
      </c>
      <c r="AV371" s="30">
        <v>949805.9</v>
      </c>
      <c r="AW371" s="30">
        <v>954600.2</v>
      </c>
      <c r="AX371" s="30">
        <v>0</v>
      </c>
      <c r="AY371" s="30">
        <v>0</v>
      </c>
      <c r="AZ371" s="30">
        <v>0</v>
      </c>
      <c r="BA371" s="30" t="e">
        <f t="array" aca="1" ref="BA371" ca="1">_xludf.XLOOKUP(C371,'PL TOTAL D0'!A:A,'PL TOTAL D0'!C:C,"")</f>
        <v>#NAME?</v>
      </c>
    </row>
    <row r="372" spans="1:53" ht="15.75" customHeight="1">
      <c r="A372" s="23" t="s">
        <v>29</v>
      </c>
      <c r="B372" s="40" t="s">
        <v>1349</v>
      </c>
      <c r="C372" s="44" t="s">
        <v>1350</v>
      </c>
      <c r="D372" s="7" t="s">
        <v>19</v>
      </c>
      <c r="E372" s="7" t="s">
        <v>20</v>
      </c>
      <c r="F372" s="7" t="s">
        <v>199</v>
      </c>
      <c r="G372" s="7" t="e">
        <f t="shared" ca="1" si="13"/>
        <v>#NAME?</v>
      </c>
      <c r="H372" s="24" t="s">
        <v>152</v>
      </c>
      <c r="I372" s="24" t="s">
        <v>25</v>
      </c>
      <c r="J372" s="7" t="str">
        <f t="shared" si="18"/>
        <v>Não</v>
      </c>
      <c r="K372" s="25">
        <v>45566</v>
      </c>
      <c r="L372" s="25"/>
      <c r="M372" s="7" t="s">
        <v>42</v>
      </c>
      <c r="N372" s="26">
        <v>0.01</v>
      </c>
      <c r="O372" s="7" t="s">
        <v>25</v>
      </c>
      <c r="P372" s="27">
        <v>0</v>
      </c>
      <c r="Q372" s="135"/>
      <c r="R372" s="45"/>
      <c r="S372" s="7" t="s">
        <v>145</v>
      </c>
      <c r="T372" s="7" t="s">
        <v>1351</v>
      </c>
      <c r="U372" s="7" t="s">
        <v>20</v>
      </c>
      <c r="V372" s="24" t="e">
        <f t="shared" ca="1" si="14"/>
        <v>#NAME?</v>
      </c>
      <c r="W372" s="7"/>
      <c r="X372" s="7" t="s">
        <v>52</v>
      </c>
      <c r="Y372" s="29"/>
      <c r="Z372" s="132"/>
      <c r="AA372" s="132"/>
      <c r="AB372" s="134"/>
      <c r="AC372" s="132"/>
      <c r="AD372" s="132"/>
      <c r="AE372" s="132"/>
      <c r="AF372" s="30"/>
      <c r="AG372" s="30"/>
      <c r="AH372" s="30"/>
      <c r="AI372" s="30"/>
      <c r="AJ372" s="30"/>
      <c r="AK372" s="30"/>
      <c r="AL372" s="30"/>
      <c r="AM372" s="30"/>
      <c r="AN372" s="30"/>
      <c r="AO372" s="30"/>
      <c r="AP372" s="30"/>
      <c r="AQ372" s="30"/>
      <c r="AR372" s="30"/>
      <c r="AS372" s="30"/>
      <c r="AT372" s="30"/>
      <c r="AU372" s="30"/>
      <c r="AV372" s="30"/>
      <c r="AW372" s="30"/>
      <c r="AX372" s="30"/>
      <c r="AY372" s="30"/>
      <c r="AZ372" s="30"/>
      <c r="BA372" s="30" t="e">
        <f t="array" aca="1" ref="BA372" ca="1">_xludf.XLOOKUP(C372,'PL TOTAL D0'!A:A,'PL TOTAL D0'!C:C,"")</f>
        <v>#NAME?</v>
      </c>
    </row>
    <row r="373" spans="1:53" ht="15.75" customHeight="1">
      <c r="A373" s="23" t="s">
        <v>29</v>
      </c>
      <c r="B373" s="3" t="s">
        <v>1352</v>
      </c>
      <c r="C373" s="4" t="s">
        <v>1353</v>
      </c>
      <c r="D373" s="7" t="s">
        <v>19</v>
      </c>
      <c r="E373" s="7" t="s">
        <v>49</v>
      </c>
      <c r="F373" s="7" t="s">
        <v>50</v>
      </c>
      <c r="G373" s="7" t="e">
        <f t="shared" ca="1" si="13"/>
        <v>#NAME?</v>
      </c>
      <c r="H373" s="24" t="s">
        <v>152</v>
      </c>
      <c r="I373" s="24" t="s">
        <v>25</v>
      </c>
      <c r="J373" s="7" t="str">
        <f t="shared" si="18"/>
        <v>Não</v>
      </c>
      <c r="K373" s="25">
        <v>44607</v>
      </c>
      <c r="L373" s="7"/>
      <c r="M373" s="7" t="s">
        <v>36</v>
      </c>
      <c r="N373" s="26">
        <v>1.2E-2</v>
      </c>
      <c r="O373" s="7" t="s">
        <v>37</v>
      </c>
      <c r="P373" s="27">
        <v>0.1</v>
      </c>
      <c r="Q373" s="136"/>
      <c r="R373" s="28" t="s">
        <v>1354</v>
      </c>
      <c r="S373" s="7" t="s">
        <v>145</v>
      </c>
      <c r="T373" s="7" t="s">
        <v>1355</v>
      </c>
      <c r="U373" s="7" t="s">
        <v>49</v>
      </c>
      <c r="V373" s="24" t="e">
        <f t="shared" ca="1" si="14"/>
        <v>#NAME?</v>
      </c>
      <c r="W373" s="7"/>
      <c r="X373" s="7"/>
      <c r="Y373" s="29" t="s">
        <v>147</v>
      </c>
      <c r="Z373" s="30"/>
      <c r="AA373" s="31">
        <v>44607</v>
      </c>
      <c r="AB373" s="32">
        <v>49075100003580</v>
      </c>
      <c r="AC373" s="30"/>
      <c r="AD373" s="30"/>
      <c r="AE373" s="30"/>
      <c r="AF373" s="30">
        <v>0</v>
      </c>
      <c r="AG373" s="30">
        <v>1174012.95</v>
      </c>
      <c r="AH373" s="30">
        <v>1278337.1399999999</v>
      </c>
      <c r="AI373" s="30">
        <v>1277504.53</v>
      </c>
      <c r="AJ373" s="30">
        <v>1309970.99</v>
      </c>
      <c r="AK373" s="30">
        <v>1337693.54</v>
      </c>
      <c r="AL373" s="30">
        <v>1349842.02</v>
      </c>
      <c r="AM373" s="30">
        <v>1345337.41</v>
      </c>
      <c r="AN373" s="30">
        <v>1346431.58</v>
      </c>
      <c r="AO373" s="30">
        <v>1330950.57</v>
      </c>
      <c r="AP373" s="30">
        <v>1492941.21</v>
      </c>
      <c r="AQ373" s="30">
        <v>1513517.47</v>
      </c>
      <c r="AR373" s="30">
        <v>1523641.36</v>
      </c>
      <c r="AS373" s="30">
        <v>1563944.12</v>
      </c>
      <c r="AT373" s="30">
        <v>1596659.71</v>
      </c>
      <c r="AU373" s="30">
        <v>1600539.36</v>
      </c>
      <c r="AV373" s="30">
        <v>1630504</v>
      </c>
      <c r="AW373" s="30">
        <v>1679940</v>
      </c>
      <c r="AX373" s="30">
        <v>2079535</v>
      </c>
      <c r="AY373" s="30">
        <v>2099056.06</v>
      </c>
      <c r="AZ373" s="30">
        <v>2141123.46</v>
      </c>
      <c r="BA373" s="30" t="e">
        <f t="array" aca="1" ref="BA373" ca="1">_xludf.XLOOKUP(C373,'PL TOTAL D0'!A:A,'PL TOTAL D0'!C:C,"")</f>
        <v>#NAME?</v>
      </c>
    </row>
    <row r="374" spans="1:53" ht="15.75" customHeight="1">
      <c r="A374" s="23" t="s">
        <v>29</v>
      </c>
      <c r="B374" s="37" t="s">
        <v>1356</v>
      </c>
      <c r="C374" s="4" t="s">
        <v>1357</v>
      </c>
      <c r="D374" s="7" t="s">
        <v>19</v>
      </c>
      <c r="E374" s="7" t="s">
        <v>20</v>
      </c>
      <c r="F374" s="7" t="s">
        <v>21</v>
      </c>
      <c r="G374" s="7" t="e">
        <f t="shared" ca="1" si="13"/>
        <v>#NAME?</v>
      </c>
      <c r="H374" s="24" t="s">
        <v>152</v>
      </c>
      <c r="I374" s="24" t="s">
        <v>25</v>
      </c>
      <c r="J374" s="7" t="str">
        <f t="shared" si="18"/>
        <v>Não</v>
      </c>
      <c r="K374" s="25">
        <v>45036</v>
      </c>
      <c r="L374" s="7"/>
      <c r="M374" s="7" t="s">
        <v>466</v>
      </c>
      <c r="N374" s="26">
        <v>3.0000000000000001E-3</v>
      </c>
      <c r="O374" s="7" t="s">
        <v>25</v>
      </c>
      <c r="P374" s="27">
        <v>0</v>
      </c>
      <c r="Q374" s="28"/>
      <c r="R374" s="28"/>
      <c r="S374" s="7" t="s">
        <v>187</v>
      </c>
      <c r="T374" s="7" t="s">
        <v>1358</v>
      </c>
      <c r="U374" s="7" t="s">
        <v>20</v>
      </c>
      <c r="V374" s="24" t="e">
        <f t="shared" ca="1" si="14"/>
        <v>#NAME?</v>
      </c>
      <c r="W374" s="7"/>
      <c r="X374" s="7"/>
      <c r="Y374" s="29" t="s">
        <v>147</v>
      </c>
      <c r="Z374" s="30"/>
      <c r="AA374" s="31">
        <v>45036</v>
      </c>
      <c r="AB374" s="32">
        <v>49075100008523</v>
      </c>
      <c r="AC374" s="30"/>
      <c r="AD374" s="30"/>
      <c r="AE374" s="30"/>
      <c r="AF374" s="30"/>
      <c r="AG374" s="30"/>
      <c r="AH374" s="30">
        <v>0</v>
      </c>
      <c r="AI374" s="30">
        <v>332686.07</v>
      </c>
      <c r="AJ374" s="30">
        <v>276198.08</v>
      </c>
      <c r="AK374" s="30">
        <v>277203.64</v>
      </c>
      <c r="AL374" s="30">
        <v>280072.57</v>
      </c>
      <c r="AM374" s="30">
        <v>383540.6</v>
      </c>
      <c r="AN374" s="30">
        <v>386603.64</v>
      </c>
      <c r="AO374" s="30">
        <v>389507.22</v>
      </c>
      <c r="AP374" s="30">
        <v>393323.7</v>
      </c>
      <c r="AQ374" s="30">
        <v>697637.75</v>
      </c>
      <c r="AR374" s="30">
        <v>35204.199999999997</v>
      </c>
      <c r="AS374" s="30">
        <v>35324.089999999997</v>
      </c>
      <c r="AT374" s="30">
        <v>85768.99</v>
      </c>
      <c r="AU374" s="30">
        <v>85896.69</v>
      </c>
      <c r="AV374" s="30">
        <v>86552.94</v>
      </c>
      <c r="AW374" s="30">
        <v>338468.3</v>
      </c>
      <c r="AX374" s="30">
        <v>341410.1</v>
      </c>
      <c r="AY374" s="30">
        <v>345437.37</v>
      </c>
      <c r="AZ374" s="30">
        <v>348144.63</v>
      </c>
      <c r="BA374" s="30" t="e">
        <f t="array" aca="1" ref="BA374" ca="1">_xludf.XLOOKUP(C374,'PL TOTAL D0'!A:A,'PL TOTAL D0'!C:C,"")</f>
        <v>#NAME?</v>
      </c>
    </row>
    <row r="375" spans="1:53" ht="15.75" customHeight="1">
      <c r="A375" s="23" t="s">
        <v>29</v>
      </c>
      <c r="B375" s="3" t="s">
        <v>1359</v>
      </c>
      <c r="C375" s="4" t="s">
        <v>1360</v>
      </c>
      <c r="D375" s="7" t="s">
        <v>19</v>
      </c>
      <c r="E375" s="7" t="s">
        <v>20</v>
      </c>
      <c r="F375" s="7" t="s">
        <v>21</v>
      </c>
      <c r="G375" s="7" t="e">
        <f t="shared" ca="1" si="13"/>
        <v>#NAME?</v>
      </c>
      <c r="H375" s="24" t="s">
        <v>152</v>
      </c>
      <c r="I375" s="24" t="s">
        <v>25</v>
      </c>
      <c r="J375" s="7" t="str">
        <f t="shared" si="18"/>
        <v>Não</v>
      </c>
      <c r="K375" s="25">
        <v>44981</v>
      </c>
      <c r="L375" s="7"/>
      <c r="M375" s="7" t="s">
        <v>42</v>
      </c>
      <c r="N375" s="26">
        <v>7.0000000000000001E-3</v>
      </c>
      <c r="O375" s="7" t="s">
        <v>25</v>
      </c>
      <c r="P375" s="27">
        <v>0</v>
      </c>
      <c r="Q375" s="90"/>
      <c r="R375" s="90"/>
      <c r="S375" s="7" t="s">
        <v>145</v>
      </c>
      <c r="T375" s="7" t="s">
        <v>1361</v>
      </c>
      <c r="U375" s="7" t="s">
        <v>20</v>
      </c>
      <c r="V375" s="24" t="e">
        <f t="shared" ca="1" si="14"/>
        <v>#NAME?</v>
      </c>
      <c r="W375" s="7"/>
      <c r="X375" s="7"/>
      <c r="Y375" s="29" t="s">
        <v>147</v>
      </c>
      <c r="Z375" s="30"/>
      <c r="AA375" s="31">
        <v>44981</v>
      </c>
      <c r="AB375" s="32">
        <v>49075100003602</v>
      </c>
      <c r="AC375" s="30"/>
      <c r="AD375" s="30"/>
      <c r="AE375" s="30"/>
      <c r="AF375" s="30">
        <v>0</v>
      </c>
      <c r="AG375" s="30">
        <v>682529.36</v>
      </c>
      <c r="AH375" s="30">
        <v>695807.82</v>
      </c>
      <c r="AI375" s="30">
        <v>700054.09</v>
      </c>
      <c r="AJ375" s="30">
        <v>707734.86</v>
      </c>
      <c r="AK375" s="30">
        <v>714716.36</v>
      </c>
      <c r="AL375" s="30">
        <v>721538.05</v>
      </c>
      <c r="AM375" s="30">
        <v>729037.97</v>
      </c>
      <c r="AN375" s="30">
        <v>734751.36</v>
      </c>
      <c r="AO375" s="30">
        <v>740955.26</v>
      </c>
      <c r="AP375" s="30">
        <v>747605.34</v>
      </c>
      <c r="AQ375" s="30">
        <v>754218.37</v>
      </c>
      <c r="AR375" s="30">
        <v>26930.080000000002</v>
      </c>
      <c r="AS375" s="30">
        <v>26721.29</v>
      </c>
      <c r="AT375" s="30">
        <v>26929.96</v>
      </c>
      <c r="AU375" s="30">
        <v>27030.13</v>
      </c>
      <c r="AV375" s="30">
        <v>27180.49</v>
      </c>
      <c r="AW375" s="30">
        <v>27379.61</v>
      </c>
      <c r="AX375" s="30">
        <v>27610.54</v>
      </c>
      <c r="AY375" s="30">
        <v>27831.75</v>
      </c>
      <c r="AZ375" s="30">
        <v>28045.040000000001</v>
      </c>
      <c r="BA375" s="30" t="e">
        <f t="array" aca="1" ref="BA375" ca="1">_xludf.XLOOKUP(C375,'PL TOTAL D0'!A:A,'PL TOTAL D0'!C:C,"")</f>
        <v>#NAME?</v>
      </c>
    </row>
    <row r="376" spans="1:53" ht="15.75" customHeight="1">
      <c r="A376" s="23" t="s">
        <v>29</v>
      </c>
      <c r="B376" s="3" t="s">
        <v>1362</v>
      </c>
      <c r="C376" s="4" t="s">
        <v>1363</v>
      </c>
      <c r="D376" s="7" t="s">
        <v>19</v>
      </c>
      <c r="E376" s="7" t="s">
        <v>49</v>
      </c>
      <c r="F376" s="7" t="s">
        <v>166</v>
      </c>
      <c r="G376" s="7" t="e">
        <f t="shared" ca="1" si="13"/>
        <v>#NAME?</v>
      </c>
      <c r="H376" s="24" t="s">
        <v>152</v>
      </c>
      <c r="I376" s="24" t="s">
        <v>25</v>
      </c>
      <c r="J376" s="7" t="str">
        <f t="shared" si="18"/>
        <v>Não</v>
      </c>
      <c r="K376" s="25">
        <v>44974</v>
      </c>
      <c r="L376" s="7"/>
      <c r="M376" s="7" t="s">
        <v>58</v>
      </c>
      <c r="N376" s="26">
        <v>1.2E-2</v>
      </c>
      <c r="O376" s="7" t="s">
        <v>25</v>
      </c>
      <c r="P376" s="27">
        <v>0</v>
      </c>
      <c r="Q376" s="90"/>
      <c r="R376" s="90"/>
      <c r="S376" s="7" t="s">
        <v>145</v>
      </c>
      <c r="T376" s="7" t="s">
        <v>1364</v>
      </c>
      <c r="U376" s="7" t="s">
        <v>49</v>
      </c>
      <c r="V376" s="24" t="e">
        <f t="shared" ca="1" si="14"/>
        <v>#NAME?</v>
      </c>
      <c r="W376" s="7"/>
      <c r="X376" s="7"/>
      <c r="Y376" s="29" t="s">
        <v>147</v>
      </c>
      <c r="Z376" s="30"/>
      <c r="AA376" s="31">
        <v>44974</v>
      </c>
      <c r="AB376" s="32">
        <v>49075100009414</v>
      </c>
      <c r="AC376" s="30"/>
      <c r="AD376" s="30"/>
      <c r="AE376" s="30"/>
      <c r="AF376" s="30">
        <v>0</v>
      </c>
      <c r="AG376" s="30">
        <v>198564.62</v>
      </c>
      <c r="AH376" s="30">
        <v>218727.87</v>
      </c>
      <c r="AI376" s="30">
        <v>220678.08</v>
      </c>
      <c r="AJ376" s="30">
        <v>223209.27</v>
      </c>
      <c r="AK376" s="30">
        <v>223725.03</v>
      </c>
      <c r="AL376" s="30">
        <v>225654.51</v>
      </c>
      <c r="AM376" s="30">
        <v>227507.52</v>
      </c>
      <c r="AN376" s="30">
        <v>228719.24</v>
      </c>
      <c r="AO376" s="30">
        <v>229311.73</v>
      </c>
      <c r="AP376" s="30">
        <v>232522.65</v>
      </c>
      <c r="AQ376" s="30">
        <v>234023.54</v>
      </c>
      <c r="AR376" s="30">
        <v>233431.32</v>
      </c>
      <c r="AS376" s="30">
        <v>235521.53</v>
      </c>
      <c r="AT376" s="30">
        <v>237902.88</v>
      </c>
      <c r="AU376" s="30">
        <v>237983.6</v>
      </c>
      <c r="AV376" s="30">
        <v>293242.3</v>
      </c>
      <c r="AW376" s="30">
        <v>294801.90000000002</v>
      </c>
      <c r="AX376" s="30">
        <v>298212.5</v>
      </c>
      <c r="AY376" s="30">
        <v>301300.08</v>
      </c>
      <c r="AZ376" s="30">
        <v>301942.03000000003</v>
      </c>
      <c r="BA376" s="30" t="e">
        <f t="array" aca="1" ref="BA376" ca="1">_xludf.XLOOKUP(C376,'PL TOTAL D0'!A:A,'PL TOTAL D0'!C:C,"")</f>
        <v>#NAME?</v>
      </c>
    </row>
    <row r="377" spans="1:53" ht="15.75" customHeight="1">
      <c r="A377" s="23" t="s">
        <v>29</v>
      </c>
      <c r="B377" s="3" t="s">
        <v>1365</v>
      </c>
      <c r="C377" s="4" t="s">
        <v>1366</v>
      </c>
      <c r="D377" s="7" t="s">
        <v>19</v>
      </c>
      <c r="E377" s="7" t="s">
        <v>49</v>
      </c>
      <c r="F377" s="7" t="s">
        <v>50</v>
      </c>
      <c r="G377" s="7" t="e">
        <f t="shared" ca="1" si="13"/>
        <v>#NAME?</v>
      </c>
      <c r="H377" s="24" t="s">
        <v>152</v>
      </c>
      <c r="I377" s="24" t="s">
        <v>25</v>
      </c>
      <c r="J377" s="7" t="str">
        <f t="shared" si="18"/>
        <v>Não</v>
      </c>
      <c r="K377" s="25">
        <v>45448</v>
      </c>
      <c r="L377" s="7"/>
      <c r="M377" s="7" t="s">
        <v>42</v>
      </c>
      <c r="N377" s="26">
        <v>1.2E-2</v>
      </c>
      <c r="O377" s="7" t="s">
        <v>25</v>
      </c>
      <c r="P377" s="27">
        <v>0</v>
      </c>
      <c r="Q377" s="90"/>
      <c r="R377" s="90"/>
      <c r="S377" s="7" t="s">
        <v>145</v>
      </c>
      <c r="T377" s="7" t="s">
        <v>1367</v>
      </c>
      <c r="U377" s="7" t="s">
        <v>49</v>
      </c>
      <c r="V377" s="24" t="e">
        <f t="shared" ca="1" si="14"/>
        <v>#NAME?</v>
      </c>
      <c r="W377" s="7"/>
      <c r="X377" s="7" t="s">
        <v>40</v>
      </c>
      <c r="Y377" s="29" t="s">
        <v>147</v>
      </c>
      <c r="Z377" s="30"/>
      <c r="AA377" s="31">
        <v>45448</v>
      </c>
      <c r="AB377" s="32">
        <v>49075100015058</v>
      </c>
      <c r="AC377" s="30"/>
      <c r="AD377" s="30"/>
      <c r="AE377" s="30"/>
      <c r="AF377" s="30"/>
      <c r="AG377" s="30"/>
      <c r="AH377" s="30"/>
      <c r="AI377" s="30"/>
      <c r="AJ377" s="30"/>
      <c r="AK377" s="30"/>
      <c r="AL377" s="30"/>
      <c r="AM377" s="30"/>
      <c r="AN377" s="30"/>
      <c r="AO377" s="30"/>
      <c r="AP377" s="30"/>
      <c r="AQ377" s="30"/>
      <c r="AR377" s="30"/>
      <c r="AS377" s="30"/>
      <c r="AT377" s="30"/>
      <c r="AU377" s="30"/>
      <c r="AV377" s="30"/>
      <c r="AW377" s="30">
        <v>101367.4</v>
      </c>
      <c r="AX377" s="30">
        <v>201394.1</v>
      </c>
      <c r="AY377" s="30">
        <v>108777.03</v>
      </c>
      <c r="AZ377" s="30">
        <v>99346.2</v>
      </c>
      <c r="BA377" s="30" t="e">
        <f t="array" aca="1" ref="BA377" ca="1">_xludf.XLOOKUP(C377,'PL TOTAL D0'!A:A,'PL TOTAL D0'!C:C,"")</f>
        <v>#NAME?</v>
      </c>
    </row>
    <row r="378" spans="1:53" ht="15.75" customHeight="1">
      <c r="A378" s="23" t="s">
        <v>29</v>
      </c>
      <c r="B378" s="3" t="s">
        <v>1368</v>
      </c>
      <c r="C378" s="4" t="s">
        <v>1369</v>
      </c>
      <c r="D378" s="7" t="s">
        <v>19</v>
      </c>
      <c r="E378" s="7" t="s">
        <v>20</v>
      </c>
      <c r="F378" s="7" t="s">
        <v>199</v>
      </c>
      <c r="G378" s="7" t="e">
        <f t="shared" ca="1" si="13"/>
        <v>#NAME?</v>
      </c>
      <c r="H378" s="24" t="s">
        <v>152</v>
      </c>
      <c r="I378" s="24" t="s">
        <v>25</v>
      </c>
      <c r="J378" s="7" t="str">
        <f t="shared" si="18"/>
        <v>Não</v>
      </c>
      <c r="K378" s="25">
        <v>45049</v>
      </c>
      <c r="L378" s="7"/>
      <c r="M378" s="7" t="s">
        <v>42</v>
      </c>
      <c r="N378" s="26">
        <v>1.2E-2</v>
      </c>
      <c r="O378" s="7" t="s">
        <v>25</v>
      </c>
      <c r="P378" s="27">
        <v>0</v>
      </c>
      <c r="Q378" s="90"/>
      <c r="R378" s="90"/>
      <c r="S378" s="7" t="s">
        <v>145</v>
      </c>
      <c r="T378" s="7" t="s">
        <v>1370</v>
      </c>
      <c r="U378" s="7" t="s">
        <v>20</v>
      </c>
      <c r="V378" s="24" t="e">
        <f t="shared" ca="1" si="14"/>
        <v>#NAME?</v>
      </c>
      <c r="W378" s="7"/>
      <c r="X378" s="7"/>
      <c r="Y378" s="29" t="s">
        <v>147</v>
      </c>
      <c r="Z378" s="30"/>
      <c r="AA378" s="31">
        <v>45049</v>
      </c>
      <c r="AB378" s="32">
        <v>49075100007233</v>
      </c>
      <c r="AC378" s="30"/>
      <c r="AD378" s="30"/>
      <c r="AE378" s="30"/>
      <c r="AF378" s="30"/>
      <c r="AG378" s="30"/>
      <c r="AH378" s="30">
        <v>0</v>
      </c>
      <c r="AI378" s="30">
        <v>0</v>
      </c>
      <c r="AJ378" s="30">
        <v>121930.35</v>
      </c>
      <c r="AK378" s="30">
        <v>123227.77</v>
      </c>
      <c r="AL378" s="30">
        <v>124208.62</v>
      </c>
      <c r="AM378" s="30">
        <v>125034.68</v>
      </c>
      <c r="AN378" s="30">
        <v>125505.87</v>
      </c>
      <c r="AO378" s="30">
        <v>126058.34</v>
      </c>
      <c r="AP378" s="30">
        <v>127439.03</v>
      </c>
      <c r="AQ378" s="30">
        <v>128225.21</v>
      </c>
      <c r="AR378" s="30">
        <v>129283.53</v>
      </c>
      <c r="AS378" s="30">
        <v>129992.96000000001</v>
      </c>
      <c r="AT378" s="30">
        <v>129147.12</v>
      </c>
      <c r="AU378" s="30">
        <v>259932.89</v>
      </c>
      <c r="AV378" s="30">
        <v>262153.90000000002</v>
      </c>
      <c r="AW378" s="30">
        <v>264292.09999999998</v>
      </c>
      <c r="AX378" s="30">
        <v>266614.09999999998</v>
      </c>
      <c r="AY378" s="30">
        <v>268210.09000000003</v>
      </c>
      <c r="AZ378" s="30">
        <v>269832.02</v>
      </c>
      <c r="BA378" s="30" t="e">
        <f t="array" aca="1" ref="BA378" ca="1">_xludf.XLOOKUP(C378,'PL TOTAL D0'!A:A,'PL TOTAL D0'!C:C,"")</f>
        <v>#NAME?</v>
      </c>
    </row>
    <row r="379" spans="1:53" ht="15.75" customHeight="1">
      <c r="A379" s="23" t="s">
        <v>29</v>
      </c>
      <c r="B379" s="3" t="s">
        <v>1371</v>
      </c>
      <c r="C379" s="4" t="s">
        <v>1372</v>
      </c>
      <c r="D379" s="7" t="s">
        <v>19</v>
      </c>
      <c r="E379" s="7" t="s">
        <v>34</v>
      </c>
      <c r="F379" s="7" t="s">
        <v>35</v>
      </c>
      <c r="G379" s="7" t="e">
        <f t="shared" ca="1" si="13"/>
        <v>#NAME?</v>
      </c>
      <c r="H379" s="24" t="s">
        <v>152</v>
      </c>
      <c r="I379" s="24" t="s">
        <v>25</v>
      </c>
      <c r="J379" s="7" t="str">
        <f t="shared" si="18"/>
        <v>Não</v>
      </c>
      <c r="K379" s="25">
        <v>44907</v>
      </c>
      <c r="L379" s="7"/>
      <c r="M379" s="7" t="s">
        <v>42</v>
      </c>
      <c r="N379" s="26">
        <v>0.01</v>
      </c>
      <c r="O379" s="7" t="s">
        <v>25</v>
      </c>
      <c r="P379" s="27">
        <v>0</v>
      </c>
      <c r="Q379" s="90"/>
      <c r="R379" s="90"/>
      <c r="S379" s="7" t="s">
        <v>145</v>
      </c>
      <c r="T379" s="7" t="s">
        <v>1373</v>
      </c>
      <c r="U379" s="7" t="s">
        <v>39</v>
      </c>
      <c r="V379" s="24" t="e">
        <f t="shared" ca="1" si="14"/>
        <v>#NAME?</v>
      </c>
      <c r="W379" s="7"/>
      <c r="X379" s="7"/>
      <c r="Y379" s="29" t="s">
        <v>147</v>
      </c>
      <c r="Z379" s="30"/>
      <c r="AA379" s="31">
        <v>44907</v>
      </c>
      <c r="AB379" s="32">
        <v>49075100004102</v>
      </c>
      <c r="AC379" s="30"/>
      <c r="AD379" s="30"/>
      <c r="AE379" s="30">
        <v>100701.58</v>
      </c>
      <c r="AF379" s="30">
        <v>137089.41</v>
      </c>
      <c r="AG379" s="30">
        <v>198714.47</v>
      </c>
      <c r="AH379" s="30">
        <v>200875.49</v>
      </c>
      <c r="AI379" s="30">
        <v>202443.78</v>
      </c>
      <c r="AJ379" s="30">
        <v>204655.88</v>
      </c>
      <c r="AK379" s="30">
        <v>206621.5</v>
      </c>
      <c r="AL379" s="30">
        <v>208460.87</v>
      </c>
      <c r="AM379" s="30">
        <v>210444.58</v>
      </c>
      <c r="AN379" s="30">
        <v>212200.92</v>
      </c>
      <c r="AO379" s="30">
        <v>214129.11</v>
      </c>
      <c r="AP379" s="30">
        <v>215668.41</v>
      </c>
      <c r="AQ379" s="30">
        <v>240628.91</v>
      </c>
      <c r="AR379" s="30">
        <v>242446.82</v>
      </c>
      <c r="AS379" s="30">
        <v>244187.75</v>
      </c>
      <c r="AT379" s="30">
        <v>245889.8</v>
      </c>
      <c r="AU379" s="30">
        <v>247888.35</v>
      </c>
      <c r="AV379" s="30">
        <v>249735.1</v>
      </c>
      <c r="AW379" s="30">
        <v>251771.9</v>
      </c>
      <c r="AX379" s="30">
        <v>264014.59999999998</v>
      </c>
      <c r="AY379" s="30">
        <v>266223.86</v>
      </c>
      <c r="AZ379" s="30">
        <v>232934.95</v>
      </c>
      <c r="BA379" s="30" t="e">
        <f t="array" aca="1" ref="BA379" ca="1">_xludf.XLOOKUP(C379,'PL TOTAL D0'!A:A,'PL TOTAL D0'!C:C,"")</f>
        <v>#NAME?</v>
      </c>
    </row>
    <row r="380" spans="1:53" ht="15.75" customHeight="1">
      <c r="A380" s="23" t="s">
        <v>29</v>
      </c>
      <c r="B380" s="3" t="s">
        <v>1374</v>
      </c>
      <c r="C380" s="4" t="s">
        <v>1375</v>
      </c>
      <c r="D380" s="7" t="s">
        <v>19</v>
      </c>
      <c r="E380" s="7" t="s">
        <v>34</v>
      </c>
      <c r="F380" s="7" t="s">
        <v>35</v>
      </c>
      <c r="G380" s="7" t="e">
        <f t="shared" ca="1" si="13"/>
        <v>#NAME?</v>
      </c>
      <c r="H380" s="24" t="s">
        <v>152</v>
      </c>
      <c r="I380" s="24" t="s">
        <v>25</v>
      </c>
      <c r="J380" s="7" t="str">
        <f t="shared" si="18"/>
        <v>Não</v>
      </c>
      <c r="K380" s="25">
        <v>45096</v>
      </c>
      <c r="L380" s="25"/>
      <c r="M380" s="7" t="s">
        <v>87</v>
      </c>
      <c r="N380" s="26">
        <v>1.4999999999999999E-2</v>
      </c>
      <c r="O380" s="7" t="s">
        <v>183</v>
      </c>
      <c r="P380" s="27">
        <v>0.2</v>
      </c>
      <c r="Q380" s="90"/>
      <c r="R380" s="90"/>
      <c r="S380" s="7" t="s">
        <v>145</v>
      </c>
      <c r="T380" s="7" t="s">
        <v>1373</v>
      </c>
      <c r="U380" s="7" t="s">
        <v>39</v>
      </c>
      <c r="V380" s="24" t="e">
        <f t="shared" ca="1" si="14"/>
        <v>#NAME?</v>
      </c>
      <c r="W380" s="7"/>
      <c r="X380" s="7"/>
      <c r="Y380" s="29" t="s">
        <v>147</v>
      </c>
      <c r="Z380" s="30"/>
      <c r="AA380" s="31">
        <v>45096</v>
      </c>
      <c r="AB380" s="32">
        <v>49075100007977</v>
      </c>
      <c r="AC380" s="30"/>
      <c r="AD380" s="30"/>
      <c r="AE380" s="30"/>
      <c r="AF380" s="30"/>
      <c r="AG380" s="30"/>
      <c r="AH380" s="30"/>
      <c r="AI380" s="30"/>
      <c r="AJ380" s="30"/>
      <c r="AK380" s="30">
        <v>50012</v>
      </c>
      <c r="AL380" s="30">
        <v>52613.31</v>
      </c>
      <c r="AM380" s="30">
        <v>52357.9</v>
      </c>
      <c r="AN380" s="30">
        <v>51291.39</v>
      </c>
      <c r="AO380" s="30">
        <v>49034.53</v>
      </c>
      <c r="AP380" s="30">
        <v>52727.17</v>
      </c>
      <c r="AQ380" s="30">
        <v>81625.759999999995</v>
      </c>
      <c r="AR380" s="30">
        <v>75028.81</v>
      </c>
      <c r="AS380" s="30">
        <v>76155.460000000006</v>
      </c>
      <c r="AT380" s="30">
        <v>77351.94</v>
      </c>
      <c r="AU380" s="30">
        <v>74113.97</v>
      </c>
      <c r="AV380" s="30">
        <v>72659.429999999993</v>
      </c>
      <c r="AW380" s="30">
        <v>72750.490000000005</v>
      </c>
      <c r="AX380" s="30">
        <v>84186.51</v>
      </c>
      <c r="AY380" s="30">
        <v>85206.16</v>
      </c>
      <c r="AZ380" s="30">
        <v>84053.46</v>
      </c>
      <c r="BA380" s="30" t="e">
        <f t="array" aca="1" ref="BA380" ca="1">_xludf.XLOOKUP(C380,'PL TOTAL D0'!A:A,'PL TOTAL D0'!C:C,"")</f>
        <v>#NAME?</v>
      </c>
    </row>
    <row r="381" spans="1:53" ht="15.75" customHeight="1">
      <c r="A381" s="23" t="s">
        <v>29</v>
      </c>
      <c r="B381" s="37" t="s">
        <v>1376</v>
      </c>
      <c r="C381" s="4" t="s">
        <v>1377</v>
      </c>
      <c r="D381" s="7" t="s">
        <v>19</v>
      </c>
      <c r="E381" s="7" t="s">
        <v>20</v>
      </c>
      <c r="F381" s="7" t="s">
        <v>372</v>
      </c>
      <c r="G381" s="7" t="e">
        <f t="shared" ca="1" si="13"/>
        <v>#NAME?</v>
      </c>
      <c r="H381" s="24" t="s">
        <v>161</v>
      </c>
      <c r="I381" s="24" t="s">
        <v>162</v>
      </c>
      <c r="J381" s="7" t="str">
        <f t="shared" si="18"/>
        <v>Não</v>
      </c>
      <c r="K381" s="25">
        <v>45020</v>
      </c>
      <c r="L381" s="7"/>
      <c r="M381" s="7" t="s">
        <v>200</v>
      </c>
      <c r="N381" s="26">
        <v>1.4999999999999999E-2</v>
      </c>
      <c r="O381" s="7" t="s">
        <v>37</v>
      </c>
      <c r="P381" s="27">
        <v>0.1</v>
      </c>
      <c r="Q381" s="137"/>
      <c r="R381" s="90"/>
      <c r="S381" s="7" t="s">
        <v>145</v>
      </c>
      <c r="T381" s="7" t="s">
        <v>1378</v>
      </c>
      <c r="U381" s="7" t="s">
        <v>20</v>
      </c>
      <c r="V381" s="24" t="e">
        <f t="shared" ca="1" si="14"/>
        <v>#NAME?</v>
      </c>
      <c r="W381" s="7"/>
      <c r="X381" s="7"/>
      <c r="Y381" s="29" t="s">
        <v>147</v>
      </c>
      <c r="Z381" s="30"/>
      <c r="AA381" s="31">
        <v>45020</v>
      </c>
      <c r="AB381" s="32">
        <v>49075100003807</v>
      </c>
      <c r="AC381" s="30"/>
      <c r="AD381" s="30"/>
      <c r="AE381" s="30"/>
      <c r="AF381" s="30"/>
      <c r="AG381" s="30"/>
      <c r="AH381" s="30">
        <v>0</v>
      </c>
      <c r="AI381" s="30">
        <v>30115.64</v>
      </c>
      <c r="AJ381" s="30">
        <v>31014.04</v>
      </c>
      <c r="AK381" s="30">
        <v>31904.55</v>
      </c>
      <c r="AL381" s="30">
        <v>32117.360000000001</v>
      </c>
      <c r="AM381" s="30">
        <v>34059.660000000003</v>
      </c>
      <c r="AN381" s="30">
        <v>34005.360000000001</v>
      </c>
      <c r="AO381" s="30">
        <v>15733.96</v>
      </c>
      <c r="AP381" s="30">
        <v>0</v>
      </c>
      <c r="AQ381" s="30">
        <v>0</v>
      </c>
      <c r="AR381" s="30">
        <v>0</v>
      </c>
      <c r="AS381" s="30">
        <v>0.39</v>
      </c>
      <c r="AT381" s="30">
        <v>0.39</v>
      </c>
      <c r="AU381" s="30">
        <v>0.39</v>
      </c>
      <c r="AV381" s="30">
        <v>0.39</v>
      </c>
      <c r="AW381" s="30">
        <v>0.39</v>
      </c>
      <c r="AX381" s="30">
        <v>0.39</v>
      </c>
      <c r="AY381" s="30">
        <v>0.39</v>
      </c>
      <c r="AZ381" s="30">
        <v>0.39</v>
      </c>
      <c r="BA381" s="30" t="e">
        <f t="array" aca="1" ref="BA381" ca="1">_xludf.XLOOKUP(C381,'PL TOTAL D0'!A:A,'PL TOTAL D0'!C:C,"")</f>
        <v>#NAME?</v>
      </c>
    </row>
    <row r="382" spans="1:53" ht="15.75" customHeight="1">
      <c r="A382" s="23" t="s">
        <v>29</v>
      </c>
      <c r="B382" s="3" t="s">
        <v>1379</v>
      </c>
      <c r="C382" s="4" t="s">
        <v>1380</v>
      </c>
      <c r="D382" s="7" t="s">
        <v>64</v>
      </c>
      <c r="E382" s="7" t="s">
        <v>20</v>
      </c>
      <c r="F382" s="7" t="s">
        <v>142</v>
      </c>
      <c r="G382" s="7" t="e">
        <f t="shared" ca="1" si="13"/>
        <v>#NAME?</v>
      </c>
      <c r="H382" s="24" t="s">
        <v>161</v>
      </c>
      <c r="I382" s="24" t="s">
        <v>211</v>
      </c>
      <c r="J382" s="7" t="str">
        <f t="shared" si="18"/>
        <v>Não</v>
      </c>
      <c r="K382" s="25">
        <v>45271</v>
      </c>
      <c r="L382" s="7"/>
      <c r="M382" s="9" t="s">
        <v>58</v>
      </c>
      <c r="N382" s="10">
        <v>1.2E-2</v>
      </c>
      <c r="O382" s="6" t="s">
        <v>37</v>
      </c>
      <c r="P382" s="11">
        <v>0.1</v>
      </c>
      <c r="Q382" s="69"/>
      <c r="R382" s="90"/>
      <c r="S382" s="7" t="s">
        <v>145</v>
      </c>
      <c r="T382" s="7" t="s">
        <v>1381</v>
      </c>
      <c r="U382" s="7" t="s">
        <v>20</v>
      </c>
      <c r="V382" s="24" t="e">
        <f t="shared" ca="1" si="14"/>
        <v>#NAME?</v>
      </c>
      <c r="W382" s="7"/>
      <c r="X382" s="7"/>
      <c r="Y382" s="29" t="s">
        <v>253</v>
      </c>
      <c r="Z382" s="30"/>
      <c r="AA382" s="31">
        <v>45271</v>
      </c>
      <c r="AB382" s="32">
        <v>49075100012989</v>
      </c>
      <c r="AC382" s="30"/>
      <c r="AD382" s="30"/>
      <c r="AE382" s="30"/>
      <c r="AF382" s="30"/>
      <c r="AG382" s="30"/>
      <c r="AH382" s="30"/>
      <c r="AI382" s="30"/>
      <c r="AJ382" s="30"/>
      <c r="AK382" s="30"/>
      <c r="AL382" s="30"/>
      <c r="AM382" s="30"/>
      <c r="AN382" s="30"/>
      <c r="AO382" s="30"/>
      <c r="AP382" s="30"/>
      <c r="AQ382" s="30">
        <v>62254.58</v>
      </c>
      <c r="AR382" s="30">
        <v>62568.4</v>
      </c>
      <c r="AS382" s="30">
        <v>63356.81</v>
      </c>
      <c r="AT382" s="30">
        <v>63760.24</v>
      </c>
      <c r="AU382" s="30">
        <v>63121.26</v>
      </c>
      <c r="AV382" s="30">
        <v>63561.23</v>
      </c>
      <c r="AW382" s="30">
        <v>63675.8</v>
      </c>
      <c r="AX382" s="30">
        <v>64613.22</v>
      </c>
      <c r="AY382" s="30">
        <v>0</v>
      </c>
      <c r="AZ382" s="30">
        <v>0</v>
      </c>
      <c r="BA382" s="30" t="e">
        <f t="array" aca="1" ref="BA382" ca="1">_xludf.XLOOKUP(C382,'PL TOTAL D0'!A:A,'PL TOTAL D0'!C:C,"")</f>
        <v>#NAME?</v>
      </c>
    </row>
    <row r="383" spans="1:53" ht="15.75" customHeight="1">
      <c r="A383" s="23" t="s">
        <v>29</v>
      </c>
      <c r="B383" s="3" t="s">
        <v>1382</v>
      </c>
      <c r="C383" s="46" t="s">
        <v>1383</v>
      </c>
      <c r="D383" s="7" t="s">
        <v>19</v>
      </c>
      <c r="E383" s="7" t="s">
        <v>49</v>
      </c>
      <c r="F383" s="7" t="s">
        <v>50</v>
      </c>
      <c r="G383" s="7" t="e">
        <f t="shared" ca="1" si="13"/>
        <v>#NAME?</v>
      </c>
      <c r="H383" s="24" t="s">
        <v>152</v>
      </c>
      <c r="I383" s="24" t="s">
        <v>25</v>
      </c>
      <c r="J383" s="7" t="str">
        <f t="shared" si="18"/>
        <v>Não</v>
      </c>
      <c r="K383" s="25">
        <v>45166</v>
      </c>
      <c r="L383" s="25"/>
      <c r="M383" s="7" t="s">
        <v>36</v>
      </c>
      <c r="N383" s="26">
        <v>1.2E-2</v>
      </c>
      <c r="O383" s="7" t="s">
        <v>37</v>
      </c>
      <c r="P383" s="27">
        <v>0.1</v>
      </c>
      <c r="Q383" s="90"/>
      <c r="R383" s="28" t="s">
        <v>1384</v>
      </c>
      <c r="S383" s="7" t="s">
        <v>145</v>
      </c>
      <c r="T383" s="7" t="s">
        <v>1385</v>
      </c>
      <c r="U383" s="7" t="s">
        <v>49</v>
      </c>
      <c r="V383" s="24" t="e">
        <f t="shared" ca="1" si="14"/>
        <v>#NAME?</v>
      </c>
      <c r="W383" s="7"/>
      <c r="X383" s="7"/>
      <c r="Y383" s="29" t="s">
        <v>147</v>
      </c>
      <c r="Z383" s="30"/>
      <c r="AA383" s="31">
        <v>45166</v>
      </c>
      <c r="AB383" s="32">
        <v>49075100005869</v>
      </c>
      <c r="AC383" s="30"/>
      <c r="AD383" s="30"/>
      <c r="AE383" s="30"/>
      <c r="AF383" s="30"/>
      <c r="AG383" s="30"/>
      <c r="AH383" s="30"/>
      <c r="AI383" s="30">
        <v>0</v>
      </c>
      <c r="AJ383" s="30">
        <v>0</v>
      </c>
      <c r="AK383" s="30">
        <v>0</v>
      </c>
      <c r="AL383" s="30">
        <v>0</v>
      </c>
      <c r="AM383" s="30">
        <v>0</v>
      </c>
      <c r="AN383" s="30">
        <v>22511.16</v>
      </c>
      <c r="AO383" s="30">
        <v>22687.8</v>
      </c>
      <c r="AP383" s="30">
        <v>32876.65</v>
      </c>
      <c r="AQ383" s="30">
        <v>33120.57</v>
      </c>
      <c r="AR383" s="30">
        <v>33420.699999999997</v>
      </c>
      <c r="AS383" s="30">
        <v>33692.449999999997</v>
      </c>
      <c r="AT383" s="30">
        <v>33992.910000000003</v>
      </c>
      <c r="AU383" s="30">
        <v>34191.93</v>
      </c>
      <c r="AV383" s="30">
        <v>34422.910000000003</v>
      </c>
      <c r="AW383" s="30">
        <v>34646.379999999997</v>
      </c>
      <c r="AX383" s="30">
        <v>34934.76</v>
      </c>
      <c r="AY383" s="30">
        <v>35225.31</v>
      </c>
      <c r="AZ383" s="30">
        <v>35302.83</v>
      </c>
      <c r="BA383" s="30" t="e">
        <f t="array" aca="1" ref="BA383" ca="1">_xludf.XLOOKUP(C383,'PL TOTAL D0'!A:A,'PL TOTAL D0'!C:C,"")</f>
        <v>#NAME?</v>
      </c>
    </row>
    <row r="384" spans="1:53" ht="15.75" customHeight="1">
      <c r="A384" s="23" t="s">
        <v>29</v>
      </c>
      <c r="B384" s="3" t="s">
        <v>1386</v>
      </c>
      <c r="C384" s="46" t="s">
        <v>1387</v>
      </c>
      <c r="D384" s="7" t="s">
        <v>19</v>
      </c>
      <c r="E384" s="7" t="s">
        <v>49</v>
      </c>
      <c r="F384" s="7" t="s">
        <v>50</v>
      </c>
      <c r="G384" s="7" t="e">
        <f t="shared" ca="1" si="13"/>
        <v>#NAME?</v>
      </c>
      <c r="H384" s="24" t="s">
        <v>152</v>
      </c>
      <c r="I384" s="24" t="s">
        <v>25</v>
      </c>
      <c r="J384" s="7" t="str">
        <f t="shared" si="18"/>
        <v>Não</v>
      </c>
      <c r="K384" s="25">
        <v>45576</v>
      </c>
      <c r="L384" s="25"/>
      <c r="M384" s="7" t="s">
        <v>42</v>
      </c>
      <c r="N384" s="26">
        <v>1.2E-2</v>
      </c>
      <c r="O384" s="7" t="s">
        <v>25</v>
      </c>
      <c r="P384" s="27">
        <v>0</v>
      </c>
      <c r="Q384" s="90"/>
      <c r="R384" s="28"/>
      <c r="S384" s="7" t="s">
        <v>145</v>
      </c>
      <c r="T384" s="7" t="s">
        <v>1388</v>
      </c>
      <c r="U384" s="7" t="s">
        <v>49</v>
      </c>
      <c r="V384" s="24" t="e">
        <f t="shared" ca="1" si="14"/>
        <v>#NAME?</v>
      </c>
      <c r="W384" s="7"/>
      <c r="X384" s="7" t="s">
        <v>40</v>
      </c>
      <c r="Y384" s="29"/>
      <c r="Z384" s="30"/>
      <c r="AA384" s="31"/>
      <c r="AB384" s="32"/>
      <c r="AC384" s="30"/>
      <c r="AD384" s="30"/>
      <c r="AE384" s="30"/>
      <c r="AF384" s="30"/>
      <c r="AG384" s="30"/>
      <c r="AH384" s="30"/>
      <c r="AI384" s="30"/>
      <c r="AJ384" s="30"/>
      <c r="AK384" s="30"/>
      <c r="AL384" s="30"/>
      <c r="AM384" s="30"/>
      <c r="AN384" s="30"/>
      <c r="AO384" s="30"/>
      <c r="AP384" s="30"/>
      <c r="AQ384" s="30"/>
      <c r="AR384" s="30"/>
      <c r="AS384" s="30"/>
      <c r="AT384" s="30"/>
      <c r="AU384" s="30"/>
      <c r="AV384" s="30"/>
      <c r="AW384" s="30"/>
      <c r="AX384" s="30"/>
      <c r="AY384" s="30"/>
      <c r="AZ384" s="30"/>
      <c r="BA384" s="30" t="e">
        <f t="array" aca="1" ref="BA384" ca="1">_xludf.XLOOKUP(C384,'PL TOTAL D0'!A:A,'PL TOTAL D0'!C:C,"")</f>
        <v>#NAME?</v>
      </c>
    </row>
    <row r="385" spans="1:53" ht="15.75" customHeight="1">
      <c r="A385" s="23" t="s">
        <v>29</v>
      </c>
      <c r="B385" s="3" t="s">
        <v>1389</v>
      </c>
      <c r="C385" s="4" t="s">
        <v>1390</v>
      </c>
      <c r="D385" s="7" t="s">
        <v>19</v>
      </c>
      <c r="E385" s="7" t="s">
        <v>34</v>
      </c>
      <c r="F385" s="7" t="s">
        <v>35</v>
      </c>
      <c r="G385" s="7" t="e">
        <f t="shared" ca="1" si="13"/>
        <v>#NAME?</v>
      </c>
      <c r="H385" s="24" t="s">
        <v>152</v>
      </c>
      <c r="I385" s="24" t="s">
        <v>25</v>
      </c>
      <c r="J385" s="7" t="str">
        <f t="shared" si="18"/>
        <v>Não</v>
      </c>
      <c r="K385" s="25">
        <v>45029</v>
      </c>
      <c r="L385" s="7"/>
      <c r="M385" s="7" t="s">
        <v>42</v>
      </c>
      <c r="N385" s="26">
        <v>7.0000000000000001E-3</v>
      </c>
      <c r="O385" s="7" t="s">
        <v>25</v>
      </c>
      <c r="P385" s="27">
        <v>0</v>
      </c>
      <c r="Q385" s="28"/>
      <c r="R385" s="90"/>
      <c r="S385" s="7" t="s">
        <v>145</v>
      </c>
      <c r="T385" s="7" t="s">
        <v>1391</v>
      </c>
      <c r="U385" s="7" t="s">
        <v>39</v>
      </c>
      <c r="V385" s="24" t="e">
        <f t="shared" ca="1" si="14"/>
        <v>#NAME?</v>
      </c>
      <c r="W385" s="7"/>
      <c r="X385" s="7"/>
      <c r="Y385" s="29" t="s">
        <v>147</v>
      </c>
      <c r="Z385" s="30"/>
      <c r="AA385" s="31">
        <v>45029</v>
      </c>
      <c r="AB385" s="32">
        <v>49075100009104</v>
      </c>
      <c r="AC385" s="30"/>
      <c r="AD385" s="30"/>
      <c r="AE385" s="30"/>
      <c r="AF385" s="30"/>
      <c r="AG385" s="30"/>
      <c r="AH385" s="30">
        <v>0</v>
      </c>
      <c r="AI385" s="30">
        <v>451821.82</v>
      </c>
      <c r="AJ385" s="30">
        <v>525755.99</v>
      </c>
      <c r="AK385" s="30">
        <v>577636.93000000005</v>
      </c>
      <c r="AL385" s="30">
        <v>572321.15</v>
      </c>
      <c r="AM385" s="30">
        <v>577848.44999999995</v>
      </c>
      <c r="AN385" s="30">
        <v>581436.87</v>
      </c>
      <c r="AO385" s="30">
        <v>585277.97</v>
      </c>
      <c r="AP385" s="30">
        <v>569347.56000000006</v>
      </c>
      <c r="AQ385" s="30">
        <v>574345.37</v>
      </c>
      <c r="AR385" s="30">
        <v>566283.76</v>
      </c>
      <c r="AS385" s="30">
        <v>570317.22</v>
      </c>
      <c r="AT385" s="30">
        <v>574327.63</v>
      </c>
      <c r="AU385" s="30">
        <v>574185.27</v>
      </c>
      <c r="AV385" s="30">
        <v>578028.9</v>
      </c>
      <c r="AW385" s="30">
        <v>511965.7</v>
      </c>
      <c r="AX385" s="30">
        <v>494481.5</v>
      </c>
      <c r="AY385" s="30">
        <v>495935.35</v>
      </c>
      <c r="AZ385" s="30">
        <v>492977.55</v>
      </c>
      <c r="BA385" s="30" t="e">
        <f t="array" aca="1" ref="BA385" ca="1">_xludf.XLOOKUP(C385,'PL TOTAL D0'!A:A,'PL TOTAL D0'!C:C,"")</f>
        <v>#NAME?</v>
      </c>
    </row>
    <row r="386" spans="1:53" ht="15.75" customHeight="1">
      <c r="A386" s="23" t="s">
        <v>29</v>
      </c>
      <c r="B386" s="3" t="s">
        <v>1392</v>
      </c>
      <c r="C386" s="4" t="s">
        <v>1393</v>
      </c>
      <c r="D386" s="7" t="s">
        <v>19</v>
      </c>
      <c r="E386" s="7" t="s">
        <v>20</v>
      </c>
      <c r="F386" s="7" t="s">
        <v>449</v>
      </c>
      <c r="G386" s="7" t="e">
        <f t="shared" ca="1" si="13"/>
        <v>#NAME?</v>
      </c>
      <c r="H386" s="24" t="s">
        <v>161</v>
      </c>
      <c r="I386" s="24" t="s">
        <v>162</v>
      </c>
      <c r="J386" s="7" t="str">
        <f t="shared" si="18"/>
        <v>Não</v>
      </c>
      <c r="K386" s="25">
        <v>45163</v>
      </c>
      <c r="L386" s="25"/>
      <c r="M386" s="7" t="s">
        <v>42</v>
      </c>
      <c r="N386" s="26">
        <v>1.2E-2</v>
      </c>
      <c r="O386" s="7" t="s">
        <v>25</v>
      </c>
      <c r="P386" s="27">
        <v>0</v>
      </c>
      <c r="Q386" s="90"/>
      <c r="R386" s="28" t="s">
        <v>1394</v>
      </c>
      <c r="S386" s="7" t="s">
        <v>187</v>
      </c>
      <c r="T386" s="7" t="s">
        <v>1395</v>
      </c>
      <c r="U386" s="7" t="s">
        <v>46</v>
      </c>
      <c r="V386" s="24" t="e">
        <f t="shared" ca="1" si="14"/>
        <v>#NAME?</v>
      </c>
      <c r="W386" s="7"/>
      <c r="X386" s="7"/>
      <c r="Y386" s="29" t="s">
        <v>147</v>
      </c>
      <c r="Z386" s="30"/>
      <c r="AA386" s="31">
        <v>45163</v>
      </c>
      <c r="AB386" s="32">
        <v>49075100011486</v>
      </c>
      <c r="AC386" s="30"/>
      <c r="AD386" s="30"/>
      <c r="AE386" s="30"/>
      <c r="AF386" s="30">
        <v>0</v>
      </c>
      <c r="AG386" s="30">
        <v>0</v>
      </c>
      <c r="AH386" s="30">
        <v>0</v>
      </c>
      <c r="AI386" s="30">
        <v>0</v>
      </c>
      <c r="AJ386" s="30">
        <v>0</v>
      </c>
      <c r="AK386" s="30">
        <v>0</v>
      </c>
      <c r="AL386" s="30">
        <v>0</v>
      </c>
      <c r="AM386" s="30">
        <v>0</v>
      </c>
      <c r="AN386" s="30">
        <v>0</v>
      </c>
      <c r="AO386" s="30">
        <v>0</v>
      </c>
      <c r="AP386" s="30">
        <v>0</v>
      </c>
      <c r="AQ386" s="30">
        <v>0</v>
      </c>
      <c r="AR386" s="30">
        <v>0</v>
      </c>
      <c r="AS386" s="30">
        <v>0</v>
      </c>
      <c r="AT386" s="30">
        <v>0</v>
      </c>
      <c r="AU386" s="30">
        <v>0</v>
      </c>
      <c r="AV386" s="30">
        <v>0</v>
      </c>
      <c r="AW386" s="30">
        <v>0</v>
      </c>
      <c r="AX386" s="30">
        <v>0</v>
      </c>
      <c r="AY386" s="30">
        <v>0</v>
      </c>
      <c r="AZ386" s="30">
        <v>0</v>
      </c>
      <c r="BA386" s="30" t="e">
        <f t="array" aca="1" ref="BA386" ca="1">_xludf.XLOOKUP(C386,'PL TOTAL D0'!A:A,'PL TOTAL D0'!C:C,"")</f>
        <v>#NAME?</v>
      </c>
    </row>
    <row r="387" spans="1:53" ht="15.75" customHeight="1">
      <c r="A387" s="23" t="s">
        <v>29</v>
      </c>
      <c r="B387" s="3" t="s">
        <v>1396</v>
      </c>
      <c r="C387" s="4" t="s">
        <v>1397</v>
      </c>
      <c r="D387" s="7" t="s">
        <v>64</v>
      </c>
      <c r="E387" s="7" t="s">
        <v>20</v>
      </c>
      <c r="F387" s="7" t="s">
        <v>489</v>
      </c>
      <c r="G387" s="7" t="e">
        <f t="shared" ca="1" si="13"/>
        <v>#NAME?</v>
      </c>
      <c r="H387" s="24" t="s">
        <v>143</v>
      </c>
      <c r="I387" s="24" t="s">
        <v>25</v>
      </c>
      <c r="J387" s="7" t="str">
        <f t="shared" si="18"/>
        <v>Não</v>
      </c>
      <c r="K387" s="25">
        <v>45125</v>
      </c>
      <c r="L387" s="25">
        <v>45513</v>
      </c>
      <c r="M387" s="7" t="s">
        <v>1007</v>
      </c>
      <c r="N387" s="26">
        <v>0.01</v>
      </c>
      <c r="O387" s="7" t="s">
        <v>37</v>
      </c>
      <c r="P387" s="27">
        <v>0.1</v>
      </c>
      <c r="Q387" s="28"/>
      <c r="R387" s="45" t="s">
        <v>702</v>
      </c>
      <c r="S387" s="7" t="s">
        <v>145</v>
      </c>
      <c r="T387" s="7" t="s">
        <v>1398</v>
      </c>
      <c r="U387" s="7" t="s">
        <v>20</v>
      </c>
      <c r="V387" s="24" t="e">
        <f t="shared" ca="1" si="14"/>
        <v>#NAME?</v>
      </c>
      <c r="W387" s="7"/>
      <c r="X387" s="7"/>
      <c r="Y387" s="29" t="s">
        <v>147</v>
      </c>
      <c r="Z387" s="30"/>
      <c r="AA387" s="31">
        <v>45125</v>
      </c>
      <c r="AB387" s="32">
        <v>49075100009252</v>
      </c>
      <c r="AC387" s="30"/>
      <c r="AD387" s="30"/>
      <c r="AE387" s="30"/>
      <c r="AF387" s="30"/>
      <c r="AG387" s="30"/>
      <c r="AH387" s="30"/>
      <c r="AI387" s="30"/>
      <c r="AJ387" s="30"/>
      <c r="AK387" s="30"/>
      <c r="AL387" s="30">
        <v>598857.52</v>
      </c>
      <c r="AM387" s="30">
        <v>582943.23</v>
      </c>
      <c r="AN387" s="30">
        <v>595331.78</v>
      </c>
      <c r="AO387" s="30">
        <v>554795.52000000002</v>
      </c>
      <c r="AP387" s="30">
        <v>468559.04</v>
      </c>
      <c r="AQ387" s="30">
        <v>421965.61</v>
      </c>
      <c r="AR387" s="30">
        <v>405700.58</v>
      </c>
      <c r="AS387" s="30">
        <v>357600.93</v>
      </c>
      <c r="AT387" s="30">
        <v>364082.52</v>
      </c>
      <c r="AU387" s="30">
        <v>366752.35</v>
      </c>
      <c r="AV387" s="30">
        <v>320559.09999999998</v>
      </c>
      <c r="AW387" s="30">
        <v>302851.7</v>
      </c>
      <c r="AX387" s="30">
        <v>0</v>
      </c>
      <c r="AY387" s="30">
        <v>0</v>
      </c>
      <c r="AZ387" s="30">
        <v>0</v>
      </c>
      <c r="BA387" s="30" t="e">
        <f t="array" aca="1" ref="BA387" ca="1">_xludf.XLOOKUP(C387,'PL TOTAL D0'!A:A,'PL TOTAL D0'!C:C,"")</f>
        <v>#NAME?</v>
      </c>
    </row>
    <row r="388" spans="1:53" ht="15.75" customHeight="1">
      <c r="A388" s="23" t="s">
        <v>29</v>
      </c>
      <c r="B388" s="3" t="s">
        <v>1399</v>
      </c>
      <c r="C388" s="4" t="s">
        <v>1400</v>
      </c>
      <c r="D388" s="7" t="s">
        <v>19</v>
      </c>
      <c r="E388" s="7" t="s">
        <v>49</v>
      </c>
      <c r="F388" s="7" t="s">
        <v>166</v>
      </c>
      <c r="G388" s="7" t="e">
        <f t="shared" ca="1" si="13"/>
        <v>#NAME?</v>
      </c>
      <c r="H388" s="24" t="s">
        <v>152</v>
      </c>
      <c r="I388" s="24" t="s">
        <v>25</v>
      </c>
      <c r="J388" s="7" t="str">
        <f t="shared" si="18"/>
        <v>Sim</v>
      </c>
      <c r="K388" s="25">
        <v>44949</v>
      </c>
      <c r="L388" s="7"/>
      <c r="M388" s="7" t="s">
        <v>58</v>
      </c>
      <c r="N388" s="26">
        <v>1.2E-2</v>
      </c>
      <c r="O388" s="7" t="s">
        <v>25</v>
      </c>
      <c r="P388" s="27">
        <v>0</v>
      </c>
      <c r="Q388" s="28" t="s">
        <v>1401</v>
      </c>
      <c r="R388" s="90"/>
      <c r="S388" s="7" t="s">
        <v>145</v>
      </c>
      <c r="T388" s="7" t="s">
        <v>1402</v>
      </c>
      <c r="U388" s="7" t="s">
        <v>49</v>
      </c>
      <c r="V388" s="24" t="e">
        <f t="shared" ca="1" si="14"/>
        <v>#NAME?</v>
      </c>
      <c r="W388" s="7"/>
      <c r="X388" s="7"/>
      <c r="Y388" s="29" t="s">
        <v>253</v>
      </c>
      <c r="Z388" s="30"/>
      <c r="AA388" s="31">
        <v>44949</v>
      </c>
      <c r="AB388" s="32">
        <v>49075100005893</v>
      </c>
      <c r="AC388" s="30"/>
      <c r="AD388" s="30"/>
      <c r="AE388" s="30"/>
      <c r="AF388" s="30">
        <v>162070.18</v>
      </c>
      <c r="AG388" s="30">
        <v>190654.57</v>
      </c>
      <c r="AH388" s="30">
        <v>192722.37</v>
      </c>
      <c r="AI388" s="30">
        <v>194185.27</v>
      </c>
      <c r="AJ388" s="30">
        <v>196237.19</v>
      </c>
      <c r="AK388" s="30">
        <v>197994.45</v>
      </c>
      <c r="AL388" s="30">
        <v>199122.82</v>
      </c>
      <c r="AM388" s="30">
        <v>200583.37</v>
      </c>
      <c r="AN388" s="30">
        <v>201330.28</v>
      </c>
      <c r="AO388" s="30">
        <v>196972.77</v>
      </c>
      <c r="AP388" s="30">
        <v>199889.21</v>
      </c>
      <c r="AQ388" s="30">
        <v>200441.61</v>
      </c>
      <c r="AR388" s="30">
        <v>199574.03</v>
      </c>
      <c r="AS388" s="30">
        <v>201296.68</v>
      </c>
      <c r="AT388" s="30">
        <v>203143.75</v>
      </c>
      <c r="AU388" s="30">
        <v>203171.29</v>
      </c>
      <c r="AV388" s="30">
        <v>203642.3</v>
      </c>
      <c r="AW388" s="30">
        <v>205144.2</v>
      </c>
      <c r="AX388" s="30">
        <v>207489.4</v>
      </c>
      <c r="AY388" s="30">
        <v>209627.53</v>
      </c>
      <c r="AZ388" s="30">
        <v>209426.61</v>
      </c>
      <c r="BA388" s="30" t="e">
        <f t="array" aca="1" ref="BA388" ca="1">_xludf.XLOOKUP(C388,'PL TOTAL D0'!A:A,'PL TOTAL D0'!C:C,"")</f>
        <v>#NAME?</v>
      </c>
    </row>
    <row r="389" spans="1:53" ht="15.75" customHeight="1">
      <c r="A389" s="23" t="s">
        <v>29</v>
      </c>
      <c r="B389" s="3" t="s">
        <v>1403</v>
      </c>
      <c r="C389" s="4" t="s">
        <v>1404</v>
      </c>
      <c r="D389" s="7" t="s">
        <v>19</v>
      </c>
      <c r="E389" s="7" t="s">
        <v>34</v>
      </c>
      <c r="F389" s="7" t="s">
        <v>35</v>
      </c>
      <c r="G389" s="7" t="e">
        <f t="shared" ca="1" si="13"/>
        <v>#NAME?</v>
      </c>
      <c r="H389" s="24" t="s">
        <v>152</v>
      </c>
      <c r="I389" s="24" t="s">
        <v>25</v>
      </c>
      <c r="J389" s="7" t="str">
        <f t="shared" si="18"/>
        <v>Não</v>
      </c>
      <c r="K389" s="25">
        <v>45313</v>
      </c>
      <c r="L389" s="7"/>
      <c r="M389" s="9" t="s">
        <v>58</v>
      </c>
      <c r="N389" s="10">
        <v>1.2E-2</v>
      </c>
      <c r="O389" s="6" t="s">
        <v>37</v>
      </c>
      <c r="P389" s="11">
        <v>0.1</v>
      </c>
      <c r="Q389" s="90"/>
      <c r="R389" s="28" t="s">
        <v>1405</v>
      </c>
      <c r="S389" s="7" t="s">
        <v>145</v>
      </c>
      <c r="T389" s="7" t="s">
        <v>1406</v>
      </c>
      <c r="U389" s="7" t="s">
        <v>39</v>
      </c>
      <c r="V389" s="24" t="e">
        <f t="shared" ca="1" si="14"/>
        <v>#NAME?</v>
      </c>
      <c r="W389" s="7"/>
      <c r="X389" s="7"/>
      <c r="Y389" s="29" t="s">
        <v>452</v>
      </c>
      <c r="Z389" s="30"/>
      <c r="AA389" s="31">
        <v>45313</v>
      </c>
      <c r="AB389" s="32">
        <v>49075100013179</v>
      </c>
      <c r="AC389" s="30"/>
      <c r="AD389" s="30"/>
      <c r="AE389" s="30"/>
      <c r="AF389" s="30"/>
      <c r="AG389" s="30"/>
      <c r="AH389" s="30"/>
      <c r="AI389" s="30"/>
      <c r="AJ389" s="30"/>
      <c r="AK389" s="30"/>
      <c r="AL389" s="30"/>
      <c r="AM389" s="30"/>
      <c r="AN389" s="30"/>
      <c r="AO389" s="30"/>
      <c r="AP389" s="30"/>
      <c r="AQ389" s="30"/>
      <c r="AR389" s="30">
        <v>0</v>
      </c>
      <c r="AS389" s="30">
        <v>0</v>
      </c>
      <c r="AT389" s="30">
        <v>0</v>
      </c>
      <c r="AU389" s="30">
        <v>0</v>
      </c>
      <c r="AV389" s="30">
        <v>0</v>
      </c>
      <c r="AW389" s="30">
        <v>0</v>
      </c>
      <c r="AX389" s="30">
        <v>0</v>
      </c>
      <c r="AY389" s="30">
        <v>0</v>
      </c>
      <c r="AZ389" s="30">
        <v>0</v>
      </c>
      <c r="BA389" s="30" t="e">
        <f t="array" aca="1" ref="BA389" ca="1">_xludf.XLOOKUP(C389,'PL TOTAL D0'!A:A,'PL TOTAL D0'!C:C,"")</f>
        <v>#NAME?</v>
      </c>
    </row>
    <row r="390" spans="1:53" ht="15.75" customHeight="1">
      <c r="A390" s="23" t="s">
        <v>29</v>
      </c>
      <c r="B390" s="3" t="s">
        <v>1407</v>
      </c>
      <c r="C390" s="4" t="s">
        <v>1408</v>
      </c>
      <c r="D390" s="7" t="s">
        <v>19</v>
      </c>
      <c r="E390" s="7" t="s">
        <v>49</v>
      </c>
      <c r="F390" s="7" t="s">
        <v>50</v>
      </c>
      <c r="G390" s="7" t="e">
        <f t="shared" ca="1" si="13"/>
        <v>#NAME?</v>
      </c>
      <c r="H390" s="24" t="s">
        <v>161</v>
      </c>
      <c r="I390" s="24" t="s">
        <v>162</v>
      </c>
      <c r="J390" s="7" t="str">
        <f t="shared" si="18"/>
        <v>Não</v>
      </c>
      <c r="K390" s="25">
        <v>45082</v>
      </c>
      <c r="L390" s="7"/>
      <c r="M390" s="7" t="s">
        <v>345</v>
      </c>
      <c r="N390" s="26">
        <v>0.02</v>
      </c>
      <c r="O390" s="7" t="s">
        <v>37</v>
      </c>
      <c r="P390" s="27">
        <v>0.2</v>
      </c>
      <c r="Q390" s="45"/>
      <c r="R390" s="45" t="s">
        <v>1409</v>
      </c>
      <c r="S390" s="7" t="s">
        <v>145</v>
      </c>
      <c r="T390" s="7" t="s">
        <v>1410</v>
      </c>
      <c r="U390" s="7" t="s">
        <v>1245</v>
      </c>
      <c r="V390" s="24" t="e">
        <f t="shared" ca="1" si="14"/>
        <v>#NAME?</v>
      </c>
      <c r="W390" s="7"/>
      <c r="X390" s="7"/>
      <c r="Y390" s="29" t="s">
        <v>147</v>
      </c>
      <c r="Z390" s="30"/>
      <c r="AA390" s="31">
        <v>45082</v>
      </c>
      <c r="AB390" s="32">
        <v>49075100011494</v>
      </c>
      <c r="AC390" s="30"/>
      <c r="AD390" s="30"/>
      <c r="AE390" s="30"/>
      <c r="AF390" s="30">
        <v>0</v>
      </c>
      <c r="AG390" s="30">
        <v>0</v>
      </c>
      <c r="AH390" s="30">
        <v>0</v>
      </c>
      <c r="AI390" s="30">
        <v>0</v>
      </c>
      <c r="AJ390" s="30">
        <v>0</v>
      </c>
      <c r="AK390" s="30">
        <v>69759.11</v>
      </c>
      <c r="AL390" s="30">
        <v>69957.42</v>
      </c>
      <c r="AM390" s="30">
        <v>31355.16</v>
      </c>
      <c r="AN390" s="30">
        <v>953.24</v>
      </c>
      <c r="AO390" s="30">
        <v>433.82</v>
      </c>
      <c r="AP390" s="30">
        <v>433.82</v>
      </c>
      <c r="AQ390" s="30">
        <v>435.68</v>
      </c>
      <c r="AR390" s="30">
        <v>435.68</v>
      </c>
      <c r="AS390" s="30">
        <v>435.94</v>
      </c>
      <c r="AT390" s="30">
        <v>435.94</v>
      </c>
      <c r="AU390" s="30">
        <v>435.94</v>
      </c>
      <c r="AV390" s="30">
        <v>435.94</v>
      </c>
      <c r="AW390" s="30">
        <v>435.94</v>
      </c>
      <c r="AX390" s="30">
        <v>439.01</v>
      </c>
      <c r="AY390" s="30">
        <v>442.8</v>
      </c>
      <c r="AZ390" s="30">
        <v>446.49</v>
      </c>
      <c r="BA390" s="30" t="e">
        <f t="array" aca="1" ref="BA390" ca="1">_xludf.XLOOKUP(C390,'PL TOTAL D0'!A:A,'PL TOTAL D0'!C:C,"")</f>
        <v>#NAME?</v>
      </c>
    </row>
    <row r="391" spans="1:53" ht="15.75" customHeight="1">
      <c r="A391" s="23" t="s">
        <v>29</v>
      </c>
      <c r="B391" s="3" t="s">
        <v>1411</v>
      </c>
      <c r="C391" s="4" t="s">
        <v>1412</v>
      </c>
      <c r="D391" s="7" t="s">
        <v>19</v>
      </c>
      <c r="E391" s="7" t="s">
        <v>34</v>
      </c>
      <c r="F391" s="7" t="s">
        <v>35</v>
      </c>
      <c r="G391" s="7" t="e">
        <f t="shared" ca="1" si="13"/>
        <v>#NAME?</v>
      </c>
      <c r="H391" s="24" t="s">
        <v>152</v>
      </c>
      <c r="I391" s="24" t="s">
        <v>25</v>
      </c>
      <c r="J391" s="7" t="str">
        <f t="shared" si="18"/>
        <v>Não</v>
      </c>
      <c r="K391" s="25">
        <v>45128</v>
      </c>
      <c r="L391" s="25"/>
      <c r="M391" s="7" t="s">
        <v>200</v>
      </c>
      <c r="N391" s="26">
        <v>1.4999999999999999E-2</v>
      </c>
      <c r="O391" s="7" t="s">
        <v>37</v>
      </c>
      <c r="P391" s="27">
        <v>0.1</v>
      </c>
      <c r="Q391" s="45"/>
      <c r="R391" s="28"/>
      <c r="S391" s="7" t="s">
        <v>145</v>
      </c>
      <c r="T391" s="7" t="s">
        <v>1413</v>
      </c>
      <c r="U391" s="7" t="s">
        <v>39</v>
      </c>
      <c r="V391" s="24" t="e">
        <f t="shared" ca="1" si="14"/>
        <v>#NAME?</v>
      </c>
      <c r="W391" s="7"/>
      <c r="X391" s="7"/>
      <c r="Y391" s="29" t="s">
        <v>147</v>
      </c>
      <c r="Z391" s="30"/>
      <c r="AA391" s="31">
        <v>45128</v>
      </c>
      <c r="AB391" s="32">
        <v>49075100008108</v>
      </c>
      <c r="AC391" s="30"/>
      <c r="AD391" s="30"/>
      <c r="AE391" s="30"/>
      <c r="AF391" s="30"/>
      <c r="AG391" s="30"/>
      <c r="AH391" s="30">
        <v>0</v>
      </c>
      <c r="AI391" s="30">
        <v>0</v>
      </c>
      <c r="AJ391" s="30">
        <v>0</v>
      </c>
      <c r="AK391" s="30">
        <v>0</v>
      </c>
      <c r="AL391" s="30">
        <v>302770.32</v>
      </c>
      <c r="AM391" s="30">
        <v>319984.74</v>
      </c>
      <c r="AN391" s="30">
        <v>321276.02</v>
      </c>
      <c r="AO391" s="30">
        <v>320370.19</v>
      </c>
      <c r="AP391" s="30">
        <v>327308.84999999998</v>
      </c>
      <c r="AQ391" s="30">
        <v>333739.21000000002</v>
      </c>
      <c r="AR391" s="30">
        <v>329468.33</v>
      </c>
      <c r="AS391" s="30">
        <v>331760.87</v>
      </c>
      <c r="AT391" s="30">
        <v>334298.87</v>
      </c>
      <c r="AU391" s="30">
        <v>331338.23</v>
      </c>
      <c r="AV391" s="30">
        <v>329330.3</v>
      </c>
      <c r="AW391" s="30">
        <v>331104</v>
      </c>
      <c r="AX391" s="30">
        <v>334450.09999999998</v>
      </c>
      <c r="AY391" s="30">
        <v>337968.66</v>
      </c>
      <c r="AZ391" s="30">
        <v>336715.96</v>
      </c>
      <c r="BA391" s="30" t="e">
        <f t="array" aca="1" ref="BA391" ca="1">_xludf.XLOOKUP(C391,'PL TOTAL D0'!A:A,'PL TOTAL D0'!C:C,"")</f>
        <v>#NAME?</v>
      </c>
    </row>
    <row r="392" spans="1:53" ht="15.75" customHeight="1">
      <c r="A392" s="23" t="s">
        <v>29</v>
      </c>
      <c r="B392" s="75" t="s">
        <v>1414</v>
      </c>
      <c r="C392" s="44" t="s">
        <v>1415</v>
      </c>
      <c r="D392" s="7" t="s">
        <v>19</v>
      </c>
      <c r="E392" s="7" t="s">
        <v>20</v>
      </c>
      <c r="F392" s="7" t="s">
        <v>199</v>
      </c>
      <c r="G392" s="7" t="e">
        <f t="shared" ca="1" si="13"/>
        <v>#NAME?</v>
      </c>
      <c r="H392" s="24" t="s">
        <v>161</v>
      </c>
      <c r="I392" s="24" t="s">
        <v>928</v>
      </c>
      <c r="J392" s="7" t="str">
        <f t="shared" si="18"/>
        <v>Não</v>
      </c>
      <c r="K392" s="25">
        <v>45362</v>
      </c>
      <c r="L392" s="7"/>
      <c r="M392" s="7" t="s">
        <v>345</v>
      </c>
      <c r="N392" s="26">
        <v>0.02</v>
      </c>
      <c r="O392" s="7" t="s">
        <v>37</v>
      </c>
      <c r="P392" s="27">
        <v>0.2</v>
      </c>
      <c r="Q392" s="90"/>
      <c r="R392" s="90"/>
      <c r="S392" s="7" t="s">
        <v>145</v>
      </c>
      <c r="T392" s="12" t="s">
        <v>1416</v>
      </c>
      <c r="U392" s="7" t="s">
        <v>60</v>
      </c>
      <c r="V392" s="24" t="e">
        <f t="shared" ca="1" si="14"/>
        <v>#NAME?</v>
      </c>
      <c r="W392" s="7"/>
      <c r="X392" s="7"/>
      <c r="Y392" s="29" t="s">
        <v>433</v>
      </c>
      <c r="Z392" s="30"/>
      <c r="AA392" s="31">
        <v>45362</v>
      </c>
      <c r="AB392" s="32">
        <v>49075100013810</v>
      </c>
      <c r="AC392" s="30"/>
      <c r="AD392" s="30"/>
      <c r="AE392" s="30"/>
      <c r="AF392" s="30"/>
      <c r="AG392" s="30"/>
      <c r="AH392" s="30"/>
      <c r="AI392" s="30"/>
      <c r="AJ392" s="30"/>
      <c r="AK392" s="30"/>
      <c r="AL392" s="30"/>
      <c r="AM392" s="30"/>
      <c r="AN392" s="30"/>
      <c r="AO392" s="30"/>
      <c r="AP392" s="30"/>
      <c r="AQ392" s="30"/>
      <c r="AR392" s="30"/>
      <c r="AS392" s="30"/>
      <c r="AT392" s="30">
        <v>302703.59000000003</v>
      </c>
      <c r="AU392" s="30">
        <v>298173.01</v>
      </c>
      <c r="AV392" s="30">
        <v>392202</v>
      </c>
      <c r="AW392" s="30">
        <v>394170.3</v>
      </c>
      <c r="AX392" s="30">
        <v>401310.4</v>
      </c>
      <c r="AY392" s="30">
        <v>407535.01</v>
      </c>
      <c r="AZ392" s="30">
        <v>141255.24</v>
      </c>
      <c r="BA392" s="30" t="e">
        <f t="array" aca="1" ref="BA392" ca="1">_xludf.XLOOKUP(C392,'PL TOTAL D0'!A:A,'PL TOTAL D0'!C:C,"")</f>
        <v>#NAME?</v>
      </c>
    </row>
    <row r="393" spans="1:53" ht="15.75" customHeight="1">
      <c r="A393" s="23" t="s">
        <v>29</v>
      </c>
      <c r="B393" s="3" t="s">
        <v>1417</v>
      </c>
      <c r="C393" s="4" t="s">
        <v>1418</v>
      </c>
      <c r="D393" s="7" t="s">
        <v>19</v>
      </c>
      <c r="E393" s="7" t="s">
        <v>49</v>
      </c>
      <c r="F393" s="7" t="s">
        <v>328</v>
      </c>
      <c r="G393" s="7" t="e">
        <f t="shared" ca="1" si="13"/>
        <v>#NAME?</v>
      </c>
      <c r="H393" s="24" t="s">
        <v>161</v>
      </c>
      <c r="I393" s="24" t="s">
        <v>162</v>
      </c>
      <c r="J393" s="7" t="str">
        <f t="shared" si="18"/>
        <v>Não</v>
      </c>
      <c r="K393" s="25">
        <v>44950</v>
      </c>
      <c r="L393" s="7"/>
      <c r="M393" s="7" t="s">
        <v>42</v>
      </c>
      <c r="N393" s="26">
        <v>0.01</v>
      </c>
      <c r="O393" s="7" t="s">
        <v>25</v>
      </c>
      <c r="P393" s="27">
        <v>0</v>
      </c>
      <c r="Q393" s="28"/>
      <c r="R393" s="28" t="s">
        <v>1419</v>
      </c>
      <c r="S393" s="7" t="s">
        <v>145</v>
      </c>
      <c r="T393" s="7" t="s">
        <v>1420</v>
      </c>
      <c r="U393" s="7" t="s">
        <v>49</v>
      </c>
      <c r="V393" s="24" t="e">
        <f t="shared" ca="1" si="14"/>
        <v>#NAME?</v>
      </c>
      <c r="W393" s="7"/>
      <c r="X393" s="7"/>
      <c r="Y393" s="29" t="s">
        <v>147</v>
      </c>
      <c r="Z393" s="30"/>
      <c r="AA393" s="31">
        <v>44950</v>
      </c>
      <c r="AB393" s="32">
        <v>49075100005907</v>
      </c>
      <c r="AC393" s="30"/>
      <c r="AD393" s="30"/>
      <c r="AE393" s="30"/>
      <c r="AF393" s="30">
        <v>212431.18</v>
      </c>
      <c r="AG393" s="30">
        <v>218921.92</v>
      </c>
      <c r="AH393" s="30">
        <v>221085.4</v>
      </c>
      <c r="AI393" s="30">
        <v>222967.51</v>
      </c>
      <c r="AJ393" s="30">
        <v>225285.35</v>
      </c>
      <c r="AK393" s="30">
        <v>226496.4</v>
      </c>
      <c r="AL393" s="30">
        <v>228050.04</v>
      </c>
      <c r="AM393" s="30">
        <v>75990.570000000007</v>
      </c>
      <c r="AN393" s="30">
        <v>76616.570000000007</v>
      </c>
      <c r="AO393" s="30">
        <v>100</v>
      </c>
      <c r="AP393" s="30">
        <v>86.38</v>
      </c>
      <c r="AQ393" s="30">
        <v>86.38</v>
      </c>
      <c r="AR393" s="30">
        <v>86.38</v>
      </c>
      <c r="AS393" s="30">
        <v>86.38</v>
      </c>
      <c r="AT393" s="30">
        <v>86.38</v>
      </c>
      <c r="AU393" s="30">
        <v>86.38</v>
      </c>
      <c r="AV393" s="30">
        <v>86.38</v>
      </c>
      <c r="AW393" s="30">
        <v>86.38</v>
      </c>
      <c r="AX393" s="30">
        <v>86.38</v>
      </c>
      <c r="AY393" s="30">
        <v>86.38</v>
      </c>
      <c r="AZ393" s="30">
        <v>86.38</v>
      </c>
      <c r="BA393" s="30" t="e">
        <f t="array" aca="1" ref="BA393" ca="1">_xludf.XLOOKUP(C393,'PL TOTAL D0'!A:A,'PL TOTAL D0'!C:C,"")</f>
        <v>#NAME?</v>
      </c>
    </row>
    <row r="394" spans="1:53" ht="15.75" customHeight="1">
      <c r="A394" s="23" t="s">
        <v>29</v>
      </c>
      <c r="B394" s="3" t="s">
        <v>1421</v>
      </c>
      <c r="C394" s="4" t="s">
        <v>1422</v>
      </c>
      <c r="D394" s="7" t="s">
        <v>19</v>
      </c>
      <c r="E394" s="7" t="s">
        <v>20</v>
      </c>
      <c r="F394" s="7" t="s">
        <v>199</v>
      </c>
      <c r="G394" s="7" t="e">
        <f t="shared" ca="1" si="13"/>
        <v>#NAME?</v>
      </c>
      <c r="H394" s="24" t="s">
        <v>152</v>
      </c>
      <c r="I394" s="24" t="s">
        <v>25</v>
      </c>
      <c r="J394" s="7" t="str">
        <f t="shared" si="18"/>
        <v>Não</v>
      </c>
      <c r="K394" s="25">
        <v>45565</v>
      </c>
      <c r="L394" s="7"/>
      <c r="M394" s="7" t="s">
        <v>357</v>
      </c>
      <c r="N394" s="26">
        <v>7.0000000000000001E-3</v>
      </c>
      <c r="O394" s="7" t="s">
        <v>25</v>
      </c>
      <c r="P394" s="27">
        <v>0</v>
      </c>
      <c r="Q394" s="28"/>
      <c r="R394" s="28"/>
      <c r="S394" s="7" t="s">
        <v>145</v>
      </c>
      <c r="T394" s="7" t="s">
        <v>1423</v>
      </c>
      <c r="U394" s="7" t="s">
        <v>20</v>
      </c>
      <c r="V394" s="24" t="e">
        <f t="shared" ca="1" si="14"/>
        <v>#NAME?</v>
      </c>
      <c r="W394" s="7"/>
      <c r="X394" s="7" t="s">
        <v>52</v>
      </c>
      <c r="Y394" s="29"/>
      <c r="Z394" s="30"/>
      <c r="AA394" s="30"/>
      <c r="AB394" s="32"/>
      <c r="AC394" s="30"/>
      <c r="AD394" s="30"/>
      <c r="AE394" s="30"/>
      <c r="AF394" s="30"/>
      <c r="AG394" s="30"/>
      <c r="AH394" s="30"/>
      <c r="AI394" s="30"/>
      <c r="AJ394" s="30"/>
      <c r="AK394" s="30"/>
      <c r="AL394" s="30"/>
      <c r="AM394" s="30"/>
      <c r="AN394" s="30"/>
      <c r="AO394" s="30"/>
      <c r="AP394" s="30"/>
      <c r="AQ394" s="30"/>
      <c r="AR394" s="30"/>
      <c r="AS394" s="30"/>
      <c r="AT394" s="30"/>
      <c r="AU394" s="30"/>
      <c r="AV394" s="30"/>
      <c r="AW394" s="30"/>
      <c r="AX394" s="30"/>
      <c r="AY394" s="30"/>
      <c r="AZ394" s="30">
        <v>0</v>
      </c>
      <c r="BA394" s="30" t="e">
        <f t="array" aca="1" ref="BA394" ca="1">_xludf.XLOOKUP(C394,'PL TOTAL D0'!A:A,'PL TOTAL D0'!C:C,"")</f>
        <v>#NAME?</v>
      </c>
    </row>
    <row r="395" spans="1:53" ht="15.75" customHeight="1">
      <c r="A395" s="23" t="s">
        <v>29</v>
      </c>
      <c r="B395" s="3" t="s">
        <v>1424</v>
      </c>
      <c r="C395" s="4" t="s">
        <v>1425</v>
      </c>
      <c r="D395" s="7" t="s">
        <v>19</v>
      </c>
      <c r="E395" s="7" t="s">
        <v>34</v>
      </c>
      <c r="F395" s="7" t="s">
        <v>262</v>
      </c>
      <c r="G395" s="7" t="e">
        <f t="shared" ca="1" si="13"/>
        <v>#NAME?</v>
      </c>
      <c r="H395" s="24" t="s">
        <v>152</v>
      </c>
      <c r="I395" s="24" t="s">
        <v>25</v>
      </c>
      <c r="J395" s="7" t="str">
        <f t="shared" si="18"/>
        <v>Não</v>
      </c>
      <c r="K395" s="25">
        <v>45043</v>
      </c>
      <c r="L395" s="7"/>
      <c r="M395" s="7" t="s">
        <v>875</v>
      </c>
      <c r="N395" s="26">
        <v>0.02</v>
      </c>
      <c r="O395" s="7" t="s">
        <v>183</v>
      </c>
      <c r="P395" s="27">
        <v>0.2</v>
      </c>
      <c r="Q395" s="28"/>
      <c r="R395" s="90"/>
      <c r="S395" s="7" t="s">
        <v>145</v>
      </c>
      <c r="T395" s="7" t="s">
        <v>1426</v>
      </c>
      <c r="U395" s="7" t="s">
        <v>39</v>
      </c>
      <c r="V395" s="24" t="e">
        <f t="shared" ca="1" si="14"/>
        <v>#NAME?</v>
      </c>
      <c r="W395" s="7"/>
      <c r="X395" s="7"/>
      <c r="Y395" s="29" t="s">
        <v>147</v>
      </c>
      <c r="Z395" s="30"/>
      <c r="AA395" s="31">
        <v>45043</v>
      </c>
      <c r="AB395" s="32">
        <v>49075100007802</v>
      </c>
      <c r="AC395" s="30"/>
      <c r="AD395" s="30"/>
      <c r="AE395" s="30"/>
      <c r="AF395" s="30">
        <v>0</v>
      </c>
      <c r="AG395" s="30">
        <v>0</v>
      </c>
      <c r="AH395" s="30">
        <v>0</v>
      </c>
      <c r="AI395" s="30">
        <v>16010.84</v>
      </c>
      <c r="AJ395" s="30">
        <v>107737.05</v>
      </c>
      <c r="AK395" s="30">
        <v>84997.63</v>
      </c>
      <c r="AL395" s="30">
        <v>83477.75</v>
      </c>
      <c r="AM395" s="30">
        <v>84810.25</v>
      </c>
      <c r="AN395" s="30">
        <v>87027.22</v>
      </c>
      <c r="AO395" s="30">
        <v>89078.46</v>
      </c>
      <c r="AP395" s="30">
        <v>94239.27</v>
      </c>
      <c r="AQ395" s="30">
        <v>97783.65</v>
      </c>
      <c r="AR395" s="30">
        <v>96678.81</v>
      </c>
      <c r="AS395" s="30">
        <v>97510.39</v>
      </c>
      <c r="AT395" s="30">
        <v>58668.22</v>
      </c>
      <c r="AU395" s="30">
        <v>56642.04</v>
      </c>
      <c r="AV395" s="30">
        <v>55531.87</v>
      </c>
      <c r="AW395" s="30">
        <v>56727.02</v>
      </c>
      <c r="AX395" s="30">
        <v>59655.85</v>
      </c>
      <c r="AY395" s="30">
        <v>63107.65</v>
      </c>
      <c r="AZ395" s="30">
        <v>55923.85</v>
      </c>
      <c r="BA395" s="30" t="e">
        <f t="array" aca="1" ref="BA395" ca="1">_xludf.XLOOKUP(C395,'PL TOTAL D0'!A:A,'PL TOTAL D0'!C:C,"")</f>
        <v>#NAME?</v>
      </c>
    </row>
    <row r="396" spans="1:53" ht="15.75" customHeight="1">
      <c r="A396" s="23" t="s">
        <v>29</v>
      </c>
      <c r="B396" s="3" t="s">
        <v>1427</v>
      </c>
      <c r="C396" s="4" t="s">
        <v>1428</v>
      </c>
      <c r="D396" s="7" t="s">
        <v>55</v>
      </c>
      <c r="E396" s="7" t="s">
        <v>34</v>
      </c>
      <c r="F396" s="7" t="s">
        <v>1429</v>
      </c>
      <c r="G396" s="7" t="e">
        <f t="shared" ca="1" si="13"/>
        <v>#NAME?</v>
      </c>
      <c r="H396" s="24" t="s">
        <v>161</v>
      </c>
      <c r="I396" s="24" t="s">
        <v>211</v>
      </c>
      <c r="J396" s="7" t="str">
        <f t="shared" si="18"/>
        <v>Não</v>
      </c>
      <c r="K396" s="25">
        <v>45456</v>
      </c>
      <c r="L396" s="7"/>
      <c r="M396" s="7" t="s">
        <v>58</v>
      </c>
      <c r="N396" s="26">
        <v>1.2E-2</v>
      </c>
      <c r="O396" s="7" t="s">
        <v>37</v>
      </c>
      <c r="P396" s="27">
        <v>0.1</v>
      </c>
      <c r="Q396" s="28"/>
      <c r="R396" s="90"/>
      <c r="S396" s="7" t="s">
        <v>145</v>
      </c>
      <c r="T396" s="7" t="s">
        <v>1430</v>
      </c>
      <c r="U396" s="7" t="s">
        <v>60</v>
      </c>
      <c r="V396" s="24" t="e">
        <f t="shared" ca="1" si="14"/>
        <v>#NAME?</v>
      </c>
      <c r="W396" s="7"/>
      <c r="X396" s="7" t="s">
        <v>52</v>
      </c>
      <c r="Y396" s="29" t="s">
        <v>147</v>
      </c>
      <c r="Z396" s="30"/>
      <c r="AA396" s="31">
        <v>45456</v>
      </c>
      <c r="AB396" s="32">
        <v>49075100015139</v>
      </c>
      <c r="AC396" s="30"/>
      <c r="AD396" s="30"/>
      <c r="AE396" s="30"/>
      <c r="AF396" s="30"/>
      <c r="AG396" s="30"/>
      <c r="AH396" s="30"/>
      <c r="AI396" s="30"/>
      <c r="AJ396" s="30"/>
      <c r="AK396" s="30"/>
      <c r="AL396" s="30"/>
      <c r="AM396" s="30"/>
      <c r="AN396" s="30"/>
      <c r="AO396" s="30"/>
      <c r="AP396" s="30"/>
      <c r="AQ396" s="30"/>
      <c r="AR396" s="30"/>
      <c r="AS396" s="30"/>
      <c r="AT396" s="30"/>
      <c r="AU396" s="30"/>
      <c r="AV396" s="30"/>
      <c r="AW396" s="30">
        <v>402221.5</v>
      </c>
      <c r="AX396" s="30">
        <v>407035.3</v>
      </c>
      <c r="AY396" s="30">
        <v>411318.97</v>
      </c>
      <c r="AZ396" s="30">
        <v>0</v>
      </c>
      <c r="BA396" s="30" t="e">
        <f t="array" aca="1" ref="BA396" ca="1">_xludf.XLOOKUP(C396,'PL TOTAL D0'!A:A,'PL TOTAL D0'!C:C,"")</f>
        <v>#NAME?</v>
      </c>
    </row>
    <row r="397" spans="1:53" ht="15.75" customHeight="1">
      <c r="A397" s="23" t="s">
        <v>29</v>
      </c>
      <c r="B397" s="3" t="s">
        <v>1431</v>
      </c>
      <c r="C397" s="4" t="s">
        <v>1432</v>
      </c>
      <c r="D397" s="7" t="s">
        <v>19</v>
      </c>
      <c r="E397" s="7" t="s">
        <v>34</v>
      </c>
      <c r="F397" s="7" t="s">
        <v>262</v>
      </c>
      <c r="G397" s="7" t="e">
        <f t="shared" ca="1" si="13"/>
        <v>#NAME?</v>
      </c>
      <c r="H397" s="24" t="s">
        <v>161</v>
      </c>
      <c r="I397" s="24" t="s">
        <v>162</v>
      </c>
      <c r="J397" s="7" t="str">
        <f t="shared" si="18"/>
        <v>Não</v>
      </c>
      <c r="K397" s="25">
        <v>45042</v>
      </c>
      <c r="L397" s="7"/>
      <c r="M397" s="7" t="s">
        <v>200</v>
      </c>
      <c r="N397" s="26">
        <v>1.4999999999999999E-2</v>
      </c>
      <c r="O397" s="7" t="s">
        <v>37</v>
      </c>
      <c r="P397" s="27">
        <v>0.1</v>
      </c>
      <c r="Q397" s="90"/>
      <c r="R397" s="90"/>
      <c r="S397" s="7" t="s">
        <v>145</v>
      </c>
      <c r="T397" s="7" t="s">
        <v>1433</v>
      </c>
      <c r="U397" s="7" t="s">
        <v>39</v>
      </c>
      <c r="V397" s="24" t="e">
        <f t="shared" ca="1" si="14"/>
        <v>#NAME?</v>
      </c>
      <c r="W397" s="7"/>
      <c r="X397" s="7" t="s">
        <v>91</v>
      </c>
      <c r="Y397" s="29" t="s">
        <v>147</v>
      </c>
      <c r="Z397" s="30"/>
      <c r="AA397" s="31">
        <v>45042</v>
      </c>
      <c r="AB397" s="32">
        <v>49075100008991</v>
      </c>
      <c r="AC397" s="30"/>
      <c r="AD397" s="30"/>
      <c r="AE397" s="30"/>
      <c r="AF397" s="30">
        <v>0</v>
      </c>
      <c r="AG397" s="30">
        <v>0</v>
      </c>
      <c r="AH397" s="30">
        <v>0</v>
      </c>
      <c r="AI397" s="30">
        <v>423185.18</v>
      </c>
      <c r="AJ397" s="30">
        <v>433492.38</v>
      </c>
      <c r="AK397" s="30">
        <v>450372.33</v>
      </c>
      <c r="AL397" s="30">
        <v>453576.53</v>
      </c>
      <c r="AM397" s="30">
        <v>488861.8</v>
      </c>
      <c r="AN397" s="30">
        <v>491793.38</v>
      </c>
      <c r="AO397" s="30">
        <v>492271</v>
      </c>
      <c r="AP397" s="30">
        <v>502707.52</v>
      </c>
      <c r="AQ397" s="30">
        <v>512479.56</v>
      </c>
      <c r="AR397" s="30">
        <v>504882.8</v>
      </c>
      <c r="AS397" s="30">
        <v>504794.79</v>
      </c>
      <c r="AT397" s="30">
        <v>510606.55</v>
      </c>
      <c r="AU397" s="30">
        <v>505960.57</v>
      </c>
      <c r="AV397" s="30">
        <v>503778.5</v>
      </c>
      <c r="AW397" s="30">
        <v>506702.6</v>
      </c>
      <c r="AX397" s="30">
        <v>57810.97</v>
      </c>
      <c r="AY397" s="30">
        <v>0</v>
      </c>
      <c r="AZ397" s="30">
        <v>0</v>
      </c>
      <c r="BA397" s="30" t="e">
        <f t="array" aca="1" ref="BA397" ca="1">_xludf.XLOOKUP(C397,'PL TOTAL D0'!A:A,'PL TOTAL D0'!C:C,"")</f>
        <v>#NAME?</v>
      </c>
    </row>
    <row r="398" spans="1:53" ht="15.75" customHeight="1">
      <c r="A398" s="23" t="s">
        <v>29</v>
      </c>
      <c r="B398" s="3" t="s">
        <v>1431</v>
      </c>
      <c r="C398" s="4" t="s">
        <v>1434</v>
      </c>
      <c r="D398" s="7" t="s">
        <v>19</v>
      </c>
      <c r="E398" s="7" t="s">
        <v>34</v>
      </c>
      <c r="F398" s="7" t="s">
        <v>262</v>
      </c>
      <c r="G398" s="7" t="e">
        <f t="shared" ca="1" si="13"/>
        <v>#NAME?</v>
      </c>
      <c r="H398" s="24" t="s">
        <v>152</v>
      </c>
      <c r="I398" s="24" t="s">
        <v>25</v>
      </c>
      <c r="J398" s="7" t="str">
        <f t="shared" si="18"/>
        <v>Não</v>
      </c>
      <c r="K398" s="25">
        <v>45576</v>
      </c>
      <c r="L398" s="7"/>
      <c r="M398" s="7" t="s">
        <v>200</v>
      </c>
      <c r="N398" s="26">
        <v>1.4999999999999999E-2</v>
      </c>
      <c r="O398" s="7" t="s">
        <v>37</v>
      </c>
      <c r="P398" s="27">
        <v>0.1</v>
      </c>
      <c r="Q398" s="90"/>
      <c r="R398" s="90"/>
      <c r="S398" s="7" t="s">
        <v>145</v>
      </c>
      <c r="T398" s="7" t="s">
        <v>1433</v>
      </c>
      <c r="U398" s="7" t="s">
        <v>39</v>
      </c>
      <c r="V398" s="24" t="e">
        <f t="shared" ca="1" si="14"/>
        <v>#NAME?</v>
      </c>
      <c r="W398" s="7"/>
      <c r="X398" s="7" t="s">
        <v>91</v>
      </c>
      <c r="Y398" s="29"/>
      <c r="Z398" s="30"/>
      <c r="AA398" s="31"/>
      <c r="AB398" s="32"/>
      <c r="AC398" s="30"/>
      <c r="AD398" s="30"/>
      <c r="AE398" s="30"/>
      <c r="AF398" s="30"/>
      <c r="AG398" s="30"/>
      <c r="AH398" s="30"/>
      <c r="AI398" s="30"/>
      <c r="AJ398" s="30"/>
      <c r="AK398" s="30"/>
      <c r="AL398" s="30"/>
      <c r="AM398" s="30"/>
      <c r="AN398" s="30"/>
      <c r="AO398" s="30"/>
      <c r="AP398" s="30"/>
      <c r="AQ398" s="30"/>
      <c r="AR398" s="30"/>
      <c r="AS398" s="30"/>
      <c r="AT398" s="30"/>
      <c r="AU398" s="30"/>
      <c r="AV398" s="30"/>
      <c r="AW398" s="30"/>
      <c r="AX398" s="30"/>
      <c r="AY398" s="30"/>
      <c r="AZ398" s="30"/>
      <c r="BA398" s="30" t="e">
        <f t="array" aca="1" ref="BA398" ca="1">_xludf.XLOOKUP(C398,'PL TOTAL D0'!A:A,'PL TOTAL D0'!C:C,"")</f>
        <v>#NAME?</v>
      </c>
    </row>
    <row r="399" spans="1:53" ht="15.75" customHeight="1">
      <c r="A399" s="23" t="s">
        <v>29</v>
      </c>
      <c r="B399" s="3" t="s">
        <v>1435</v>
      </c>
      <c r="C399" s="4" t="s">
        <v>1436</v>
      </c>
      <c r="D399" s="7" t="s">
        <v>19</v>
      </c>
      <c r="E399" s="7" t="s">
        <v>20</v>
      </c>
      <c r="F399" s="7" t="s">
        <v>372</v>
      </c>
      <c r="G399" s="7" t="e">
        <f t="shared" ca="1" si="13"/>
        <v>#NAME?</v>
      </c>
      <c r="H399" s="24" t="s">
        <v>161</v>
      </c>
      <c r="I399" s="24" t="s">
        <v>162</v>
      </c>
      <c r="J399" s="7" t="str">
        <f t="shared" si="18"/>
        <v>Não</v>
      </c>
      <c r="K399" s="25">
        <v>44959</v>
      </c>
      <c r="L399" s="7"/>
      <c r="M399" s="7" t="s">
        <v>172</v>
      </c>
      <c r="N399" s="26">
        <v>0</v>
      </c>
      <c r="O399" s="7" t="s">
        <v>25</v>
      </c>
      <c r="P399" s="27">
        <v>0</v>
      </c>
      <c r="Q399" s="36"/>
      <c r="R399" s="28" t="s">
        <v>1437</v>
      </c>
      <c r="S399" s="7" t="s">
        <v>145</v>
      </c>
      <c r="T399" s="7" t="s">
        <v>1438</v>
      </c>
      <c r="U399" s="7" t="s">
        <v>20</v>
      </c>
      <c r="V399" s="24" t="e">
        <f t="shared" ca="1" si="14"/>
        <v>#NAME?</v>
      </c>
      <c r="W399" s="7"/>
      <c r="X399" s="7"/>
      <c r="Y399" s="29" t="s">
        <v>147</v>
      </c>
      <c r="Z399" s="30"/>
      <c r="AA399" s="31">
        <v>44959</v>
      </c>
      <c r="AB399" s="32">
        <v>49075100010250</v>
      </c>
      <c r="AC399" s="30"/>
      <c r="AD399" s="30"/>
      <c r="AE399" s="30"/>
      <c r="AF399" s="30">
        <v>0</v>
      </c>
      <c r="AG399" s="30">
        <v>1060.5</v>
      </c>
      <c r="AH399" s="30">
        <v>1594.06</v>
      </c>
      <c r="AI399" s="30">
        <v>2130.62</v>
      </c>
      <c r="AJ399" s="30">
        <v>2151.04</v>
      </c>
      <c r="AK399" s="30">
        <v>3226.35</v>
      </c>
      <c r="AL399" s="30">
        <v>3764.58</v>
      </c>
      <c r="AM399" s="30">
        <v>4321.99</v>
      </c>
      <c r="AN399" s="30">
        <v>4880.82</v>
      </c>
      <c r="AO399" s="30">
        <v>5969.88</v>
      </c>
      <c r="AP399" s="30">
        <v>0</v>
      </c>
      <c r="AQ399" s="30">
        <v>0</v>
      </c>
      <c r="AR399" s="30">
        <v>0</v>
      </c>
      <c r="AS399" s="30">
        <v>0.15</v>
      </c>
      <c r="AT399" s="30">
        <v>0.15</v>
      </c>
      <c r="AU399" s="30">
        <v>0.15</v>
      </c>
      <c r="AV399" s="30">
        <v>0.15</v>
      </c>
      <c r="AW399" s="30">
        <v>0.15</v>
      </c>
      <c r="AX399" s="30">
        <v>0.15</v>
      </c>
      <c r="AY399" s="30">
        <v>0.15</v>
      </c>
      <c r="AZ399" s="30">
        <v>0.15</v>
      </c>
      <c r="BA399" s="30" t="e">
        <f t="array" aca="1" ref="BA399" ca="1">_xludf.XLOOKUP(C399,'PL TOTAL D0'!A:A,'PL TOTAL D0'!C:C,"")</f>
        <v>#NAME?</v>
      </c>
    </row>
    <row r="400" spans="1:53" ht="15.75" customHeight="1">
      <c r="A400" s="23" t="s">
        <v>29</v>
      </c>
      <c r="B400" s="3" t="s">
        <v>1439</v>
      </c>
      <c r="C400" s="4" t="s">
        <v>1440</v>
      </c>
      <c r="D400" s="7" t="s">
        <v>19</v>
      </c>
      <c r="E400" s="7" t="s">
        <v>49</v>
      </c>
      <c r="F400" s="7" t="s">
        <v>166</v>
      </c>
      <c r="G400" s="7" t="e">
        <f t="shared" ca="1" si="13"/>
        <v>#NAME?</v>
      </c>
      <c r="H400" s="24" t="s">
        <v>152</v>
      </c>
      <c r="I400" s="24" t="s">
        <v>25</v>
      </c>
      <c r="J400" s="7" t="str">
        <f t="shared" si="18"/>
        <v>Não</v>
      </c>
      <c r="K400" s="25">
        <v>44946</v>
      </c>
      <c r="L400" s="7"/>
      <c r="M400" s="7" t="s">
        <v>200</v>
      </c>
      <c r="N400" s="26">
        <v>1.4999999999999999E-2</v>
      </c>
      <c r="O400" s="7" t="s">
        <v>37</v>
      </c>
      <c r="P400" s="27">
        <v>0.1</v>
      </c>
      <c r="Q400" s="90"/>
      <c r="R400" s="138"/>
      <c r="S400" s="7" t="s">
        <v>145</v>
      </c>
      <c r="T400" s="7" t="s">
        <v>1441</v>
      </c>
      <c r="U400" s="7" t="s">
        <v>49</v>
      </c>
      <c r="V400" s="24" t="e">
        <f t="shared" ca="1" si="14"/>
        <v>#NAME?</v>
      </c>
      <c r="W400" s="7"/>
      <c r="X400" s="7"/>
      <c r="Y400" s="29" t="s">
        <v>253</v>
      </c>
      <c r="Z400" s="30"/>
      <c r="AA400" s="31">
        <v>44946</v>
      </c>
      <c r="AB400" s="32">
        <v>49075100005923</v>
      </c>
      <c r="AC400" s="30"/>
      <c r="AD400" s="30"/>
      <c r="AE400" s="30"/>
      <c r="AF400" s="30">
        <v>108265.42</v>
      </c>
      <c r="AG400" s="30">
        <v>124741.99</v>
      </c>
      <c r="AH400" s="30">
        <v>140217.14000000001</v>
      </c>
      <c r="AI400" s="30">
        <v>144114.28</v>
      </c>
      <c r="AJ400" s="30">
        <v>148461.24</v>
      </c>
      <c r="AK400" s="30">
        <v>153522.01999999999</v>
      </c>
      <c r="AL400" s="30">
        <v>157547.29999999999</v>
      </c>
      <c r="AM400" s="30">
        <v>166402.01</v>
      </c>
      <c r="AN400" s="30">
        <v>168811.3</v>
      </c>
      <c r="AO400" s="30">
        <v>164502.06</v>
      </c>
      <c r="AP400" s="30">
        <v>203285.42</v>
      </c>
      <c r="AQ400" s="30">
        <v>206882.78</v>
      </c>
      <c r="AR400" s="30">
        <v>204753.59</v>
      </c>
      <c r="AS400" s="30">
        <v>201508.77</v>
      </c>
      <c r="AT400" s="30">
        <v>204538.43</v>
      </c>
      <c r="AU400" s="30">
        <v>204516.88</v>
      </c>
      <c r="AV400" s="30">
        <v>205847.2</v>
      </c>
      <c r="AW400" s="30">
        <v>208329.5</v>
      </c>
      <c r="AX400" s="30">
        <v>219619</v>
      </c>
      <c r="AY400" s="30">
        <v>224067.58</v>
      </c>
      <c r="AZ400" s="30">
        <v>227827.74</v>
      </c>
      <c r="BA400" s="30" t="e">
        <f t="array" aca="1" ref="BA400" ca="1">_xludf.XLOOKUP(C400,'PL TOTAL D0'!A:A,'PL TOTAL D0'!C:C,"")</f>
        <v>#NAME?</v>
      </c>
    </row>
    <row r="401" spans="1:53" ht="15.75" customHeight="1">
      <c r="A401" s="23" t="s">
        <v>29</v>
      </c>
      <c r="B401" s="37" t="s">
        <v>1442</v>
      </c>
      <c r="C401" s="4" t="s">
        <v>1443</v>
      </c>
      <c r="D401" s="7" t="s">
        <v>19</v>
      </c>
      <c r="E401" s="7" t="s">
        <v>20</v>
      </c>
      <c r="F401" s="7" t="s">
        <v>372</v>
      </c>
      <c r="G401" s="7" t="e">
        <f t="shared" ca="1" si="13"/>
        <v>#NAME?</v>
      </c>
      <c r="H401" s="24" t="s">
        <v>161</v>
      </c>
      <c r="I401" s="24" t="s">
        <v>162</v>
      </c>
      <c r="J401" s="7" t="str">
        <f t="shared" si="18"/>
        <v>Não</v>
      </c>
      <c r="K401" s="25">
        <v>45020</v>
      </c>
      <c r="L401" s="7"/>
      <c r="M401" s="7" t="s">
        <v>42</v>
      </c>
      <c r="N401" s="26">
        <v>1.2E-2</v>
      </c>
      <c r="O401" s="7" t="s">
        <v>25</v>
      </c>
      <c r="P401" s="27">
        <v>0</v>
      </c>
      <c r="Q401" s="90"/>
      <c r="R401" s="139" t="s">
        <v>1444</v>
      </c>
      <c r="S401" s="7" t="s">
        <v>145</v>
      </c>
      <c r="T401" s="7" t="s">
        <v>1445</v>
      </c>
      <c r="U401" s="7" t="s">
        <v>20</v>
      </c>
      <c r="V401" s="24" t="e">
        <f t="shared" ca="1" si="14"/>
        <v>#NAME?</v>
      </c>
      <c r="W401" s="7"/>
      <c r="X401" s="7"/>
      <c r="Y401" s="29" t="s">
        <v>147</v>
      </c>
      <c r="Z401" s="30"/>
      <c r="AA401" s="31">
        <v>45020</v>
      </c>
      <c r="AB401" s="32">
        <v>49075100008175</v>
      </c>
      <c r="AC401" s="30"/>
      <c r="AD401" s="30"/>
      <c r="AE401" s="30"/>
      <c r="AF401" s="30"/>
      <c r="AG401" s="30"/>
      <c r="AH401" s="30">
        <v>4290.59</v>
      </c>
      <c r="AI401" s="30">
        <v>4346.3100000000004</v>
      </c>
      <c r="AJ401" s="30">
        <v>4384.53</v>
      </c>
      <c r="AK401" s="30">
        <v>4422.04</v>
      </c>
      <c r="AL401" s="30">
        <v>4473.34</v>
      </c>
      <c r="AM401" s="30">
        <v>5.55</v>
      </c>
      <c r="AN401" s="30">
        <v>5.55</v>
      </c>
      <c r="AO401" s="30">
        <v>5.55</v>
      </c>
      <c r="AP401" s="30">
        <v>5.55</v>
      </c>
      <c r="AQ401" s="30">
        <v>5.55</v>
      </c>
      <c r="AR401" s="30">
        <v>5.55</v>
      </c>
      <c r="AS401" s="30">
        <v>5.55</v>
      </c>
      <c r="AT401" s="30">
        <v>5.55</v>
      </c>
      <c r="AU401" s="30">
        <v>5.55</v>
      </c>
      <c r="AV401" s="30">
        <v>5.55</v>
      </c>
      <c r="AW401" s="30">
        <v>5.55</v>
      </c>
      <c r="AX401" s="30">
        <v>5.55</v>
      </c>
      <c r="AY401" s="30">
        <v>5.55</v>
      </c>
      <c r="AZ401" s="30">
        <v>5.55</v>
      </c>
      <c r="BA401" s="30" t="e">
        <f t="array" aca="1" ref="BA401" ca="1">_xludf.XLOOKUP(C401,'PL TOTAL D0'!A:A,'PL TOTAL D0'!C:C,"")</f>
        <v>#NAME?</v>
      </c>
    </row>
    <row r="402" spans="1:53" ht="15.75" customHeight="1">
      <c r="A402" s="23" t="s">
        <v>29</v>
      </c>
      <c r="B402" s="38" t="s">
        <v>1446</v>
      </c>
      <c r="C402" s="39" t="s">
        <v>1447</v>
      </c>
      <c r="D402" s="7" t="s">
        <v>19</v>
      </c>
      <c r="E402" s="7" t="s">
        <v>49</v>
      </c>
      <c r="F402" s="7" t="s">
        <v>166</v>
      </c>
      <c r="G402" s="7" t="e">
        <f t="shared" ca="1" si="13"/>
        <v>#NAME?</v>
      </c>
      <c r="H402" s="24" t="s">
        <v>152</v>
      </c>
      <c r="I402" s="24" t="s">
        <v>162</v>
      </c>
      <c r="J402" s="7" t="str">
        <f t="shared" si="18"/>
        <v>Não</v>
      </c>
      <c r="K402" s="25">
        <v>45426</v>
      </c>
      <c r="L402" s="7"/>
      <c r="M402" s="7" t="s">
        <v>42</v>
      </c>
      <c r="N402" s="26">
        <v>1.2E-2</v>
      </c>
      <c r="O402" s="7" t="s">
        <v>25</v>
      </c>
      <c r="P402" s="27">
        <v>0</v>
      </c>
      <c r="Q402" s="90"/>
      <c r="R402" s="139"/>
      <c r="S402" s="7" t="s">
        <v>145</v>
      </c>
      <c r="T402" s="6" t="s">
        <v>1448</v>
      </c>
      <c r="U402" s="7" t="s">
        <v>49</v>
      </c>
      <c r="V402" s="24" t="e">
        <f t="shared" ca="1" si="14"/>
        <v>#NAME?</v>
      </c>
      <c r="W402" s="7"/>
      <c r="X402" s="7" t="s">
        <v>52</v>
      </c>
      <c r="Y402" s="29" t="s">
        <v>147</v>
      </c>
      <c r="Z402" s="30"/>
      <c r="AA402" s="31">
        <v>45426</v>
      </c>
      <c r="AB402" s="32">
        <v>49075100014566</v>
      </c>
      <c r="AC402" s="30"/>
      <c r="AD402" s="30"/>
      <c r="AE402" s="30"/>
      <c r="AF402" s="30"/>
      <c r="AG402" s="30"/>
      <c r="AH402" s="30"/>
      <c r="AI402" s="30"/>
      <c r="AJ402" s="30"/>
      <c r="AK402" s="30"/>
      <c r="AL402" s="30"/>
      <c r="AM402" s="30"/>
      <c r="AN402" s="30"/>
      <c r="AO402" s="30"/>
      <c r="AP402" s="30"/>
      <c r="AQ402" s="30"/>
      <c r="AR402" s="30"/>
      <c r="AS402" s="30"/>
      <c r="AT402" s="30"/>
      <c r="AU402" s="30"/>
      <c r="AV402" s="30">
        <v>0</v>
      </c>
      <c r="AW402" s="30">
        <v>0</v>
      </c>
      <c r="AX402" s="30">
        <v>0</v>
      </c>
      <c r="AY402" s="30">
        <v>0</v>
      </c>
      <c r="AZ402" s="30">
        <v>0</v>
      </c>
      <c r="BA402" s="30" t="e">
        <f t="array" aca="1" ref="BA402" ca="1">_xludf.XLOOKUP(C402,'PL TOTAL D0'!A:A,'PL TOTAL D0'!C:C,"")</f>
        <v>#NAME?</v>
      </c>
    </row>
    <row r="403" spans="1:53" ht="15.75" customHeight="1">
      <c r="A403" s="23" t="s">
        <v>29</v>
      </c>
      <c r="B403" s="3" t="s">
        <v>1449</v>
      </c>
      <c r="C403" s="4" t="s">
        <v>1450</v>
      </c>
      <c r="D403" s="7" t="s">
        <v>64</v>
      </c>
      <c r="E403" s="7" t="s">
        <v>20</v>
      </c>
      <c r="F403" s="7" t="s">
        <v>142</v>
      </c>
      <c r="G403" s="7" t="e">
        <f t="shared" ca="1" si="13"/>
        <v>#NAME?</v>
      </c>
      <c r="H403" s="24" t="s">
        <v>143</v>
      </c>
      <c r="I403" s="24" t="s">
        <v>25</v>
      </c>
      <c r="J403" s="7" t="str">
        <f t="shared" si="18"/>
        <v>Não</v>
      </c>
      <c r="K403" s="25">
        <v>44998</v>
      </c>
      <c r="L403" s="25">
        <v>45559</v>
      </c>
      <c r="M403" s="7" t="s">
        <v>345</v>
      </c>
      <c r="N403" s="26">
        <v>0.02</v>
      </c>
      <c r="O403" s="7" t="s">
        <v>37</v>
      </c>
      <c r="P403" s="27">
        <v>0.2</v>
      </c>
      <c r="Q403" s="90"/>
      <c r="R403" s="90"/>
      <c r="S403" s="7" t="s">
        <v>145</v>
      </c>
      <c r="T403" s="7" t="s">
        <v>1451</v>
      </c>
      <c r="U403" s="7" t="s">
        <v>20</v>
      </c>
      <c r="V403" s="24" t="e">
        <f t="shared" ca="1" si="14"/>
        <v>#NAME?</v>
      </c>
      <c r="W403" s="7"/>
      <c r="X403" s="7"/>
      <c r="Y403" s="29" t="s">
        <v>433</v>
      </c>
      <c r="Z403" s="30"/>
      <c r="AA403" s="31">
        <v>44998</v>
      </c>
      <c r="AB403" s="32">
        <v>49075100009521</v>
      </c>
      <c r="AC403" s="30"/>
      <c r="AD403" s="30"/>
      <c r="AE403" s="30"/>
      <c r="AF403" s="30">
        <v>0</v>
      </c>
      <c r="AG403" s="30">
        <v>0</v>
      </c>
      <c r="AH403" s="30">
        <v>155653.14000000001</v>
      </c>
      <c r="AI403" s="30">
        <v>793813.54</v>
      </c>
      <c r="AJ403" s="30">
        <v>804596.25</v>
      </c>
      <c r="AK403" s="30">
        <v>870034.71</v>
      </c>
      <c r="AL403" s="30">
        <v>888211.88</v>
      </c>
      <c r="AM403" s="30">
        <v>866431.26</v>
      </c>
      <c r="AN403" s="30">
        <v>866906.14</v>
      </c>
      <c r="AO403" s="30">
        <v>856971.53</v>
      </c>
      <c r="AP403" s="30">
        <v>884834.02</v>
      </c>
      <c r="AQ403" s="30">
        <v>907780.95</v>
      </c>
      <c r="AR403" s="30">
        <v>885576.29</v>
      </c>
      <c r="AS403" s="30">
        <v>894205.06</v>
      </c>
      <c r="AT403" s="30">
        <v>904444.35</v>
      </c>
      <c r="AU403" s="30">
        <v>887189.53</v>
      </c>
      <c r="AV403" s="30">
        <v>877497.5</v>
      </c>
      <c r="AW403" s="30">
        <v>880240.9</v>
      </c>
      <c r="AX403" s="30">
        <v>899696.5</v>
      </c>
      <c r="AY403" s="30">
        <v>912475.37</v>
      </c>
      <c r="AZ403" s="30">
        <v>0</v>
      </c>
      <c r="BA403" s="30" t="e">
        <f t="array" aca="1" ref="BA403" ca="1">_xludf.XLOOKUP(C403,'PL TOTAL D0'!A:A,'PL TOTAL D0'!C:C,"")</f>
        <v>#NAME?</v>
      </c>
    </row>
    <row r="404" spans="1:53" ht="15.75" customHeight="1">
      <c r="A404" s="23" t="s">
        <v>29</v>
      </c>
      <c r="B404" s="36" t="s">
        <v>1452</v>
      </c>
      <c r="C404" s="62" t="s">
        <v>1453</v>
      </c>
      <c r="D404" s="7" t="s">
        <v>19</v>
      </c>
      <c r="E404" s="7" t="s">
        <v>34</v>
      </c>
      <c r="F404" s="7" t="s">
        <v>262</v>
      </c>
      <c r="G404" s="7" t="e">
        <f t="shared" ca="1" si="13"/>
        <v>#NAME?</v>
      </c>
      <c r="H404" s="24" t="s">
        <v>152</v>
      </c>
      <c r="I404" s="24" t="s">
        <v>25</v>
      </c>
      <c r="J404" s="7" t="str">
        <f t="shared" si="18"/>
        <v>Não</v>
      </c>
      <c r="K404" s="25">
        <v>45230</v>
      </c>
      <c r="L404" s="7"/>
      <c r="M404" s="7" t="s">
        <v>58</v>
      </c>
      <c r="N404" s="26">
        <v>1.2E-2</v>
      </c>
      <c r="O404" s="7" t="s">
        <v>37</v>
      </c>
      <c r="P404" s="27">
        <v>0.1</v>
      </c>
      <c r="Q404" s="90"/>
      <c r="R404" s="90"/>
      <c r="S404" s="7" t="s">
        <v>145</v>
      </c>
      <c r="T404" s="7" t="s">
        <v>1454</v>
      </c>
      <c r="U404" s="7" t="s">
        <v>39</v>
      </c>
      <c r="V404" s="24" t="e">
        <f t="shared" ca="1" si="14"/>
        <v>#NAME?</v>
      </c>
      <c r="W404" s="7"/>
      <c r="X404" s="7"/>
      <c r="Y404" s="29" t="s">
        <v>147</v>
      </c>
      <c r="Z404" s="30"/>
      <c r="AA404" s="31">
        <v>45230</v>
      </c>
      <c r="AB404" s="32">
        <v>49075100012504</v>
      </c>
      <c r="AC404" s="30"/>
      <c r="AD404" s="30"/>
      <c r="AE404" s="30"/>
      <c r="AF404" s="30"/>
      <c r="AG404" s="30"/>
      <c r="AH404" s="30"/>
      <c r="AI404" s="30"/>
      <c r="AJ404" s="30"/>
      <c r="AK404" s="30"/>
      <c r="AL404" s="30"/>
      <c r="AM404" s="30"/>
      <c r="AN404" s="30"/>
      <c r="AO404" s="30">
        <v>0</v>
      </c>
      <c r="AP404" s="30">
        <v>0</v>
      </c>
      <c r="AQ404" s="30">
        <v>0</v>
      </c>
      <c r="AR404" s="30">
        <v>100558.71</v>
      </c>
      <c r="AS404" s="30">
        <v>101436.11</v>
      </c>
      <c r="AT404" s="30">
        <v>102329.32</v>
      </c>
      <c r="AU404" s="30">
        <v>102208.11</v>
      </c>
      <c r="AV404" s="30">
        <v>102489.2</v>
      </c>
      <c r="AW404" s="30">
        <v>102914.9</v>
      </c>
      <c r="AX404" s="30">
        <v>104071.6</v>
      </c>
      <c r="AY404" s="30">
        <v>24496.09</v>
      </c>
      <c r="AZ404" s="30">
        <v>24584.26</v>
      </c>
      <c r="BA404" s="30" t="e">
        <f t="array" aca="1" ref="BA404" ca="1">_xludf.XLOOKUP(C404,'PL TOTAL D0'!A:A,'PL TOTAL D0'!C:C,"")</f>
        <v>#NAME?</v>
      </c>
    </row>
    <row r="405" spans="1:53" ht="15.75" customHeight="1">
      <c r="A405" s="23" t="s">
        <v>29</v>
      </c>
      <c r="B405" s="140" t="s">
        <v>1455</v>
      </c>
      <c r="C405" s="141" t="s">
        <v>1456</v>
      </c>
      <c r="D405" s="7" t="s">
        <v>19</v>
      </c>
      <c r="E405" s="7" t="s">
        <v>49</v>
      </c>
      <c r="F405" s="7" t="s">
        <v>50</v>
      </c>
      <c r="G405" s="7" t="e">
        <f t="shared" ca="1" si="13"/>
        <v>#NAME?</v>
      </c>
      <c r="H405" s="24" t="s">
        <v>161</v>
      </c>
      <c r="I405" s="24" t="s">
        <v>222</v>
      </c>
      <c r="J405" s="7" t="str">
        <f t="shared" si="18"/>
        <v>Não</v>
      </c>
      <c r="K405" s="25">
        <v>45166</v>
      </c>
      <c r="L405" s="25"/>
      <c r="M405" s="7" t="s">
        <v>42</v>
      </c>
      <c r="N405" s="26">
        <v>1.2E-2</v>
      </c>
      <c r="O405" s="7" t="s">
        <v>25</v>
      </c>
      <c r="P405" s="27">
        <v>0</v>
      </c>
      <c r="Q405" s="90"/>
      <c r="R405" s="90"/>
      <c r="S405" s="7" t="s">
        <v>145</v>
      </c>
      <c r="T405" s="7" t="s">
        <v>1457</v>
      </c>
      <c r="U405" s="7" t="s">
        <v>49</v>
      </c>
      <c r="V405" s="24" t="e">
        <f t="shared" ca="1" si="14"/>
        <v>#NAME?</v>
      </c>
      <c r="W405" s="7"/>
      <c r="X405" s="7"/>
      <c r="Y405" s="29" t="s">
        <v>147</v>
      </c>
      <c r="Z405" s="30"/>
      <c r="AA405" s="31">
        <v>45166</v>
      </c>
      <c r="AB405" s="32">
        <v>49075100011508</v>
      </c>
      <c r="AC405" s="30"/>
      <c r="AD405" s="30"/>
      <c r="AE405" s="30"/>
      <c r="AF405" s="30"/>
      <c r="AG405" s="30"/>
      <c r="AH405" s="30"/>
      <c r="AI405" s="30">
        <v>0</v>
      </c>
      <c r="AJ405" s="30">
        <v>0</v>
      </c>
      <c r="AK405" s="30">
        <v>0</v>
      </c>
      <c r="AL405" s="30">
        <v>0</v>
      </c>
      <c r="AM405" s="30">
        <v>0</v>
      </c>
      <c r="AN405" s="30">
        <v>0</v>
      </c>
      <c r="AO405" s="30">
        <v>0</v>
      </c>
      <c r="AP405" s="30">
        <v>0</v>
      </c>
      <c r="AQ405" s="30">
        <v>0</v>
      </c>
      <c r="AR405" s="30">
        <v>0</v>
      </c>
      <c r="AS405" s="30">
        <v>0</v>
      </c>
      <c r="AT405" s="30">
        <v>0</v>
      </c>
      <c r="AU405" s="30">
        <v>0</v>
      </c>
      <c r="AV405" s="30">
        <v>0</v>
      </c>
      <c r="AW405" s="30">
        <v>0</v>
      </c>
      <c r="AX405" s="30">
        <v>0</v>
      </c>
      <c r="AY405" s="30">
        <v>0</v>
      </c>
      <c r="AZ405" s="30">
        <v>0</v>
      </c>
      <c r="BA405" s="30" t="e">
        <f t="array" aca="1" ref="BA405" ca="1">_xludf.XLOOKUP(C405,'PL TOTAL D0'!A:A,'PL TOTAL D0'!C:C,"")</f>
        <v>#NAME?</v>
      </c>
    </row>
    <row r="406" spans="1:53" ht="15.75" customHeight="1">
      <c r="A406" s="23" t="s">
        <v>29</v>
      </c>
      <c r="B406" s="3" t="s">
        <v>1458</v>
      </c>
      <c r="C406" s="64" t="s">
        <v>1459</v>
      </c>
      <c r="D406" s="7" t="s">
        <v>80</v>
      </c>
      <c r="E406" s="7" t="s">
        <v>49</v>
      </c>
      <c r="F406" s="7" t="s">
        <v>81</v>
      </c>
      <c r="G406" s="7" t="e">
        <f t="shared" ca="1" si="13"/>
        <v>#NAME?</v>
      </c>
      <c r="H406" s="24" t="s">
        <v>152</v>
      </c>
      <c r="I406" s="24" t="s">
        <v>25</v>
      </c>
      <c r="J406" s="7" t="str">
        <f t="shared" si="18"/>
        <v>Não</v>
      </c>
      <c r="K406" s="25">
        <v>45475</v>
      </c>
      <c r="L406" s="25"/>
      <c r="M406" s="7" t="s">
        <v>42</v>
      </c>
      <c r="N406" s="26">
        <v>1.2E-2</v>
      </c>
      <c r="O406" s="7" t="s">
        <v>25</v>
      </c>
      <c r="P406" s="27">
        <v>0</v>
      </c>
      <c r="Q406" s="90"/>
      <c r="R406" s="90"/>
      <c r="S406" s="7" t="s">
        <v>145</v>
      </c>
      <c r="T406" s="7" t="s">
        <v>1460</v>
      </c>
      <c r="U406" s="7" t="s">
        <v>49</v>
      </c>
      <c r="V406" s="24" t="e">
        <f t="shared" ca="1" si="14"/>
        <v>#NAME?</v>
      </c>
      <c r="W406" s="7"/>
      <c r="X406" s="7" t="s">
        <v>52</v>
      </c>
      <c r="Y406" s="29" t="s">
        <v>147</v>
      </c>
      <c r="Z406" s="30"/>
      <c r="AA406" s="31">
        <v>45475</v>
      </c>
      <c r="AB406" s="32">
        <v>49075100015384</v>
      </c>
      <c r="AC406" s="30"/>
      <c r="AD406" s="30"/>
      <c r="AE406" s="30"/>
      <c r="AF406" s="30"/>
      <c r="AG406" s="30"/>
      <c r="AH406" s="30"/>
      <c r="AI406" s="30"/>
      <c r="AJ406" s="30"/>
      <c r="AK406" s="30"/>
      <c r="AL406" s="30"/>
      <c r="AM406" s="30"/>
      <c r="AN406" s="30"/>
      <c r="AO406" s="30"/>
      <c r="AP406" s="30"/>
      <c r="AQ406" s="30"/>
      <c r="AR406" s="30"/>
      <c r="AS406" s="30"/>
      <c r="AT406" s="30"/>
      <c r="AU406" s="30"/>
      <c r="AV406" s="30"/>
      <c r="AW406" s="30"/>
      <c r="AX406" s="30">
        <v>485789.6</v>
      </c>
      <c r="AY406" s="30">
        <v>400460.43</v>
      </c>
      <c r="AZ406" s="30">
        <v>526563</v>
      </c>
      <c r="BA406" s="30" t="e">
        <f t="array" aca="1" ref="BA406" ca="1">_xludf.XLOOKUP(C406,'PL TOTAL D0'!A:A,'PL TOTAL D0'!C:C,"")</f>
        <v>#NAME?</v>
      </c>
    </row>
    <row r="407" spans="1:53" ht="15.75" customHeight="1">
      <c r="A407" s="23" t="s">
        <v>29</v>
      </c>
      <c r="B407" s="3" t="s">
        <v>1461</v>
      </c>
      <c r="C407" s="64" t="s">
        <v>1462</v>
      </c>
      <c r="D407" s="7" t="s">
        <v>194</v>
      </c>
      <c r="E407" s="7" t="s">
        <v>20</v>
      </c>
      <c r="F407" s="7" t="s">
        <v>195</v>
      </c>
      <c r="G407" s="7" t="e">
        <f t="shared" ca="1" si="13"/>
        <v>#NAME?</v>
      </c>
      <c r="H407" s="24" t="s">
        <v>152</v>
      </c>
      <c r="I407" s="24" t="s">
        <v>25</v>
      </c>
      <c r="J407" s="7" t="str">
        <f t="shared" si="18"/>
        <v>Não</v>
      </c>
      <c r="K407" s="25">
        <v>45568</v>
      </c>
      <c r="L407" s="25"/>
      <c r="M407" s="7" t="s">
        <v>172</v>
      </c>
      <c r="N407" s="26">
        <v>0</v>
      </c>
      <c r="O407" s="7" t="s">
        <v>25</v>
      </c>
      <c r="P407" s="27">
        <v>0</v>
      </c>
      <c r="Q407" s="90"/>
      <c r="R407" s="90"/>
      <c r="S407" s="7" t="s">
        <v>145</v>
      </c>
      <c r="T407" s="7" t="s">
        <v>1463</v>
      </c>
      <c r="U407" s="7" t="s">
        <v>20</v>
      </c>
      <c r="V407" s="24" t="e">
        <f t="shared" ca="1" si="14"/>
        <v>#NAME?</v>
      </c>
      <c r="W407" s="7"/>
      <c r="X407" s="7" t="s">
        <v>52</v>
      </c>
      <c r="Y407" s="29"/>
      <c r="Z407" s="30"/>
      <c r="AA407" s="30"/>
      <c r="AB407" s="32"/>
      <c r="AC407" s="30"/>
      <c r="AD407" s="30"/>
      <c r="AE407" s="30"/>
      <c r="AF407" s="30"/>
      <c r="AG407" s="30"/>
      <c r="AH407" s="30"/>
      <c r="AI407" s="30"/>
      <c r="AJ407" s="30"/>
      <c r="AK407" s="30"/>
      <c r="AL407" s="30"/>
      <c r="AM407" s="30"/>
      <c r="AN407" s="30"/>
      <c r="AO407" s="30"/>
      <c r="AP407" s="30"/>
      <c r="AQ407" s="30"/>
      <c r="AR407" s="30"/>
      <c r="AS407" s="30"/>
      <c r="AT407" s="30"/>
      <c r="AU407" s="30"/>
      <c r="AV407" s="30"/>
      <c r="AW407" s="30"/>
      <c r="AX407" s="30"/>
      <c r="AY407" s="30"/>
      <c r="AZ407" s="30"/>
      <c r="BA407" s="30" t="e">
        <f t="array" aca="1" ref="BA407" ca="1">_xludf.XLOOKUP(C407,'PL TOTAL D0'!A:A,'PL TOTAL D0'!C:C,"")</f>
        <v>#NAME?</v>
      </c>
    </row>
    <row r="408" spans="1:53" ht="15.75" customHeight="1">
      <c r="A408" s="23" t="s">
        <v>29</v>
      </c>
      <c r="B408" s="3" t="s">
        <v>1464</v>
      </c>
      <c r="C408" s="4" t="s">
        <v>1465</v>
      </c>
      <c r="D408" s="7" t="s">
        <v>19</v>
      </c>
      <c r="E408" s="7" t="s">
        <v>20</v>
      </c>
      <c r="F408" s="7" t="s">
        <v>199</v>
      </c>
      <c r="G408" s="7" t="e">
        <f t="shared" ca="1" si="13"/>
        <v>#NAME?</v>
      </c>
      <c r="H408" s="24" t="s">
        <v>152</v>
      </c>
      <c r="I408" s="24" t="s">
        <v>25</v>
      </c>
      <c r="J408" s="7" t="str">
        <f t="shared" si="18"/>
        <v>Não</v>
      </c>
      <c r="K408" s="25">
        <v>45254</v>
      </c>
      <c r="L408" s="25"/>
      <c r="M408" s="7" t="s">
        <v>58</v>
      </c>
      <c r="N408" s="26">
        <v>1.2E-2</v>
      </c>
      <c r="O408" s="7" t="s">
        <v>37</v>
      </c>
      <c r="P408" s="27">
        <v>0.1</v>
      </c>
      <c r="Q408" s="90"/>
      <c r="R408" s="28" t="s">
        <v>1466</v>
      </c>
      <c r="S408" s="7" t="s">
        <v>145</v>
      </c>
      <c r="T408" s="7" t="s">
        <v>1467</v>
      </c>
      <c r="U408" s="7" t="s">
        <v>20</v>
      </c>
      <c r="V408" s="24" t="e">
        <f t="shared" ca="1" si="14"/>
        <v>#NAME?</v>
      </c>
      <c r="W408" s="7"/>
      <c r="X408" s="7"/>
      <c r="Y408" s="29" t="s">
        <v>147</v>
      </c>
      <c r="Z408" s="30"/>
      <c r="AA408" s="31">
        <v>45254</v>
      </c>
      <c r="AB408" s="32">
        <v>49075100012512</v>
      </c>
      <c r="AC408" s="30"/>
      <c r="AD408" s="30"/>
      <c r="AE408" s="30"/>
      <c r="AF408" s="30"/>
      <c r="AG408" s="30"/>
      <c r="AH408" s="30"/>
      <c r="AI408" s="30"/>
      <c r="AJ408" s="30"/>
      <c r="AK408" s="30"/>
      <c r="AL408" s="30"/>
      <c r="AM408" s="30"/>
      <c r="AN408" s="30"/>
      <c r="AO408" s="30"/>
      <c r="AP408" s="30">
        <v>630538.56000000006</v>
      </c>
      <c r="AQ408" s="30">
        <v>639097.06999999995</v>
      </c>
      <c r="AR408" s="30">
        <v>1001615.77</v>
      </c>
      <c r="AS408" s="30">
        <v>1010202.22</v>
      </c>
      <c r="AT408" s="30">
        <v>1426979.35</v>
      </c>
      <c r="AU408" s="30">
        <v>1127841.3999999999</v>
      </c>
      <c r="AV408" s="30">
        <v>512885.9</v>
      </c>
      <c r="AW408" s="30">
        <v>484980.4</v>
      </c>
      <c r="AX408" s="30">
        <v>414734.6</v>
      </c>
      <c r="AY408" s="30">
        <v>416933.1</v>
      </c>
      <c r="AZ408" s="30">
        <v>421756.66</v>
      </c>
      <c r="BA408" s="30" t="e">
        <f t="array" aca="1" ref="BA408" ca="1">_xludf.XLOOKUP(C408,'PL TOTAL D0'!A:A,'PL TOTAL D0'!C:C,"")</f>
        <v>#NAME?</v>
      </c>
    </row>
    <row r="409" spans="1:53" ht="15.75" customHeight="1">
      <c r="A409" s="23" t="s">
        <v>29</v>
      </c>
      <c r="B409" s="3" t="s">
        <v>1464</v>
      </c>
      <c r="C409" s="142" t="s">
        <v>1468</v>
      </c>
      <c r="D409" s="7" t="s">
        <v>19</v>
      </c>
      <c r="E409" s="7" t="s">
        <v>20</v>
      </c>
      <c r="F409" s="7" t="s">
        <v>199</v>
      </c>
      <c r="G409" s="7" t="e">
        <f t="shared" ca="1" si="13"/>
        <v>#NAME?</v>
      </c>
      <c r="H409" s="24" t="s">
        <v>152</v>
      </c>
      <c r="I409" s="24" t="s">
        <v>25</v>
      </c>
      <c r="J409" s="7" t="str">
        <f t="shared" si="18"/>
        <v>Não</v>
      </c>
      <c r="K409" s="25">
        <v>45255</v>
      </c>
      <c r="L409" s="25"/>
      <c r="M409" s="7" t="s">
        <v>58</v>
      </c>
      <c r="N409" s="26">
        <v>1.2E-2</v>
      </c>
      <c r="O409" s="7" t="s">
        <v>37</v>
      </c>
      <c r="P409" s="27">
        <v>0.1</v>
      </c>
      <c r="Q409" s="90"/>
      <c r="R409" s="28" t="s">
        <v>1469</v>
      </c>
      <c r="S409" s="7" t="s">
        <v>145</v>
      </c>
      <c r="T409" s="7" t="s">
        <v>1467</v>
      </c>
      <c r="U409" s="7" t="s">
        <v>20</v>
      </c>
      <c r="V409" s="24" t="e">
        <f t="shared" ca="1" si="14"/>
        <v>#NAME?</v>
      </c>
      <c r="W409" s="7"/>
      <c r="X409" s="7"/>
      <c r="Y409" s="29" t="s">
        <v>147</v>
      </c>
      <c r="Z409" s="30"/>
      <c r="AA409" s="31">
        <v>45255</v>
      </c>
      <c r="AB409" s="32">
        <v>49075100013187</v>
      </c>
      <c r="AC409" s="30"/>
      <c r="AD409" s="30"/>
      <c r="AE409" s="30"/>
      <c r="AF409" s="30"/>
      <c r="AG409" s="30"/>
      <c r="AH409" s="30"/>
      <c r="AI409" s="30"/>
      <c r="AJ409" s="30"/>
      <c r="AK409" s="30"/>
      <c r="AL409" s="30"/>
      <c r="AM409" s="30"/>
      <c r="AN409" s="30"/>
      <c r="AO409" s="30"/>
      <c r="AP409" s="30"/>
      <c r="AQ409" s="30"/>
      <c r="AR409" s="30"/>
      <c r="AS409" s="30">
        <v>765438.48</v>
      </c>
      <c r="AT409" s="30">
        <v>773226.21</v>
      </c>
      <c r="AU409" s="30">
        <v>204111.84</v>
      </c>
      <c r="AV409" s="30">
        <v>142761.60000000001</v>
      </c>
      <c r="AW409" s="30">
        <v>143713.60000000001</v>
      </c>
      <c r="AX409" s="30">
        <v>102150.2</v>
      </c>
      <c r="AY409" s="30">
        <v>102906.02</v>
      </c>
      <c r="AZ409" s="30">
        <v>103659.28</v>
      </c>
      <c r="BA409" s="30" t="e">
        <f t="array" aca="1" ref="BA409" ca="1">_xludf.XLOOKUP(C409,'PL TOTAL D0'!A:A,'PL TOTAL D0'!C:C,"")</f>
        <v>#NAME?</v>
      </c>
    </row>
    <row r="410" spans="1:53" ht="15.75" customHeight="1">
      <c r="A410" s="23" t="s">
        <v>29</v>
      </c>
      <c r="B410" s="38" t="s">
        <v>1470</v>
      </c>
      <c r="C410" s="39" t="s">
        <v>1471</v>
      </c>
      <c r="D410" s="7" t="s">
        <v>19</v>
      </c>
      <c r="E410" s="7" t="s">
        <v>20</v>
      </c>
      <c r="F410" s="7" t="s">
        <v>199</v>
      </c>
      <c r="G410" s="7" t="e">
        <f t="shared" ca="1" si="13"/>
        <v>#NAME?</v>
      </c>
      <c r="H410" s="24" t="s">
        <v>152</v>
      </c>
      <c r="I410" s="24" t="s">
        <v>25</v>
      </c>
      <c r="J410" s="7" t="str">
        <f t="shared" si="18"/>
        <v>Não</v>
      </c>
      <c r="K410" s="25">
        <v>45422</v>
      </c>
      <c r="L410" s="25"/>
      <c r="M410" s="7" t="s">
        <v>58</v>
      </c>
      <c r="N410" s="26">
        <v>1.2E-2</v>
      </c>
      <c r="O410" s="7" t="s">
        <v>37</v>
      </c>
      <c r="P410" s="27">
        <v>0.1</v>
      </c>
      <c r="Q410" s="90"/>
      <c r="R410" s="90"/>
      <c r="S410" s="7" t="s">
        <v>145</v>
      </c>
      <c r="T410" s="7" t="s">
        <v>1467</v>
      </c>
      <c r="U410" s="7" t="s">
        <v>20</v>
      </c>
      <c r="V410" s="24" t="e">
        <f t="shared" ca="1" si="14"/>
        <v>#NAME?</v>
      </c>
      <c r="W410" s="7"/>
      <c r="X410" s="7" t="s">
        <v>91</v>
      </c>
      <c r="Y410" s="29" t="s">
        <v>147</v>
      </c>
      <c r="Z410" s="30"/>
      <c r="AA410" s="31">
        <v>45422</v>
      </c>
      <c r="AB410" s="32">
        <v>49075100014574</v>
      </c>
      <c r="AC410" s="30"/>
      <c r="AD410" s="30"/>
      <c r="AE410" s="30"/>
      <c r="AF410" s="30"/>
      <c r="AG410" s="30"/>
      <c r="AH410" s="30"/>
      <c r="AI410" s="30"/>
      <c r="AJ410" s="30"/>
      <c r="AK410" s="30"/>
      <c r="AL410" s="30"/>
      <c r="AM410" s="30"/>
      <c r="AN410" s="30"/>
      <c r="AO410" s="30"/>
      <c r="AP410" s="30"/>
      <c r="AQ410" s="30"/>
      <c r="AR410" s="30"/>
      <c r="AS410" s="30"/>
      <c r="AT410" s="30"/>
      <c r="AU410" s="30"/>
      <c r="AV410" s="30">
        <v>956719.2</v>
      </c>
      <c r="AW410" s="30">
        <v>993068.2</v>
      </c>
      <c r="AX410" s="30">
        <v>1120892</v>
      </c>
      <c r="AY410" s="30">
        <v>1132654.3</v>
      </c>
      <c r="AZ410" s="30">
        <v>1135476.07</v>
      </c>
      <c r="BA410" s="30" t="e">
        <f t="array" aca="1" ref="BA410" ca="1">_xludf.XLOOKUP(C410,'PL TOTAL D0'!A:A,'PL TOTAL D0'!C:C,"")</f>
        <v>#NAME?</v>
      </c>
    </row>
    <row r="411" spans="1:53" ht="15.75" customHeight="1">
      <c r="A411" s="23" t="s">
        <v>29</v>
      </c>
      <c r="B411" s="37" t="s">
        <v>1472</v>
      </c>
      <c r="C411" s="4" t="s">
        <v>1473</v>
      </c>
      <c r="D411" s="7" t="s">
        <v>19</v>
      </c>
      <c r="E411" s="7" t="s">
        <v>20</v>
      </c>
      <c r="F411" s="7" t="s">
        <v>21</v>
      </c>
      <c r="G411" s="7" t="e">
        <f t="shared" ca="1" si="13"/>
        <v>#NAME?</v>
      </c>
      <c r="H411" s="24" t="s">
        <v>152</v>
      </c>
      <c r="I411" s="24" t="s">
        <v>25</v>
      </c>
      <c r="J411" s="7" t="str">
        <f t="shared" si="18"/>
        <v>Sim</v>
      </c>
      <c r="K411" s="25">
        <v>44994</v>
      </c>
      <c r="L411" s="7"/>
      <c r="M411" s="7" t="s">
        <v>42</v>
      </c>
      <c r="N411" s="26">
        <v>1.2E-2</v>
      </c>
      <c r="O411" s="7" t="s">
        <v>25</v>
      </c>
      <c r="P411" s="27">
        <v>0</v>
      </c>
      <c r="Q411" s="28" t="s">
        <v>1474</v>
      </c>
      <c r="R411" s="78"/>
      <c r="S411" s="7" t="s">
        <v>145</v>
      </c>
      <c r="T411" s="7" t="s">
        <v>1475</v>
      </c>
      <c r="U411" s="7" t="s">
        <v>294</v>
      </c>
      <c r="V411" s="24" t="e">
        <f t="shared" ca="1" si="14"/>
        <v>#NAME?</v>
      </c>
      <c r="W411" s="7"/>
      <c r="X411" s="7"/>
      <c r="Y411" s="7" t="s">
        <v>147</v>
      </c>
      <c r="Z411" s="7"/>
      <c r="AA411" s="25">
        <v>44994</v>
      </c>
      <c r="AB411" s="143">
        <v>49075100009351</v>
      </c>
      <c r="AC411" s="7"/>
      <c r="AD411" s="7"/>
      <c r="AE411" s="7"/>
      <c r="AF411" s="7"/>
      <c r="AG411" s="7"/>
      <c r="AH411" s="30">
        <v>215098.7</v>
      </c>
      <c r="AI411" s="30">
        <v>216876.15</v>
      </c>
      <c r="AJ411" s="30">
        <v>299873.01</v>
      </c>
      <c r="AK411" s="30">
        <v>302577.74</v>
      </c>
      <c r="AL411" s="30">
        <v>304671.28000000003</v>
      </c>
      <c r="AM411" s="30">
        <v>307519.42</v>
      </c>
      <c r="AN411" s="30">
        <v>309326.28999999998</v>
      </c>
      <c r="AO411" s="30">
        <v>312072.34999999998</v>
      </c>
      <c r="AP411" s="30">
        <v>314391.69</v>
      </c>
      <c r="AQ411" s="30">
        <v>316725.61</v>
      </c>
      <c r="AR411" s="30">
        <v>309359.8</v>
      </c>
      <c r="AS411" s="30">
        <v>310418.82</v>
      </c>
      <c r="AT411" s="30">
        <v>313290.90000000002</v>
      </c>
      <c r="AU411" s="30">
        <v>315659.78000000003</v>
      </c>
      <c r="AV411" s="30">
        <v>317758.7</v>
      </c>
      <c r="AW411" s="30">
        <v>395621.7</v>
      </c>
      <c r="AX411" s="30">
        <v>398384.3</v>
      </c>
      <c r="AY411" s="30">
        <v>400152.5</v>
      </c>
      <c r="AZ411" s="30">
        <v>301368.67</v>
      </c>
      <c r="BA411" s="30" t="e">
        <f t="array" aca="1" ref="BA411" ca="1">_xludf.XLOOKUP(C411,'PL TOTAL D0'!A:A,'PL TOTAL D0'!C:C,"")</f>
        <v>#NAME?</v>
      </c>
    </row>
    <row r="412" spans="1:53" ht="15.75" customHeight="1">
      <c r="A412" s="23" t="s">
        <v>29</v>
      </c>
      <c r="B412" s="3" t="s">
        <v>1476</v>
      </c>
      <c r="C412" s="49" t="s">
        <v>1477</v>
      </c>
      <c r="D412" s="7" t="s">
        <v>64</v>
      </c>
      <c r="E412" s="7" t="s">
        <v>20</v>
      </c>
      <c r="F412" s="7" t="s">
        <v>780</v>
      </c>
      <c r="G412" s="7" t="e">
        <f t="shared" ca="1" si="13"/>
        <v>#NAME?</v>
      </c>
      <c r="H412" s="24" t="s">
        <v>143</v>
      </c>
      <c r="I412" s="24" t="s">
        <v>25</v>
      </c>
      <c r="J412" s="7" t="str">
        <f t="shared" ref="J412:J414" si="19">IF(Q410=0,"Não","Sim")</f>
        <v>Não</v>
      </c>
      <c r="K412" s="25">
        <v>44928</v>
      </c>
      <c r="L412" s="25">
        <v>45449</v>
      </c>
      <c r="M412" s="7" t="s">
        <v>58</v>
      </c>
      <c r="N412" s="26">
        <v>1.2E-2</v>
      </c>
      <c r="O412" s="7" t="s">
        <v>25</v>
      </c>
      <c r="P412" s="27">
        <v>0</v>
      </c>
      <c r="Q412" s="28"/>
      <c r="R412" s="45" t="s">
        <v>309</v>
      </c>
      <c r="S412" s="7" t="s">
        <v>145</v>
      </c>
      <c r="T412" s="7" t="s">
        <v>1478</v>
      </c>
      <c r="U412" s="7" t="s">
        <v>20</v>
      </c>
      <c r="V412" s="24" t="e">
        <f t="shared" ca="1" si="14"/>
        <v>#NAME?</v>
      </c>
      <c r="W412" s="7"/>
      <c r="X412" s="7"/>
      <c r="Y412" s="29" t="s">
        <v>253</v>
      </c>
      <c r="Z412" s="30"/>
      <c r="AA412" s="31">
        <v>44928</v>
      </c>
      <c r="AB412" s="32">
        <v>49075100005931</v>
      </c>
      <c r="AC412" s="30"/>
      <c r="AD412" s="30"/>
      <c r="AE412" s="30">
        <v>358813.41</v>
      </c>
      <c r="AF412" s="30">
        <v>377876.36</v>
      </c>
      <c r="AG412" s="30">
        <v>392773.39</v>
      </c>
      <c r="AH412" s="30">
        <v>397012.49</v>
      </c>
      <c r="AI412" s="30">
        <v>651770.07999999996</v>
      </c>
      <c r="AJ412" s="30">
        <v>631261.12</v>
      </c>
      <c r="AK412" s="30">
        <v>670333.69999999995</v>
      </c>
      <c r="AL412" s="30">
        <v>655818.74</v>
      </c>
      <c r="AM412" s="30">
        <v>662208.81999999995</v>
      </c>
      <c r="AN412" s="30">
        <v>667585.98</v>
      </c>
      <c r="AO412" s="30">
        <v>670425.23</v>
      </c>
      <c r="AP412" s="30">
        <v>679113.46</v>
      </c>
      <c r="AQ412" s="30">
        <v>666577.12</v>
      </c>
      <c r="AR412" s="30">
        <v>668120.67000000004</v>
      </c>
      <c r="AS412" s="30">
        <v>0</v>
      </c>
      <c r="AT412" s="30">
        <v>0</v>
      </c>
      <c r="AU412" s="30">
        <v>0</v>
      </c>
      <c r="AV412" s="30">
        <v>0</v>
      </c>
      <c r="AW412" s="30">
        <v>0</v>
      </c>
      <c r="AX412" s="30">
        <v>0</v>
      </c>
      <c r="AY412" s="30">
        <v>0</v>
      </c>
      <c r="AZ412" s="30">
        <v>0</v>
      </c>
      <c r="BA412" s="30" t="e">
        <f t="array" aca="1" ref="BA412" ca="1">_xludf.XLOOKUP(C412,'PL TOTAL D0'!A:A,'PL TOTAL D0'!C:C,"")</f>
        <v>#NAME?</v>
      </c>
    </row>
    <row r="413" spans="1:53" ht="15.75" customHeight="1">
      <c r="A413" s="23" t="s">
        <v>29</v>
      </c>
      <c r="B413" s="3" t="s">
        <v>1479</v>
      </c>
      <c r="C413" s="4" t="s">
        <v>1480</v>
      </c>
      <c r="D413" s="7" t="s">
        <v>19</v>
      </c>
      <c r="E413" s="7" t="s">
        <v>20</v>
      </c>
      <c r="F413" s="7" t="s">
        <v>199</v>
      </c>
      <c r="G413" s="7" t="e">
        <f t="shared" ca="1" si="13"/>
        <v>#NAME?</v>
      </c>
      <c r="H413" s="24" t="s">
        <v>152</v>
      </c>
      <c r="I413" s="24" t="s">
        <v>25</v>
      </c>
      <c r="J413" s="7" t="str">
        <f t="shared" si="19"/>
        <v>Sim</v>
      </c>
      <c r="K413" s="25">
        <v>45040</v>
      </c>
      <c r="L413" s="7"/>
      <c r="M413" s="7" t="s">
        <v>42</v>
      </c>
      <c r="N413" s="26">
        <v>0.01</v>
      </c>
      <c r="O413" s="7" t="s">
        <v>25</v>
      </c>
      <c r="P413" s="27">
        <v>0</v>
      </c>
      <c r="Q413" s="90"/>
      <c r="R413" s="90"/>
      <c r="S413" s="7" t="s">
        <v>145</v>
      </c>
      <c r="T413" s="7" t="s">
        <v>1481</v>
      </c>
      <c r="U413" s="7" t="s">
        <v>20</v>
      </c>
      <c r="V413" s="24" t="e">
        <f t="shared" ca="1" si="14"/>
        <v>#NAME?</v>
      </c>
      <c r="W413" s="7"/>
      <c r="X413" s="7"/>
      <c r="Y413" s="29" t="s">
        <v>147</v>
      </c>
      <c r="Z413" s="30"/>
      <c r="AA413" s="31">
        <v>45040</v>
      </c>
      <c r="AB413" s="32">
        <v>49075100007918</v>
      </c>
      <c r="AC413" s="30"/>
      <c r="AD413" s="30"/>
      <c r="AE413" s="30"/>
      <c r="AF413" s="30"/>
      <c r="AG413" s="30"/>
      <c r="AH413" s="30"/>
      <c r="AI413" s="30">
        <v>397508.34</v>
      </c>
      <c r="AJ413" s="30">
        <v>714697.76</v>
      </c>
      <c r="AK413" s="30">
        <v>732005.28</v>
      </c>
      <c r="AL413" s="30">
        <v>770449.99</v>
      </c>
      <c r="AM413" s="30">
        <v>1085256.77</v>
      </c>
      <c r="AN413" s="30">
        <v>1152688.1000000001</v>
      </c>
      <c r="AO413" s="30">
        <v>1163013.6399999999</v>
      </c>
      <c r="AP413" s="30">
        <v>1170919.6399999999</v>
      </c>
      <c r="AQ413" s="30">
        <v>1200138.58</v>
      </c>
      <c r="AR413" s="30">
        <v>1221032.6000000001</v>
      </c>
      <c r="AS413" s="30">
        <v>1230255.33</v>
      </c>
      <c r="AT413" s="30">
        <v>1346659.3</v>
      </c>
      <c r="AU413" s="30">
        <v>1382587.72</v>
      </c>
      <c r="AV413" s="30">
        <v>1414209</v>
      </c>
      <c r="AW413" s="30">
        <v>1535647</v>
      </c>
      <c r="AX413" s="30">
        <v>1563820</v>
      </c>
      <c r="AY413" s="30">
        <v>1508663.8</v>
      </c>
      <c r="AZ413" s="30">
        <v>1584696.82</v>
      </c>
      <c r="BA413" s="30" t="e">
        <f t="array" aca="1" ref="BA413" ca="1">_xludf.XLOOKUP(C413,'PL TOTAL D0'!A:A,'PL TOTAL D0'!C:C,"")</f>
        <v>#NAME?</v>
      </c>
    </row>
    <row r="414" spans="1:53" ht="15.75" customHeight="1">
      <c r="A414" s="23" t="s">
        <v>29</v>
      </c>
      <c r="B414" s="3" t="s">
        <v>1482</v>
      </c>
      <c r="C414" s="60" t="s">
        <v>1483</v>
      </c>
      <c r="D414" s="7" t="s">
        <v>64</v>
      </c>
      <c r="E414" s="7" t="s">
        <v>20</v>
      </c>
      <c r="F414" s="7" t="s">
        <v>204</v>
      </c>
      <c r="G414" s="7" t="e">
        <f t="shared" ca="1" si="13"/>
        <v>#NAME?</v>
      </c>
      <c r="H414" s="24" t="s">
        <v>161</v>
      </c>
      <c r="I414" s="24" t="s">
        <v>205</v>
      </c>
      <c r="J414" s="7" t="str">
        <f t="shared" si="19"/>
        <v>Não</v>
      </c>
      <c r="K414" s="25">
        <v>45579</v>
      </c>
      <c r="L414" s="7"/>
      <c r="M414" s="7" t="s">
        <v>31</v>
      </c>
      <c r="N414" s="26">
        <v>3.0000000000000001E-3</v>
      </c>
      <c r="O414" s="7" t="s">
        <v>25</v>
      </c>
      <c r="P414" s="27">
        <v>0</v>
      </c>
      <c r="Q414" s="28" t="s">
        <v>1484</v>
      </c>
      <c r="R414" s="90"/>
      <c r="S414" s="7" t="s">
        <v>145</v>
      </c>
      <c r="T414" s="7" t="s">
        <v>1485</v>
      </c>
      <c r="U414" s="7" t="s">
        <v>46</v>
      </c>
      <c r="V414" s="24" t="e">
        <f t="shared" ca="1" si="14"/>
        <v>#NAME?</v>
      </c>
      <c r="W414" s="7"/>
      <c r="X414" s="7" t="s">
        <v>52</v>
      </c>
      <c r="Y414" s="29"/>
      <c r="Z414" s="30"/>
      <c r="AA414" s="31"/>
      <c r="AB414" s="32"/>
      <c r="AC414" s="30"/>
      <c r="AD414" s="30"/>
      <c r="AE414" s="30"/>
      <c r="AF414" s="30"/>
      <c r="AG414" s="30"/>
      <c r="AH414" s="30"/>
      <c r="AI414" s="30"/>
      <c r="AJ414" s="30"/>
      <c r="AK414" s="30"/>
      <c r="AL414" s="30"/>
      <c r="AM414" s="30"/>
      <c r="AN414" s="30"/>
      <c r="AO414" s="30"/>
      <c r="AP414" s="30"/>
      <c r="AQ414" s="30"/>
      <c r="AR414" s="30"/>
      <c r="AS414" s="30"/>
      <c r="AT414" s="30"/>
      <c r="AU414" s="30"/>
      <c r="AV414" s="30"/>
      <c r="AW414" s="30"/>
      <c r="AX414" s="30"/>
      <c r="AY414" s="30"/>
      <c r="AZ414" s="30"/>
      <c r="BA414" s="30" t="e">
        <f t="array" aca="1" ref="BA414" ca="1">_xludf.XLOOKUP(C414,'PL TOTAL D0'!A:A,'PL TOTAL D0'!C:C,"")</f>
        <v>#NAME?</v>
      </c>
    </row>
    <row r="415" spans="1:53" ht="15.75" customHeight="1">
      <c r="A415" s="23" t="s">
        <v>29</v>
      </c>
      <c r="B415" s="38" t="s">
        <v>1486</v>
      </c>
      <c r="C415" s="39" t="s">
        <v>1487</v>
      </c>
      <c r="D415" s="7" t="s">
        <v>80</v>
      </c>
      <c r="E415" s="7" t="s">
        <v>49</v>
      </c>
      <c r="F415" s="7" t="s">
        <v>81</v>
      </c>
      <c r="G415" s="7" t="e">
        <f t="shared" ca="1" si="13"/>
        <v>#NAME?</v>
      </c>
      <c r="H415" s="24" t="s">
        <v>152</v>
      </c>
      <c r="I415" s="24" t="s">
        <v>25</v>
      </c>
      <c r="J415" s="7" t="str">
        <f t="shared" ref="J415:J447" si="20">IF(Q415=0,"Não","Sim")</f>
        <v>Não</v>
      </c>
      <c r="K415" s="25">
        <v>45391</v>
      </c>
      <c r="L415" s="7"/>
      <c r="M415" s="7" t="s">
        <v>58</v>
      </c>
      <c r="N415" s="26">
        <v>1.2E-2</v>
      </c>
      <c r="O415" s="7" t="s">
        <v>37</v>
      </c>
      <c r="P415" s="27">
        <v>0.1</v>
      </c>
      <c r="Q415" s="90"/>
      <c r="R415" s="90"/>
      <c r="S415" s="7" t="s">
        <v>145</v>
      </c>
      <c r="T415" s="6" t="s">
        <v>1488</v>
      </c>
      <c r="U415" s="7" t="s">
        <v>49</v>
      </c>
      <c r="V415" s="24" t="e">
        <f t="shared" ca="1" si="14"/>
        <v>#NAME?</v>
      </c>
      <c r="W415" s="7"/>
      <c r="X415" s="7" t="s">
        <v>52</v>
      </c>
      <c r="Y415" s="29" t="s">
        <v>147</v>
      </c>
      <c r="Z415" s="30"/>
      <c r="AA415" s="31">
        <v>45391</v>
      </c>
      <c r="AB415" s="32">
        <v>49075100014078</v>
      </c>
      <c r="AC415" s="30"/>
      <c r="AD415" s="30"/>
      <c r="AE415" s="30"/>
      <c r="AF415" s="30"/>
      <c r="AG415" s="30"/>
      <c r="AH415" s="30"/>
      <c r="AI415" s="30"/>
      <c r="AJ415" s="30"/>
      <c r="AK415" s="30"/>
      <c r="AL415" s="30"/>
      <c r="AM415" s="30"/>
      <c r="AN415" s="30"/>
      <c r="AO415" s="30"/>
      <c r="AP415" s="30"/>
      <c r="AQ415" s="30"/>
      <c r="AR415" s="30"/>
      <c r="AS415" s="30"/>
      <c r="AT415" s="30"/>
      <c r="AU415" s="30">
        <v>395578.13</v>
      </c>
      <c r="AV415" s="30">
        <v>413847.6</v>
      </c>
      <c r="AW415" s="30">
        <v>416418.7</v>
      </c>
      <c r="AX415" s="30">
        <v>417343.3</v>
      </c>
      <c r="AY415" s="30">
        <v>444716.01</v>
      </c>
      <c r="AZ415" s="30">
        <v>463219.48</v>
      </c>
      <c r="BA415" s="30" t="e">
        <f t="array" aca="1" ref="BA415" ca="1">_xludf.XLOOKUP(C415,'PL TOTAL D0'!A:A,'PL TOTAL D0'!C:C,"")</f>
        <v>#NAME?</v>
      </c>
    </row>
    <row r="416" spans="1:53" ht="15.75" customHeight="1">
      <c r="A416" s="23" t="s">
        <v>29</v>
      </c>
      <c r="B416" s="3" t="s">
        <v>1489</v>
      </c>
      <c r="C416" s="4" t="s">
        <v>1490</v>
      </c>
      <c r="D416" s="7" t="s">
        <v>64</v>
      </c>
      <c r="E416" s="7" t="s">
        <v>20</v>
      </c>
      <c r="F416" s="7" t="s">
        <v>142</v>
      </c>
      <c r="G416" s="7" t="e">
        <f t="shared" ca="1" si="13"/>
        <v>#NAME?</v>
      </c>
      <c r="H416" s="24" t="s">
        <v>143</v>
      </c>
      <c r="I416" s="24" t="s">
        <v>25</v>
      </c>
      <c r="J416" s="7" t="str">
        <f t="shared" si="20"/>
        <v>Não</v>
      </c>
      <c r="K416" s="25">
        <v>45166</v>
      </c>
      <c r="L416" s="25">
        <v>45525</v>
      </c>
      <c r="M416" s="7" t="s">
        <v>200</v>
      </c>
      <c r="N416" s="26">
        <v>1.6E-2</v>
      </c>
      <c r="O416" s="7" t="s">
        <v>37</v>
      </c>
      <c r="P416" s="27">
        <v>0.2</v>
      </c>
      <c r="Q416" s="90"/>
      <c r="R416" s="90"/>
      <c r="S416" s="7" t="s">
        <v>145</v>
      </c>
      <c r="T416" s="7" t="s">
        <v>1491</v>
      </c>
      <c r="U416" s="7" t="s">
        <v>20</v>
      </c>
      <c r="V416" s="24" t="e">
        <f t="shared" ca="1" si="14"/>
        <v>#NAME?</v>
      </c>
      <c r="W416" s="7"/>
      <c r="X416" s="7"/>
      <c r="Y416" s="29" t="s">
        <v>147</v>
      </c>
      <c r="Z416" s="30"/>
      <c r="AA416" s="31">
        <v>45166</v>
      </c>
      <c r="AB416" s="32">
        <v>49075100005370</v>
      </c>
      <c r="AC416" s="30"/>
      <c r="AD416" s="30"/>
      <c r="AE416" s="30"/>
      <c r="AF416" s="30"/>
      <c r="AG416" s="30"/>
      <c r="AH416" s="30"/>
      <c r="AI416" s="30"/>
      <c r="AJ416" s="30"/>
      <c r="AK416" s="30"/>
      <c r="AL416" s="30"/>
      <c r="AM416" s="30">
        <v>71148.86</v>
      </c>
      <c r="AN416" s="30">
        <v>71552.490000000005</v>
      </c>
      <c r="AO416" s="30">
        <v>71993.83</v>
      </c>
      <c r="AP416" s="30">
        <v>72378.33</v>
      </c>
      <c r="AQ416" s="30">
        <v>72798.95</v>
      </c>
      <c r="AR416" s="30">
        <v>73289.240000000005</v>
      </c>
      <c r="AS416" s="30">
        <v>73727.41</v>
      </c>
      <c r="AT416" s="30">
        <v>74163.19</v>
      </c>
      <c r="AU416" s="30">
        <v>74603.100000000006</v>
      </c>
      <c r="AV416" s="30">
        <v>75047.55</v>
      </c>
      <c r="AW416" s="30">
        <v>75470.2</v>
      </c>
      <c r="AX416" s="30">
        <v>75933.8</v>
      </c>
      <c r="AY416" s="30">
        <v>0</v>
      </c>
      <c r="AZ416" s="30">
        <v>0</v>
      </c>
      <c r="BA416" s="30" t="e">
        <f t="array" aca="1" ref="BA416" ca="1">_xludf.XLOOKUP(C416,'PL TOTAL D0'!A:A,'PL TOTAL D0'!C:C,"")</f>
        <v>#NAME?</v>
      </c>
    </row>
    <row r="417" spans="1:53" ht="15.75" customHeight="1">
      <c r="A417" s="23" t="s">
        <v>29</v>
      </c>
      <c r="B417" s="3" t="s">
        <v>1492</v>
      </c>
      <c r="C417" s="4" t="s">
        <v>1493</v>
      </c>
      <c r="D417" s="7" t="s">
        <v>19</v>
      </c>
      <c r="E417" s="7" t="s">
        <v>20</v>
      </c>
      <c r="F417" s="7" t="s">
        <v>372</v>
      </c>
      <c r="G417" s="7" t="e">
        <f t="shared" ca="1" si="13"/>
        <v>#NAME?</v>
      </c>
      <c r="H417" s="24" t="s">
        <v>152</v>
      </c>
      <c r="I417" s="24" t="s">
        <v>25</v>
      </c>
      <c r="J417" s="7" t="str">
        <f t="shared" si="20"/>
        <v>Não</v>
      </c>
      <c r="K417" s="25">
        <v>45267</v>
      </c>
      <c r="L417" s="7"/>
      <c r="M417" s="9" t="s">
        <v>172</v>
      </c>
      <c r="N417" s="10">
        <v>0</v>
      </c>
      <c r="O417" s="6" t="s">
        <v>25</v>
      </c>
      <c r="P417" s="11">
        <v>0</v>
      </c>
      <c r="Q417" s="28"/>
      <c r="R417" s="90"/>
      <c r="S417" s="7" t="s">
        <v>187</v>
      </c>
      <c r="T417" s="7" t="s">
        <v>1494</v>
      </c>
      <c r="U417" s="7" t="s">
        <v>20</v>
      </c>
      <c r="V417" s="24" t="e">
        <f t="shared" ca="1" si="14"/>
        <v>#NAME?</v>
      </c>
      <c r="W417" s="7"/>
      <c r="X417" s="7"/>
      <c r="Y417" s="29" t="s">
        <v>147</v>
      </c>
      <c r="Z417" s="30"/>
      <c r="AA417" s="31">
        <v>45267</v>
      </c>
      <c r="AB417" s="32">
        <v>49075100012997</v>
      </c>
      <c r="AC417" s="30"/>
      <c r="AD417" s="30"/>
      <c r="AE417" s="30"/>
      <c r="AF417" s="30"/>
      <c r="AG417" s="30"/>
      <c r="AH417" s="30"/>
      <c r="AI417" s="30"/>
      <c r="AJ417" s="30"/>
      <c r="AK417" s="30"/>
      <c r="AL417" s="30"/>
      <c r="AM417" s="30"/>
      <c r="AN417" s="30"/>
      <c r="AO417" s="30"/>
      <c r="AP417" s="30"/>
      <c r="AQ417" s="30">
        <v>0</v>
      </c>
      <c r="AR417" s="30">
        <v>80064.81</v>
      </c>
      <c r="AS417" s="30">
        <v>80563.06</v>
      </c>
      <c r="AT417" s="30">
        <v>81039.789999999994</v>
      </c>
      <c r="AU417" s="30">
        <v>81408.34</v>
      </c>
      <c r="AV417" s="30">
        <v>82050</v>
      </c>
      <c r="AW417" s="30">
        <v>112397.2</v>
      </c>
      <c r="AX417" s="30">
        <v>133518.79999999999</v>
      </c>
      <c r="AY417" s="30">
        <v>0</v>
      </c>
      <c r="AZ417" s="30">
        <v>0</v>
      </c>
      <c r="BA417" s="30" t="e">
        <f t="array" aca="1" ref="BA417" ca="1">_xludf.XLOOKUP(C417,'PL TOTAL D0'!A:A,'PL TOTAL D0'!C:C,"")</f>
        <v>#NAME?</v>
      </c>
    </row>
    <row r="418" spans="1:53" ht="15.75" customHeight="1">
      <c r="A418" s="23" t="s">
        <v>29</v>
      </c>
      <c r="B418" s="3" t="s">
        <v>1495</v>
      </c>
      <c r="C418" s="4" t="s">
        <v>1496</v>
      </c>
      <c r="D418" s="7" t="s">
        <v>64</v>
      </c>
      <c r="E418" s="7" t="s">
        <v>20</v>
      </c>
      <c r="F418" s="7" t="s">
        <v>142</v>
      </c>
      <c r="G418" s="7" t="e">
        <f t="shared" ca="1" si="13"/>
        <v>#NAME?</v>
      </c>
      <c r="H418" s="24" t="s">
        <v>161</v>
      </c>
      <c r="I418" s="24" t="s">
        <v>211</v>
      </c>
      <c r="J418" s="7" t="str">
        <f t="shared" si="20"/>
        <v>Não</v>
      </c>
      <c r="K418" s="25">
        <v>45163</v>
      </c>
      <c r="L418" s="25"/>
      <c r="M418" s="7" t="s">
        <v>42</v>
      </c>
      <c r="N418" s="26">
        <v>0.01</v>
      </c>
      <c r="O418" s="7" t="s">
        <v>25</v>
      </c>
      <c r="P418" s="27">
        <v>0</v>
      </c>
      <c r="Q418" s="28"/>
      <c r="R418" s="28" t="s">
        <v>1497</v>
      </c>
      <c r="S418" s="7" t="s">
        <v>145</v>
      </c>
      <c r="T418" s="7" t="s">
        <v>1494</v>
      </c>
      <c r="U418" s="7" t="s">
        <v>20</v>
      </c>
      <c r="V418" s="24" t="e">
        <f t="shared" ca="1" si="14"/>
        <v>#NAME?</v>
      </c>
      <c r="W418" s="7"/>
      <c r="X418" s="7"/>
      <c r="Y418" s="29" t="s">
        <v>147</v>
      </c>
      <c r="Z418" s="30"/>
      <c r="AA418" s="31">
        <v>45163</v>
      </c>
      <c r="AB418" s="32">
        <v>49075100011516</v>
      </c>
      <c r="AC418" s="30"/>
      <c r="AD418" s="30"/>
      <c r="AE418" s="30"/>
      <c r="AF418" s="30"/>
      <c r="AG418" s="30"/>
      <c r="AH418" s="30"/>
      <c r="AI418" s="30">
        <v>0</v>
      </c>
      <c r="AJ418" s="30">
        <v>0</v>
      </c>
      <c r="AK418" s="30">
        <v>0</v>
      </c>
      <c r="AL418" s="30">
        <v>0</v>
      </c>
      <c r="AM418" s="30">
        <v>0</v>
      </c>
      <c r="AN418" s="30">
        <v>770341.47</v>
      </c>
      <c r="AO418" s="30">
        <v>774767</v>
      </c>
      <c r="AP418" s="30">
        <v>780858.65</v>
      </c>
      <c r="AQ418" s="30">
        <v>786142.8</v>
      </c>
      <c r="AR418" s="30">
        <v>791149.87</v>
      </c>
      <c r="AS418" s="30">
        <v>796697.82</v>
      </c>
      <c r="AT418" s="30">
        <v>992536.72</v>
      </c>
      <c r="AU418" s="30">
        <v>1038174.97</v>
      </c>
      <c r="AV418" s="30">
        <v>1060081</v>
      </c>
      <c r="AW418" s="30">
        <v>1088467</v>
      </c>
      <c r="AX418" s="30">
        <v>0</v>
      </c>
      <c r="AY418" s="30">
        <v>0</v>
      </c>
      <c r="AZ418" s="30">
        <v>0</v>
      </c>
      <c r="BA418" s="30" t="e">
        <f t="array" aca="1" ref="BA418" ca="1">_xludf.XLOOKUP(C418,'PL TOTAL D0'!A:A,'PL TOTAL D0'!C:C,"")</f>
        <v>#NAME?</v>
      </c>
    </row>
    <row r="419" spans="1:53" ht="15.75" customHeight="1">
      <c r="A419" s="23" t="s">
        <v>29</v>
      </c>
      <c r="B419" s="3" t="s">
        <v>1498</v>
      </c>
      <c r="C419" s="4" t="s">
        <v>1499</v>
      </c>
      <c r="D419" s="7" t="s">
        <v>19</v>
      </c>
      <c r="E419" s="7" t="s">
        <v>60</v>
      </c>
      <c r="F419" s="7" t="s">
        <v>661</v>
      </c>
      <c r="G419" s="7" t="e">
        <f t="shared" ca="1" si="13"/>
        <v>#NAME?</v>
      </c>
      <c r="H419" s="24" t="s">
        <v>152</v>
      </c>
      <c r="I419" s="24" t="s">
        <v>25</v>
      </c>
      <c r="J419" s="7" t="str">
        <f t="shared" si="20"/>
        <v>Não</v>
      </c>
      <c r="K419" s="25">
        <v>44973</v>
      </c>
      <c r="L419" s="23"/>
      <c r="M419" s="7" t="s">
        <v>200</v>
      </c>
      <c r="N419" s="118">
        <v>1.4999999999999999E-2</v>
      </c>
      <c r="O419" s="7" t="s">
        <v>37</v>
      </c>
      <c r="P419" s="27">
        <v>0.1</v>
      </c>
      <c r="Q419" s="45"/>
      <c r="R419" s="45"/>
      <c r="S419" s="7" t="s">
        <v>145</v>
      </c>
      <c r="T419" s="4" t="s">
        <v>89</v>
      </c>
      <c r="U419" s="7" t="s">
        <v>90</v>
      </c>
      <c r="V419" s="24" t="e">
        <f t="shared" ca="1" si="14"/>
        <v>#NAME?</v>
      </c>
      <c r="W419" s="7"/>
      <c r="X419" s="7"/>
      <c r="Y419" s="7" t="s">
        <v>147</v>
      </c>
      <c r="Z419" s="23"/>
      <c r="AA419" s="133">
        <v>44973</v>
      </c>
      <c r="AB419" s="134">
        <v>49075100005941</v>
      </c>
      <c r="AC419" s="23"/>
      <c r="AD419" s="23"/>
      <c r="AE419" s="23"/>
      <c r="AF419" s="144"/>
      <c r="AG419" s="132">
        <v>689994.38</v>
      </c>
      <c r="AH419" s="132">
        <v>685952.92</v>
      </c>
      <c r="AI419" s="30">
        <v>687270.9</v>
      </c>
      <c r="AJ419" s="132">
        <v>697627.07</v>
      </c>
      <c r="AK419" s="132">
        <v>911550.56</v>
      </c>
      <c r="AL419" s="30">
        <v>923030.07</v>
      </c>
      <c r="AM419" s="30">
        <v>927788.28</v>
      </c>
      <c r="AN419" s="30">
        <v>932100.04</v>
      </c>
      <c r="AO419" s="30">
        <v>804260.81</v>
      </c>
      <c r="AP419" s="30">
        <v>812554.67</v>
      </c>
      <c r="AQ419" s="30">
        <v>820967.38</v>
      </c>
      <c r="AR419" s="30">
        <v>817404.64</v>
      </c>
      <c r="AS419" s="30">
        <v>821869.41</v>
      </c>
      <c r="AT419" s="30">
        <v>828451.96</v>
      </c>
      <c r="AU419" s="30">
        <v>825193.77</v>
      </c>
      <c r="AV419" s="30">
        <v>823592.2</v>
      </c>
      <c r="AW419" s="30">
        <v>827435.9</v>
      </c>
      <c r="AX419" s="30">
        <v>836514.8</v>
      </c>
      <c r="AY419" s="30">
        <v>843242.58</v>
      </c>
      <c r="AZ419" s="30">
        <v>842113.44</v>
      </c>
      <c r="BA419" s="30" t="e">
        <f t="array" aca="1" ref="BA419" ca="1">_xludf.XLOOKUP(C419,'PL TOTAL D0'!A:A,'PL TOTAL D0'!C:C,"")</f>
        <v>#NAME?</v>
      </c>
    </row>
    <row r="420" spans="1:53" ht="15.75" customHeight="1">
      <c r="A420" s="23" t="s">
        <v>29</v>
      </c>
      <c r="B420" s="3" t="s">
        <v>1500</v>
      </c>
      <c r="C420" s="4" t="s">
        <v>1501</v>
      </c>
      <c r="D420" s="7" t="s">
        <v>19</v>
      </c>
      <c r="E420" s="7" t="s">
        <v>49</v>
      </c>
      <c r="F420" s="7" t="s">
        <v>328</v>
      </c>
      <c r="G420" s="7" t="e">
        <f t="shared" ca="1" si="13"/>
        <v>#NAME?</v>
      </c>
      <c r="H420" s="24" t="s">
        <v>152</v>
      </c>
      <c r="I420" s="24" t="s">
        <v>25</v>
      </c>
      <c r="J420" s="7" t="str">
        <f t="shared" si="20"/>
        <v>Não</v>
      </c>
      <c r="K420" s="25">
        <v>45163</v>
      </c>
      <c r="L420" s="25"/>
      <c r="M420" s="7" t="s">
        <v>42</v>
      </c>
      <c r="N420" s="26">
        <v>0.01</v>
      </c>
      <c r="O420" s="7" t="s">
        <v>25</v>
      </c>
      <c r="P420" s="27">
        <v>0</v>
      </c>
      <c r="Q420" s="90"/>
      <c r="R420" s="28" t="s">
        <v>1502</v>
      </c>
      <c r="S420" s="7" t="s">
        <v>145</v>
      </c>
      <c r="T420" s="7" t="s">
        <v>1503</v>
      </c>
      <c r="U420" s="7" t="s">
        <v>20</v>
      </c>
      <c r="V420" s="24" t="e">
        <f t="shared" ca="1" si="14"/>
        <v>#NAME?</v>
      </c>
      <c r="W420" s="7"/>
      <c r="X420" s="7"/>
      <c r="Y420" s="29" t="s">
        <v>253</v>
      </c>
      <c r="Z420" s="30"/>
      <c r="AA420" s="31">
        <v>45163</v>
      </c>
      <c r="AB420" s="32">
        <v>49075100011524</v>
      </c>
      <c r="AC420" s="30"/>
      <c r="AD420" s="30"/>
      <c r="AE420" s="30"/>
      <c r="AF420" s="30">
        <v>0</v>
      </c>
      <c r="AG420" s="30">
        <v>0</v>
      </c>
      <c r="AH420" s="30">
        <v>0</v>
      </c>
      <c r="AI420" s="30">
        <v>0</v>
      </c>
      <c r="AJ420" s="30">
        <v>0</v>
      </c>
      <c r="AK420" s="30">
        <v>0</v>
      </c>
      <c r="AL420" s="30">
        <v>0</v>
      </c>
      <c r="AM420" s="30">
        <v>0</v>
      </c>
      <c r="AN420" s="30">
        <v>0</v>
      </c>
      <c r="AO420" s="30">
        <v>0</v>
      </c>
      <c r="AP420" s="30">
        <v>0</v>
      </c>
      <c r="AQ420" s="30">
        <v>0</v>
      </c>
      <c r="AR420" s="30">
        <v>0</v>
      </c>
      <c r="AS420" s="30">
        <v>0</v>
      </c>
      <c r="AT420" s="30">
        <v>0</v>
      </c>
      <c r="AU420" s="30">
        <v>0</v>
      </c>
      <c r="AV420" s="30">
        <v>80000</v>
      </c>
      <c r="AW420" s="30">
        <v>80646.039999999994</v>
      </c>
      <c r="AX420" s="30">
        <v>81389.09</v>
      </c>
      <c r="AY420" s="30">
        <v>82052.3</v>
      </c>
      <c r="AZ420" s="30">
        <v>82751.039999999994</v>
      </c>
      <c r="BA420" s="30" t="e">
        <f t="array" aca="1" ref="BA420" ca="1">_xludf.XLOOKUP(C420,'PL TOTAL D0'!A:A,'PL TOTAL D0'!C:C,"")</f>
        <v>#NAME?</v>
      </c>
    </row>
    <row r="421" spans="1:53" ht="15.75" customHeight="1">
      <c r="A421" s="23" t="s">
        <v>29</v>
      </c>
      <c r="B421" s="37" t="s">
        <v>1504</v>
      </c>
      <c r="C421" s="4" t="s">
        <v>1505</v>
      </c>
      <c r="D421" s="7" t="s">
        <v>19</v>
      </c>
      <c r="E421" s="7" t="s">
        <v>34</v>
      </c>
      <c r="F421" s="7" t="s">
        <v>262</v>
      </c>
      <c r="G421" s="7" t="e">
        <f t="shared" ca="1" si="13"/>
        <v>#NAME?</v>
      </c>
      <c r="H421" s="24" t="s">
        <v>152</v>
      </c>
      <c r="I421" s="24" t="s">
        <v>25</v>
      </c>
      <c r="J421" s="7" t="str">
        <f t="shared" si="20"/>
        <v>Não</v>
      </c>
      <c r="K421" s="25">
        <v>45028</v>
      </c>
      <c r="L421" s="7"/>
      <c r="M421" s="7" t="s">
        <v>200</v>
      </c>
      <c r="N421" s="26">
        <v>1.4999999999999999E-2</v>
      </c>
      <c r="O421" s="7" t="s">
        <v>37</v>
      </c>
      <c r="P421" s="27">
        <v>0.1</v>
      </c>
      <c r="Q421" s="28"/>
      <c r="R421" s="28"/>
      <c r="S421" s="7" t="s">
        <v>145</v>
      </c>
      <c r="T421" s="7" t="s">
        <v>1506</v>
      </c>
      <c r="U421" s="7" t="s">
        <v>39</v>
      </c>
      <c r="V421" s="24" t="e">
        <f t="shared" ca="1" si="14"/>
        <v>#NAME?</v>
      </c>
      <c r="W421" s="7"/>
      <c r="X421" s="7"/>
      <c r="Y421" s="29" t="s">
        <v>147</v>
      </c>
      <c r="Z421" s="30"/>
      <c r="AA421" s="31">
        <v>45028</v>
      </c>
      <c r="AB421" s="32">
        <v>49075100009112</v>
      </c>
      <c r="AC421" s="30"/>
      <c r="AD421" s="30"/>
      <c r="AE421" s="30"/>
      <c r="AF421" s="30"/>
      <c r="AG421" s="30"/>
      <c r="AH421" s="30">
        <v>0</v>
      </c>
      <c r="AI421" s="30">
        <v>546983.69999999995</v>
      </c>
      <c r="AJ421" s="30">
        <v>569712.92000000004</v>
      </c>
      <c r="AK421" s="30">
        <v>599690.17000000004</v>
      </c>
      <c r="AL421" s="30">
        <v>641342.23</v>
      </c>
      <c r="AM421" s="30">
        <v>637489.29</v>
      </c>
      <c r="AN421" s="30">
        <v>661262.77</v>
      </c>
      <c r="AO421" s="30">
        <v>665519.79</v>
      </c>
      <c r="AP421" s="30">
        <v>680406.48</v>
      </c>
      <c r="AQ421" s="30">
        <v>728909.45</v>
      </c>
      <c r="AR421" s="30">
        <v>718767.34</v>
      </c>
      <c r="AS421" s="30">
        <v>723223.94</v>
      </c>
      <c r="AT421" s="30">
        <v>731594.67</v>
      </c>
      <c r="AU421" s="30">
        <v>723448.31</v>
      </c>
      <c r="AV421" s="30">
        <v>730414.8</v>
      </c>
      <c r="AW421" s="30">
        <v>734737.3</v>
      </c>
      <c r="AX421" s="30">
        <v>744908.5</v>
      </c>
      <c r="AY421" s="30">
        <v>752580.22</v>
      </c>
      <c r="AZ421" s="30">
        <v>750229.52</v>
      </c>
      <c r="BA421" s="30" t="e">
        <f t="array" aca="1" ref="BA421" ca="1">_xludf.XLOOKUP(C421,'PL TOTAL D0'!A:A,'PL TOTAL D0'!C:C,"")</f>
        <v>#NAME?</v>
      </c>
    </row>
    <row r="422" spans="1:53" ht="15.75" customHeight="1">
      <c r="A422" s="23" t="s">
        <v>29</v>
      </c>
      <c r="B422" s="36" t="s">
        <v>1507</v>
      </c>
      <c r="C422" s="4" t="s">
        <v>1508</v>
      </c>
      <c r="D422" s="7" t="s">
        <v>150</v>
      </c>
      <c r="E422" s="7" t="s">
        <v>49</v>
      </c>
      <c r="F422" s="7" t="s">
        <v>151</v>
      </c>
      <c r="G422" s="7" t="e">
        <f t="shared" ca="1" si="13"/>
        <v>#NAME?</v>
      </c>
      <c r="H422" s="24" t="s">
        <v>152</v>
      </c>
      <c r="I422" s="24" t="s">
        <v>25</v>
      </c>
      <c r="J422" s="7" t="str">
        <f t="shared" si="20"/>
        <v>Sim</v>
      </c>
      <c r="K422" s="25">
        <v>45209</v>
      </c>
      <c r="L422" s="7"/>
      <c r="M422" s="7" t="s">
        <v>42</v>
      </c>
      <c r="N422" s="26">
        <v>1.2E-2</v>
      </c>
      <c r="O422" s="7" t="s">
        <v>25</v>
      </c>
      <c r="P422" s="27">
        <v>0</v>
      </c>
      <c r="Q422" s="37" t="s">
        <v>1509</v>
      </c>
      <c r="R422" s="28"/>
      <c r="S422" s="7" t="s">
        <v>145</v>
      </c>
      <c r="T422" s="7" t="s">
        <v>1510</v>
      </c>
      <c r="U422" s="7" t="s">
        <v>49</v>
      </c>
      <c r="V422" s="24" t="e">
        <f t="shared" ca="1" si="14"/>
        <v>#NAME?</v>
      </c>
      <c r="W422" s="7"/>
      <c r="X422" s="7"/>
      <c r="Y422" s="29" t="s">
        <v>147</v>
      </c>
      <c r="Z422" s="30"/>
      <c r="AA422" s="31">
        <v>45209</v>
      </c>
      <c r="AB422" s="32">
        <v>49075100012520</v>
      </c>
      <c r="AC422" s="30"/>
      <c r="AD422" s="30"/>
      <c r="AE422" s="30"/>
      <c r="AF422" s="30"/>
      <c r="AG422" s="30"/>
      <c r="AH422" s="30"/>
      <c r="AI422" s="30"/>
      <c r="AJ422" s="30"/>
      <c r="AK422" s="30"/>
      <c r="AL422" s="30"/>
      <c r="AM422" s="30"/>
      <c r="AN422" s="30">
        <v>0</v>
      </c>
      <c r="AO422" s="30">
        <v>398364.46</v>
      </c>
      <c r="AP422" s="30">
        <v>401238.27</v>
      </c>
      <c r="AQ422" s="30">
        <v>404093.6</v>
      </c>
      <c r="AR422" s="30">
        <v>407558.7</v>
      </c>
      <c r="AS422" s="30">
        <v>66022.77</v>
      </c>
      <c r="AT422" s="30">
        <v>66386.28</v>
      </c>
      <c r="AU422" s="30">
        <v>66844.740000000005</v>
      </c>
      <c r="AV422" s="30">
        <v>67277.070000000007</v>
      </c>
      <c r="AW422" s="30">
        <v>67716.53</v>
      </c>
      <c r="AX422" s="30">
        <v>68261.7</v>
      </c>
      <c r="AY422" s="30">
        <v>68778.42</v>
      </c>
      <c r="AZ422" s="30">
        <v>229232.87</v>
      </c>
      <c r="BA422" s="30" t="e">
        <f t="array" aca="1" ref="BA422" ca="1">_xludf.XLOOKUP(C422,'PL TOTAL D0'!A:A,'PL TOTAL D0'!C:C,"")</f>
        <v>#NAME?</v>
      </c>
    </row>
    <row r="423" spans="1:53" ht="15.75" customHeight="1">
      <c r="A423" s="23" t="s">
        <v>29</v>
      </c>
      <c r="B423" s="3" t="s">
        <v>1511</v>
      </c>
      <c r="C423" s="4" t="s">
        <v>1512</v>
      </c>
      <c r="D423" s="7" t="s">
        <v>19</v>
      </c>
      <c r="E423" s="7" t="s">
        <v>20</v>
      </c>
      <c r="F423" s="7" t="s">
        <v>21</v>
      </c>
      <c r="G423" s="7" t="e">
        <f t="shared" ca="1" si="13"/>
        <v>#NAME?</v>
      </c>
      <c r="H423" s="24" t="s">
        <v>152</v>
      </c>
      <c r="I423" s="24" t="s">
        <v>25</v>
      </c>
      <c r="J423" s="7" t="str">
        <f t="shared" si="20"/>
        <v>Sim</v>
      </c>
      <c r="K423" s="25">
        <v>44971</v>
      </c>
      <c r="L423" s="7"/>
      <c r="M423" s="7" t="s">
        <v>42</v>
      </c>
      <c r="N423" s="26">
        <v>7.0000000000000001E-3</v>
      </c>
      <c r="O423" s="7" t="s">
        <v>25</v>
      </c>
      <c r="P423" s="27">
        <v>0</v>
      </c>
      <c r="Q423" s="71" t="s">
        <v>1513</v>
      </c>
      <c r="R423" s="45"/>
      <c r="S423" s="7" t="s">
        <v>145</v>
      </c>
      <c r="T423" s="7" t="s">
        <v>1514</v>
      </c>
      <c r="U423" s="7" t="s">
        <v>20</v>
      </c>
      <c r="V423" s="24" t="e">
        <f t="shared" ca="1" si="14"/>
        <v>#NAME?</v>
      </c>
      <c r="W423" s="7"/>
      <c r="X423" s="7"/>
      <c r="Y423" s="29" t="s">
        <v>147</v>
      </c>
      <c r="Z423" s="30"/>
      <c r="AA423" s="31">
        <v>44971</v>
      </c>
      <c r="AB423" s="32">
        <v>49075100012539</v>
      </c>
      <c r="AC423" s="30"/>
      <c r="AD423" s="30"/>
      <c r="AE423" s="30"/>
      <c r="AF423" s="30">
        <v>0</v>
      </c>
      <c r="AG423" s="30">
        <v>1110727.78</v>
      </c>
      <c r="AH423" s="30">
        <v>2743133.96</v>
      </c>
      <c r="AI423" s="30">
        <v>2763862.97</v>
      </c>
      <c r="AJ423" s="30">
        <v>2795420.34</v>
      </c>
      <c r="AK423" s="30">
        <v>3088831.62</v>
      </c>
      <c r="AL423" s="30">
        <v>3118395.57</v>
      </c>
      <c r="AM423" s="30">
        <v>3151164.23</v>
      </c>
      <c r="AN423" s="30">
        <v>3126195.15</v>
      </c>
      <c r="AO423" s="30">
        <v>3155608.43</v>
      </c>
      <c r="AP423" s="30">
        <v>3211508.29</v>
      </c>
      <c r="AQ423" s="30">
        <v>3238270.45</v>
      </c>
      <c r="AR423" s="30">
        <v>3390746.18</v>
      </c>
      <c r="AS423" s="30">
        <v>23394.6</v>
      </c>
      <c r="AT423" s="30">
        <v>23577.54</v>
      </c>
      <c r="AU423" s="30">
        <v>23611.7</v>
      </c>
      <c r="AV423" s="30">
        <v>23779.99</v>
      </c>
      <c r="AW423" s="30">
        <v>23921.040000000001</v>
      </c>
      <c r="AX423" s="30">
        <v>24130.15</v>
      </c>
      <c r="AY423" s="30">
        <v>114319.62</v>
      </c>
      <c r="AZ423" s="30">
        <v>115242.23</v>
      </c>
      <c r="BA423" s="30" t="e">
        <f t="array" aca="1" ref="BA423" ca="1">_xludf.XLOOKUP(C423,'PL TOTAL D0'!A:A,'PL TOTAL D0'!C:C,"")</f>
        <v>#NAME?</v>
      </c>
    </row>
    <row r="424" spans="1:53" ht="15.75" customHeight="1">
      <c r="A424" s="23" t="s">
        <v>29</v>
      </c>
      <c r="B424" s="3" t="s">
        <v>1511</v>
      </c>
      <c r="C424" s="4" t="s">
        <v>1515</v>
      </c>
      <c r="D424" s="7" t="s">
        <v>19</v>
      </c>
      <c r="E424" s="7" t="s">
        <v>20</v>
      </c>
      <c r="F424" s="7" t="s">
        <v>21</v>
      </c>
      <c r="G424" s="7" t="e">
        <f t="shared" ca="1" si="13"/>
        <v>#NAME?</v>
      </c>
      <c r="H424" s="24" t="s">
        <v>161</v>
      </c>
      <c r="I424" s="24" t="s">
        <v>162</v>
      </c>
      <c r="J424" s="7" t="str">
        <f t="shared" si="20"/>
        <v>Não</v>
      </c>
      <c r="K424" s="25">
        <v>45163</v>
      </c>
      <c r="L424" s="25"/>
      <c r="M424" s="7" t="s">
        <v>87</v>
      </c>
      <c r="N424" s="26">
        <v>2.5000000000000001E-2</v>
      </c>
      <c r="O424" s="7" t="s">
        <v>183</v>
      </c>
      <c r="P424" s="27">
        <v>0.2</v>
      </c>
      <c r="Q424" s="28"/>
      <c r="R424" s="28"/>
      <c r="S424" s="7" t="s">
        <v>145</v>
      </c>
      <c r="T424" s="7" t="s">
        <v>1514</v>
      </c>
      <c r="U424" s="7" t="s">
        <v>20</v>
      </c>
      <c r="V424" s="24" t="e">
        <f t="shared" ca="1" si="14"/>
        <v>#NAME?</v>
      </c>
      <c r="W424" s="7"/>
      <c r="X424" s="7"/>
      <c r="Y424" s="29" t="s">
        <v>147</v>
      </c>
      <c r="Z424" s="30"/>
      <c r="AA424" s="31">
        <v>45163</v>
      </c>
      <c r="AB424" s="32">
        <v>49075100011532</v>
      </c>
      <c r="AC424" s="30"/>
      <c r="AD424" s="30"/>
      <c r="AE424" s="30"/>
      <c r="AF424" s="30">
        <v>0</v>
      </c>
      <c r="AG424" s="30">
        <v>0</v>
      </c>
      <c r="AH424" s="30">
        <v>0</v>
      </c>
      <c r="AI424" s="30">
        <v>0</v>
      </c>
      <c r="AJ424" s="30">
        <v>0</v>
      </c>
      <c r="AK424" s="30">
        <v>0</v>
      </c>
      <c r="AL424" s="30">
        <v>0</v>
      </c>
      <c r="AM424" s="30">
        <v>0</v>
      </c>
      <c r="AN424" s="30">
        <v>0</v>
      </c>
      <c r="AO424" s="30">
        <v>0</v>
      </c>
      <c r="AP424" s="30">
        <v>0</v>
      </c>
      <c r="AQ424" s="30">
        <v>0</v>
      </c>
      <c r="AR424" s="30">
        <v>0</v>
      </c>
      <c r="AS424" s="30">
        <v>0</v>
      </c>
      <c r="AT424" s="30">
        <v>0</v>
      </c>
      <c r="AU424" s="30">
        <v>0</v>
      </c>
      <c r="AV424" s="30">
        <v>0</v>
      </c>
      <c r="AW424" s="30">
        <v>0</v>
      </c>
      <c r="AX424" s="30">
        <v>0</v>
      </c>
      <c r="AY424" s="30">
        <v>0</v>
      </c>
      <c r="AZ424" s="30">
        <v>0</v>
      </c>
      <c r="BA424" s="30" t="e">
        <f t="array" aca="1" ref="BA424" ca="1">_xludf.XLOOKUP(C424,'PL TOTAL D0'!A:A,'PL TOTAL D0'!C:C,"")</f>
        <v>#NAME?</v>
      </c>
    </row>
    <row r="425" spans="1:53" ht="15.75" customHeight="1">
      <c r="A425" s="23" t="s">
        <v>29</v>
      </c>
      <c r="B425" s="40" t="s">
        <v>1516</v>
      </c>
      <c r="C425" s="62" t="s">
        <v>1517</v>
      </c>
      <c r="D425" s="7" t="s">
        <v>19</v>
      </c>
      <c r="E425" s="7" t="s">
        <v>34</v>
      </c>
      <c r="F425" s="7" t="s">
        <v>35</v>
      </c>
      <c r="G425" s="7" t="e">
        <f t="shared" ca="1" si="13"/>
        <v>#NAME?</v>
      </c>
      <c r="H425" s="24" t="s">
        <v>152</v>
      </c>
      <c r="I425" s="24" t="s">
        <v>25</v>
      </c>
      <c r="J425" s="7" t="str">
        <f t="shared" si="20"/>
        <v>Não</v>
      </c>
      <c r="K425" s="25">
        <v>45230</v>
      </c>
      <c r="L425" s="7"/>
      <c r="M425" s="7" t="s">
        <v>42</v>
      </c>
      <c r="N425" s="26">
        <v>1.2E-2</v>
      </c>
      <c r="O425" s="7" t="s">
        <v>25</v>
      </c>
      <c r="P425" s="27">
        <v>0</v>
      </c>
      <c r="Q425" s="23"/>
      <c r="R425" s="139" t="s">
        <v>1518</v>
      </c>
      <c r="S425" s="7" t="s">
        <v>145</v>
      </c>
      <c r="T425" s="7" t="s">
        <v>1519</v>
      </c>
      <c r="U425" s="7" t="s">
        <v>39</v>
      </c>
      <c r="V425" s="24" t="e">
        <f t="shared" ca="1" si="14"/>
        <v>#NAME?</v>
      </c>
      <c r="W425" s="7"/>
      <c r="X425" s="7"/>
      <c r="Y425" s="29" t="s">
        <v>147</v>
      </c>
      <c r="Z425" s="30"/>
      <c r="AA425" s="31">
        <v>45230</v>
      </c>
      <c r="AB425" s="32">
        <v>49075100012547</v>
      </c>
      <c r="AC425" s="30"/>
      <c r="AD425" s="30"/>
      <c r="AE425" s="30"/>
      <c r="AF425" s="30"/>
      <c r="AG425" s="30"/>
      <c r="AH425" s="30"/>
      <c r="AI425" s="30"/>
      <c r="AJ425" s="30"/>
      <c r="AK425" s="30"/>
      <c r="AL425" s="30"/>
      <c r="AM425" s="30"/>
      <c r="AN425" s="30"/>
      <c r="AO425" s="30">
        <v>0</v>
      </c>
      <c r="AP425" s="30">
        <v>752677.66</v>
      </c>
      <c r="AQ425" s="30">
        <v>758454.81</v>
      </c>
      <c r="AR425" s="30">
        <v>765519.19</v>
      </c>
      <c r="AS425" s="30">
        <v>771665.74</v>
      </c>
      <c r="AT425" s="30">
        <v>778613.49</v>
      </c>
      <c r="AU425" s="30">
        <v>785016.41</v>
      </c>
      <c r="AV425" s="30">
        <v>790603.5</v>
      </c>
      <c r="AW425" s="30">
        <v>796840.5</v>
      </c>
      <c r="AX425" s="30">
        <v>803570.4</v>
      </c>
      <c r="AY425" s="30">
        <v>808811.81</v>
      </c>
      <c r="AZ425" s="30">
        <v>813482.26</v>
      </c>
      <c r="BA425" s="30" t="e">
        <f t="array" aca="1" ref="BA425" ca="1">_xludf.XLOOKUP(C425,'PL TOTAL D0'!A:A,'PL TOTAL D0'!C:C,"")</f>
        <v>#NAME?</v>
      </c>
    </row>
    <row r="426" spans="1:53" ht="15.75" customHeight="1">
      <c r="A426" s="23" t="s">
        <v>29</v>
      </c>
      <c r="B426" s="40" t="s">
        <v>1520</v>
      </c>
      <c r="C426" s="62" t="s">
        <v>1521</v>
      </c>
      <c r="D426" s="7" t="s">
        <v>19</v>
      </c>
      <c r="E426" s="7" t="s">
        <v>20</v>
      </c>
      <c r="F426" s="7" t="s">
        <v>449</v>
      </c>
      <c r="G426" s="7" t="e">
        <f t="shared" ca="1" si="13"/>
        <v>#NAME?</v>
      </c>
      <c r="H426" s="24" t="s">
        <v>167</v>
      </c>
      <c r="I426" s="24" t="s">
        <v>222</v>
      </c>
      <c r="J426" s="7" t="str">
        <f t="shared" si="20"/>
        <v>Não</v>
      </c>
      <c r="K426" s="25">
        <v>45495</v>
      </c>
      <c r="L426" s="7"/>
      <c r="M426" s="7" t="s">
        <v>42</v>
      </c>
      <c r="N426" s="26">
        <v>1.2E-2</v>
      </c>
      <c r="O426" s="7" t="s">
        <v>25</v>
      </c>
      <c r="P426" s="27">
        <v>0</v>
      </c>
      <c r="Q426" s="23"/>
      <c r="R426" s="139"/>
      <c r="S426" s="7" t="s">
        <v>145</v>
      </c>
      <c r="T426" s="7" t="s">
        <v>1522</v>
      </c>
      <c r="U426" s="7" t="s">
        <v>46</v>
      </c>
      <c r="V426" s="24" t="e">
        <f t="shared" ca="1" si="14"/>
        <v>#NAME?</v>
      </c>
      <c r="W426" s="7"/>
      <c r="X426" s="7" t="s">
        <v>40</v>
      </c>
      <c r="Y426" s="29" t="s">
        <v>147</v>
      </c>
      <c r="Z426" s="30"/>
      <c r="AA426" s="31">
        <v>45495</v>
      </c>
      <c r="AB426" s="32">
        <v>49075100015521</v>
      </c>
      <c r="AC426" s="30"/>
      <c r="AD426" s="30"/>
      <c r="AE426" s="30"/>
      <c r="AF426" s="30"/>
      <c r="AG426" s="30"/>
      <c r="AH426" s="30"/>
      <c r="AI426" s="30"/>
      <c r="AJ426" s="30"/>
      <c r="AK426" s="30"/>
      <c r="AL426" s="30"/>
      <c r="AM426" s="30"/>
      <c r="AN426" s="30"/>
      <c r="AO426" s="30"/>
      <c r="AP426" s="30"/>
      <c r="AQ426" s="30"/>
      <c r="AR426" s="30"/>
      <c r="AS426" s="30"/>
      <c r="AT426" s="30"/>
      <c r="AU426" s="30"/>
      <c r="AV426" s="30"/>
      <c r="AW426" s="30"/>
      <c r="AX426" s="30">
        <v>0</v>
      </c>
      <c r="AY426" s="30">
        <v>0</v>
      </c>
      <c r="AZ426" s="30">
        <v>0</v>
      </c>
      <c r="BA426" s="30" t="e">
        <f t="array" aca="1" ref="BA426" ca="1">_xludf.XLOOKUP(C426,'PL TOTAL D0'!A:A,'PL TOTAL D0'!C:C,"")</f>
        <v>#NAME?</v>
      </c>
    </row>
    <row r="427" spans="1:53" ht="15.75" customHeight="1">
      <c r="A427" s="23" t="s">
        <v>29</v>
      </c>
      <c r="B427" s="23" t="s">
        <v>1523</v>
      </c>
      <c r="C427" s="44" t="s">
        <v>1524</v>
      </c>
      <c r="D427" s="7" t="s">
        <v>19</v>
      </c>
      <c r="E427" s="7" t="s">
        <v>49</v>
      </c>
      <c r="F427" s="7" t="s">
        <v>166</v>
      </c>
      <c r="G427" s="7" t="e">
        <f t="shared" ca="1" si="13"/>
        <v>#NAME?</v>
      </c>
      <c r="H427" s="24" t="s">
        <v>152</v>
      </c>
      <c r="I427" s="24" t="s">
        <v>25</v>
      </c>
      <c r="J427" s="7" t="str">
        <f t="shared" si="20"/>
        <v>Não</v>
      </c>
      <c r="K427" s="25">
        <v>45371</v>
      </c>
      <c r="L427" s="7"/>
      <c r="M427" s="7" t="s">
        <v>172</v>
      </c>
      <c r="N427" s="26">
        <v>0</v>
      </c>
      <c r="O427" s="7" t="s">
        <v>25</v>
      </c>
      <c r="P427" s="27">
        <v>0</v>
      </c>
      <c r="Q427" s="23"/>
      <c r="R427" s="139"/>
      <c r="S427" s="7" t="s">
        <v>145</v>
      </c>
      <c r="T427" s="12" t="s">
        <v>1525</v>
      </c>
      <c r="U427" s="7" t="s">
        <v>49</v>
      </c>
      <c r="V427" s="24" t="e">
        <f t="shared" ca="1" si="14"/>
        <v>#NAME?</v>
      </c>
      <c r="W427" s="7"/>
      <c r="X427" s="7"/>
      <c r="Y427" s="29" t="s">
        <v>147</v>
      </c>
      <c r="Z427" s="30"/>
      <c r="AA427" s="31">
        <v>45371</v>
      </c>
      <c r="AB427" s="32">
        <v>49075100013829</v>
      </c>
      <c r="AC427" s="30"/>
      <c r="AD427" s="30"/>
      <c r="AE427" s="30"/>
      <c r="AF427" s="30"/>
      <c r="AG427" s="30"/>
      <c r="AH427" s="30"/>
      <c r="AI427" s="30"/>
      <c r="AJ427" s="30"/>
      <c r="AK427" s="30"/>
      <c r="AL427" s="30"/>
      <c r="AM427" s="30"/>
      <c r="AN427" s="30"/>
      <c r="AO427" s="30"/>
      <c r="AP427" s="30"/>
      <c r="AQ427" s="30"/>
      <c r="AR427" s="30"/>
      <c r="AS427" s="30"/>
      <c r="AT427" s="30">
        <v>6155.03</v>
      </c>
      <c r="AU427" s="30">
        <v>9246.64</v>
      </c>
      <c r="AV427" s="30">
        <v>2407.6999999999998</v>
      </c>
      <c r="AW427" s="30">
        <v>3039.78</v>
      </c>
      <c r="AX427" s="30">
        <v>0</v>
      </c>
      <c r="AY427" s="30">
        <v>0</v>
      </c>
      <c r="AZ427" s="30">
        <v>0</v>
      </c>
      <c r="BA427" s="30" t="e">
        <f t="array" aca="1" ref="BA427" ca="1">_xludf.XLOOKUP(C427,'PL TOTAL D0'!A:A,'PL TOTAL D0'!C:C,"")</f>
        <v>#NAME?</v>
      </c>
    </row>
    <row r="428" spans="1:53" ht="15.75" customHeight="1">
      <c r="A428" s="23" t="s">
        <v>29</v>
      </c>
      <c r="B428" s="37" t="s">
        <v>1526</v>
      </c>
      <c r="C428" s="4" t="s">
        <v>1527</v>
      </c>
      <c r="D428" s="7" t="s">
        <v>19</v>
      </c>
      <c r="E428" s="7" t="s">
        <v>49</v>
      </c>
      <c r="F428" s="7" t="s">
        <v>50</v>
      </c>
      <c r="G428" s="7" t="e">
        <f t="shared" ca="1" si="13"/>
        <v>#NAME?</v>
      </c>
      <c r="H428" s="24" t="s">
        <v>152</v>
      </c>
      <c r="I428" s="24" t="s">
        <v>25</v>
      </c>
      <c r="J428" s="7" t="str">
        <f t="shared" si="20"/>
        <v>Não</v>
      </c>
      <c r="K428" s="25">
        <v>44917</v>
      </c>
      <c r="L428" s="7"/>
      <c r="M428" s="7" t="s">
        <v>42</v>
      </c>
      <c r="N428" s="26">
        <v>1.2E-2</v>
      </c>
      <c r="O428" s="7" t="s">
        <v>25</v>
      </c>
      <c r="P428" s="27">
        <v>0</v>
      </c>
      <c r="Q428" s="45"/>
      <c r="R428" s="28" t="s">
        <v>1528</v>
      </c>
      <c r="S428" s="7" t="s">
        <v>145</v>
      </c>
      <c r="T428" s="7" t="s">
        <v>1529</v>
      </c>
      <c r="U428" s="7" t="s">
        <v>49</v>
      </c>
      <c r="V428" s="24" t="e">
        <f t="shared" ca="1" si="14"/>
        <v>#NAME?</v>
      </c>
      <c r="W428" s="7"/>
      <c r="X428" s="7"/>
      <c r="Y428" s="29" t="s">
        <v>253</v>
      </c>
      <c r="Z428" s="30"/>
      <c r="AA428" s="31">
        <v>44917</v>
      </c>
      <c r="AB428" s="32">
        <v>49075100005966</v>
      </c>
      <c r="AC428" s="30"/>
      <c r="AD428" s="30"/>
      <c r="AE428" s="30">
        <v>100282.58</v>
      </c>
      <c r="AF428" s="30">
        <v>101372.7</v>
      </c>
      <c r="AG428" s="30">
        <v>102150.96</v>
      </c>
      <c r="AH428" s="30">
        <v>103256.95</v>
      </c>
      <c r="AI428" s="30">
        <v>104029.31</v>
      </c>
      <c r="AJ428" s="30">
        <v>105096.22</v>
      </c>
      <c r="AK428" s="30">
        <v>64890.58</v>
      </c>
      <c r="AL428" s="30">
        <v>65383.65</v>
      </c>
      <c r="AM428" s="30">
        <v>65991.55</v>
      </c>
      <c r="AN428" s="30">
        <v>66496.23</v>
      </c>
      <c r="AO428" s="30">
        <v>67044.490000000005</v>
      </c>
      <c r="AP428" s="30">
        <v>77457.41</v>
      </c>
      <c r="AQ428" s="30">
        <v>77641.710000000006</v>
      </c>
      <c r="AR428" s="30">
        <v>78321.16</v>
      </c>
      <c r="AS428" s="30">
        <v>78926.080000000002</v>
      </c>
      <c r="AT428" s="30">
        <v>79591.77</v>
      </c>
      <c r="AU428" s="30">
        <v>80133.649999999994</v>
      </c>
      <c r="AV428" s="30">
        <v>80716.02</v>
      </c>
      <c r="AW428" s="30">
        <v>141198.29999999999</v>
      </c>
      <c r="AX428" s="30">
        <v>142386.6</v>
      </c>
      <c r="AY428" s="30">
        <v>173759.48</v>
      </c>
      <c r="AZ428" s="30">
        <v>174999.31</v>
      </c>
      <c r="BA428" s="30" t="e">
        <f t="array" aca="1" ref="BA428" ca="1">_xludf.XLOOKUP(C428,'PL TOTAL D0'!A:A,'PL TOTAL D0'!C:C,"")</f>
        <v>#NAME?</v>
      </c>
    </row>
    <row r="429" spans="1:53" ht="15.75" customHeight="1">
      <c r="A429" s="23" t="s">
        <v>29</v>
      </c>
      <c r="B429" s="37" t="s">
        <v>1530</v>
      </c>
      <c r="C429" s="4" t="s">
        <v>1531</v>
      </c>
      <c r="D429" s="7" t="s">
        <v>19</v>
      </c>
      <c r="E429" s="7" t="s">
        <v>34</v>
      </c>
      <c r="F429" s="7" t="s">
        <v>35</v>
      </c>
      <c r="G429" s="7" t="e">
        <f t="shared" ca="1" si="13"/>
        <v>#NAME?</v>
      </c>
      <c r="H429" s="24" t="s">
        <v>161</v>
      </c>
      <c r="I429" s="24" t="s">
        <v>211</v>
      </c>
      <c r="J429" s="7" t="str">
        <f t="shared" si="20"/>
        <v>Não</v>
      </c>
      <c r="K429" s="25">
        <v>45027</v>
      </c>
      <c r="L429" s="7"/>
      <c r="M429" s="7" t="s">
        <v>87</v>
      </c>
      <c r="N429" s="26">
        <v>2.5000000000000001E-2</v>
      </c>
      <c r="O429" s="7" t="s">
        <v>183</v>
      </c>
      <c r="P429" s="27">
        <v>0.2</v>
      </c>
      <c r="Q429" s="28"/>
      <c r="R429" s="28"/>
      <c r="S429" s="7" t="s">
        <v>145</v>
      </c>
      <c r="T429" s="7" t="s">
        <v>1532</v>
      </c>
      <c r="U429" s="7" t="s">
        <v>39</v>
      </c>
      <c r="V429" s="24" t="e">
        <f t="shared" ca="1" si="14"/>
        <v>#NAME?</v>
      </c>
      <c r="W429" s="7"/>
      <c r="X429" s="7"/>
      <c r="Y429" s="29" t="s">
        <v>147</v>
      </c>
      <c r="Z429" s="30"/>
      <c r="AA429" s="31">
        <v>45027</v>
      </c>
      <c r="AB429" s="32">
        <v>49075100012555</v>
      </c>
      <c r="AC429" s="30"/>
      <c r="AD429" s="30"/>
      <c r="AE429" s="30"/>
      <c r="AF429" s="30"/>
      <c r="AG429" s="30"/>
      <c r="AH429" s="30">
        <v>1783320.01</v>
      </c>
      <c r="AI429" s="30">
        <v>1765182.14</v>
      </c>
      <c r="AJ429" s="30">
        <v>1534943.49</v>
      </c>
      <c r="AK429" s="30">
        <v>1453747.79</v>
      </c>
      <c r="AL429" s="30">
        <v>2025074.38</v>
      </c>
      <c r="AM429" s="30">
        <v>1770431.54</v>
      </c>
      <c r="AN429" s="30">
        <v>1560491.37</v>
      </c>
      <c r="AO429" s="30">
        <v>1240433.53</v>
      </c>
      <c r="AP429" s="30">
        <v>917600.49</v>
      </c>
      <c r="AQ429" s="30">
        <v>546664.05000000005</v>
      </c>
      <c r="AR429" s="30">
        <v>166370.9</v>
      </c>
      <c r="AS429" s="30">
        <v>5879.33</v>
      </c>
      <c r="AT429" s="30">
        <v>5744.77</v>
      </c>
      <c r="AU429" s="30">
        <v>5742.3</v>
      </c>
      <c r="AV429" s="30">
        <v>5738.9</v>
      </c>
      <c r="AW429" s="30">
        <v>5739.59</v>
      </c>
      <c r="AX429" s="30">
        <v>5744.33</v>
      </c>
      <c r="AY429" s="30">
        <v>0</v>
      </c>
      <c r="AZ429" s="30">
        <v>0</v>
      </c>
      <c r="BA429" s="30" t="e">
        <f t="array" aca="1" ref="BA429" ca="1">_xludf.XLOOKUP(C429,'PL TOTAL D0'!A:A,'PL TOTAL D0'!C:C,"")</f>
        <v>#NAME?</v>
      </c>
    </row>
    <row r="430" spans="1:53" ht="15.75" customHeight="1">
      <c r="A430" s="23" t="s">
        <v>29</v>
      </c>
      <c r="B430" s="3" t="s">
        <v>1533</v>
      </c>
      <c r="C430" s="4" t="s">
        <v>1534</v>
      </c>
      <c r="D430" s="7" t="s">
        <v>64</v>
      </c>
      <c r="E430" s="7" t="s">
        <v>20</v>
      </c>
      <c r="F430" s="7" t="s">
        <v>1535</v>
      </c>
      <c r="G430" s="7" t="e">
        <f t="shared" ca="1" si="13"/>
        <v>#NAME?</v>
      </c>
      <c r="H430" s="24" t="s">
        <v>152</v>
      </c>
      <c r="I430" s="24" t="s">
        <v>25</v>
      </c>
      <c r="J430" s="7" t="str">
        <f t="shared" si="20"/>
        <v>Não</v>
      </c>
      <c r="K430" s="25">
        <v>45121</v>
      </c>
      <c r="L430" s="7"/>
      <c r="M430" s="7" t="s">
        <v>1536</v>
      </c>
      <c r="N430" s="26">
        <v>0.01</v>
      </c>
      <c r="O430" s="7" t="s">
        <v>37</v>
      </c>
      <c r="P430" s="27">
        <v>0.1</v>
      </c>
      <c r="Q430" s="28"/>
      <c r="R430" s="28"/>
      <c r="S430" s="7" t="s">
        <v>145</v>
      </c>
      <c r="T430" s="7" t="s">
        <v>1537</v>
      </c>
      <c r="U430" s="7" t="s">
        <v>20</v>
      </c>
      <c r="V430" s="24" t="e">
        <f t="shared" ca="1" si="14"/>
        <v>#NAME?</v>
      </c>
      <c r="W430" s="7"/>
      <c r="X430" s="7"/>
      <c r="Y430" s="29" t="s">
        <v>147</v>
      </c>
      <c r="Z430" s="30"/>
      <c r="AA430" s="31">
        <v>45121</v>
      </c>
      <c r="AB430" s="32">
        <v>49075100006865</v>
      </c>
      <c r="AC430" s="30"/>
      <c r="AD430" s="30"/>
      <c r="AE430" s="30"/>
      <c r="AF430" s="30"/>
      <c r="AG430" s="30"/>
      <c r="AH430" s="30"/>
      <c r="AI430" s="30"/>
      <c r="AJ430" s="30"/>
      <c r="AK430" s="30"/>
      <c r="AL430" s="30">
        <v>936984.48</v>
      </c>
      <c r="AM430" s="30">
        <v>1639182.88</v>
      </c>
      <c r="AN430" s="30">
        <v>1651362.48</v>
      </c>
      <c r="AO430" s="30">
        <v>1659459.85</v>
      </c>
      <c r="AP430" s="30">
        <v>1918493.21</v>
      </c>
      <c r="AQ430" s="30">
        <v>1944601.82</v>
      </c>
      <c r="AR430" s="30">
        <v>1954335.64</v>
      </c>
      <c r="AS430" s="30">
        <v>1992127.38</v>
      </c>
      <c r="AT430" s="30">
        <v>2007276.64</v>
      </c>
      <c r="AU430" s="30">
        <v>2016913.58</v>
      </c>
      <c r="AV430" s="30">
        <v>2019914</v>
      </c>
      <c r="AW430" s="30">
        <v>2034480</v>
      </c>
      <c r="AX430" s="30">
        <v>2053456</v>
      </c>
      <c r="AY430" s="30">
        <v>2076246.44</v>
      </c>
      <c r="AZ430" s="30">
        <v>2085093.55</v>
      </c>
      <c r="BA430" s="30" t="e">
        <f t="array" aca="1" ref="BA430" ca="1">_xludf.XLOOKUP(C430,'PL TOTAL D0'!A:A,'PL TOTAL D0'!C:C,"")</f>
        <v>#NAME?</v>
      </c>
    </row>
    <row r="431" spans="1:53" ht="15.75" customHeight="1">
      <c r="A431" s="23" t="s">
        <v>29</v>
      </c>
      <c r="B431" s="3" t="s">
        <v>1538</v>
      </c>
      <c r="C431" s="4" t="s">
        <v>1539</v>
      </c>
      <c r="D431" s="7" t="s">
        <v>64</v>
      </c>
      <c r="E431" s="7" t="s">
        <v>20</v>
      </c>
      <c r="F431" s="7" t="s">
        <v>142</v>
      </c>
      <c r="G431" s="7" t="e">
        <f t="shared" ca="1" si="13"/>
        <v>#NAME?</v>
      </c>
      <c r="H431" s="24" t="s">
        <v>143</v>
      </c>
      <c r="I431" s="24" t="s">
        <v>25</v>
      </c>
      <c r="J431" s="7" t="str">
        <f t="shared" si="20"/>
        <v>Não</v>
      </c>
      <c r="K431" s="25">
        <v>45168</v>
      </c>
      <c r="L431" s="25">
        <v>45525</v>
      </c>
      <c r="M431" s="7" t="s">
        <v>58</v>
      </c>
      <c r="N431" s="26">
        <v>0.01</v>
      </c>
      <c r="O431" s="7" t="s">
        <v>25</v>
      </c>
      <c r="P431" s="27">
        <v>0</v>
      </c>
      <c r="Q431" s="28"/>
      <c r="R431" s="28"/>
      <c r="S431" s="7" t="s">
        <v>145</v>
      </c>
      <c r="T431" s="7" t="s">
        <v>1540</v>
      </c>
      <c r="U431" s="7" t="s">
        <v>20</v>
      </c>
      <c r="V431" s="24" t="e">
        <f t="shared" ca="1" si="14"/>
        <v>#NAME?</v>
      </c>
      <c r="W431" s="7"/>
      <c r="X431" s="7"/>
      <c r="Y431" s="29" t="s">
        <v>147</v>
      </c>
      <c r="Z431" s="30"/>
      <c r="AA431" s="31">
        <v>45168</v>
      </c>
      <c r="AB431" s="32">
        <v>49075100011540</v>
      </c>
      <c r="AC431" s="30"/>
      <c r="AD431" s="30"/>
      <c r="AE431" s="30"/>
      <c r="AF431" s="30"/>
      <c r="AG431" s="30"/>
      <c r="AH431" s="30"/>
      <c r="AI431" s="30"/>
      <c r="AJ431" s="30"/>
      <c r="AK431" s="30"/>
      <c r="AL431" s="30"/>
      <c r="AM431" s="30">
        <v>0</v>
      </c>
      <c r="AN431" s="30">
        <v>0.04</v>
      </c>
      <c r="AO431" s="30">
        <v>0.04</v>
      </c>
      <c r="AP431" s="30">
        <v>278931.46000000002</v>
      </c>
      <c r="AQ431" s="30">
        <v>300464.53999999998</v>
      </c>
      <c r="AR431" s="30">
        <v>297710.46000000002</v>
      </c>
      <c r="AS431" s="30">
        <v>293881.77</v>
      </c>
      <c r="AT431" s="30">
        <v>265516.79999999999</v>
      </c>
      <c r="AU431" s="30">
        <v>276597.73</v>
      </c>
      <c r="AV431" s="30">
        <v>276925.59999999998</v>
      </c>
      <c r="AW431" s="30">
        <v>273326.2</v>
      </c>
      <c r="AX431" s="30">
        <v>276624.2</v>
      </c>
      <c r="AY431" s="30">
        <v>0</v>
      </c>
      <c r="AZ431" s="30">
        <v>0</v>
      </c>
      <c r="BA431" s="30" t="e">
        <f t="array" aca="1" ref="BA431" ca="1">_xludf.XLOOKUP(C431,'PL TOTAL D0'!A:A,'PL TOTAL D0'!C:C,"")</f>
        <v>#NAME?</v>
      </c>
    </row>
    <row r="432" spans="1:53" ht="15.75" customHeight="1">
      <c r="A432" s="23" t="s">
        <v>29</v>
      </c>
      <c r="B432" s="3" t="s">
        <v>1541</v>
      </c>
      <c r="C432" s="4" t="s">
        <v>1542</v>
      </c>
      <c r="D432" s="7" t="s">
        <v>19</v>
      </c>
      <c r="E432" s="7" t="s">
        <v>34</v>
      </c>
      <c r="F432" s="7" t="s">
        <v>35</v>
      </c>
      <c r="G432" s="7" t="e">
        <f t="shared" ca="1" si="13"/>
        <v>#NAME?</v>
      </c>
      <c r="H432" s="24" t="s">
        <v>161</v>
      </c>
      <c r="I432" s="24" t="s">
        <v>211</v>
      </c>
      <c r="J432" s="7" t="str">
        <f t="shared" si="20"/>
        <v>Não</v>
      </c>
      <c r="K432" s="25">
        <v>44986</v>
      </c>
      <c r="L432" s="7"/>
      <c r="M432" s="7" t="s">
        <v>42</v>
      </c>
      <c r="N432" s="26">
        <v>1.2E-2</v>
      </c>
      <c r="O432" s="7" t="s">
        <v>25</v>
      </c>
      <c r="P432" s="27">
        <v>0</v>
      </c>
      <c r="Q432" s="28"/>
      <c r="R432" s="28"/>
      <c r="S432" s="7" t="s">
        <v>145</v>
      </c>
      <c r="T432" s="7" t="s">
        <v>1543</v>
      </c>
      <c r="U432" s="7" t="s">
        <v>39</v>
      </c>
      <c r="V432" s="24" t="e">
        <f t="shared" ca="1" si="14"/>
        <v>#NAME?</v>
      </c>
      <c r="W432" s="7"/>
      <c r="X432" s="7"/>
      <c r="Y432" s="29" t="s">
        <v>147</v>
      </c>
      <c r="Z432" s="30"/>
      <c r="AA432" s="31">
        <v>44986</v>
      </c>
      <c r="AB432" s="32">
        <v>49075100008868</v>
      </c>
      <c r="AC432" s="30"/>
      <c r="AD432" s="30"/>
      <c r="AE432" s="30"/>
      <c r="AF432" s="30"/>
      <c r="AG432" s="30">
        <v>152071.35999999999</v>
      </c>
      <c r="AH432" s="30">
        <v>127283.37</v>
      </c>
      <c r="AI432" s="30">
        <v>128816.6</v>
      </c>
      <c r="AJ432" s="30">
        <v>130817.66</v>
      </c>
      <c r="AK432" s="30">
        <v>136023.07</v>
      </c>
      <c r="AL432" s="30">
        <v>137240.07999999999</v>
      </c>
      <c r="AM432" s="30">
        <v>137914.67000000001</v>
      </c>
      <c r="AN432" s="30">
        <v>138132.74</v>
      </c>
      <c r="AO432" s="30">
        <v>139024.4</v>
      </c>
      <c r="AP432" s="30">
        <v>145608.01999999999</v>
      </c>
      <c r="AQ432" s="30">
        <v>146890.57999999999</v>
      </c>
      <c r="AR432" s="30">
        <v>147481.45000000001</v>
      </c>
      <c r="AS432" s="30">
        <v>148492.73000000001</v>
      </c>
      <c r="AT432" s="30">
        <v>158703.75</v>
      </c>
      <c r="AU432" s="30">
        <v>159134.29999999999</v>
      </c>
      <c r="AV432" s="30">
        <v>169930.7</v>
      </c>
      <c r="AW432" s="30">
        <v>188683.7</v>
      </c>
      <c r="AX432" s="30">
        <v>190204.6</v>
      </c>
      <c r="AY432" s="30">
        <v>191550.93</v>
      </c>
      <c r="AZ432" s="30">
        <v>192637.6</v>
      </c>
      <c r="BA432" s="30" t="e">
        <f t="array" aca="1" ref="BA432" ca="1">_xludf.XLOOKUP(C432,'PL TOTAL D0'!A:A,'PL TOTAL D0'!C:C,"")</f>
        <v>#NAME?</v>
      </c>
    </row>
    <row r="433" spans="1:53" ht="15.75" customHeight="1">
      <c r="A433" s="23" t="s">
        <v>29</v>
      </c>
      <c r="B433" s="3" t="s">
        <v>1544</v>
      </c>
      <c r="C433" s="4" t="s">
        <v>1545</v>
      </c>
      <c r="D433" s="7" t="s">
        <v>19</v>
      </c>
      <c r="E433" s="7" t="s">
        <v>34</v>
      </c>
      <c r="F433" s="7" t="s">
        <v>35</v>
      </c>
      <c r="G433" s="7" t="e">
        <f t="shared" ca="1" si="13"/>
        <v>#NAME?</v>
      </c>
      <c r="H433" s="24" t="s">
        <v>161</v>
      </c>
      <c r="I433" s="24" t="s">
        <v>211</v>
      </c>
      <c r="J433" s="7" t="str">
        <f t="shared" si="20"/>
        <v>Não</v>
      </c>
      <c r="K433" s="25">
        <v>45000</v>
      </c>
      <c r="L433" s="7"/>
      <c r="M433" s="7" t="s">
        <v>87</v>
      </c>
      <c r="N433" s="26">
        <v>2.5000000000000001E-2</v>
      </c>
      <c r="O433" s="7" t="s">
        <v>183</v>
      </c>
      <c r="P433" s="27">
        <v>0.2</v>
      </c>
      <c r="Q433" s="28"/>
      <c r="R433" s="28"/>
      <c r="S433" s="7" t="s">
        <v>145</v>
      </c>
      <c r="T433" s="7" t="s">
        <v>1543</v>
      </c>
      <c r="U433" s="7" t="s">
        <v>39</v>
      </c>
      <c r="V433" s="24" t="e">
        <f t="shared" ca="1" si="14"/>
        <v>#NAME?</v>
      </c>
      <c r="W433" s="7"/>
      <c r="X433" s="7"/>
      <c r="Y433" s="29" t="s">
        <v>147</v>
      </c>
      <c r="Z433" s="30"/>
      <c r="AA433" s="31">
        <v>45000</v>
      </c>
      <c r="AB433" s="32">
        <v>49075100008841</v>
      </c>
      <c r="AC433" s="30"/>
      <c r="AD433" s="30"/>
      <c r="AE433" s="30"/>
      <c r="AF433" s="30"/>
      <c r="AG433" s="30">
        <v>0</v>
      </c>
      <c r="AH433" s="30">
        <v>29418.53</v>
      </c>
      <c r="AI433" s="30">
        <v>34251.919999999998</v>
      </c>
      <c r="AJ433" s="30">
        <v>44968.78</v>
      </c>
      <c r="AK433" s="30">
        <v>78704.460000000006</v>
      </c>
      <c r="AL433" s="30">
        <v>97953.34</v>
      </c>
      <c r="AM433" s="30">
        <v>112828.31</v>
      </c>
      <c r="AN433" s="30">
        <v>117502.45</v>
      </c>
      <c r="AO433" s="30">
        <v>117141.19</v>
      </c>
      <c r="AP433" s="30">
        <v>125890.79</v>
      </c>
      <c r="AQ433" s="30">
        <v>131903.04999999999</v>
      </c>
      <c r="AR433" s="30">
        <v>122782.8</v>
      </c>
      <c r="AS433" s="30">
        <v>124471.72</v>
      </c>
      <c r="AT433" s="30">
        <v>136394.09</v>
      </c>
      <c r="AU433" s="30">
        <v>130721.36</v>
      </c>
      <c r="AV433" s="30">
        <v>126654.39999999999</v>
      </c>
      <c r="AW433" s="30">
        <v>146667.79999999999</v>
      </c>
      <c r="AX433" s="30">
        <v>150160.9</v>
      </c>
      <c r="AY433" s="30">
        <v>152964.06</v>
      </c>
      <c r="AZ433" s="30">
        <v>149863.21</v>
      </c>
      <c r="BA433" s="30" t="e">
        <f t="array" aca="1" ref="BA433" ca="1">_xludf.XLOOKUP(C433,'PL TOTAL D0'!A:A,'PL TOTAL D0'!C:C,"")</f>
        <v>#NAME?</v>
      </c>
    </row>
    <row r="434" spans="1:53" ht="15.75" customHeight="1">
      <c r="A434" s="23" t="s">
        <v>29</v>
      </c>
      <c r="B434" s="3" t="s">
        <v>1546</v>
      </c>
      <c r="C434" s="4" t="s">
        <v>1547</v>
      </c>
      <c r="D434" s="7" t="s">
        <v>19</v>
      </c>
      <c r="E434" s="7" t="s">
        <v>49</v>
      </c>
      <c r="F434" s="7" t="s">
        <v>166</v>
      </c>
      <c r="G434" s="7" t="e">
        <f t="shared" ca="1" si="13"/>
        <v>#NAME?</v>
      </c>
      <c r="H434" s="24" t="s">
        <v>161</v>
      </c>
      <c r="I434" s="24" t="s">
        <v>222</v>
      </c>
      <c r="J434" s="7" t="str">
        <f t="shared" si="20"/>
        <v>Não</v>
      </c>
      <c r="K434" s="25">
        <v>45306</v>
      </c>
      <c r="L434" s="7"/>
      <c r="M434" s="7" t="s">
        <v>42</v>
      </c>
      <c r="N434" s="26">
        <v>1.2E-2</v>
      </c>
      <c r="O434" s="7" t="s">
        <v>25</v>
      </c>
      <c r="P434" s="27">
        <v>0</v>
      </c>
      <c r="Q434" s="104"/>
      <c r="R434" s="28"/>
      <c r="S434" s="7" t="s">
        <v>145</v>
      </c>
      <c r="T434" s="7" t="s">
        <v>1548</v>
      </c>
      <c r="U434" s="7" t="s">
        <v>49</v>
      </c>
      <c r="V434" s="24" t="e">
        <f t="shared" ca="1" si="14"/>
        <v>#NAME?</v>
      </c>
      <c r="W434" s="7"/>
      <c r="X434" s="7"/>
      <c r="Y434" s="29" t="s">
        <v>147</v>
      </c>
      <c r="Z434" s="30"/>
      <c r="AA434" s="31">
        <v>45306</v>
      </c>
      <c r="AB434" s="32">
        <v>49075100013195</v>
      </c>
      <c r="AC434" s="30"/>
      <c r="AD434" s="30"/>
      <c r="AE434" s="30"/>
      <c r="AF434" s="30"/>
      <c r="AG434" s="30"/>
      <c r="AH434" s="30"/>
      <c r="AI434" s="30"/>
      <c r="AJ434" s="30"/>
      <c r="AK434" s="30"/>
      <c r="AL434" s="30"/>
      <c r="AM434" s="30"/>
      <c r="AN434" s="30"/>
      <c r="AO434" s="30"/>
      <c r="AP434" s="30"/>
      <c r="AQ434" s="30"/>
      <c r="AR434" s="30">
        <v>0</v>
      </c>
      <c r="AS434" s="30">
        <v>0</v>
      </c>
      <c r="AT434" s="30">
        <v>0</v>
      </c>
      <c r="AU434" s="30">
        <v>0</v>
      </c>
      <c r="AV434" s="30">
        <v>0</v>
      </c>
      <c r="AW434" s="30">
        <v>0</v>
      </c>
      <c r="AX434" s="30">
        <v>0</v>
      </c>
      <c r="AY434" s="30">
        <v>0</v>
      </c>
      <c r="AZ434" s="30">
        <v>0</v>
      </c>
      <c r="BA434" s="30" t="e">
        <f t="array" aca="1" ref="BA434" ca="1">_xludf.XLOOKUP(C434,'PL TOTAL D0'!A:A,'PL TOTAL D0'!C:C,"")</f>
        <v>#NAME?</v>
      </c>
    </row>
    <row r="435" spans="1:53" ht="15.75" customHeight="1">
      <c r="A435" s="23" t="s">
        <v>29</v>
      </c>
      <c r="B435" s="38" t="s">
        <v>1549</v>
      </c>
      <c r="C435" s="39" t="s">
        <v>1550</v>
      </c>
      <c r="D435" s="7" t="s">
        <v>64</v>
      </c>
      <c r="E435" s="7" t="s">
        <v>20</v>
      </c>
      <c r="F435" s="7" t="s">
        <v>794</v>
      </c>
      <c r="G435" s="7" t="e">
        <f t="shared" ca="1" si="13"/>
        <v>#NAME?</v>
      </c>
      <c r="H435" s="24" t="s">
        <v>152</v>
      </c>
      <c r="I435" s="24" t="s">
        <v>25</v>
      </c>
      <c r="J435" s="7" t="str">
        <f t="shared" si="20"/>
        <v>Sim</v>
      </c>
      <c r="K435" s="25">
        <v>45419</v>
      </c>
      <c r="L435" s="7"/>
      <c r="M435" s="7" t="s">
        <v>58</v>
      </c>
      <c r="N435" s="26">
        <v>1.2E-2</v>
      </c>
      <c r="O435" s="7" t="s">
        <v>37</v>
      </c>
      <c r="P435" s="27">
        <v>0.1</v>
      </c>
      <c r="Q435" s="104" t="s">
        <v>1551</v>
      </c>
      <c r="R435" s="28"/>
      <c r="S435" s="7" t="s">
        <v>145</v>
      </c>
      <c r="T435" s="7" t="s">
        <v>1552</v>
      </c>
      <c r="U435" s="7" t="s">
        <v>20</v>
      </c>
      <c r="V435" s="24" t="e">
        <f t="shared" ca="1" si="14"/>
        <v>#NAME?</v>
      </c>
      <c r="W435" s="7"/>
      <c r="X435" s="7" t="s">
        <v>52</v>
      </c>
      <c r="Y435" s="29" t="s">
        <v>147</v>
      </c>
      <c r="Z435" s="30"/>
      <c r="AA435" s="31">
        <v>45419</v>
      </c>
      <c r="AB435" s="32">
        <v>49075100014582</v>
      </c>
      <c r="AC435" s="30"/>
      <c r="AD435" s="30"/>
      <c r="AE435" s="30"/>
      <c r="AF435" s="30"/>
      <c r="AG435" s="30"/>
      <c r="AH435" s="30"/>
      <c r="AI435" s="30"/>
      <c r="AJ435" s="30"/>
      <c r="AK435" s="30"/>
      <c r="AL435" s="30"/>
      <c r="AM435" s="30"/>
      <c r="AN435" s="30"/>
      <c r="AO435" s="30"/>
      <c r="AP435" s="30"/>
      <c r="AQ435" s="30"/>
      <c r="AR435" s="30"/>
      <c r="AS435" s="30"/>
      <c r="AT435" s="30"/>
      <c r="AU435" s="30"/>
      <c r="AV435" s="30">
        <v>221472.6</v>
      </c>
      <c r="AW435" s="30">
        <v>223404.9</v>
      </c>
      <c r="AX435" s="30">
        <v>225456.9</v>
      </c>
      <c r="AY435" s="30">
        <v>227458.77</v>
      </c>
      <c r="AZ435" s="30">
        <v>228457.21</v>
      </c>
      <c r="BA435" s="30" t="e">
        <f t="array" aca="1" ref="BA435" ca="1">_xludf.XLOOKUP(C435,'PL TOTAL D0'!A:A,'PL TOTAL D0'!C:C,"")</f>
        <v>#NAME?</v>
      </c>
    </row>
    <row r="436" spans="1:53" ht="15.75" customHeight="1">
      <c r="A436" s="23" t="s">
        <v>29</v>
      </c>
      <c r="B436" s="3" t="s">
        <v>1553</v>
      </c>
      <c r="C436" s="4" t="s">
        <v>1554</v>
      </c>
      <c r="D436" s="7" t="s">
        <v>19</v>
      </c>
      <c r="E436" s="7" t="s">
        <v>49</v>
      </c>
      <c r="F436" s="7" t="s">
        <v>50</v>
      </c>
      <c r="G436" s="7" t="e">
        <f t="shared" ca="1" si="13"/>
        <v>#NAME?</v>
      </c>
      <c r="H436" s="24" t="s">
        <v>143</v>
      </c>
      <c r="I436" s="24" t="s">
        <v>25</v>
      </c>
      <c r="J436" s="7" t="str">
        <f t="shared" si="20"/>
        <v>Não</v>
      </c>
      <c r="K436" s="25">
        <v>44913</v>
      </c>
      <c r="L436" s="25">
        <v>45293</v>
      </c>
      <c r="M436" s="7" t="s">
        <v>200</v>
      </c>
      <c r="N436" s="26">
        <v>1.4999999999999999E-2</v>
      </c>
      <c r="O436" s="7" t="s">
        <v>37</v>
      </c>
      <c r="P436" s="27">
        <v>0.1</v>
      </c>
      <c r="Q436" s="28"/>
      <c r="R436" s="28"/>
      <c r="S436" s="7" t="s">
        <v>145</v>
      </c>
      <c r="T436" s="7" t="s">
        <v>1555</v>
      </c>
      <c r="U436" s="7" t="s">
        <v>886</v>
      </c>
      <c r="V436" s="24" t="e">
        <f t="shared" ca="1" si="14"/>
        <v>#NAME?</v>
      </c>
      <c r="W436" s="7"/>
      <c r="X436" s="7"/>
      <c r="Y436" s="29"/>
      <c r="Z436" s="30"/>
      <c r="AA436" s="31">
        <v>44913</v>
      </c>
      <c r="AB436" s="32"/>
      <c r="AC436" s="30"/>
      <c r="AD436" s="30"/>
      <c r="AE436" s="30"/>
      <c r="AF436" s="30">
        <v>322525.90000000002</v>
      </c>
      <c r="AG436" s="30">
        <v>322404.64</v>
      </c>
      <c r="AH436" s="30">
        <v>322729.09000000003</v>
      </c>
      <c r="AI436" s="30">
        <v>323308.40999999997</v>
      </c>
      <c r="AJ436" s="30">
        <v>326697.58</v>
      </c>
      <c r="AK436" s="30">
        <v>328100.56</v>
      </c>
      <c r="AL436" s="30">
        <v>330975.28000000003</v>
      </c>
      <c r="AM436" s="30">
        <v>334242.33</v>
      </c>
      <c r="AN436" s="30">
        <v>336999.22</v>
      </c>
      <c r="AO436" s="30">
        <v>340099.71</v>
      </c>
      <c r="AP436" s="30">
        <v>342703.83</v>
      </c>
      <c r="AQ436" s="30">
        <v>345237.77</v>
      </c>
      <c r="AR436" s="30">
        <v>0</v>
      </c>
      <c r="AS436" s="30">
        <v>0</v>
      </c>
      <c r="AT436" s="30">
        <v>0</v>
      </c>
      <c r="AU436" s="30">
        <v>0</v>
      </c>
      <c r="AV436" s="30">
        <v>0</v>
      </c>
      <c r="AW436" s="30">
        <v>0</v>
      </c>
      <c r="AX436" s="30">
        <v>0</v>
      </c>
      <c r="AY436" s="30">
        <v>0</v>
      </c>
      <c r="AZ436" s="30">
        <v>0</v>
      </c>
      <c r="BA436" s="30" t="e">
        <f t="array" aca="1" ref="BA436" ca="1">_xludf.XLOOKUP(C436,'PL TOTAL D0'!A:A,'PL TOTAL D0'!C:C,"")</f>
        <v>#NAME?</v>
      </c>
    </row>
    <row r="437" spans="1:53" ht="15.75" customHeight="1">
      <c r="A437" s="23" t="s">
        <v>29</v>
      </c>
      <c r="B437" s="3" t="s">
        <v>1556</v>
      </c>
      <c r="C437" s="4" t="s">
        <v>1557</v>
      </c>
      <c r="D437" s="7" t="s">
        <v>55</v>
      </c>
      <c r="E437" s="7" t="s">
        <v>34</v>
      </c>
      <c r="F437" s="7" t="s">
        <v>1558</v>
      </c>
      <c r="G437" s="7" t="e">
        <f t="shared" ca="1" si="13"/>
        <v>#NAME?</v>
      </c>
      <c r="H437" s="24" t="s">
        <v>152</v>
      </c>
      <c r="I437" s="24" t="s">
        <v>25</v>
      </c>
      <c r="J437" s="7" t="str">
        <f t="shared" si="20"/>
        <v>Não</v>
      </c>
      <c r="K437" s="25">
        <v>45568</v>
      </c>
      <c r="L437" s="25"/>
      <c r="M437" s="7" t="s">
        <v>58</v>
      </c>
      <c r="N437" s="26">
        <v>1.2E-2</v>
      </c>
      <c r="O437" s="7" t="s">
        <v>37</v>
      </c>
      <c r="P437" s="27">
        <v>0.1</v>
      </c>
      <c r="Q437" s="28"/>
      <c r="R437" s="28"/>
      <c r="S437" s="7" t="s">
        <v>145</v>
      </c>
      <c r="T437" s="7" t="s">
        <v>1559</v>
      </c>
      <c r="U437" s="7" t="s">
        <v>39</v>
      </c>
      <c r="V437" s="24" t="e">
        <f t="shared" ca="1" si="14"/>
        <v>#NAME?</v>
      </c>
      <c r="W437" s="7"/>
      <c r="X437" s="7" t="s">
        <v>52</v>
      </c>
      <c r="Y437" s="29"/>
      <c r="Z437" s="30"/>
      <c r="AA437" s="30"/>
      <c r="AB437" s="32"/>
      <c r="AC437" s="30"/>
      <c r="AD437" s="30"/>
      <c r="AE437" s="30"/>
      <c r="AF437" s="30"/>
      <c r="AG437" s="30"/>
      <c r="AH437" s="30"/>
      <c r="AI437" s="30"/>
      <c r="AJ437" s="30"/>
      <c r="AK437" s="30"/>
      <c r="AL437" s="30"/>
      <c r="AM437" s="30"/>
      <c r="AN437" s="30"/>
      <c r="AO437" s="30"/>
      <c r="AP437" s="30"/>
      <c r="AQ437" s="30"/>
      <c r="AR437" s="30"/>
      <c r="AS437" s="30"/>
      <c r="AT437" s="30"/>
      <c r="AU437" s="30"/>
      <c r="AV437" s="30"/>
      <c r="AW437" s="30"/>
      <c r="AX437" s="30"/>
      <c r="AY437" s="30"/>
      <c r="AZ437" s="30"/>
      <c r="BA437" s="30" t="e">
        <f t="array" aca="1" ref="BA437" ca="1">_xludf.XLOOKUP(C437,'PL TOTAL D0'!A:A,'PL TOTAL D0'!C:C,"")</f>
        <v>#NAME?</v>
      </c>
    </row>
    <row r="438" spans="1:53" ht="15.75" customHeight="1">
      <c r="A438" s="23" t="s">
        <v>29</v>
      </c>
      <c r="B438" s="37" t="s">
        <v>1560</v>
      </c>
      <c r="C438" s="4" t="s">
        <v>1561</v>
      </c>
      <c r="D438" s="7" t="s">
        <v>64</v>
      </c>
      <c r="E438" s="7" t="s">
        <v>20</v>
      </c>
      <c r="F438" s="7" t="s">
        <v>1562</v>
      </c>
      <c r="G438" s="7" t="e">
        <f t="shared" ca="1" si="13"/>
        <v>#NAME?</v>
      </c>
      <c r="H438" s="24" t="s">
        <v>152</v>
      </c>
      <c r="I438" s="24" t="s">
        <v>25</v>
      </c>
      <c r="J438" s="7" t="str">
        <f t="shared" si="20"/>
        <v>Não</v>
      </c>
      <c r="K438" s="25">
        <v>45009</v>
      </c>
      <c r="L438" s="7"/>
      <c r="M438" s="7" t="s">
        <v>200</v>
      </c>
      <c r="N438" s="26">
        <v>1.4999999999999999E-2</v>
      </c>
      <c r="O438" s="7" t="s">
        <v>37</v>
      </c>
      <c r="P438" s="27">
        <v>0.1</v>
      </c>
      <c r="Q438" s="28"/>
      <c r="R438" s="28"/>
      <c r="S438" s="7" t="s">
        <v>145</v>
      </c>
      <c r="T438" s="7" t="s">
        <v>1563</v>
      </c>
      <c r="U438" s="7" t="s">
        <v>20</v>
      </c>
      <c r="V438" s="24" t="e">
        <f t="shared" ca="1" si="14"/>
        <v>#NAME?</v>
      </c>
      <c r="W438" s="7"/>
      <c r="X438" s="7"/>
      <c r="Y438" s="29" t="s">
        <v>147</v>
      </c>
      <c r="Z438" s="30"/>
      <c r="AA438" s="31">
        <v>45009</v>
      </c>
      <c r="AB438" s="32">
        <v>49075100010269</v>
      </c>
      <c r="AC438" s="30"/>
      <c r="AD438" s="30"/>
      <c r="AE438" s="30"/>
      <c r="AF438" s="30"/>
      <c r="AG438" s="30"/>
      <c r="AH438" s="30">
        <v>246513.1</v>
      </c>
      <c r="AI438" s="30">
        <v>247654.61</v>
      </c>
      <c r="AJ438" s="30">
        <v>302958.03000000003</v>
      </c>
      <c r="AK438" s="30">
        <v>308792.89</v>
      </c>
      <c r="AL438" s="30">
        <v>312544</v>
      </c>
      <c r="AM438" s="30">
        <v>312075.07</v>
      </c>
      <c r="AN438" s="30">
        <v>313703.34999999998</v>
      </c>
      <c r="AO438" s="30">
        <v>313206.46999999997</v>
      </c>
      <c r="AP438" s="30">
        <v>319545.01</v>
      </c>
      <c r="AQ438" s="30">
        <v>325700.31</v>
      </c>
      <c r="AR438" s="30">
        <v>320472.12</v>
      </c>
      <c r="AS438" s="30">
        <v>323390.18</v>
      </c>
      <c r="AT438" s="30">
        <v>325439.28999999998</v>
      </c>
      <c r="AU438" s="30">
        <v>322592.07</v>
      </c>
      <c r="AV438" s="30">
        <v>321154.8</v>
      </c>
      <c r="AW438" s="30">
        <v>323057.2</v>
      </c>
      <c r="AX438" s="30">
        <v>327524.3</v>
      </c>
      <c r="AY438" s="30">
        <v>330522.12</v>
      </c>
      <c r="AZ438" s="30">
        <v>330439.49</v>
      </c>
      <c r="BA438" s="30" t="e">
        <f t="array" aca="1" ref="BA438" ca="1">_xludf.XLOOKUP(C438,'PL TOTAL D0'!A:A,'PL TOTAL D0'!C:C,"")</f>
        <v>#NAME?</v>
      </c>
    </row>
    <row r="439" spans="1:53" ht="15.75" customHeight="1">
      <c r="A439" s="23" t="s">
        <v>29</v>
      </c>
      <c r="B439" s="36" t="s">
        <v>1564</v>
      </c>
      <c r="C439" s="4" t="s">
        <v>1565</v>
      </c>
      <c r="D439" s="7" t="s">
        <v>19</v>
      </c>
      <c r="E439" s="7" t="s">
        <v>49</v>
      </c>
      <c r="F439" s="7" t="s">
        <v>50</v>
      </c>
      <c r="G439" s="7" t="e">
        <f t="shared" ca="1" si="13"/>
        <v>#NAME?</v>
      </c>
      <c r="H439" s="24" t="s">
        <v>152</v>
      </c>
      <c r="I439" s="24" t="s">
        <v>25</v>
      </c>
      <c r="J439" s="7" t="str">
        <f t="shared" si="20"/>
        <v>Não</v>
      </c>
      <c r="K439" s="25">
        <v>45225</v>
      </c>
      <c r="L439" s="7"/>
      <c r="M439" s="7" t="s">
        <v>42</v>
      </c>
      <c r="N439" s="26">
        <v>1.2E-2</v>
      </c>
      <c r="O439" s="7" t="s">
        <v>25</v>
      </c>
      <c r="P439" s="27">
        <v>0</v>
      </c>
      <c r="Q439" s="36"/>
      <c r="R439" s="28"/>
      <c r="S439" s="7" t="s">
        <v>145</v>
      </c>
      <c r="T439" s="7" t="s">
        <v>1566</v>
      </c>
      <c r="U439" s="7" t="s">
        <v>49</v>
      </c>
      <c r="V439" s="24" t="e">
        <f t="shared" ca="1" si="14"/>
        <v>#NAME?</v>
      </c>
      <c r="W439" s="7"/>
      <c r="X439" s="7"/>
      <c r="Y439" s="29" t="s">
        <v>147</v>
      </c>
      <c r="Z439" s="30"/>
      <c r="AA439" s="31">
        <v>45225</v>
      </c>
      <c r="AB439" s="32">
        <v>49075100012563</v>
      </c>
      <c r="AC439" s="30"/>
      <c r="AD439" s="30"/>
      <c r="AE439" s="30"/>
      <c r="AF439" s="30"/>
      <c r="AG439" s="30"/>
      <c r="AH439" s="30"/>
      <c r="AI439" s="30"/>
      <c r="AJ439" s="30"/>
      <c r="AK439" s="30"/>
      <c r="AL439" s="30"/>
      <c r="AM439" s="30"/>
      <c r="AN439" s="30"/>
      <c r="AO439" s="30">
        <v>0</v>
      </c>
      <c r="AP439" s="30">
        <v>0</v>
      </c>
      <c r="AQ439" s="30">
        <v>0</v>
      </c>
      <c r="AR439" s="30">
        <v>5000</v>
      </c>
      <c r="AS439" s="30">
        <v>21451.35</v>
      </c>
      <c r="AT439" s="30">
        <v>26596.87</v>
      </c>
      <c r="AU439" s="30">
        <v>111879.65</v>
      </c>
      <c r="AV439" s="30">
        <v>117903.9</v>
      </c>
      <c r="AW439" s="30">
        <v>143373.79999999999</v>
      </c>
      <c r="AX439" s="30">
        <v>149718.6</v>
      </c>
      <c r="AY439" s="30">
        <v>156069.9</v>
      </c>
      <c r="AZ439" s="30">
        <v>162274.26</v>
      </c>
      <c r="BA439" s="30" t="e">
        <f t="array" aca="1" ref="BA439" ca="1">_xludf.XLOOKUP(C439,'PL TOTAL D0'!A:A,'PL TOTAL D0'!C:C,"")</f>
        <v>#NAME?</v>
      </c>
    </row>
    <row r="440" spans="1:53" ht="15.75" customHeight="1">
      <c r="A440" s="23" t="s">
        <v>29</v>
      </c>
      <c r="B440" s="3" t="s">
        <v>1567</v>
      </c>
      <c r="C440" s="4" t="s">
        <v>1568</v>
      </c>
      <c r="D440" s="7" t="s">
        <v>19</v>
      </c>
      <c r="E440" s="7" t="s">
        <v>49</v>
      </c>
      <c r="F440" s="7" t="s">
        <v>328</v>
      </c>
      <c r="G440" s="7" t="e">
        <f t="shared" ca="1" si="13"/>
        <v>#NAME?</v>
      </c>
      <c r="H440" s="24" t="s">
        <v>152</v>
      </c>
      <c r="I440" s="24" t="s">
        <v>25</v>
      </c>
      <c r="J440" s="7" t="str">
        <f t="shared" si="20"/>
        <v>Não</v>
      </c>
      <c r="K440" s="25">
        <v>45265</v>
      </c>
      <c r="L440" s="7"/>
      <c r="M440" s="7" t="s">
        <v>42</v>
      </c>
      <c r="N440" s="26">
        <v>1.2E-2</v>
      </c>
      <c r="O440" s="7" t="s">
        <v>25</v>
      </c>
      <c r="P440" s="27">
        <v>0</v>
      </c>
      <c r="Q440" s="36"/>
      <c r="R440" s="28"/>
      <c r="S440" s="7" t="s">
        <v>145</v>
      </c>
      <c r="T440" s="7" t="s">
        <v>1569</v>
      </c>
      <c r="U440" s="7" t="s">
        <v>49</v>
      </c>
      <c r="V440" s="24" t="e">
        <f t="shared" ca="1" si="14"/>
        <v>#NAME?</v>
      </c>
      <c r="W440" s="7"/>
      <c r="X440" s="7"/>
      <c r="Y440" s="29" t="s">
        <v>147</v>
      </c>
      <c r="Z440" s="30"/>
      <c r="AA440" s="31">
        <v>45265</v>
      </c>
      <c r="AB440" s="32">
        <v>49075100013004</v>
      </c>
      <c r="AC440" s="30"/>
      <c r="AD440" s="30"/>
      <c r="AE440" s="30"/>
      <c r="AF440" s="30"/>
      <c r="AG440" s="30"/>
      <c r="AH440" s="30"/>
      <c r="AI440" s="30"/>
      <c r="AJ440" s="30"/>
      <c r="AK440" s="30"/>
      <c r="AL440" s="30"/>
      <c r="AM440" s="30"/>
      <c r="AN440" s="30"/>
      <c r="AO440" s="30"/>
      <c r="AP440" s="30">
        <v>0</v>
      </c>
      <c r="AQ440" s="30">
        <v>233048.01</v>
      </c>
      <c r="AR440" s="30">
        <v>226519.07</v>
      </c>
      <c r="AS440" s="30">
        <v>214037.77</v>
      </c>
      <c r="AT440" s="30">
        <v>154923.63</v>
      </c>
      <c r="AU440" s="30">
        <v>135420.97</v>
      </c>
      <c r="AV440" s="30">
        <v>105657.9</v>
      </c>
      <c r="AW440" s="30">
        <v>86126.8</v>
      </c>
      <c r="AX440" s="30">
        <v>79809.929999999993</v>
      </c>
      <c r="AY440" s="30">
        <v>46433.89</v>
      </c>
      <c r="AZ440" s="30">
        <v>36733.93</v>
      </c>
      <c r="BA440" s="30" t="e">
        <f t="array" aca="1" ref="BA440" ca="1">_xludf.XLOOKUP(C440,'PL TOTAL D0'!A:A,'PL TOTAL D0'!C:C,"")</f>
        <v>#NAME?</v>
      </c>
    </row>
    <row r="441" spans="1:53" ht="15.75" customHeight="1">
      <c r="A441" s="23" t="s">
        <v>29</v>
      </c>
      <c r="B441" s="3" t="s">
        <v>1570</v>
      </c>
      <c r="C441" s="4" t="s">
        <v>1571</v>
      </c>
      <c r="D441" s="7" t="s">
        <v>64</v>
      </c>
      <c r="E441" s="7" t="s">
        <v>20</v>
      </c>
      <c r="F441" s="7" t="s">
        <v>921</v>
      </c>
      <c r="G441" s="7" t="e">
        <f t="shared" ca="1" si="13"/>
        <v>#NAME?</v>
      </c>
      <c r="H441" s="24" t="s">
        <v>143</v>
      </c>
      <c r="I441" s="24" t="s">
        <v>25</v>
      </c>
      <c r="J441" s="7" t="str">
        <f t="shared" si="20"/>
        <v>Não</v>
      </c>
      <c r="K441" s="25">
        <v>45098</v>
      </c>
      <c r="L441" s="25">
        <v>45449</v>
      </c>
      <c r="M441" s="7" t="s">
        <v>31</v>
      </c>
      <c r="N441" s="26">
        <v>2E-3</v>
      </c>
      <c r="O441" s="7" t="s">
        <v>183</v>
      </c>
      <c r="P441" s="27">
        <v>0.2</v>
      </c>
      <c r="Q441" s="28"/>
      <c r="R441" s="28" t="s">
        <v>309</v>
      </c>
      <c r="S441" s="7" t="s">
        <v>145</v>
      </c>
      <c r="T441" s="7" t="s">
        <v>1572</v>
      </c>
      <c r="U441" s="7" t="s">
        <v>20</v>
      </c>
      <c r="V441" s="24" t="e">
        <f t="shared" ca="1" si="14"/>
        <v>#NAME?</v>
      </c>
      <c r="W441" s="7"/>
      <c r="X441" s="7"/>
      <c r="Y441" s="29" t="s">
        <v>433</v>
      </c>
      <c r="Z441" s="30"/>
      <c r="AA441" s="31">
        <v>45098</v>
      </c>
      <c r="AB441" s="32">
        <v>49075100011559</v>
      </c>
      <c r="AC441" s="30"/>
      <c r="AD441" s="30"/>
      <c r="AE441" s="30"/>
      <c r="AF441" s="30"/>
      <c r="AG441" s="30"/>
      <c r="AH441" s="30"/>
      <c r="AI441" s="30">
        <v>0</v>
      </c>
      <c r="AJ441" s="30">
        <v>0</v>
      </c>
      <c r="AK441" s="30">
        <v>5730277.8899999997</v>
      </c>
      <c r="AL441" s="30">
        <v>9062219.0399999991</v>
      </c>
      <c r="AM441" s="30">
        <v>9332207.6500000004</v>
      </c>
      <c r="AN441" s="30">
        <v>0</v>
      </c>
      <c r="AO441" s="30">
        <v>0</v>
      </c>
      <c r="AP441" s="30">
        <v>0</v>
      </c>
      <c r="AQ441" s="30">
        <v>0</v>
      </c>
      <c r="AR441" s="30">
        <v>0</v>
      </c>
      <c r="AS441" s="30">
        <v>0</v>
      </c>
      <c r="AT441" s="30">
        <v>0</v>
      </c>
      <c r="AU441" s="30">
        <v>0</v>
      </c>
      <c r="AV441" s="30">
        <v>0</v>
      </c>
      <c r="AW441" s="30">
        <v>0</v>
      </c>
      <c r="AX441" s="30">
        <v>0</v>
      </c>
      <c r="AY441" s="30">
        <v>0</v>
      </c>
      <c r="AZ441" s="30">
        <v>0</v>
      </c>
      <c r="BA441" s="30" t="e">
        <f t="array" aca="1" ref="BA441" ca="1">_xludf.XLOOKUP(C441,'PL TOTAL D0'!A:A,'PL TOTAL D0'!C:C,"")</f>
        <v>#NAME?</v>
      </c>
    </row>
    <row r="442" spans="1:53" ht="15.75" customHeight="1">
      <c r="A442" s="23" t="s">
        <v>29</v>
      </c>
      <c r="B442" s="37" t="s">
        <v>1573</v>
      </c>
      <c r="C442" s="4" t="s">
        <v>1574</v>
      </c>
      <c r="D442" s="7" t="s">
        <v>19</v>
      </c>
      <c r="E442" s="7" t="s">
        <v>34</v>
      </c>
      <c r="F442" s="7" t="s">
        <v>35</v>
      </c>
      <c r="G442" s="7" t="e">
        <f t="shared" ca="1" si="13"/>
        <v>#NAME?</v>
      </c>
      <c r="H442" s="24" t="s">
        <v>152</v>
      </c>
      <c r="I442" s="24" t="s">
        <v>25</v>
      </c>
      <c r="J442" s="7" t="str">
        <f t="shared" si="20"/>
        <v>Não</v>
      </c>
      <c r="K442" s="25">
        <v>45075</v>
      </c>
      <c r="L442" s="7"/>
      <c r="M442" s="7" t="s">
        <v>200</v>
      </c>
      <c r="N442" s="26">
        <v>1.4999999999999999E-2</v>
      </c>
      <c r="O442" s="7" t="s">
        <v>37</v>
      </c>
      <c r="P442" s="27">
        <v>0.1</v>
      </c>
      <c r="Q442" s="28"/>
      <c r="R442" s="28"/>
      <c r="S442" s="7" t="s">
        <v>145</v>
      </c>
      <c r="T442" s="7" t="s">
        <v>1575</v>
      </c>
      <c r="U442" s="7" t="s">
        <v>39</v>
      </c>
      <c r="V442" s="24" t="e">
        <f t="shared" ca="1" si="14"/>
        <v>#NAME?</v>
      </c>
      <c r="W442" s="7"/>
      <c r="X442" s="7"/>
      <c r="Y442" s="29" t="s">
        <v>147</v>
      </c>
      <c r="Z442" s="30"/>
      <c r="AA442" s="31">
        <v>45075</v>
      </c>
      <c r="AB442" s="32">
        <v>49075100007365</v>
      </c>
      <c r="AC442" s="30"/>
      <c r="AD442" s="30"/>
      <c r="AE442" s="30"/>
      <c r="AF442" s="30"/>
      <c r="AG442" s="30"/>
      <c r="AH442" s="30">
        <v>0</v>
      </c>
      <c r="AI442" s="30">
        <v>0</v>
      </c>
      <c r="AJ442" s="30">
        <v>747604.76</v>
      </c>
      <c r="AK442" s="30">
        <v>798854.32</v>
      </c>
      <c r="AL442" s="30">
        <v>806756.24</v>
      </c>
      <c r="AM442" s="30">
        <v>802901.84</v>
      </c>
      <c r="AN442" s="30">
        <v>806777.51</v>
      </c>
      <c r="AO442" s="30">
        <v>804365.53</v>
      </c>
      <c r="AP442" s="30">
        <v>822674.38</v>
      </c>
      <c r="AQ442" s="30">
        <v>836767</v>
      </c>
      <c r="AR442" s="30">
        <v>822850.8</v>
      </c>
      <c r="AS442" s="30">
        <v>828215.08</v>
      </c>
      <c r="AT442" s="30">
        <v>837618.2</v>
      </c>
      <c r="AU442" s="30">
        <v>827225.21</v>
      </c>
      <c r="AV442" s="30">
        <v>823717.8</v>
      </c>
      <c r="AW442" s="30">
        <v>828812.6</v>
      </c>
      <c r="AX442" s="30">
        <v>838439.3</v>
      </c>
      <c r="AY442" s="30">
        <v>848355.3</v>
      </c>
      <c r="AZ442" s="30">
        <v>843601.1</v>
      </c>
      <c r="BA442" s="30" t="e">
        <f t="array" aca="1" ref="BA442" ca="1">_xludf.XLOOKUP(C442,'PL TOTAL D0'!A:A,'PL TOTAL D0'!C:C,"")</f>
        <v>#NAME?</v>
      </c>
    </row>
    <row r="443" spans="1:53" ht="15.75" customHeight="1">
      <c r="A443" s="23" t="s">
        <v>29</v>
      </c>
      <c r="B443" s="3" t="s">
        <v>1576</v>
      </c>
      <c r="C443" s="4" t="s">
        <v>1577</v>
      </c>
      <c r="D443" s="7" t="s">
        <v>19</v>
      </c>
      <c r="E443" s="7" t="s">
        <v>20</v>
      </c>
      <c r="F443" s="7" t="s">
        <v>199</v>
      </c>
      <c r="G443" s="7" t="e">
        <f t="shared" ca="1" si="13"/>
        <v>#NAME?</v>
      </c>
      <c r="H443" s="24" t="s">
        <v>152</v>
      </c>
      <c r="I443" s="24" t="s">
        <v>25</v>
      </c>
      <c r="J443" s="7" t="str">
        <f t="shared" si="20"/>
        <v>Não</v>
      </c>
      <c r="K443" s="25">
        <v>45139</v>
      </c>
      <c r="L443" s="7"/>
      <c r="M443" s="7" t="s">
        <v>42</v>
      </c>
      <c r="N443" s="26">
        <v>7.0000000000000001E-3</v>
      </c>
      <c r="O443" s="7" t="s">
        <v>25</v>
      </c>
      <c r="P443" s="27">
        <v>0</v>
      </c>
      <c r="Q443" s="23"/>
      <c r="R443" s="43" t="s">
        <v>730</v>
      </c>
      <c r="S443" s="7" t="s">
        <v>145</v>
      </c>
      <c r="T443" s="7" t="s">
        <v>1578</v>
      </c>
      <c r="U443" s="7" t="s">
        <v>49</v>
      </c>
      <c r="V443" s="24" t="e">
        <f t="shared" ca="1" si="14"/>
        <v>#NAME?</v>
      </c>
      <c r="W443" s="7"/>
      <c r="X443" s="7"/>
      <c r="Y443" s="29" t="s">
        <v>147</v>
      </c>
      <c r="Z443" s="30"/>
      <c r="AA443" s="31">
        <v>45139</v>
      </c>
      <c r="AB443" s="32">
        <v>49075100008795</v>
      </c>
      <c r="AC443" s="30"/>
      <c r="AD443" s="30"/>
      <c r="AE443" s="30"/>
      <c r="AF443" s="30"/>
      <c r="AG443" s="30"/>
      <c r="AH443" s="30"/>
      <c r="AI443" s="30"/>
      <c r="AJ443" s="30"/>
      <c r="AK443" s="30"/>
      <c r="AL443" s="30"/>
      <c r="AM443" s="30">
        <v>10339.450000000001</v>
      </c>
      <c r="AN443" s="30">
        <v>10446.65</v>
      </c>
      <c r="AO443" s="30">
        <v>15053.15</v>
      </c>
      <c r="AP443" s="30">
        <v>18125.330000000002</v>
      </c>
      <c r="AQ443" s="30">
        <v>25261.81</v>
      </c>
      <c r="AR443" s="30">
        <v>30392.48</v>
      </c>
      <c r="AS443" s="30">
        <v>35092.04</v>
      </c>
      <c r="AT443" s="30">
        <v>41435.870000000003</v>
      </c>
      <c r="AU443" s="30">
        <v>44756.959999999999</v>
      </c>
      <c r="AV443" s="30">
        <v>50812.18</v>
      </c>
      <c r="AW443" s="30">
        <v>57267.55</v>
      </c>
      <c r="AX443" s="30">
        <v>62796.28</v>
      </c>
      <c r="AY443" s="30">
        <v>65335.7</v>
      </c>
      <c r="AZ443" s="30">
        <v>70413.02</v>
      </c>
      <c r="BA443" s="30" t="e">
        <f t="array" aca="1" ref="BA443" ca="1">_xludf.XLOOKUP(C443,'PL TOTAL D0'!A:A,'PL TOTAL D0'!C:C,"")</f>
        <v>#NAME?</v>
      </c>
    </row>
    <row r="444" spans="1:53" ht="15.75" customHeight="1">
      <c r="A444" s="23" t="s">
        <v>29</v>
      </c>
      <c r="B444" s="3" t="s">
        <v>1579</v>
      </c>
      <c r="C444" s="4" t="s">
        <v>1580</v>
      </c>
      <c r="D444" s="7" t="s">
        <v>19</v>
      </c>
      <c r="E444" s="7" t="s">
        <v>49</v>
      </c>
      <c r="F444" s="7" t="s">
        <v>166</v>
      </c>
      <c r="G444" s="7" t="e">
        <f t="shared" ca="1" si="13"/>
        <v>#NAME?</v>
      </c>
      <c r="H444" s="24" t="s">
        <v>152</v>
      </c>
      <c r="I444" s="24" t="s">
        <v>25</v>
      </c>
      <c r="J444" s="7" t="str">
        <f t="shared" si="20"/>
        <v>Sim</v>
      </c>
      <c r="K444" s="25">
        <v>45168</v>
      </c>
      <c r="L444" s="25"/>
      <c r="M444" s="7" t="s">
        <v>42</v>
      </c>
      <c r="N444" s="26">
        <v>0.01</v>
      </c>
      <c r="O444" s="7" t="s">
        <v>25</v>
      </c>
      <c r="P444" s="27">
        <v>0</v>
      </c>
      <c r="Q444" s="28" t="s">
        <v>1581</v>
      </c>
      <c r="R444" s="28"/>
      <c r="S444" s="7" t="s">
        <v>145</v>
      </c>
      <c r="T444" s="7" t="s">
        <v>1582</v>
      </c>
      <c r="U444" s="7" t="s">
        <v>49</v>
      </c>
      <c r="V444" s="24" t="e">
        <f t="shared" ca="1" si="14"/>
        <v>#NAME?</v>
      </c>
      <c r="W444" s="7"/>
      <c r="X444" s="7"/>
      <c r="Y444" s="29" t="s">
        <v>147</v>
      </c>
      <c r="Z444" s="30"/>
      <c r="AA444" s="31">
        <v>45168</v>
      </c>
      <c r="AB444" s="32">
        <v>49075100009449</v>
      </c>
      <c r="AC444" s="30"/>
      <c r="AD444" s="30"/>
      <c r="AE444" s="30"/>
      <c r="AF444" s="30">
        <v>0</v>
      </c>
      <c r="AG444" s="30">
        <v>0</v>
      </c>
      <c r="AH444" s="30">
        <v>0</v>
      </c>
      <c r="AI444" s="30">
        <v>0</v>
      </c>
      <c r="AJ444" s="30">
        <v>0</v>
      </c>
      <c r="AK444" s="30">
        <v>0</v>
      </c>
      <c r="AL444" s="30">
        <v>0</v>
      </c>
      <c r="AM444" s="30">
        <v>2695076.71</v>
      </c>
      <c r="AN444" s="30">
        <v>2708443.2</v>
      </c>
      <c r="AO444" s="30">
        <v>2726002.4</v>
      </c>
      <c r="AP444" s="30">
        <v>2757970.69</v>
      </c>
      <c r="AQ444" s="30">
        <v>2784573.51</v>
      </c>
      <c r="AR444" s="30">
        <v>2818899.59</v>
      </c>
      <c r="AS444" s="30">
        <v>2842235.94</v>
      </c>
      <c r="AT444" s="30">
        <v>2847042.41</v>
      </c>
      <c r="AU444" s="30">
        <v>2859977.57</v>
      </c>
      <c r="AV444" s="30">
        <v>2874803</v>
      </c>
      <c r="AW444" s="30">
        <v>2889822</v>
      </c>
      <c r="AX444" s="30">
        <v>2877962</v>
      </c>
      <c r="AY444" s="30">
        <v>2905921.28</v>
      </c>
      <c r="AZ444" s="30">
        <v>2927108.97</v>
      </c>
      <c r="BA444" s="30" t="e">
        <f t="array" aca="1" ref="BA444" ca="1">_xludf.XLOOKUP(C444,'PL TOTAL D0'!A:A,'PL TOTAL D0'!C:C,"")</f>
        <v>#NAME?</v>
      </c>
    </row>
    <row r="445" spans="1:53" ht="15.75" customHeight="1">
      <c r="A445" s="23" t="s">
        <v>29</v>
      </c>
      <c r="B445" s="3" t="s">
        <v>1583</v>
      </c>
      <c r="C445" s="4" t="s">
        <v>1584</v>
      </c>
      <c r="D445" s="7" t="s">
        <v>19</v>
      </c>
      <c r="E445" s="7" t="s">
        <v>34</v>
      </c>
      <c r="F445" s="7" t="s">
        <v>35</v>
      </c>
      <c r="G445" s="7" t="e">
        <f t="shared" ca="1" si="13"/>
        <v>#NAME?</v>
      </c>
      <c r="H445" s="24" t="s">
        <v>161</v>
      </c>
      <c r="I445" s="24" t="s">
        <v>162</v>
      </c>
      <c r="J445" s="7" t="str">
        <f t="shared" si="20"/>
        <v>Não</v>
      </c>
      <c r="K445" s="25">
        <v>45163</v>
      </c>
      <c r="L445" s="25"/>
      <c r="M445" s="7" t="s">
        <v>42</v>
      </c>
      <c r="N445" s="26">
        <v>1.2E-2</v>
      </c>
      <c r="O445" s="7" t="s">
        <v>25</v>
      </c>
      <c r="P445" s="27">
        <v>0</v>
      </c>
      <c r="Q445" s="90"/>
      <c r="R445" s="28" t="s">
        <v>1585</v>
      </c>
      <c r="S445" s="7" t="s">
        <v>145</v>
      </c>
      <c r="T445" s="7" t="s">
        <v>1586</v>
      </c>
      <c r="U445" s="7" t="s">
        <v>39</v>
      </c>
      <c r="V445" s="24" t="e">
        <f t="shared" ca="1" si="14"/>
        <v>#NAME?</v>
      </c>
      <c r="W445" s="7"/>
      <c r="X445" s="7"/>
      <c r="Y445" s="29" t="s">
        <v>147</v>
      </c>
      <c r="Z445" s="30"/>
      <c r="AA445" s="31">
        <v>45163</v>
      </c>
      <c r="AB445" s="32">
        <v>49075100011567</v>
      </c>
      <c r="AC445" s="30"/>
      <c r="AD445" s="30"/>
      <c r="AE445" s="30"/>
      <c r="AF445" s="30"/>
      <c r="AG445" s="30"/>
      <c r="AH445" s="30"/>
      <c r="AI445" s="30">
        <v>0</v>
      </c>
      <c r="AJ445" s="30">
        <v>0</v>
      </c>
      <c r="AK445" s="30">
        <v>0</v>
      </c>
      <c r="AL445" s="30">
        <v>0</v>
      </c>
      <c r="AM445" s="30">
        <v>0</v>
      </c>
      <c r="AN445" s="30">
        <v>0</v>
      </c>
      <c r="AO445" s="30">
        <v>0</v>
      </c>
      <c r="AP445" s="30">
        <v>0</v>
      </c>
      <c r="AQ445" s="30">
        <v>0</v>
      </c>
      <c r="AR445" s="30">
        <v>0</v>
      </c>
      <c r="AS445" s="30">
        <v>0</v>
      </c>
      <c r="AT445" s="30">
        <v>0</v>
      </c>
      <c r="AU445" s="30">
        <v>0</v>
      </c>
      <c r="AV445" s="30">
        <v>0</v>
      </c>
      <c r="AW445" s="30">
        <v>0</v>
      </c>
      <c r="AX445" s="30">
        <v>0</v>
      </c>
      <c r="AY445" s="30">
        <v>0</v>
      </c>
      <c r="AZ445" s="30">
        <v>0</v>
      </c>
      <c r="BA445" s="30" t="e">
        <f t="array" aca="1" ref="BA445" ca="1">_xludf.XLOOKUP(C445,'PL TOTAL D0'!A:A,'PL TOTAL D0'!C:C,"")</f>
        <v>#NAME?</v>
      </c>
    </row>
    <row r="446" spans="1:53" ht="15.75" customHeight="1">
      <c r="A446" s="23" t="s">
        <v>29</v>
      </c>
      <c r="B446" s="3" t="s">
        <v>1587</v>
      </c>
      <c r="C446" s="4" t="s">
        <v>1588</v>
      </c>
      <c r="D446" s="7" t="s">
        <v>19</v>
      </c>
      <c r="E446" s="7" t="s">
        <v>34</v>
      </c>
      <c r="F446" s="7" t="s">
        <v>35</v>
      </c>
      <c r="G446" s="7" t="e">
        <f t="shared" ca="1" si="13"/>
        <v>#NAME?</v>
      </c>
      <c r="H446" s="24" t="s">
        <v>152</v>
      </c>
      <c r="I446" s="24" t="s">
        <v>25</v>
      </c>
      <c r="J446" s="7" t="str">
        <f t="shared" si="20"/>
        <v>Não</v>
      </c>
      <c r="K446" s="25">
        <v>45163</v>
      </c>
      <c r="L446" s="25"/>
      <c r="M446" s="7" t="s">
        <v>42</v>
      </c>
      <c r="N446" s="26">
        <v>1.2E-2</v>
      </c>
      <c r="O446" s="7" t="s">
        <v>25</v>
      </c>
      <c r="P446" s="27">
        <v>0</v>
      </c>
      <c r="Q446" s="28"/>
      <c r="R446" s="28" t="s">
        <v>1589</v>
      </c>
      <c r="S446" s="7" t="s">
        <v>145</v>
      </c>
      <c r="T446" s="7" t="s">
        <v>1590</v>
      </c>
      <c r="U446" s="7" t="s">
        <v>39</v>
      </c>
      <c r="V446" s="24" t="e">
        <f t="shared" ca="1" si="14"/>
        <v>#NAME?</v>
      </c>
      <c r="W446" s="7"/>
      <c r="X446" s="7"/>
      <c r="Y446" s="29" t="s">
        <v>147</v>
      </c>
      <c r="Z446" s="30"/>
      <c r="AA446" s="31">
        <v>45163</v>
      </c>
      <c r="AB446" s="32">
        <v>49075100011575</v>
      </c>
      <c r="AC446" s="30"/>
      <c r="AD446" s="30"/>
      <c r="AE446" s="30"/>
      <c r="AF446" s="30"/>
      <c r="AG446" s="30"/>
      <c r="AH446" s="30"/>
      <c r="AI446" s="30">
        <v>0</v>
      </c>
      <c r="AJ446" s="30">
        <v>0</v>
      </c>
      <c r="AK446" s="30">
        <v>0</v>
      </c>
      <c r="AL446" s="30">
        <v>0</v>
      </c>
      <c r="AM446" s="30">
        <v>0</v>
      </c>
      <c r="AN446" s="30">
        <v>128816.72</v>
      </c>
      <c r="AO446" s="30">
        <v>148547.35999999999</v>
      </c>
      <c r="AP446" s="30">
        <v>150165.51999999999</v>
      </c>
      <c r="AQ446" s="30">
        <v>151570.25</v>
      </c>
      <c r="AR446" s="30">
        <v>152764.24</v>
      </c>
      <c r="AS446" s="30">
        <v>153721.78</v>
      </c>
      <c r="AT446" s="30">
        <v>153435.44</v>
      </c>
      <c r="AU446" s="30">
        <v>154146.13</v>
      </c>
      <c r="AV446" s="30">
        <v>155356.29999999999</v>
      </c>
      <c r="AW446" s="30">
        <v>156435.1</v>
      </c>
      <c r="AX446" s="30">
        <v>156845.9</v>
      </c>
      <c r="AY446" s="30">
        <v>157986.1</v>
      </c>
      <c r="AZ446" s="30">
        <v>167239.04999999999</v>
      </c>
      <c r="BA446" s="30" t="e">
        <f t="array" aca="1" ref="BA446" ca="1">_xludf.XLOOKUP(C446,'PL TOTAL D0'!A:A,'PL TOTAL D0'!C:C,"")</f>
        <v>#NAME?</v>
      </c>
    </row>
    <row r="447" spans="1:53" ht="15.75" customHeight="1">
      <c r="A447" s="23" t="s">
        <v>29</v>
      </c>
      <c r="B447" s="37" t="s">
        <v>1591</v>
      </c>
      <c r="C447" s="4" t="s">
        <v>1592</v>
      </c>
      <c r="D447" s="7" t="s">
        <v>19</v>
      </c>
      <c r="E447" s="7" t="s">
        <v>20</v>
      </c>
      <c r="F447" s="7" t="s">
        <v>199</v>
      </c>
      <c r="G447" s="7" t="e">
        <f t="shared" ca="1" si="13"/>
        <v>#NAME?</v>
      </c>
      <c r="H447" s="24" t="s">
        <v>161</v>
      </c>
      <c r="I447" s="24" t="s">
        <v>1133</v>
      </c>
      <c r="J447" s="7" t="str">
        <f t="shared" si="20"/>
        <v>Não</v>
      </c>
      <c r="K447" s="25">
        <v>45043</v>
      </c>
      <c r="L447" s="7"/>
      <c r="M447" s="7" t="s">
        <v>42</v>
      </c>
      <c r="N447" s="26">
        <v>7.0000000000000001E-3</v>
      </c>
      <c r="O447" s="7" t="s">
        <v>25</v>
      </c>
      <c r="P447" s="27">
        <v>0</v>
      </c>
      <c r="Q447" s="23"/>
      <c r="R447" s="28" t="s">
        <v>1593</v>
      </c>
      <c r="S447" s="7" t="s">
        <v>187</v>
      </c>
      <c r="T447" s="7" t="s">
        <v>1594</v>
      </c>
      <c r="U447" s="7" t="s">
        <v>20</v>
      </c>
      <c r="V447" s="24" t="e">
        <f t="shared" ca="1" si="14"/>
        <v>#NAME?</v>
      </c>
      <c r="W447" s="7"/>
      <c r="X447" s="7"/>
      <c r="Y447" s="29" t="s">
        <v>253</v>
      </c>
      <c r="Z447" s="30"/>
      <c r="AA447" s="31">
        <v>45043</v>
      </c>
      <c r="AB447" s="32">
        <v>49075100008426</v>
      </c>
      <c r="AC447" s="30"/>
      <c r="AD447" s="30"/>
      <c r="AE447" s="30"/>
      <c r="AF447" s="30"/>
      <c r="AG447" s="30"/>
      <c r="AH447" s="30"/>
      <c r="AI447" s="30">
        <v>1071917.6399999999</v>
      </c>
      <c r="AJ447" s="30">
        <v>1082128.18</v>
      </c>
      <c r="AK447" s="30">
        <v>1092925.25</v>
      </c>
      <c r="AL447" s="30">
        <v>1103042.33</v>
      </c>
      <c r="AM447" s="30">
        <v>1114290.6599999999</v>
      </c>
      <c r="AN447" s="30">
        <v>1123818.71</v>
      </c>
      <c r="AO447" s="30">
        <v>1132366.3700000001</v>
      </c>
      <c r="AP447" s="30">
        <v>1140936.78</v>
      </c>
      <c r="AQ447" s="30">
        <v>1151073.29</v>
      </c>
      <c r="AR447" s="30">
        <v>1162335.55</v>
      </c>
      <c r="AS447" s="30">
        <v>1171520.6200000001</v>
      </c>
      <c r="AT447" s="30">
        <v>1181453.01</v>
      </c>
      <c r="AU447" s="30">
        <v>1176029.76</v>
      </c>
      <c r="AV447" s="30">
        <v>1182374</v>
      </c>
      <c r="AW447" s="30">
        <v>1192676</v>
      </c>
      <c r="AX447" s="30">
        <v>1203703</v>
      </c>
      <c r="AY447" s="30">
        <v>1213768.98</v>
      </c>
      <c r="AZ447" s="30">
        <v>1222025.57</v>
      </c>
      <c r="BA447" s="30" t="e">
        <f t="array" aca="1" ref="BA447" ca="1">_xludf.XLOOKUP(C447,'PL TOTAL D0'!A:A,'PL TOTAL D0'!C:C,"")</f>
        <v>#NAME?</v>
      </c>
    </row>
    <row r="448" spans="1:53" ht="15.75" customHeight="1">
      <c r="A448" s="23" t="s">
        <v>29</v>
      </c>
      <c r="B448" s="37" t="s">
        <v>1595</v>
      </c>
      <c r="C448" s="4" t="s">
        <v>1596</v>
      </c>
      <c r="D448" s="7" t="s">
        <v>64</v>
      </c>
      <c r="E448" s="7" t="s">
        <v>20</v>
      </c>
      <c r="F448" s="7" t="s">
        <v>489</v>
      </c>
      <c r="G448" s="7" t="e">
        <f t="shared" ca="1" si="13"/>
        <v>#NAME?</v>
      </c>
      <c r="H448" s="24" t="s">
        <v>143</v>
      </c>
      <c r="I448" s="24" t="s">
        <v>25</v>
      </c>
      <c r="J448" s="7" t="s">
        <v>1142</v>
      </c>
      <c r="K448" s="25">
        <v>45125</v>
      </c>
      <c r="L448" s="25">
        <v>45513</v>
      </c>
      <c r="M448" s="7" t="s">
        <v>350</v>
      </c>
      <c r="N448" s="26">
        <v>8.5000000000000006E-3</v>
      </c>
      <c r="O448" s="7" t="s">
        <v>25</v>
      </c>
      <c r="P448" s="27">
        <v>0</v>
      </c>
      <c r="Q448" s="23"/>
      <c r="R448" s="28" t="s">
        <v>702</v>
      </c>
      <c r="S448" s="7" t="s">
        <v>145</v>
      </c>
      <c r="T448" s="7" t="s">
        <v>1597</v>
      </c>
      <c r="U448" s="7"/>
      <c r="V448" s="24" t="e">
        <f t="shared" ca="1" si="14"/>
        <v>#NAME?</v>
      </c>
      <c r="W448" s="7"/>
      <c r="X448" s="7"/>
      <c r="Y448" s="29"/>
      <c r="Z448" s="30"/>
      <c r="AA448" s="31">
        <v>45125</v>
      </c>
      <c r="AB448" s="32">
        <v>49075100013578</v>
      </c>
      <c r="AC448" s="30"/>
      <c r="AD448" s="30"/>
      <c r="AE448" s="30"/>
      <c r="AF448" s="30"/>
      <c r="AG448" s="30"/>
      <c r="AH448" s="30"/>
      <c r="AI448" s="30"/>
      <c r="AJ448" s="30"/>
      <c r="AK448" s="30"/>
      <c r="AL448" s="30"/>
      <c r="AM448" s="30"/>
      <c r="AN448" s="30"/>
      <c r="AO448" s="30"/>
      <c r="AP448" s="30"/>
      <c r="AQ448" s="30"/>
      <c r="AR448" s="30">
        <v>7332497.8399999999</v>
      </c>
      <c r="AS448" s="30">
        <v>7282505.9800000004</v>
      </c>
      <c r="AT448" s="30">
        <v>7292274.0099999998</v>
      </c>
      <c r="AU448" s="30">
        <v>7386584.7199999997</v>
      </c>
      <c r="AV448" s="30">
        <v>7315996</v>
      </c>
      <c r="AW448" s="30">
        <v>7002732</v>
      </c>
      <c r="AX448" s="30">
        <v>0</v>
      </c>
      <c r="AY448" s="30">
        <v>0</v>
      </c>
      <c r="AZ448" s="30">
        <v>0</v>
      </c>
      <c r="BA448" s="30" t="e">
        <f t="array" aca="1" ref="BA448" ca="1">_xludf.XLOOKUP(C448,'PL TOTAL D0'!A:A,'PL TOTAL D0'!C:C,"")</f>
        <v>#NAME?</v>
      </c>
    </row>
    <row r="449" spans="1:53" ht="15.75" customHeight="1">
      <c r="A449" s="23" t="s">
        <v>29</v>
      </c>
      <c r="B449" s="3" t="s">
        <v>1598</v>
      </c>
      <c r="C449" s="4" t="s">
        <v>1599</v>
      </c>
      <c r="D449" s="7" t="s">
        <v>19</v>
      </c>
      <c r="E449" s="7" t="s">
        <v>49</v>
      </c>
      <c r="F449" s="7" t="s">
        <v>277</v>
      </c>
      <c r="G449" s="7" t="e">
        <f t="shared" ca="1" si="13"/>
        <v>#NAME?</v>
      </c>
      <c r="H449" s="24" t="s">
        <v>161</v>
      </c>
      <c r="I449" s="24" t="s">
        <v>162</v>
      </c>
      <c r="J449" s="7" t="str">
        <f t="shared" ref="J449:J451" si="21">IF(Q449=0,"Não","Sim")</f>
        <v>Não</v>
      </c>
      <c r="K449" s="25">
        <v>44896</v>
      </c>
      <c r="L449" s="7"/>
      <c r="M449" s="7" t="s">
        <v>58</v>
      </c>
      <c r="N449" s="26">
        <v>1.2E-2</v>
      </c>
      <c r="O449" s="7" t="s">
        <v>37</v>
      </c>
      <c r="P449" s="27">
        <v>0.1</v>
      </c>
      <c r="Q449" s="23"/>
      <c r="R449" s="28" t="s">
        <v>1600</v>
      </c>
      <c r="S449" s="7" t="s">
        <v>145</v>
      </c>
      <c r="T449" s="7" t="s">
        <v>1601</v>
      </c>
      <c r="U449" s="7" t="s">
        <v>49</v>
      </c>
      <c r="V449" s="24" t="e">
        <f t="shared" ca="1" si="14"/>
        <v>#NAME?</v>
      </c>
      <c r="W449" s="7"/>
      <c r="X449" s="7"/>
      <c r="Y449" s="29" t="s">
        <v>253</v>
      </c>
      <c r="Z449" s="30"/>
      <c r="AA449" s="31">
        <v>44896</v>
      </c>
      <c r="AB449" s="32">
        <v>49075100005982</v>
      </c>
      <c r="AC449" s="30"/>
      <c r="AD449" s="30"/>
      <c r="AE449" s="30">
        <v>101027.34</v>
      </c>
      <c r="AF449" s="30">
        <v>102057.18</v>
      </c>
      <c r="AG449" s="30">
        <v>102893.4</v>
      </c>
      <c r="AH449" s="30">
        <v>103997.85</v>
      </c>
      <c r="AI449" s="30">
        <v>104799.51</v>
      </c>
      <c r="AJ449" s="30">
        <v>105881.35</v>
      </c>
      <c r="AK449" s="30">
        <v>106857.75</v>
      </c>
      <c r="AL449" s="30">
        <v>107813.68</v>
      </c>
      <c r="AM449" s="30">
        <v>108868.49</v>
      </c>
      <c r="AN449" s="30">
        <v>109771.07</v>
      </c>
      <c r="AO449" s="30">
        <v>110709.64</v>
      </c>
      <c r="AP449" s="30">
        <v>111519.87</v>
      </c>
      <c r="AQ449" s="30">
        <v>112181.15</v>
      </c>
      <c r="AR449" s="30">
        <v>200282.08</v>
      </c>
      <c r="AS449" s="30">
        <v>201657.73</v>
      </c>
      <c r="AT449" s="30">
        <v>203648.03</v>
      </c>
      <c r="AU449" s="30">
        <v>203645.24</v>
      </c>
      <c r="AV449" s="30">
        <v>219.51</v>
      </c>
      <c r="AW449" s="30">
        <v>224.34</v>
      </c>
      <c r="AX449" s="30">
        <v>224.87</v>
      </c>
      <c r="AY449" s="30">
        <v>225.93</v>
      </c>
      <c r="AZ449" s="30">
        <v>226.98</v>
      </c>
      <c r="BA449" s="30" t="e">
        <f t="array" aca="1" ref="BA449" ca="1">_xludf.XLOOKUP(C449,'PL TOTAL D0'!A:A,'PL TOTAL D0'!C:C,"")</f>
        <v>#NAME?</v>
      </c>
    </row>
    <row r="450" spans="1:53" ht="15.75" customHeight="1">
      <c r="A450" s="23" t="s">
        <v>29</v>
      </c>
      <c r="B450" s="37" t="s">
        <v>1602</v>
      </c>
      <c r="C450" s="4" t="s">
        <v>1603</v>
      </c>
      <c r="D450" s="7" t="s">
        <v>19</v>
      </c>
      <c r="E450" s="7" t="s">
        <v>34</v>
      </c>
      <c r="F450" s="7" t="s">
        <v>35</v>
      </c>
      <c r="G450" s="7" t="e">
        <f t="shared" ca="1" si="13"/>
        <v>#NAME?</v>
      </c>
      <c r="H450" s="24" t="s">
        <v>152</v>
      </c>
      <c r="I450" s="24" t="s">
        <v>25</v>
      </c>
      <c r="J450" s="7" t="str">
        <f t="shared" si="21"/>
        <v>Sim</v>
      </c>
      <c r="K450" s="25">
        <v>45163</v>
      </c>
      <c r="L450" s="25"/>
      <c r="M450" s="7" t="s">
        <v>200</v>
      </c>
      <c r="N450" s="26">
        <v>1.4999999999999999E-2</v>
      </c>
      <c r="O450" s="7" t="s">
        <v>37</v>
      </c>
      <c r="P450" s="27">
        <v>0.1</v>
      </c>
      <c r="Q450" s="28" t="s">
        <v>1604</v>
      </c>
      <c r="R450" s="145"/>
      <c r="S450" s="7" t="s">
        <v>145</v>
      </c>
      <c r="T450" s="7" t="s">
        <v>1605</v>
      </c>
      <c r="U450" s="7" t="s">
        <v>39</v>
      </c>
      <c r="V450" s="24" t="e">
        <f t="shared" ca="1" si="14"/>
        <v>#NAME?</v>
      </c>
      <c r="W450" s="7"/>
      <c r="X450" s="7"/>
      <c r="Y450" s="29" t="s">
        <v>147</v>
      </c>
      <c r="Z450" s="30"/>
      <c r="AA450" s="31">
        <v>45163</v>
      </c>
      <c r="AB450" s="32">
        <v>49075100011591</v>
      </c>
      <c r="AC450" s="30"/>
      <c r="AD450" s="30"/>
      <c r="AE450" s="30"/>
      <c r="AF450" s="30"/>
      <c r="AG450" s="30"/>
      <c r="AH450" s="30">
        <v>0</v>
      </c>
      <c r="AI450" s="30">
        <v>0</v>
      </c>
      <c r="AJ450" s="30">
        <v>0</v>
      </c>
      <c r="AK450" s="30">
        <v>0</v>
      </c>
      <c r="AL450" s="30">
        <v>0</v>
      </c>
      <c r="AM450" s="30">
        <v>0</v>
      </c>
      <c r="AN450" s="30">
        <v>0</v>
      </c>
      <c r="AO450" s="30">
        <v>0</v>
      </c>
      <c r="AP450" s="30">
        <v>0</v>
      </c>
      <c r="AQ450" s="30">
        <v>0</v>
      </c>
      <c r="AR450" s="30">
        <v>0</v>
      </c>
      <c r="AS450" s="30">
        <v>0</v>
      </c>
      <c r="AT450" s="30">
        <v>0.89</v>
      </c>
      <c r="AU450" s="30">
        <v>209391.1</v>
      </c>
      <c r="AV450" s="30">
        <v>506098.6</v>
      </c>
      <c r="AW450" s="30">
        <v>509655.4</v>
      </c>
      <c r="AX450" s="30">
        <v>515141.5</v>
      </c>
      <c r="AY450" s="30">
        <v>518861.19</v>
      </c>
      <c r="AZ450" s="30">
        <v>520512.47</v>
      </c>
      <c r="BA450" s="30" t="e">
        <f t="array" aca="1" ref="BA450" ca="1">_xludf.XLOOKUP(C450,'PL TOTAL D0'!A:A,'PL TOTAL D0'!C:C,"")</f>
        <v>#NAME?</v>
      </c>
    </row>
    <row r="451" spans="1:53" ht="15.75" customHeight="1">
      <c r="A451" s="23" t="s">
        <v>29</v>
      </c>
      <c r="B451" s="37" t="s">
        <v>1606</v>
      </c>
      <c r="C451" s="4" t="s">
        <v>1607</v>
      </c>
      <c r="D451" s="7" t="s">
        <v>19</v>
      </c>
      <c r="E451" s="7" t="s">
        <v>34</v>
      </c>
      <c r="F451" s="7" t="s">
        <v>35</v>
      </c>
      <c r="G451" s="7" t="e">
        <f t="shared" ca="1" si="13"/>
        <v>#NAME?</v>
      </c>
      <c r="H451" s="24" t="s">
        <v>143</v>
      </c>
      <c r="I451" s="24" t="s">
        <v>25</v>
      </c>
      <c r="J451" s="7" t="str">
        <f t="shared" si="21"/>
        <v>Não</v>
      </c>
      <c r="K451" s="25">
        <v>45000</v>
      </c>
      <c r="L451" s="25">
        <v>45401</v>
      </c>
      <c r="M451" s="7" t="s">
        <v>42</v>
      </c>
      <c r="N451" s="26">
        <v>1.2E-2</v>
      </c>
      <c r="O451" s="7" t="s">
        <v>25</v>
      </c>
      <c r="P451" s="27">
        <v>0</v>
      </c>
      <c r="Q451" s="90"/>
      <c r="R451" s="90"/>
      <c r="S451" s="7" t="s">
        <v>145</v>
      </c>
      <c r="T451" s="7" t="s">
        <v>1605</v>
      </c>
      <c r="U451" s="7" t="s">
        <v>39</v>
      </c>
      <c r="V451" s="24" t="e">
        <f t="shared" ca="1" si="14"/>
        <v>#NAME?</v>
      </c>
      <c r="W451" s="7"/>
      <c r="X451" s="7"/>
      <c r="Y451" s="29" t="s">
        <v>147</v>
      </c>
      <c r="Z451" s="30"/>
      <c r="AA451" s="31">
        <v>45000</v>
      </c>
      <c r="AB451" s="32"/>
      <c r="AC451" s="30"/>
      <c r="AD451" s="30"/>
      <c r="AE451" s="30"/>
      <c r="AF451" s="30"/>
      <c r="AG451" s="30"/>
      <c r="AH451" s="30">
        <v>1204685.2</v>
      </c>
      <c r="AI451" s="30">
        <v>1203727.57</v>
      </c>
      <c r="AJ451" s="30">
        <v>1207452.8799999999</v>
      </c>
      <c r="AK451" s="30">
        <v>964261.47</v>
      </c>
      <c r="AL451" s="30">
        <v>971845.22</v>
      </c>
      <c r="AM451" s="30">
        <v>798796.03</v>
      </c>
      <c r="AN451" s="30">
        <v>250333.99</v>
      </c>
      <c r="AO451" s="30">
        <v>10548.21</v>
      </c>
      <c r="AP451" s="30">
        <v>10496.54</v>
      </c>
      <c r="AQ451" s="30">
        <v>7.82</v>
      </c>
      <c r="AR451" s="30">
        <v>0</v>
      </c>
      <c r="AS451" s="30">
        <v>0.89</v>
      </c>
      <c r="AT451" s="30">
        <v>0</v>
      </c>
      <c r="AU451" s="30">
        <v>0</v>
      </c>
      <c r="AV451" s="30">
        <v>0</v>
      </c>
      <c r="AW451" s="30">
        <v>0</v>
      </c>
      <c r="AX451" s="30">
        <v>0</v>
      </c>
      <c r="AY451" s="30">
        <v>0</v>
      </c>
      <c r="AZ451" s="30">
        <v>0</v>
      </c>
      <c r="BA451" s="30" t="e">
        <f t="array" aca="1" ref="BA451" ca="1">_xludf.XLOOKUP(C451,'PL TOTAL D0'!A:A,'PL TOTAL D0'!C:C,"")</f>
        <v>#NAME?</v>
      </c>
    </row>
    <row r="452" spans="1:53" ht="15.75" customHeight="1">
      <c r="A452" s="23" t="s">
        <v>29</v>
      </c>
      <c r="B452" s="37" t="s">
        <v>1608</v>
      </c>
      <c r="C452" s="4" t="s">
        <v>1609</v>
      </c>
      <c r="D452" s="7" t="s">
        <v>64</v>
      </c>
      <c r="E452" s="7" t="s">
        <v>20</v>
      </c>
      <c r="F452" s="7" t="s">
        <v>489</v>
      </c>
      <c r="G452" s="7" t="e">
        <f t="shared" ca="1" si="13"/>
        <v>#NAME?</v>
      </c>
      <c r="H452" s="24" t="s">
        <v>143</v>
      </c>
      <c r="I452" s="24" t="s">
        <v>25</v>
      </c>
      <c r="J452" s="7" t="s">
        <v>1142</v>
      </c>
      <c r="K452" s="25">
        <v>45125</v>
      </c>
      <c r="L452" s="25">
        <v>45566</v>
      </c>
      <c r="M452" s="7" t="s">
        <v>350</v>
      </c>
      <c r="N452" s="26">
        <v>8.5000000000000006E-3</v>
      </c>
      <c r="O452" s="7" t="s">
        <v>25</v>
      </c>
      <c r="P452" s="27">
        <v>0</v>
      </c>
      <c r="Q452" s="90"/>
      <c r="R452" s="90" t="s">
        <v>702</v>
      </c>
      <c r="S452" s="7" t="s">
        <v>145</v>
      </c>
      <c r="T452" s="7" t="s">
        <v>1610</v>
      </c>
      <c r="U452" s="7"/>
      <c r="V452" s="24" t="e">
        <f t="shared" ca="1" si="14"/>
        <v>#NAME?</v>
      </c>
      <c r="W452" s="7"/>
      <c r="X452" s="7"/>
      <c r="Y452" s="29"/>
      <c r="Z452" s="30"/>
      <c r="AA452" s="31">
        <v>45125</v>
      </c>
      <c r="AB452" s="32">
        <v>49075100013586</v>
      </c>
      <c r="AC452" s="30"/>
      <c r="AD452" s="30"/>
      <c r="AE452" s="30"/>
      <c r="AF452" s="30"/>
      <c r="AG452" s="30"/>
      <c r="AH452" s="30"/>
      <c r="AI452" s="30"/>
      <c r="AJ452" s="30"/>
      <c r="AK452" s="30"/>
      <c r="AL452" s="30"/>
      <c r="AM452" s="30"/>
      <c r="AN452" s="30"/>
      <c r="AO452" s="30"/>
      <c r="AP452" s="30"/>
      <c r="AQ452" s="30"/>
      <c r="AR452" s="30">
        <v>5797318.0099999998</v>
      </c>
      <c r="AS452" s="30">
        <v>5852482.0800000001</v>
      </c>
      <c r="AT452" s="30">
        <v>5818801.75</v>
      </c>
      <c r="AU452" s="30">
        <v>5913916.9800000004</v>
      </c>
      <c r="AV452" s="30">
        <v>5886416</v>
      </c>
      <c r="AW452" s="30">
        <v>5925492</v>
      </c>
      <c r="AX452" s="30">
        <v>0</v>
      </c>
      <c r="AY452" s="30">
        <v>0</v>
      </c>
      <c r="AZ452" s="30">
        <v>0</v>
      </c>
      <c r="BA452" s="30" t="e">
        <f t="array" aca="1" ref="BA452" ca="1">_xludf.XLOOKUP(C452,'PL TOTAL D0'!A:A,'PL TOTAL D0'!C:C,"")</f>
        <v>#NAME?</v>
      </c>
    </row>
    <row r="453" spans="1:53" ht="15.75" customHeight="1">
      <c r="A453" s="23" t="s">
        <v>29</v>
      </c>
      <c r="B453" s="3" t="s">
        <v>1611</v>
      </c>
      <c r="C453" s="4" t="s">
        <v>1612</v>
      </c>
      <c r="D453" s="7" t="s">
        <v>19</v>
      </c>
      <c r="E453" s="7" t="s">
        <v>20</v>
      </c>
      <c r="F453" s="7" t="s">
        <v>372</v>
      </c>
      <c r="G453" s="7" t="e">
        <f t="shared" ca="1" si="13"/>
        <v>#NAME?</v>
      </c>
      <c r="H453" s="24" t="s">
        <v>152</v>
      </c>
      <c r="I453" s="24" t="s">
        <v>25</v>
      </c>
      <c r="J453" s="7" t="str">
        <f t="shared" ref="J453:J458" si="22">IF(Q453=0,"Não","Sim")</f>
        <v>Sim</v>
      </c>
      <c r="K453" s="25">
        <v>44928</v>
      </c>
      <c r="L453" s="7"/>
      <c r="M453" s="7" t="s">
        <v>42</v>
      </c>
      <c r="N453" s="26">
        <v>1.2E-2</v>
      </c>
      <c r="O453" s="7" t="s">
        <v>25</v>
      </c>
      <c r="P453" s="27">
        <v>0</v>
      </c>
      <c r="Q453" s="146" t="s">
        <v>1613</v>
      </c>
      <c r="R453" s="90"/>
      <c r="S453" s="7" t="s">
        <v>145</v>
      </c>
      <c r="T453" s="7" t="s">
        <v>1614</v>
      </c>
      <c r="U453" s="7" t="s">
        <v>20</v>
      </c>
      <c r="V453" s="24" t="e">
        <f t="shared" ca="1" si="14"/>
        <v>#NAME?</v>
      </c>
      <c r="W453" s="7"/>
      <c r="X453" s="7"/>
      <c r="Y453" s="29" t="s">
        <v>253</v>
      </c>
      <c r="Z453" s="30"/>
      <c r="AA453" s="31">
        <v>44928</v>
      </c>
      <c r="AB453" s="32">
        <v>49075100005990</v>
      </c>
      <c r="AC453" s="30"/>
      <c r="AD453" s="30"/>
      <c r="AE453" s="30">
        <v>25536.14</v>
      </c>
      <c r="AF453" s="30">
        <v>30960.44</v>
      </c>
      <c r="AG453" s="30">
        <v>31196.959999999999</v>
      </c>
      <c r="AH453" s="30">
        <v>31403.17</v>
      </c>
      <c r="AI453" s="30">
        <v>41622.379999999997</v>
      </c>
      <c r="AJ453" s="30">
        <v>42040.959999999999</v>
      </c>
      <c r="AK453" s="30">
        <v>42401.2</v>
      </c>
      <c r="AL453" s="30">
        <v>42756.62</v>
      </c>
      <c r="AM453" s="30">
        <v>53231.46</v>
      </c>
      <c r="AN453" s="30">
        <v>53641.79</v>
      </c>
      <c r="AO453" s="30">
        <v>54127.45</v>
      </c>
      <c r="AP453" s="30">
        <v>54551.49</v>
      </c>
      <c r="AQ453" s="30">
        <v>54998.82</v>
      </c>
      <c r="AR453" s="30">
        <v>44982.02</v>
      </c>
      <c r="AS453" s="30">
        <v>45312.38</v>
      </c>
      <c r="AT453" s="30">
        <v>35463.24</v>
      </c>
      <c r="AU453" s="30">
        <v>35726.53</v>
      </c>
      <c r="AV453" s="30">
        <v>35976.58</v>
      </c>
      <c r="AW453" s="30">
        <v>36227.410000000003</v>
      </c>
      <c r="AX453" s="30">
        <v>36465.96</v>
      </c>
      <c r="AY453" s="30">
        <v>36737.71</v>
      </c>
      <c r="AZ453" s="30">
        <v>36987.56</v>
      </c>
      <c r="BA453" s="30" t="e">
        <f t="array" aca="1" ref="BA453" ca="1">_xludf.XLOOKUP(C453,'PL TOTAL D0'!A:A,'PL TOTAL D0'!C:C,"")</f>
        <v>#NAME?</v>
      </c>
    </row>
    <row r="454" spans="1:53" ht="15.75" customHeight="1">
      <c r="A454" s="23" t="s">
        <v>29</v>
      </c>
      <c r="B454" s="3" t="s">
        <v>1615</v>
      </c>
      <c r="C454" s="4" t="s">
        <v>1616</v>
      </c>
      <c r="D454" s="7" t="s">
        <v>64</v>
      </c>
      <c r="E454" s="7" t="s">
        <v>20</v>
      </c>
      <c r="F454" s="7" t="s">
        <v>489</v>
      </c>
      <c r="G454" s="7" t="e">
        <f t="shared" ca="1" si="13"/>
        <v>#NAME?</v>
      </c>
      <c r="H454" s="24" t="s">
        <v>161</v>
      </c>
      <c r="I454" s="24" t="s">
        <v>211</v>
      </c>
      <c r="J454" s="7" t="str">
        <f t="shared" si="22"/>
        <v>Não</v>
      </c>
      <c r="K454" s="25">
        <v>45168</v>
      </c>
      <c r="L454" s="7"/>
      <c r="M454" s="7" t="s">
        <v>42</v>
      </c>
      <c r="N454" s="26">
        <v>5.0000000000000001E-3</v>
      </c>
      <c r="O454" s="7" t="s">
        <v>25</v>
      </c>
      <c r="P454" s="27">
        <v>0</v>
      </c>
      <c r="Q454" s="28"/>
      <c r="R454" s="90" t="s">
        <v>702</v>
      </c>
      <c r="S454" s="7" t="s">
        <v>145</v>
      </c>
      <c r="T454" s="7" t="s">
        <v>1617</v>
      </c>
      <c r="U454" s="7" t="s">
        <v>20</v>
      </c>
      <c r="V454" s="24" t="e">
        <f t="shared" ca="1" si="14"/>
        <v>#NAME?</v>
      </c>
      <c r="W454" s="7"/>
      <c r="X454" s="7"/>
      <c r="Y454" s="29" t="s">
        <v>147</v>
      </c>
      <c r="Z454" s="30"/>
      <c r="AA454" s="31">
        <v>45168</v>
      </c>
      <c r="AB454" s="32">
        <v>49075100009767</v>
      </c>
      <c r="AC454" s="30"/>
      <c r="AD454" s="30"/>
      <c r="AE454" s="30"/>
      <c r="AF454" s="30"/>
      <c r="AG454" s="30"/>
      <c r="AH454" s="30"/>
      <c r="AI454" s="30"/>
      <c r="AJ454" s="30"/>
      <c r="AK454" s="30"/>
      <c r="AL454" s="30"/>
      <c r="AM454" s="30">
        <v>996849.67</v>
      </c>
      <c r="AN454" s="30">
        <v>1003085.23</v>
      </c>
      <c r="AO454" s="30">
        <v>1060111.6499999999</v>
      </c>
      <c r="AP454" s="30">
        <v>1163944.79</v>
      </c>
      <c r="AQ454" s="30">
        <v>1174396.05</v>
      </c>
      <c r="AR454" s="30">
        <v>1184469.5</v>
      </c>
      <c r="AS454" s="30">
        <v>1193854.74</v>
      </c>
      <c r="AT454" s="30">
        <v>859210</v>
      </c>
      <c r="AU454" s="30">
        <v>860788.64</v>
      </c>
      <c r="AV454" s="30">
        <v>860901.4</v>
      </c>
      <c r="AW454" s="30">
        <v>866195</v>
      </c>
      <c r="AX454" s="30">
        <v>0</v>
      </c>
      <c r="AY454" s="30">
        <v>0</v>
      </c>
      <c r="AZ454" s="30">
        <v>0</v>
      </c>
      <c r="BA454" s="30" t="e">
        <f t="array" aca="1" ref="BA454" ca="1">_xludf.XLOOKUP(C454,'PL TOTAL D0'!A:A,'PL TOTAL D0'!C:C,"")</f>
        <v>#NAME?</v>
      </c>
    </row>
    <row r="455" spans="1:53" ht="15.75" customHeight="1">
      <c r="A455" s="23" t="s">
        <v>29</v>
      </c>
      <c r="B455" s="3" t="s">
        <v>1618</v>
      </c>
      <c r="C455" s="4" t="s">
        <v>1619</v>
      </c>
      <c r="D455" s="7" t="s">
        <v>19</v>
      </c>
      <c r="E455" s="7" t="s">
        <v>20</v>
      </c>
      <c r="F455" s="7" t="s">
        <v>372</v>
      </c>
      <c r="G455" s="7" t="e">
        <f t="shared" ca="1" si="13"/>
        <v>#NAME?</v>
      </c>
      <c r="H455" s="24" t="s">
        <v>161</v>
      </c>
      <c r="I455" s="24" t="s">
        <v>162</v>
      </c>
      <c r="J455" s="7" t="str">
        <f t="shared" si="22"/>
        <v>Não</v>
      </c>
      <c r="K455" s="25">
        <v>44931</v>
      </c>
      <c r="L455" s="7"/>
      <c r="M455" s="4" t="s">
        <v>87</v>
      </c>
      <c r="N455" s="26">
        <v>2.5000000000000001E-2</v>
      </c>
      <c r="O455" s="7" t="s">
        <v>183</v>
      </c>
      <c r="P455" s="27">
        <v>0.2</v>
      </c>
      <c r="Q455" s="28"/>
      <c r="R455" s="90"/>
      <c r="S455" s="7" t="s">
        <v>145</v>
      </c>
      <c r="T455" s="7" t="s">
        <v>1620</v>
      </c>
      <c r="U455" s="7" t="s">
        <v>20</v>
      </c>
      <c r="V455" s="24" t="e">
        <f t="shared" ca="1" si="14"/>
        <v>#NAME?</v>
      </c>
      <c r="W455" s="7"/>
      <c r="X455" s="7"/>
      <c r="Y455" s="29" t="s">
        <v>147</v>
      </c>
      <c r="Z455" s="30"/>
      <c r="AA455" s="31">
        <v>44931</v>
      </c>
      <c r="AB455" s="32">
        <v>49075100010005</v>
      </c>
      <c r="AC455" s="30"/>
      <c r="AD455" s="30"/>
      <c r="AE455" s="30"/>
      <c r="AF455" s="30">
        <v>50668.18</v>
      </c>
      <c r="AG455" s="30">
        <v>49951.69</v>
      </c>
      <c r="AH455" s="30">
        <v>50254.3</v>
      </c>
      <c r="AI455" s="30">
        <v>49569.35</v>
      </c>
      <c r="AJ455" s="30">
        <v>51210.32</v>
      </c>
      <c r="AK455" s="30">
        <v>55533.69</v>
      </c>
      <c r="AL455" s="30">
        <v>58614.75</v>
      </c>
      <c r="AM455" s="30">
        <v>55714.57</v>
      </c>
      <c r="AN455" s="30">
        <v>55545.7</v>
      </c>
      <c r="AO455" s="30">
        <v>53123.37</v>
      </c>
      <c r="AP455" s="30">
        <v>57005.78</v>
      </c>
      <c r="AQ455" s="30">
        <v>59703.08</v>
      </c>
      <c r="AR455" s="30">
        <v>55567.17</v>
      </c>
      <c r="AS455" s="30">
        <v>56324.34</v>
      </c>
      <c r="AT455" s="30">
        <v>58458.23</v>
      </c>
      <c r="AU455" s="30">
        <v>56429.63</v>
      </c>
      <c r="AV455" s="30">
        <v>55224.9</v>
      </c>
      <c r="AW455" s="30">
        <v>46671.83</v>
      </c>
      <c r="AX455" s="30">
        <v>47891.23</v>
      </c>
      <c r="AY455" s="30">
        <v>41449.1</v>
      </c>
      <c r="AZ455" s="30">
        <v>393.2</v>
      </c>
      <c r="BA455" s="30" t="e">
        <f t="array" aca="1" ref="BA455" ca="1">_xludf.XLOOKUP(C455,'PL TOTAL D0'!A:A,'PL TOTAL D0'!C:C,"")</f>
        <v>#NAME?</v>
      </c>
    </row>
    <row r="456" spans="1:53" ht="15.75" customHeight="1">
      <c r="A456" s="23" t="s">
        <v>29</v>
      </c>
      <c r="B456" s="3" t="s">
        <v>1621</v>
      </c>
      <c r="C456" s="4" t="s">
        <v>1622</v>
      </c>
      <c r="D456" s="7" t="s">
        <v>19</v>
      </c>
      <c r="E456" s="7" t="s">
        <v>20</v>
      </c>
      <c r="F456" s="7" t="s">
        <v>372</v>
      </c>
      <c r="G456" s="7" t="e">
        <f t="shared" ca="1" si="13"/>
        <v>#NAME?</v>
      </c>
      <c r="H456" s="24" t="s">
        <v>152</v>
      </c>
      <c r="I456" s="24" t="s">
        <v>25</v>
      </c>
      <c r="J456" s="7" t="str">
        <f t="shared" si="22"/>
        <v>Não</v>
      </c>
      <c r="K456" s="25">
        <v>44931</v>
      </c>
      <c r="L456" s="7"/>
      <c r="M456" s="7" t="s">
        <v>42</v>
      </c>
      <c r="N456" s="26">
        <v>1.2E-2</v>
      </c>
      <c r="O456" s="7" t="s">
        <v>25</v>
      </c>
      <c r="P456" s="27">
        <v>0</v>
      </c>
      <c r="Q456" s="28"/>
      <c r="R456" s="90"/>
      <c r="S456" s="7" t="s">
        <v>145</v>
      </c>
      <c r="T456" s="7" t="s">
        <v>1620</v>
      </c>
      <c r="U456" s="7" t="s">
        <v>20</v>
      </c>
      <c r="V456" s="24" t="e">
        <f t="shared" ca="1" si="14"/>
        <v>#NAME?</v>
      </c>
      <c r="W456" s="7"/>
      <c r="X456" s="7"/>
      <c r="Y456" s="29" t="s">
        <v>147</v>
      </c>
      <c r="Z456" s="30"/>
      <c r="AA456" s="31">
        <v>44931</v>
      </c>
      <c r="AB456" s="32">
        <v>49075100003327</v>
      </c>
      <c r="AC456" s="30"/>
      <c r="AD456" s="30"/>
      <c r="AE456" s="30"/>
      <c r="AF456" s="30">
        <v>151367.07</v>
      </c>
      <c r="AG456" s="30">
        <v>152610.03</v>
      </c>
      <c r="AH456" s="30">
        <v>154284.45000000001</v>
      </c>
      <c r="AI456" s="30">
        <v>155466.57999999999</v>
      </c>
      <c r="AJ456" s="30">
        <v>157127.4</v>
      </c>
      <c r="AK456" s="30">
        <v>158575.16</v>
      </c>
      <c r="AL456" s="30">
        <v>159926.25</v>
      </c>
      <c r="AM456" s="30">
        <v>161459.68</v>
      </c>
      <c r="AN456" s="30">
        <v>162743.17000000001</v>
      </c>
      <c r="AO456" s="30">
        <v>164169.26</v>
      </c>
      <c r="AP456" s="30">
        <v>165328.85</v>
      </c>
      <c r="AQ456" s="30">
        <v>166608.4</v>
      </c>
      <c r="AR456" s="30">
        <v>166145.88</v>
      </c>
      <c r="AS456" s="30">
        <v>167373.47</v>
      </c>
      <c r="AT456" s="30">
        <v>167672.4</v>
      </c>
      <c r="AU456" s="30">
        <v>168756.9</v>
      </c>
      <c r="AV456" s="30">
        <v>169944.5</v>
      </c>
      <c r="AW456" s="30">
        <v>129053.1</v>
      </c>
      <c r="AX456" s="30">
        <v>130058.8</v>
      </c>
      <c r="AY456" s="30">
        <v>104513.42</v>
      </c>
      <c r="AZ456" s="30">
        <v>101151.43</v>
      </c>
      <c r="BA456" s="30" t="e">
        <f t="array" aca="1" ref="BA456" ca="1">_xludf.XLOOKUP(C456,'PL TOTAL D0'!A:A,'PL TOTAL D0'!C:C,"")</f>
        <v>#NAME?</v>
      </c>
    </row>
    <row r="457" spans="1:53" ht="15.75" customHeight="1">
      <c r="A457" s="23" t="s">
        <v>29</v>
      </c>
      <c r="B457" s="147" t="s">
        <v>1623</v>
      </c>
      <c r="C457" s="148" t="s">
        <v>1624</v>
      </c>
      <c r="D457" s="149" t="s">
        <v>64</v>
      </c>
      <c r="E457" s="149" t="s">
        <v>20</v>
      </c>
      <c r="F457" s="7" t="s">
        <v>489</v>
      </c>
      <c r="G457" s="7" t="e">
        <f t="shared" ca="1" si="13"/>
        <v>#NAME?</v>
      </c>
      <c r="H457" s="150" t="s">
        <v>143</v>
      </c>
      <c r="I457" s="24" t="s">
        <v>25</v>
      </c>
      <c r="J457" s="7" t="str">
        <f t="shared" si="22"/>
        <v>Não</v>
      </c>
      <c r="K457" s="151">
        <v>45125</v>
      </c>
      <c r="L457" s="151">
        <v>45513</v>
      </c>
      <c r="M457" s="149" t="s">
        <v>1007</v>
      </c>
      <c r="N457" s="152">
        <v>8.5000000000000006E-3</v>
      </c>
      <c r="O457" s="149" t="s">
        <v>25</v>
      </c>
      <c r="P457" s="153">
        <v>0</v>
      </c>
      <c r="Q457" s="28"/>
      <c r="R457" s="99" t="s">
        <v>702</v>
      </c>
      <c r="S457" s="149" t="s">
        <v>145</v>
      </c>
      <c r="T457" s="7" t="s">
        <v>1625</v>
      </c>
      <c r="U457" s="149" t="s">
        <v>20</v>
      </c>
      <c r="V457" s="24" t="e">
        <f t="shared" ca="1" si="14"/>
        <v>#NAME?</v>
      </c>
      <c r="W457" s="149"/>
      <c r="X457" s="149"/>
      <c r="Y457" s="154" t="s">
        <v>147</v>
      </c>
      <c r="Z457" s="155"/>
      <c r="AA457" s="156">
        <v>45125</v>
      </c>
      <c r="AB457" s="157">
        <v>49075100006040</v>
      </c>
      <c r="AC457" s="155"/>
      <c r="AD457" s="155"/>
      <c r="AE457" s="155"/>
      <c r="AF457" s="155"/>
      <c r="AG457" s="155"/>
      <c r="AH457" s="155"/>
      <c r="AI457" s="155"/>
      <c r="AJ457" s="155"/>
      <c r="AK457" s="155"/>
      <c r="AL457" s="155">
        <v>1228192.68</v>
      </c>
      <c r="AM457" s="155">
        <v>1243750.43</v>
      </c>
      <c r="AN457" s="30">
        <v>1088497.03</v>
      </c>
      <c r="AO457" s="30">
        <v>187400.79</v>
      </c>
      <c r="AP457" s="30">
        <v>201253.67</v>
      </c>
      <c r="AQ457" s="30">
        <v>223190.6</v>
      </c>
      <c r="AR457" s="30">
        <v>257719.65</v>
      </c>
      <c r="AS457" s="30">
        <v>266094.28000000003</v>
      </c>
      <c r="AT457" s="30">
        <v>283791.34000000003</v>
      </c>
      <c r="AU457" s="30">
        <v>286938.37</v>
      </c>
      <c r="AV457" s="30">
        <v>322392.09999999998</v>
      </c>
      <c r="AW457" s="30">
        <v>352951</v>
      </c>
      <c r="AX457" s="30">
        <v>0</v>
      </c>
      <c r="AY457" s="30">
        <v>0</v>
      </c>
      <c r="AZ457" s="30">
        <v>0</v>
      </c>
      <c r="BA457" s="30" t="e">
        <f t="array" aca="1" ref="BA457" ca="1">_xludf.XLOOKUP(C457,'PL TOTAL D0'!A:A,'PL TOTAL D0'!C:C,"")</f>
        <v>#NAME?</v>
      </c>
    </row>
    <row r="458" spans="1:53" ht="15.75" customHeight="1">
      <c r="A458" s="23" t="s">
        <v>29</v>
      </c>
      <c r="B458" s="3" t="s">
        <v>1626</v>
      </c>
      <c r="C458" s="4" t="s">
        <v>1627</v>
      </c>
      <c r="D458" s="7" t="s">
        <v>19</v>
      </c>
      <c r="E458" s="7" t="s">
        <v>49</v>
      </c>
      <c r="F458" s="7" t="s">
        <v>166</v>
      </c>
      <c r="G458" s="7" t="e">
        <f t="shared" ca="1" si="13"/>
        <v>#NAME?</v>
      </c>
      <c r="H458" s="24" t="s">
        <v>152</v>
      </c>
      <c r="I458" s="24" t="s">
        <v>25</v>
      </c>
      <c r="J458" s="7" t="str">
        <f t="shared" si="22"/>
        <v>Não</v>
      </c>
      <c r="K458" s="25">
        <v>44980</v>
      </c>
      <c r="L458" s="7"/>
      <c r="M458" s="7" t="s">
        <v>200</v>
      </c>
      <c r="N458" s="26">
        <v>1.4999999999999999E-2</v>
      </c>
      <c r="O458" s="7" t="s">
        <v>37</v>
      </c>
      <c r="P458" s="27">
        <v>0.1</v>
      </c>
      <c r="Q458" s="90"/>
      <c r="R458" s="90"/>
      <c r="S458" s="7" t="s">
        <v>145</v>
      </c>
      <c r="T458" s="7" t="s">
        <v>1628</v>
      </c>
      <c r="U458" s="7" t="s">
        <v>49</v>
      </c>
      <c r="V458" s="24" t="e">
        <f t="shared" ca="1" si="14"/>
        <v>#NAME?</v>
      </c>
      <c r="W458" s="7"/>
      <c r="X458" s="7"/>
      <c r="Y458" s="29" t="s">
        <v>147</v>
      </c>
      <c r="Z458" s="30"/>
      <c r="AA458" s="31">
        <v>44980</v>
      </c>
      <c r="AB458" s="32">
        <v>49075100006024</v>
      </c>
      <c r="AC458" s="30"/>
      <c r="AD458" s="30"/>
      <c r="AE458" s="30"/>
      <c r="AF458" s="30">
        <v>0</v>
      </c>
      <c r="AG458" s="30">
        <v>485180.91</v>
      </c>
      <c r="AH458" s="30">
        <v>586527.81000000006</v>
      </c>
      <c r="AI458" s="30">
        <v>589105.09</v>
      </c>
      <c r="AJ458" s="30">
        <v>599462.24</v>
      </c>
      <c r="AK458" s="30">
        <v>623799.05000000005</v>
      </c>
      <c r="AL458" s="30">
        <v>626680.78</v>
      </c>
      <c r="AM458" s="30">
        <v>646739.9</v>
      </c>
      <c r="AN458" s="30">
        <v>677433.36</v>
      </c>
      <c r="AO458" s="30">
        <v>687798.21</v>
      </c>
      <c r="AP458" s="30">
        <v>730790.37</v>
      </c>
      <c r="AQ458" s="30">
        <v>754062.16</v>
      </c>
      <c r="AR458" s="30">
        <v>751642.51</v>
      </c>
      <c r="AS458" s="30">
        <v>789676.27</v>
      </c>
      <c r="AT458" s="30">
        <v>812486.91</v>
      </c>
      <c r="AU458" s="30">
        <v>893064.95</v>
      </c>
      <c r="AV458" s="30">
        <v>916614.3</v>
      </c>
      <c r="AW458" s="30">
        <v>856005.3</v>
      </c>
      <c r="AX458" s="30">
        <v>869336.9</v>
      </c>
      <c r="AY458" s="30">
        <v>906417.99</v>
      </c>
      <c r="AZ458" s="30">
        <v>932105.97</v>
      </c>
      <c r="BA458" s="30" t="e">
        <f t="array" aca="1" ref="BA458" ca="1">_xludf.XLOOKUP(C458,'PL TOTAL D0'!A:A,'PL TOTAL D0'!C:C,"")</f>
        <v>#NAME?</v>
      </c>
    </row>
    <row r="459" spans="1:53" ht="15.75" customHeight="1">
      <c r="A459" s="23" t="s">
        <v>29</v>
      </c>
      <c r="B459" s="3" t="s">
        <v>1629</v>
      </c>
      <c r="C459" s="4" t="s">
        <v>1630</v>
      </c>
      <c r="D459" s="7" t="s">
        <v>19</v>
      </c>
      <c r="E459" s="7" t="s">
        <v>49</v>
      </c>
      <c r="F459" s="7" t="s">
        <v>328</v>
      </c>
      <c r="G459" s="7" t="e">
        <f t="shared" ca="1" si="13"/>
        <v>#NAME?</v>
      </c>
      <c r="H459" s="24" t="s">
        <v>161</v>
      </c>
      <c r="I459" s="24" t="s">
        <v>205</v>
      </c>
      <c r="J459" s="7" t="s">
        <v>181</v>
      </c>
      <c r="K459" s="25">
        <v>45398</v>
      </c>
      <c r="L459" s="7"/>
      <c r="M459" s="7" t="s">
        <v>597</v>
      </c>
      <c r="N459" s="26">
        <v>0</v>
      </c>
      <c r="O459" s="7" t="s">
        <v>25</v>
      </c>
      <c r="P459" s="27">
        <v>0</v>
      </c>
      <c r="Q459" s="90"/>
      <c r="R459" s="90"/>
      <c r="S459" s="7" t="s">
        <v>145</v>
      </c>
      <c r="T459" s="7" t="s">
        <v>1631</v>
      </c>
      <c r="U459" s="7" t="s">
        <v>49</v>
      </c>
      <c r="V459" s="24" t="e">
        <f t="shared" ca="1" si="14"/>
        <v>#NAME?</v>
      </c>
      <c r="W459" s="7"/>
      <c r="X459" s="7"/>
      <c r="Y459" s="29" t="s">
        <v>147</v>
      </c>
      <c r="Z459" s="30"/>
      <c r="AA459" s="31">
        <v>45398</v>
      </c>
      <c r="AB459" s="32">
        <v>49075100014371</v>
      </c>
      <c r="AC459" s="30"/>
      <c r="AD459" s="30"/>
      <c r="AE459" s="30"/>
      <c r="AF459" s="30"/>
      <c r="AG459" s="30"/>
      <c r="AH459" s="30"/>
      <c r="AI459" s="30"/>
      <c r="AJ459" s="30"/>
      <c r="AK459" s="30"/>
      <c r="AL459" s="30"/>
      <c r="AM459" s="30"/>
      <c r="AN459" s="30"/>
      <c r="AO459" s="30"/>
      <c r="AP459" s="30"/>
      <c r="AQ459" s="30"/>
      <c r="AR459" s="30"/>
      <c r="AS459" s="30"/>
      <c r="AT459" s="30"/>
      <c r="AU459" s="30">
        <v>2486551.83</v>
      </c>
      <c r="AV459" s="30">
        <v>2503344</v>
      </c>
      <c r="AW459" s="30">
        <v>776932.2</v>
      </c>
      <c r="AX459" s="30">
        <v>780924.8</v>
      </c>
      <c r="AY459" s="30">
        <v>782305.08</v>
      </c>
      <c r="AZ459" s="30">
        <v>780595.45</v>
      </c>
      <c r="BA459" s="30" t="e">
        <f t="array" aca="1" ref="BA459" ca="1">_xludf.XLOOKUP(C459,'PL TOTAL D0'!A:A,'PL TOTAL D0'!C:C,"")</f>
        <v>#NAME?</v>
      </c>
    </row>
    <row r="460" spans="1:53" ht="15.75" customHeight="1">
      <c r="A460" s="23" t="s">
        <v>29</v>
      </c>
      <c r="B460" s="3" t="s">
        <v>1629</v>
      </c>
      <c r="C460" s="4" t="s">
        <v>1632</v>
      </c>
      <c r="D460" s="7" t="s">
        <v>19</v>
      </c>
      <c r="E460" s="7" t="s">
        <v>49</v>
      </c>
      <c r="F460" s="7" t="s">
        <v>328</v>
      </c>
      <c r="G460" s="7" t="e">
        <f t="shared" ca="1" si="13"/>
        <v>#NAME?</v>
      </c>
      <c r="H460" s="24" t="s">
        <v>152</v>
      </c>
      <c r="I460" s="24" t="s">
        <v>25</v>
      </c>
      <c r="J460" s="7" t="s">
        <v>181</v>
      </c>
      <c r="K460" s="25">
        <v>45432</v>
      </c>
      <c r="L460" s="7"/>
      <c r="M460" s="7" t="s">
        <v>284</v>
      </c>
      <c r="N460" s="26">
        <v>0.01</v>
      </c>
      <c r="O460" s="7" t="s">
        <v>37</v>
      </c>
      <c r="P460" s="27">
        <v>0.1</v>
      </c>
      <c r="Q460" s="90"/>
      <c r="R460" s="90"/>
      <c r="S460" s="7" t="s">
        <v>145</v>
      </c>
      <c r="T460" s="7" t="s">
        <v>1631</v>
      </c>
      <c r="U460" s="7" t="s">
        <v>49</v>
      </c>
      <c r="V460" s="24" t="e">
        <f t="shared" ca="1" si="14"/>
        <v>#NAME?</v>
      </c>
      <c r="W460" s="7"/>
      <c r="X460" s="7"/>
      <c r="Y460" s="29" t="s">
        <v>147</v>
      </c>
      <c r="Z460" s="30"/>
      <c r="AA460" s="31">
        <v>45432</v>
      </c>
      <c r="AB460" s="32">
        <v>49075100014671</v>
      </c>
      <c r="AC460" s="30"/>
      <c r="AD460" s="30"/>
      <c r="AE460" s="30"/>
      <c r="AF460" s="30"/>
      <c r="AG460" s="30"/>
      <c r="AH460" s="30"/>
      <c r="AI460" s="30"/>
      <c r="AJ460" s="30"/>
      <c r="AK460" s="30"/>
      <c r="AL460" s="30"/>
      <c r="AM460" s="30"/>
      <c r="AN460" s="30"/>
      <c r="AO460" s="30"/>
      <c r="AP460" s="30"/>
      <c r="AQ460" s="30"/>
      <c r="AR460" s="30"/>
      <c r="AS460" s="30"/>
      <c r="AT460" s="30"/>
      <c r="AU460" s="30"/>
      <c r="AV460" s="30">
        <v>0</v>
      </c>
      <c r="AW460" s="30">
        <v>85646.61</v>
      </c>
      <c r="AX460" s="30">
        <v>1712514</v>
      </c>
      <c r="AY460" s="30">
        <v>1701313.01</v>
      </c>
      <c r="AZ460" s="30">
        <v>1671115.07</v>
      </c>
      <c r="BA460" s="30" t="e">
        <f t="array" aca="1" ref="BA460" ca="1">_xludf.XLOOKUP(C460,'PL TOTAL D0'!A:A,'PL TOTAL D0'!C:C,"")</f>
        <v>#NAME?</v>
      </c>
    </row>
    <row r="461" spans="1:53" ht="15.75" customHeight="1">
      <c r="A461" s="23" t="s">
        <v>29</v>
      </c>
      <c r="B461" s="3" t="s">
        <v>1633</v>
      </c>
      <c r="C461" s="49" t="s">
        <v>1634</v>
      </c>
      <c r="D461" s="7" t="s">
        <v>19</v>
      </c>
      <c r="E461" s="7" t="s">
        <v>34</v>
      </c>
      <c r="F461" s="7" t="s">
        <v>262</v>
      </c>
      <c r="G461" s="7" t="e">
        <f t="shared" ca="1" si="13"/>
        <v>#NAME?</v>
      </c>
      <c r="H461" s="24" t="s">
        <v>152</v>
      </c>
      <c r="I461" s="24" t="s">
        <v>25</v>
      </c>
      <c r="J461" s="7" t="str">
        <f t="shared" ref="J461:J512" si="23">IF(Q461=0,"Não","Sim")</f>
        <v>Não</v>
      </c>
      <c r="K461" s="25">
        <v>45083</v>
      </c>
      <c r="L461" s="25"/>
      <c r="M461" s="7" t="s">
        <v>200</v>
      </c>
      <c r="N461" s="26">
        <v>1.4999999999999999E-2</v>
      </c>
      <c r="O461" s="7" t="s">
        <v>37</v>
      </c>
      <c r="P461" s="27">
        <v>0.1</v>
      </c>
      <c r="Q461" s="28"/>
      <c r="R461" s="90"/>
      <c r="S461" s="7" t="s">
        <v>145</v>
      </c>
      <c r="T461" s="7" t="s">
        <v>1635</v>
      </c>
      <c r="U461" s="7" t="s">
        <v>60</v>
      </c>
      <c r="V461" s="24" t="e">
        <f t="shared" ca="1" si="14"/>
        <v>#NAME?</v>
      </c>
      <c r="W461" s="7"/>
      <c r="X461" s="7"/>
      <c r="Y461" s="29" t="s">
        <v>433</v>
      </c>
      <c r="Z461" s="30"/>
      <c r="AA461" s="31">
        <v>45083</v>
      </c>
      <c r="AB461" s="32">
        <v>49075100006369</v>
      </c>
      <c r="AC461" s="30"/>
      <c r="AD461" s="30"/>
      <c r="AE461" s="30"/>
      <c r="AF461" s="30"/>
      <c r="AG461" s="30"/>
      <c r="AH461" s="30"/>
      <c r="AI461" s="30"/>
      <c r="AJ461" s="30">
        <v>0</v>
      </c>
      <c r="AK461" s="30">
        <v>10046.26</v>
      </c>
      <c r="AL461" s="30">
        <v>12149.58</v>
      </c>
      <c r="AM461" s="30">
        <v>12266.12</v>
      </c>
      <c r="AN461" s="30">
        <v>17332.09</v>
      </c>
      <c r="AO461" s="30">
        <v>19446.68</v>
      </c>
      <c r="AP461" s="30">
        <v>24301.19</v>
      </c>
      <c r="AQ461" s="30">
        <v>24714.34</v>
      </c>
      <c r="AR461" s="30">
        <v>28424.87</v>
      </c>
      <c r="AS461" s="30">
        <v>30695.79</v>
      </c>
      <c r="AT461" s="30">
        <v>35274.58</v>
      </c>
      <c r="AU461" s="30">
        <v>34989</v>
      </c>
      <c r="AV461" s="30">
        <v>34953.15</v>
      </c>
      <c r="AW461" s="30">
        <v>35146.129999999997</v>
      </c>
      <c r="AX461" s="30">
        <v>36288.58</v>
      </c>
      <c r="AY461" s="30">
        <v>37344.910000000003</v>
      </c>
      <c r="AZ461" s="30">
        <v>38080.26</v>
      </c>
      <c r="BA461" s="30" t="e">
        <f t="array" aca="1" ref="BA461" ca="1">_xludf.XLOOKUP(C461,'PL TOTAL D0'!A:A,'PL TOTAL D0'!C:C,"")</f>
        <v>#NAME?</v>
      </c>
    </row>
    <row r="462" spans="1:53" ht="15.75" customHeight="1">
      <c r="A462" s="23" t="s">
        <v>29</v>
      </c>
      <c r="B462" s="38" t="s">
        <v>1633</v>
      </c>
      <c r="C462" s="55" t="s">
        <v>1636</v>
      </c>
      <c r="D462" s="7" t="s">
        <v>19</v>
      </c>
      <c r="E462" s="7" t="s">
        <v>34</v>
      </c>
      <c r="F462" s="7" t="s">
        <v>262</v>
      </c>
      <c r="G462" s="7" t="e">
        <f t="shared" ca="1" si="13"/>
        <v>#NAME?</v>
      </c>
      <c r="H462" s="24" t="s">
        <v>161</v>
      </c>
      <c r="I462" s="24" t="s">
        <v>162</v>
      </c>
      <c r="J462" s="7" t="str">
        <f t="shared" si="23"/>
        <v>Não</v>
      </c>
      <c r="K462" s="25">
        <v>45364</v>
      </c>
      <c r="L462" s="25"/>
      <c r="M462" s="7" t="s">
        <v>172</v>
      </c>
      <c r="N462" s="26">
        <v>0</v>
      </c>
      <c r="O462" s="7" t="s">
        <v>25</v>
      </c>
      <c r="P462" s="27">
        <v>0</v>
      </c>
      <c r="Q462" s="90"/>
      <c r="R462" s="90"/>
      <c r="S462" s="7" t="s">
        <v>145</v>
      </c>
      <c r="T462" s="7" t="s">
        <v>1635</v>
      </c>
      <c r="U462" s="7" t="s">
        <v>60</v>
      </c>
      <c r="V462" s="24" t="e">
        <f t="shared" ca="1" si="14"/>
        <v>#NAME?</v>
      </c>
      <c r="W462" s="7"/>
      <c r="X462" s="7"/>
      <c r="Y462" s="29" t="s">
        <v>433</v>
      </c>
      <c r="Z462" s="30"/>
      <c r="AA462" s="31">
        <v>45364</v>
      </c>
      <c r="AB462" s="32">
        <v>49075100013837</v>
      </c>
      <c r="AC462" s="30"/>
      <c r="AD462" s="30"/>
      <c r="AE462" s="30"/>
      <c r="AF462" s="30"/>
      <c r="AG462" s="30"/>
      <c r="AH462" s="30"/>
      <c r="AI462" s="30"/>
      <c r="AJ462" s="30"/>
      <c r="AK462" s="30"/>
      <c r="AL462" s="30"/>
      <c r="AM462" s="30"/>
      <c r="AN462" s="30"/>
      <c r="AO462" s="30"/>
      <c r="AP462" s="30"/>
      <c r="AQ462" s="30"/>
      <c r="AR462" s="30"/>
      <c r="AS462" s="30"/>
      <c r="AT462" s="30">
        <v>0</v>
      </c>
      <c r="AU462" s="30">
        <v>0</v>
      </c>
      <c r="AV462" s="30">
        <v>0</v>
      </c>
      <c r="AW462" s="30">
        <v>0</v>
      </c>
      <c r="AX462" s="30">
        <v>0</v>
      </c>
      <c r="AY462" s="30">
        <v>0</v>
      </c>
      <c r="AZ462" s="30">
        <v>0</v>
      </c>
      <c r="BA462" s="30" t="e">
        <f t="array" aca="1" ref="BA462" ca="1">_xludf.XLOOKUP(C462,'PL TOTAL D0'!A:A,'PL TOTAL D0'!C:C,"")</f>
        <v>#NAME?</v>
      </c>
    </row>
    <row r="463" spans="1:53" ht="15.75" customHeight="1">
      <c r="A463" s="23" t="s">
        <v>29</v>
      </c>
      <c r="B463" s="3" t="s">
        <v>1637</v>
      </c>
      <c r="C463" s="4" t="s">
        <v>1638</v>
      </c>
      <c r="D463" s="7" t="s">
        <v>19</v>
      </c>
      <c r="E463" s="7" t="s">
        <v>49</v>
      </c>
      <c r="F463" s="7" t="s">
        <v>50</v>
      </c>
      <c r="G463" s="7" t="e">
        <f t="shared" ca="1" si="13"/>
        <v>#NAME?</v>
      </c>
      <c r="H463" s="24" t="s">
        <v>161</v>
      </c>
      <c r="I463" s="24" t="s">
        <v>162</v>
      </c>
      <c r="J463" s="7" t="str">
        <f t="shared" si="23"/>
        <v>Não</v>
      </c>
      <c r="K463" s="25">
        <v>45014</v>
      </c>
      <c r="L463" s="7"/>
      <c r="M463" s="7" t="s">
        <v>87</v>
      </c>
      <c r="N463" s="26">
        <v>2.5000000000000001E-2</v>
      </c>
      <c r="O463" s="7" t="s">
        <v>183</v>
      </c>
      <c r="P463" s="27">
        <v>0.2</v>
      </c>
      <c r="Q463" s="90"/>
      <c r="R463" s="90"/>
      <c r="S463" s="7" t="s">
        <v>145</v>
      </c>
      <c r="T463" s="7" t="s">
        <v>1639</v>
      </c>
      <c r="U463" s="7" t="s">
        <v>49</v>
      </c>
      <c r="V463" s="24" t="e">
        <f t="shared" ca="1" si="14"/>
        <v>#NAME?</v>
      </c>
      <c r="W463" s="7"/>
      <c r="X463" s="7"/>
      <c r="Y463" s="29" t="s">
        <v>147</v>
      </c>
      <c r="Z463" s="30"/>
      <c r="AA463" s="31">
        <v>45014</v>
      </c>
      <c r="AB463" s="32">
        <v>49075100004005</v>
      </c>
      <c r="AC463" s="30"/>
      <c r="AD463" s="30"/>
      <c r="AE463" s="30"/>
      <c r="AF463" s="30"/>
      <c r="AG463" s="30">
        <v>0</v>
      </c>
      <c r="AH463" s="30">
        <v>1896.74</v>
      </c>
      <c r="AI463" s="30">
        <v>1906.54</v>
      </c>
      <c r="AJ463" s="30">
        <v>1919.93</v>
      </c>
      <c r="AK463" s="30">
        <v>4719.37</v>
      </c>
      <c r="AL463" s="30">
        <v>4760.49</v>
      </c>
      <c r="AM463" s="30">
        <v>4803.8599999999997</v>
      </c>
      <c r="AN463" s="30">
        <v>4633.1899999999996</v>
      </c>
      <c r="AO463" s="30">
        <v>4462.58</v>
      </c>
      <c r="AP463" s="30">
        <v>4746.91</v>
      </c>
      <c r="AQ463" s="30">
        <v>29.77</v>
      </c>
      <c r="AR463" s="30">
        <v>29.77</v>
      </c>
      <c r="AS463" s="30">
        <v>30.02</v>
      </c>
      <c r="AT463" s="30">
        <v>30.02</v>
      </c>
      <c r="AU463" s="30">
        <v>30.02</v>
      </c>
      <c r="AV463" s="30">
        <v>30.02</v>
      </c>
      <c r="AW463" s="30">
        <v>30.02</v>
      </c>
      <c r="AX463" s="30">
        <v>30.02</v>
      </c>
      <c r="AY463" s="30">
        <v>30.02</v>
      </c>
      <c r="AZ463" s="30">
        <v>30.02</v>
      </c>
      <c r="BA463" s="30" t="e">
        <f t="array" aca="1" ref="BA463" ca="1">_xludf.XLOOKUP(C463,'PL TOTAL D0'!A:A,'PL TOTAL D0'!C:C,"")</f>
        <v>#NAME?</v>
      </c>
    </row>
    <row r="464" spans="1:53" ht="15.75" customHeight="1">
      <c r="A464" s="23" t="s">
        <v>29</v>
      </c>
      <c r="B464" s="3" t="s">
        <v>1640</v>
      </c>
      <c r="C464" s="4" t="s">
        <v>1641</v>
      </c>
      <c r="D464" s="7" t="s">
        <v>194</v>
      </c>
      <c r="E464" s="7" t="s">
        <v>20</v>
      </c>
      <c r="F464" s="7" t="s">
        <v>195</v>
      </c>
      <c r="G464" s="7" t="e">
        <f t="shared" ca="1" si="13"/>
        <v>#NAME?</v>
      </c>
      <c r="H464" s="24" t="s">
        <v>152</v>
      </c>
      <c r="I464" s="24" t="s">
        <v>25</v>
      </c>
      <c r="J464" s="7" t="str">
        <f t="shared" si="23"/>
        <v>Não</v>
      </c>
      <c r="K464" s="25">
        <v>45504</v>
      </c>
      <c r="L464" s="7"/>
      <c r="M464" s="7" t="s">
        <v>58</v>
      </c>
      <c r="N464" s="26">
        <v>1.2E-2</v>
      </c>
      <c r="O464" s="7" t="s">
        <v>25</v>
      </c>
      <c r="P464" s="27">
        <v>0</v>
      </c>
      <c r="Q464" s="90"/>
      <c r="R464" s="90"/>
      <c r="S464" s="7" t="s">
        <v>145</v>
      </c>
      <c r="T464" s="7" t="s">
        <v>1642</v>
      </c>
      <c r="U464" s="7" t="s">
        <v>20</v>
      </c>
      <c r="V464" s="24" t="e">
        <f t="shared" ca="1" si="14"/>
        <v>#NAME?</v>
      </c>
      <c r="W464" s="7"/>
      <c r="X464" s="7" t="s">
        <v>40</v>
      </c>
      <c r="Y464" s="29" t="s">
        <v>147</v>
      </c>
      <c r="Z464" s="30"/>
      <c r="AA464" s="31">
        <v>45504</v>
      </c>
      <c r="AB464" s="32">
        <v>49075100015457</v>
      </c>
      <c r="AC464" s="30"/>
      <c r="AD464" s="30"/>
      <c r="AE464" s="30"/>
      <c r="AF464" s="30"/>
      <c r="AG464" s="30"/>
      <c r="AH464" s="30"/>
      <c r="AI464" s="30"/>
      <c r="AJ464" s="30"/>
      <c r="AK464" s="30"/>
      <c r="AL464" s="30"/>
      <c r="AM464" s="30"/>
      <c r="AN464" s="30"/>
      <c r="AO464" s="30"/>
      <c r="AP464" s="30"/>
      <c r="AQ464" s="30"/>
      <c r="AR464" s="30"/>
      <c r="AS464" s="30"/>
      <c r="AT464" s="30"/>
      <c r="AU464" s="30"/>
      <c r="AV464" s="30"/>
      <c r="AW464" s="30"/>
      <c r="AX464" s="30">
        <v>109060.7</v>
      </c>
      <c r="AY464" s="30">
        <v>153694.51999999999</v>
      </c>
      <c r="AZ464" s="30">
        <v>206505.02</v>
      </c>
      <c r="BA464" s="30" t="e">
        <f t="array" aca="1" ref="BA464" ca="1">_xludf.XLOOKUP(C464,'PL TOTAL D0'!A:A,'PL TOTAL D0'!C:C,"")</f>
        <v>#NAME?</v>
      </c>
    </row>
    <row r="465" spans="1:53" ht="15.75" customHeight="1">
      <c r="A465" s="23" t="s">
        <v>29</v>
      </c>
      <c r="B465" s="3" t="s">
        <v>1643</v>
      </c>
      <c r="C465" s="4" t="s">
        <v>1644</v>
      </c>
      <c r="D465" s="7" t="s">
        <v>19</v>
      </c>
      <c r="E465" s="7" t="s">
        <v>49</v>
      </c>
      <c r="F465" s="7" t="s">
        <v>328</v>
      </c>
      <c r="G465" s="7" t="e">
        <f t="shared" ca="1" si="13"/>
        <v>#NAME?</v>
      </c>
      <c r="H465" s="24" t="s">
        <v>152</v>
      </c>
      <c r="I465" s="24" t="s">
        <v>25</v>
      </c>
      <c r="J465" s="7" t="str">
        <f t="shared" si="23"/>
        <v>Não</v>
      </c>
      <c r="K465" s="25">
        <v>44974</v>
      </c>
      <c r="L465" s="7"/>
      <c r="M465" s="7" t="s">
        <v>42</v>
      </c>
      <c r="N465" s="26">
        <v>1.2E-2</v>
      </c>
      <c r="O465" s="7" t="s">
        <v>25</v>
      </c>
      <c r="P465" s="27">
        <v>0</v>
      </c>
      <c r="Q465" s="28"/>
      <c r="R465" s="28"/>
      <c r="S465" s="7" t="s">
        <v>145</v>
      </c>
      <c r="T465" s="7" t="s">
        <v>1645</v>
      </c>
      <c r="U465" s="7" t="s">
        <v>49</v>
      </c>
      <c r="V465" s="24" t="e">
        <f t="shared" ca="1" si="14"/>
        <v>#NAME?</v>
      </c>
      <c r="W465" s="7"/>
      <c r="X465" s="7"/>
      <c r="Y465" s="29" t="s">
        <v>253</v>
      </c>
      <c r="Z465" s="30"/>
      <c r="AA465" s="31">
        <v>44974</v>
      </c>
      <c r="AB465" s="32">
        <v>49075100006032</v>
      </c>
      <c r="AC465" s="30"/>
      <c r="AD465" s="30"/>
      <c r="AE465" s="30"/>
      <c r="AF465" s="30">
        <v>0</v>
      </c>
      <c r="AG465" s="30">
        <v>100035.14</v>
      </c>
      <c r="AH465" s="30">
        <v>101119.41</v>
      </c>
      <c r="AI465" s="30">
        <v>101836.34</v>
      </c>
      <c r="AJ465" s="30">
        <v>102906.88</v>
      </c>
      <c r="AK465" s="30">
        <v>103590.46</v>
      </c>
      <c r="AL465" s="30">
        <v>104499.45</v>
      </c>
      <c r="AM465" s="30">
        <v>105466.81</v>
      </c>
      <c r="AN465" s="30">
        <v>106326.76</v>
      </c>
      <c r="AO465" s="30">
        <v>107291.03</v>
      </c>
      <c r="AP465" s="30">
        <v>108038.36</v>
      </c>
      <c r="AQ465" s="30">
        <v>108875.23</v>
      </c>
      <c r="AR465" s="30">
        <v>130026.38</v>
      </c>
      <c r="AS465" s="30">
        <v>131005.55</v>
      </c>
      <c r="AT465" s="30">
        <v>131805.24</v>
      </c>
      <c r="AU465" s="30">
        <v>132837.94</v>
      </c>
      <c r="AV465" s="30">
        <v>133852</v>
      </c>
      <c r="AW465" s="30">
        <v>134865.4</v>
      </c>
      <c r="AX465" s="30">
        <v>134851.70000000001</v>
      </c>
      <c r="AY465" s="30">
        <v>135407.79999999999</v>
      </c>
      <c r="AZ465" s="30">
        <v>136415.96</v>
      </c>
      <c r="BA465" s="30" t="e">
        <f t="array" aca="1" ref="BA465" ca="1">_xludf.XLOOKUP(C465,'PL TOTAL D0'!A:A,'PL TOTAL D0'!C:C,"")</f>
        <v>#NAME?</v>
      </c>
    </row>
    <row r="466" spans="1:53" ht="15.75" customHeight="1">
      <c r="A466" s="23" t="s">
        <v>29</v>
      </c>
      <c r="B466" s="3" t="s">
        <v>1646</v>
      </c>
      <c r="C466" s="4" t="s">
        <v>1647</v>
      </c>
      <c r="D466" s="7" t="s">
        <v>19</v>
      </c>
      <c r="E466" s="7" t="s">
        <v>49</v>
      </c>
      <c r="F466" s="7" t="s">
        <v>328</v>
      </c>
      <c r="G466" s="7" t="e">
        <f t="shared" ca="1" si="13"/>
        <v>#NAME?</v>
      </c>
      <c r="H466" s="24" t="s">
        <v>152</v>
      </c>
      <c r="I466" s="24" t="s">
        <v>25</v>
      </c>
      <c r="J466" s="7" t="str">
        <f t="shared" si="23"/>
        <v>Sim</v>
      </c>
      <c r="K466" s="25">
        <v>45560</v>
      </c>
      <c r="L466" s="7"/>
      <c r="M466" s="7" t="s">
        <v>42</v>
      </c>
      <c r="N466" s="26">
        <v>1.2E-2</v>
      </c>
      <c r="O466" s="7" t="s">
        <v>25</v>
      </c>
      <c r="P466" s="27">
        <v>0</v>
      </c>
      <c r="Q466" s="28" t="s">
        <v>1648</v>
      </c>
      <c r="R466" s="28"/>
      <c r="S466" s="7" t="s">
        <v>145</v>
      </c>
      <c r="T466" s="7" t="s">
        <v>1649</v>
      </c>
      <c r="U466" s="7" t="s">
        <v>802</v>
      </c>
      <c r="V466" s="24" t="e">
        <f t="shared" ca="1" si="14"/>
        <v>#NAME?</v>
      </c>
      <c r="W466" s="7"/>
      <c r="X466" s="7" t="s">
        <v>52</v>
      </c>
      <c r="Y466" s="29"/>
      <c r="Z466" s="30"/>
      <c r="AA466" s="30"/>
      <c r="AB466" s="32"/>
      <c r="AC466" s="30"/>
      <c r="AD466" s="30"/>
      <c r="AE466" s="30"/>
      <c r="AF466" s="30"/>
      <c r="AG466" s="30"/>
      <c r="AH466" s="30"/>
      <c r="AI466" s="30"/>
      <c r="AJ466" s="30"/>
      <c r="AK466" s="30"/>
      <c r="AL466" s="30"/>
      <c r="AM466" s="30"/>
      <c r="AN466" s="30"/>
      <c r="AO466" s="30"/>
      <c r="AP466" s="30"/>
      <c r="AQ466" s="30"/>
      <c r="AR466" s="30"/>
      <c r="AS466" s="30"/>
      <c r="AT466" s="30"/>
      <c r="AU466" s="30"/>
      <c r="AV466" s="30"/>
      <c r="AW466" s="30"/>
      <c r="AX466" s="30"/>
      <c r="AY466" s="30"/>
      <c r="AZ466" s="30">
        <v>50</v>
      </c>
      <c r="BA466" s="30" t="e">
        <f t="array" aca="1" ref="BA466" ca="1">_xludf.XLOOKUP(C466,'PL TOTAL D0'!A:A,'PL TOTAL D0'!C:C,"")</f>
        <v>#NAME?</v>
      </c>
    </row>
    <row r="467" spans="1:53" ht="15.75" customHeight="1">
      <c r="A467" s="23" t="s">
        <v>29</v>
      </c>
      <c r="B467" s="3" t="s">
        <v>1650</v>
      </c>
      <c r="C467" s="4" t="s">
        <v>1651</v>
      </c>
      <c r="D467" s="7" t="s">
        <v>19</v>
      </c>
      <c r="E467" s="7" t="s">
        <v>20</v>
      </c>
      <c r="F467" s="7" t="s">
        <v>269</v>
      </c>
      <c r="G467" s="7" t="e">
        <f t="shared" ca="1" si="13"/>
        <v>#NAME?</v>
      </c>
      <c r="H467" s="24" t="s">
        <v>152</v>
      </c>
      <c r="I467" s="24" t="s">
        <v>25</v>
      </c>
      <c r="J467" s="7" t="str">
        <f t="shared" si="23"/>
        <v>Não</v>
      </c>
      <c r="K467" s="25">
        <v>45348</v>
      </c>
      <c r="L467" s="7"/>
      <c r="M467" s="7" t="s">
        <v>200</v>
      </c>
      <c r="N467" s="26">
        <v>1.6E-2</v>
      </c>
      <c r="O467" s="7" t="s">
        <v>37</v>
      </c>
      <c r="P467" s="27">
        <v>0.2</v>
      </c>
      <c r="Q467" s="28"/>
      <c r="R467" s="28"/>
      <c r="S467" s="7" t="s">
        <v>145</v>
      </c>
      <c r="T467" s="7" t="s">
        <v>1652</v>
      </c>
      <c r="U467" s="7" t="s">
        <v>60</v>
      </c>
      <c r="V467" s="24" t="e">
        <f t="shared" ca="1" si="14"/>
        <v>#NAME?</v>
      </c>
      <c r="W467" s="7"/>
      <c r="X467" s="7"/>
      <c r="Y467" s="29" t="s">
        <v>147</v>
      </c>
      <c r="Z467" s="30"/>
      <c r="AA467" s="31">
        <v>45348</v>
      </c>
      <c r="AB467" s="32">
        <v>49075100013373</v>
      </c>
      <c r="AC467" s="30"/>
      <c r="AD467" s="30"/>
      <c r="AE467" s="30"/>
      <c r="AF467" s="30"/>
      <c r="AG467" s="30"/>
      <c r="AH467" s="30"/>
      <c r="AI467" s="30"/>
      <c r="AJ467" s="30"/>
      <c r="AK467" s="30"/>
      <c r="AL467" s="30"/>
      <c r="AM467" s="30"/>
      <c r="AN467" s="30"/>
      <c r="AO467" s="30"/>
      <c r="AP467" s="30"/>
      <c r="AQ467" s="30"/>
      <c r="AR467" s="30"/>
      <c r="AS467" s="30">
        <v>325808.13</v>
      </c>
      <c r="AT467" s="30">
        <v>327583.28000000003</v>
      </c>
      <c r="AU467" s="30">
        <v>323740.89</v>
      </c>
      <c r="AV467" s="30">
        <v>324453.2</v>
      </c>
      <c r="AW467" s="30">
        <v>313108.7</v>
      </c>
      <c r="AX467" s="30">
        <v>318480.7</v>
      </c>
      <c r="AY467" s="30">
        <v>0</v>
      </c>
      <c r="AZ467" s="30">
        <v>0</v>
      </c>
      <c r="BA467" s="30" t="e">
        <f t="array" aca="1" ref="BA467" ca="1">_xludf.XLOOKUP(C467,'PL TOTAL D0'!A:A,'PL TOTAL D0'!C:C,"")</f>
        <v>#NAME?</v>
      </c>
    </row>
    <row r="468" spans="1:53" ht="15.75" customHeight="1">
      <c r="A468" s="23" t="s">
        <v>29</v>
      </c>
      <c r="B468" s="3" t="s">
        <v>1653</v>
      </c>
      <c r="C468" s="4" t="s">
        <v>1654</v>
      </c>
      <c r="D468" s="7" t="s">
        <v>64</v>
      </c>
      <c r="E468" s="7" t="s">
        <v>20</v>
      </c>
      <c r="F468" s="7" t="s">
        <v>142</v>
      </c>
      <c r="G468" s="7" t="e">
        <f t="shared" ca="1" si="13"/>
        <v>#NAME?</v>
      </c>
      <c r="H468" s="24" t="s">
        <v>161</v>
      </c>
      <c r="I468" s="24" t="s">
        <v>211</v>
      </c>
      <c r="J468" s="7" t="str">
        <f t="shared" si="23"/>
        <v>Não</v>
      </c>
      <c r="K468" s="25">
        <v>45125</v>
      </c>
      <c r="L468" s="7"/>
      <c r="M468" s="7" t="s">
        <v>42</v>
      </c>
      <c r="N468" s="26">
        <v>7.0000000000000001E-3</v>
      </c>
      <c r="O468" s="7" t="s">
        <v>25</v>
      </c>
      <c r="P468" s="27">
        <v>0</v>
      </c>
      <c r="Q468" s="28"/>
      <c r="R468" s="28"/>
      <c r="S468" s="7" t="s">
        <v>145</v>
      </c>
      <c r="T468" s="7" t="s">
        <v>1655</v>
      </c>
      <c r="U468" s="7" t="s">
        <v>1656</v>
      </c>
      <c r="V468" s="24" t="e">
        <f t="shared" ca="1" si="14"/>
        <v>#NAME?</v>
      </c>
      <c r="W468" s="7"/>
      <c r="X468" s="7"/>
      <c r="Y468" s="29" t="s">
        <v>147</v>
      </c>
      <c r="Z468" s="30"/>
      <c r="AA468" s="31">
        <v>45125</v>
      </c>
      <c r="AB468" s="32">
        <v>49075100003701</v>
      </c>
      <c r="AC468" s="30"/>
      <c r="AD468" s="30"/>
      <c r="AE468" s="30"/>
      <c r="AF468" s="30"/>
      <c r="AG468" s="30"/>
      <c r="AH468" s="30"/>
      <c r="AI468" s="30"/>
      <c r="AJ468" s="30"/>
      <c r="AK468" s="30"/>
      <c r="AL468" s="30">
        <v>137980.07999999999</v>
      </c>
      <c r="AM468" s="30">
        <v>138571.70000000001</v>
      </c>
      <c r="AN468" s="30">
        <v>139252.64000000001</v>
      </c>
      <c r="AO468" s="30">
        <v>140187.42000000001</v>
      </c>
      <c r="AP468" s="30">
        <v>125068.1</v>
      </c>
      <c r="AQ468" s="30">
        <v>115222.75</v>
      </c>
      <c r="AR468" s="30">
        <v>102160.26</v>
      </c>
      <c r="AS468" s="30">
        <v>91325.16</v>
      </c>
      <c r="AT468" s="30">
        <v>74212.899999999994</v>
      </c>
      <c r="AU468" s="30">
        <v>71225.990000000005</v>
      </c>
      <c r="AV468" s="30">
        <v>68227.62</v>
      </c>
      <c r="AW468" s="30">
        <v>68999.37</v>
      </c>
      <c r="AX468" s="30">
        <v>69534.69</v>
      </c>
      <c r="AY468" s="30">
        <v>0</v>
      </c>
      <c r="AZ468" s="30">
        <v>0</v>
      </c>
      <c r="BA468" s="30" t="e">
        <f t="array" aca="1" ref="BA468" ca="1">_xludf.XLOOKUP(C468,'PL TOTAL D0'!A:A,'PL TOTAL D0'!C:C,"")</f>
        <v>#NAME?</v>
      </c>
    </row>
    <row r="469" spans="1:53" ht="15.75" customHeight="1">
      <c r="A469" s="23" t="s">
        <v>29</v>
      </c>
      <c r="B469" s="3" t="s">
        <v>1657</v>
      </c>
      <c r="C469" s="4" t="s">
        <v>1658</v>
      </c>
      <c r="D469" s="7" t="s">
        <v>64</v>
      </c>
      <c r="E469" s="7" t="s">
        <v>20</v>
      </c>
      <c r="F469" s="7" t="s">
        <v>204</v>
      </c>
      <c r="G469" s="7" t="e">
        <f t="shared" ca="1" si="13"/>
        <v>#NAME?</v>
      </c>
      <c r="H469" s="24" t="s">
        <v>161</v>
      </c>
      <c r="I469" s="24" t="s">
        <v>205</v>
      </c>
      <c r="J469" s="7" t="str">
        <f t="shared" si="23"/>
        <v>Não</v>
      </c>
      <c r="K469" s="25">
        <v>45450</v>
      </c>
      <c r="L469" s="7"/>
      <c r="M469" s="7" t="s">
        <v>31</v>
      </c>
      <c r="N469" s="26">
        <v>3.0000000000000001E-3</v>
      </c>
      <c r="O469" s="7" t="s">
        <v>25</v>
      </c>
      <c r="P469" s="27">
        <v>0</v>
      </c>
      <c r="Q469" s="28"/>
      <c r="R469" s="28"/>
      <c r="S469" s="7" t="s">
        <v>145</v>
      </c>
      <c r="T469" s="7" t="s">
        <v>1659</v>
      </c>
      <c r="U469" s="7" t="s">
        <v>46</v>
      </c>
      <c r="V469" s="24" t="e">
        <f t="shared" ca="1" si="14"/>
        <v>#NAME?</v>
      </c>
      <c r="W469" s="7"/>
      <c r="X469" s="7" t="s">
        <v>40</v>
      </c>
      <c r="Y469" s="29" t="s">
        <v>147</v>
      </c>
      <c r="Z469" s="30"/>
      <c r="AA469" s="31">
        <v>45450</v>
      </c>
      <c r="AB469" s="32">
        <v>49075100014851</v>
      </c>
      <c r="AC469" s="30"/>
      <c r="AD469" s="30"/>
      <c r="AE469" s="30"/>
      <c r="AF469" s="30"/>
      <c r="AG469" s="30"/>
      <c r="AH469" s="30"/>
      <c r="AI469" s="30"/>
      <c r="AJ469" s="30"/>
      <c r="AK469" s="30"/>
      <c r="AL469" s="30"/>
      <c r="AM469" s="30"/>
      <c r="AN469" s="30"/>
      <c r="AO469" s="30"/>
      <c r="AP469" s="30"/>
      <c r="AQ469" s="30"/>
      <c r="AR469" s="30"/>
      <c r="AS469" s="30"/>
      <c r="AT469" s="30"/>
      <c r="AU469" s="30"/>
      <c r="AV469" s="30"/>
      <c r="AW469" s="30">
        <v>0</v>
      </c>
      <c r="AX469" s="30">
        <v>0</v>
      </c>
      <c r="AY469" s="30">
        <v>0</v>
      </c>
      <c r="AZ469" s="30">
        <v>0</v>
      </c>
      <c r="BA469" s="30" t="e">
        <f t="array" aca="1" ref="BA469" ca="1">_xludf.XLOOKUP(C469,'PL TOTAL D0'!A:A,'PL TOTAL D0'!C:C,"")</f>
        <v>#NAME?</v>
      </c>
    </row>
    <row r="470" spans="1:53" ht="15.75" customHeight="1">
      <c r="A470" s="23" t="s">
        <v>29</v>
      </c>
      <c r="B470" s="40" t="s">
        <v>1660</v>
      </c>
      <c r="C470" s="44" t="s">
        <v>1661</v>
      </c>
      <c r="D470" s="7" t="s">
        <v>19</v>
      </c>
      <c r="E470" s="7" t="s">
        <v>20</v>
      </c>
      <c r="F470" s="7" t="s">
        <v>800</v>
      </c>
      <c r="G470" s="7" t="e">
        <f t="shared" ca="1" si="13"/>
        <v>#NAME?</v>
      </c>
      <c r="H470" s="24" t="s">
        <v>161</v>
      </c>
      <c r="I470" s="24" t="s">
        <v>162</v>
      </c>
      <c r="J470" s="7" t="str">
        <f t="shared" si="23"/>
        <v>Não</v>
      </c>
      <c r="K470" s="25">
        <v>45229</v>
      </c>
      <c r="L470" s="7"/>
      <c r="M470" s="7" t="s">
        <v>58</v>
      </c>
      <c r="N470" s="26">
        <v>1.2E-2</v>
      </c>
      <c r="O470" s="7" t="s">
        <v>37</v>
      </c>
      <c r="P470" s="27">
        <v>0.1</v>
      </c>
      <c r="Q470" s="28"/>
      <c r="R470" s="28"/>
      <c r="S470" s="7" t="s">
        <v>145</v>
      </c>
      <c r="T470" s="7" t="s">
        <v>1662</v>
      </c>
      <c r="U470" s="7" t="s">
        <v>20</v>
      </c>
      <c r="V470" s="24" t="e">
        <f t="shared" ca="1" si="14"/>
        <v>#NAME?</v>
      </c>
      <c r="W470" s="7"/>
      <c r="X470" s="7"/>
      <c r="Y470" s="29" t="s">
        <v>147</v>
      </c>
      <c r="Z470" s="30"/>
      <c r="AA470" s="31">
        <v>45229</v>
      </c>
      <c r="AB470" s="32">
        <v>49075100012571</v>
      </c>
      <c r="AC470" s="30"/>
      <c r="AD470" s="30"/>
      <c r="AE470" s="30"/>
      <c r="AF470" s="30"/>
      <c r="AG470" s="30"/>
      <c r="AH470" s="30"/>
      <c r="AI470" s="30"/>
      <c r="AJ470" s="30"/>
      <c r="AK470" s="30"/>
      <c r="AL470" s="30"/>
      <c r="AM470" s="30"/>
      <c r="AN470" s="30"/>
      <c r="AO470" s="30">
        <v>0</v>
      </c>
      <c r="AP470" s="30">
        <v>137488.4</v>
      </c>
      <c r="AQ470" s="30">
        <v>139051.6</v>
      </c>
      <c r="AR470" s="30">
        <v>139785.26999999999</v>
      </c>
      <c r="AS470" s="30">
        <v>140349</v>
      </c>
      <c r="AT470" s="30">
        <v>141659.22</v>
      </c>
      <c r="AU470" s="30">
        <v>141206.35</v>
      </c>
      <c r="AV470" s="30">
        <v>141304.29999999999</v>
      </c>
      <c r="AW470" s="30">
        <v>142035.20000000001</v>
      </c>
      <c r="AX470" s="30">
        <v>105.35</v>
      </c>
      <c r="AY470" s="30">
        <v>106.84</v>
      </c>
      <c r="AZ470" s="30">
        <v>106.84</v>
      </c>
      <c r="BA470" s="30" t="e">
        <f t="array" aca="1" ref="BA470" ca="1">_xludf.XLOOKUP(C470,'PL TOTAL D0'!A:A,'PL TOTAL D0'!C:C,"")</f>
        <v>#NAME?</v>
      </c>
    </row>
    <row r="471" spans="1:53" ht="15.75" customHeight="1">
      <c r="A471" s="23" t="s">
        <v>29</v>
      </c>
      <c r="B471" s="3" t="s">
        <v>1663</v>
      </c>
      <c r="C471" s="4" t="s">
        <v>1664</v>
      </c>
      <c r="D471" s="7" t="s">
        <v>19</v>
      </c>
      <c r="E471" s="7" t="s">
        <v>49</v>
      </c>
      <c r="F471" s="7" t="s">
        <v>166</v>
      </c>
      <c r="G471" s="7" t="e">
        <f t="shared" ca="1" si="13"/>
        <v>#NAME?</v>
      </c>
      <c r="H471" s="24" t="s">
        <v>143</v>
      </c>
      <c r="I471" s="24" t="s">
        <v>25</v>
      </c>
      <c r="J471" s="7" t="str">
        <f t="shared" si="23"/>
        <v>Não</v>
      </c>
      <c r="K471" s="25">
        <v>44987</v>
      </c>
      <c r="L471" s="25">
        <v>45181</v>
      </c>
      <c r="M471" s="7" t="s">
        <v>42</v>
      </c>
      <c r="N471" s="26">
        <v>7.0000000000000001E-3</v>
      </c>
      <c r="O471" s="7" t="s">
        <v>25</v>
      </c>
      <c r="P471" s="27">
        <v>0</v>
      </c>
      <c r="Q471" s="28"/>
      <c r="R471" s="28" t="s">
        <v>1665</v>
      </c>
      <c r="S471" s="7" t="s">
        <v>145</v>
      </c>
      <c r="T471" s="7" t="s">
        <v>1666</v>
      </c>
      <c r="U471" s="7" t="s">
        <v>49</v>
      </c>
      <c r="V471" s="24" t="e">
        <f t="shared" ca="1" si="14"/>
        <v>#NAME?</v>
      </c>
      <c r="W471" s="7"/>
      <c r="X471" s="7"/>
      <c r="Y471" s="29"/>
      <c r="Z471" s="30"/>
      <c r="AA471" s="31">
        <v>44987</v>
      </c>
      <c r="AB471" s="32"/>
      <c r="AC471" s="30"/>
      <c r="AD471" s="30"/>
      <c r="AE471" s="30"/>
      <c r="AF471" s="30">
        <v>0</v>
      </c>
      <c r="AG471" s="30">
        <v>60000</v>
      </c>
      <c r="AH471" s="30">
        <v>102534</v>
      </c>
      <c r="AI471" s="30">
        <v>153405.6</v>
      </c>
      <c r="AJ471" s="30">
        <v>157716.82999999999</v>
      </c>
      <c r="AK471" s="30">
        <v>270708.34000000003</v>
      </c>
      <c r="AL471" s="30">
        <v>314906.03999999998</v>
      </c>
      <c r="AM471" s="30">
        <v>338203.14</v>
      </c>
      <c r="AN471" s="30">
        <v>0</v>
      </c>
      <c r="AO471" s="30">
        <v>0</v>
      </c>
      <c r="AP471" s="30">
        <v>0</v>
      </c>
      <c r="AQ471" s="30">
        <v>0</v>
      </c>
      <c r="AR471" s="30">
        <v>0</v>
      </c>
      <c r="AS471" s="30">
        <v>0</v>
      </c>
      <c r="AT471" s="30">
        <v>0</v>
      </c>
      <c r="AU471" s="30">
        <v>0</v>
      </c>
      <c r="AV471" s="30">
        <v>0</v>
      </c>
      <c r="AW471" s="30">
        <v>0</v>
      </c>
      <c r="AX471" s="30">
        <v>0</v>
      </c>
      <c r="AY471" s="30">
        <v>0</v>
      </c>
      <c r="AZ471" s="30">
        <v>0</v>
      </c>
      <c r="BA471" s="30" t="e">
        <f t="array" aca="1" ref="BA471" ca="1">_xludf.XLOOKUP(C471,'PL TOTAL D0'!A:A,'PL TOTAL D0'!C:C,"")</f>
        <v>#NAME?</v>
      </c>
    </row>
    <row r="472" spans="1:53" ht="15.75" customHeight="1">
      <c r="A472" s="23" t="s">
        <v>29</v>
      </c>
      <c r="B472" s="3" t="s">
        <v>1663</v>
      </c>
      <c r="C472" s="4" t="s">
        <v>1667</v>
      </c>
      <c r="D472" s="7" t="s">
        <v>19</v>
      </c>
      <c r="E472" s="7" t="s">
        <v>49</v>
      </c>
      <c r="F472" s="7" t="s">
        <v>166</v>
      </c>
      <c r="G472" s="7" t="e">
        <f t="shared" ca="1" si="13"/>
        <v>#NAME?</v>
      </c>
      <c r="H472" s="24" t="s">
        <v>143</v>
      </c>
      <c r="I472" s="24" t="s">
        <v>25</v>
      </c>
      <c r="J472" s="7" t="str">
        <f t="shared" si="23"/>
        <v>Não</v>
      </c>
      <c r="K472" s="25">
        <v>45163</v>
      </c>
      <c r="L472" s="25">
        <v>45182</v>
      </c>
      <c r="M472" s="7" t="s">
        <v>42</v>
      </c>
      <c r="N472" s="26">
        <v>7.0000000000000001E-3</v>
      </c>
      <c r="O472" s="7" t="s">
        <v>25</v>
      </c>
      <c r="P472" s="27">
        <v>0</v>
      </c>
      <c r="Q472" s="28"/>
      <c r="R472" s="28" t="s">
        <v>1665</v>
      </c>
      <c r="S472" s="7" t="s">
        <v>145</v>
      </c>
      <c r="T472" s="7" t="s">
        <v>1666</v>
      </c>
      <c r="U472" s="7" t="s">
        <v>49</v>
      </c>
      <c r="V472" s="24" t="e">
        <f t="shared" ca="1" si="14"/>
        <v>#NAME?</v>
      </c>
      <c r="W472" s="7"/>
      <c r="X472" s="7"/>
      <c r="Y472" s="29"/>
      <c r="Z472" s="30"/>
      <c r="AA472" s="31">
        <v>45163</v>
      </c>
      <c r="AB472" s="32"/>
      <c r="AC472" s="30"/>
      <c r="AD472" s="30"/>
      <c r="AE472" s="30"/>
      <c r="AF472" s="30">
        <v>0</v>
      </c>
      <c r="AG472" s="30">
        <v>0</v>
      </c>
      <c r="AH472" s="30">
        <v>0</v>
      </c>
      <c r="AI472" s="30">
        <v>0</v>
      </c>
      <c r="AJ472" s="30">
        <v>0</v>
      </c>
      <c r="AK472" s="30">
        <v>0</v>
      </c>
      <c r="AL472" s="30">
        <v>0</v>
      </c>
      <c r="AM472" s="30">
        <v>0</v>
      </c>
      <c r="AN472" s="30">
        <v>0</v>
      </c>
      <c r="AO472" s="30">
        <v>0</v>
      </c>
      <c r="AP472" s="30">
        <v>0</v>
      </c>
      <c r="AQ472" s="30">
        <v>0</v>
      </c>
      <c r="AR472" s="30">
        <v>0</v>
      </c>
      <c r="AS472" s="30">
        <v>0</v>
      </c>
      <c r="AT472" s="30">
        <v>0</v>
      </c>
      <c r="AU472" s="30">
        <v>0</v>
      </c>
      <c r="AV472" s="30">
        <v>0</v>
      </c>
      <c r="AW472" s="30">
        <v>0</v>
      </c>
      <c r="AX472" s="30">
        <v>0</v>
      </c>
      <c r="AY472" s="30">
        <v>0</v>
      </c>
      <c r="AZ472" s="30">
        <v>0</v>
      </c>
      <c r="BA472" s="30" t="e">
        <f t="array" aca="1" ref="BA472" ca="1">_xludf.XLOOKUP(C472,'PL TOTAL D0'!A:A,'PL TOTAL D0'!C:C,"")</f>
        <v>#NAME?</v>
      </c>
    </row>
    <row r="473" spans="1:53" ht="15.75" customHeight="1">
      <c r="A473" s="23" t="s">
        <v>29</v>
      </c>
      <c r="B473" s="3" t="s">
        <v>1668</v>
      </c>
      <c r="C473" s="4" t="s">
        <v>1669</v>
      </c>
      <c r="D473" s="7" t="s">
        <v>19</v>
      </c>
      <c r="E473" s="7" t="s">
        <v>20</v>
      </c>
      <c r="F473" s="7" t="s">
        <v>942</v>
      </c>
      <c r="G473" s="7" t="e">
        <f t="shared" ca="1" si="13"/>
        <v>#NAME?</v>
      </c>
      <c r="H473" s="24" t="s">
        <v>143</v>
      </c>
      <c r="I473" s="24" t="s">
        <v>25</v>
      </c>
      <c r="J473" s="7" t="str">
        <f t="shared" si="23"/>
        <v>Não</v>
      </c>
      <c r="K473" s="25">
        <v>45155</v>
      </c>
      <c r="L473" s="25">
        <v>45513</v>
      </c>
      <c r="M473" s="7" t="s">
        <v>42</v>
      </c>
      <c r="N473" s="26">
        <v>7.0000000000000001E-3</v>
      </c>
      <c r="O473" s="7" t="s">
        <v>25</v>
      </c>
      <c r="P473" s="27">
        <v>0</v>
      </c>
      <c r="Q473" s="28"/>
      <c r="R473" s="28" t="s">
        <v>1670</v>
      </c>
      <c r="S473" s="7" t="s">
        <v>145</v>
      </c>
      <c r="T473" s="7" t="s">
        <v>1671</v>
      </c>
      <c r="U473" s="7" t="s">
        <v>20</v>
      </c>
      <c r="V473" s="24" t="e">
        <f t="shared" ca="1" si="14"/>
        <v>#NAME?</v>
      </c>
      <c r="W473" s="7"/>
      <c r="X473" s="7"/>
      <c r="Y473" s="29" t="s">
        <v>253</v>
      </c>
      <c r="Z473" s="30"/>
      <c r="AA473" s="31">
        <v>45155</v>
      </c>
      <c r="AB473" s="32">
        <v>49075100008620</v>
      </c>
      <c r="AC473" s="30"/>
      <c r="AD473" s="30"/>
      <c r="AE473" s="30"/>
      <c r="AF473" s="30"/>
      <c r="AG473" s="30"/>
      <c r="AH473" s="30"/>
      <c r="AI473" s="30"/>
      <c r="AJ473" s="30"/>
      <c r="AK473" s="30"/>
      <c r="AL473" s="30"/>
      <c r="AM473" s="30">
        <v>52603.38</v>
      </c>
      <c r="AN473" s="30">
        <v>58632.55</v>
      </c>
      <c r="AO473" s="30">
        <v>128721.41</v>
      </c>
      <c r="AP473" s="30">
        <v>133384.12</v>
      </c>
      <c r="AQ473" s="30">
        <v>137232.47</v>
      </c>
      <c r="AR473" s="30">
        <v>144970.06</v>
      </c>
      <c r="AS473" s="30">
        <v>151229.1</v>
      </c>
      <c r="AT473" s="30">
        <v>163997.51999999999</v>
      </c>
      <c r="AU473" s="30">
        <v>165846.09</v>
      </c>
      <c r="AV473" s="30">
        <v>167606.1</v>
      </c>
      <c r="AW473" s="30">
        <v>169324.9</v>
      </c>
      <c r="AX473" s="30">
        <v>171273.60000000001</v>
      </c>
      <c r="AY473" s="30">
        <v>0</v>
      </c>
      <c r="AZ473" s="30">
        <v>0</v>
      </c>
      <c r="BA473" s="30" t="e">
        <f t="array" aca="1" ref="BA473" ca="1">_xludf.XLOOKUP(C473,'PL TOTAL D0'!A:A,'PL TOTAL D0'!C:C,"")</f>
        <v>#NAME?</v>
      </c>
    </row>
    <row r="474" spans="1:53" ht="15.75" customHeight="1">
      <c r="A474" s="23" t="s">
        <v>29</v>
      </c>
      <c r="B474" s="3" t="s">
        <v>1672</v>
      </c>
      <c r="C474" s="4" t="s">
        <v>1673</v>
      </c>
      <c r="D474" s="7" t="s">
        <v>19</v>
      </c>
      <c r="E474" s="7" t="s">
        <v>20</v>
      </c>
      <c r="F474" s="7" t="s">
        <v>372</v>
      </c>
      <c r="G474" s="7" t="e">
        <f t="shared" ca="1" si="13"/>
        <v>#NAME?</v>
      </c>
      <c r="H474" s="24" t="s">
        <v>152</v>
      </c>
      <c r="I474" s="24" t="s">
        <v>25</v>
      </c>
      <c r="J474" s="7" t="str">
        <f t="shared" si="23"/>
        <v>Não</v>
      </c>
      <c r="K474" s="25">
        <v>44973</v>
      </c>
      <c r="L474" s="7"/>
      <c r="M474" s="7" t="s">
        <v>172</v>
      </c>
      <c r="N474" s="26">
        <v>0</v>
      </c>
      <c r="O474" s="7" t="s">
        <v>25</v>
      </c>
      <c r="P474" s="27">
        <v>0</v>
      </c>
      <c r="Q474" s="28"/>
      <c r="R474" s="28" t="s">
        <v>715</v>
      </c>
      <c r="S474" s="7" t="s">
        <v>145</v>
      </c>
      <c r="T474" s="7" t="s">
        <v>1674</v>
      </c>
      <c r="U474" s="7" t="s">
        <v>20</v>
      </c>
      <c r="V474" s="24" t="e">
        <f t="shared" ca="1" si="14"/>
        <v>#NAME?</v>
      </c>
      <c r="W474" s="7"/>
      <c r="X474" s="7"/>
      <c r="Y474" s="29" t="s">
        <v>147</v>
      </c>
      <c r="Z474" s="30"/>
      <c r="AA474" s="31">
        <v>44973</v>
      </c>
      <c r="AB474" s="32">
        <v>49075100003785</v>
      </c>
      <c r="AC474" s="30"/>
      <c r="AD474" s="30"/>
      <c r="AE474" s="30"/>
      <c r="AF474" s="30">
        <v>0</v>
      </c>
      <c r="AG474" s="30">
        <v>6050.41</v>
      </c>
      <c r="AH474" s="30">
        <v>6120.43</v>
      </c>
      <c r="AI474" s="30">
        <v>14160.03</v>
      </c>
      <c r="AJ474" s="30">
        <v>46550.74</v>
      </c>
      <c r="AK474" s="30">
        <v>46962.62</v>
      </c>
      <c r="AL474" s="30">
        <v>47341.05</v>
      </c>
      <c r="AM474" s="30">
        <v>47540.6</v>
      </c>
      <c r="AN474" s="30">
        <v>47745.93</v>
      </c>
      <c r="AO474" s="30">
        <v>48047.89</v>
      </c>
      <c r="AP474" s="30">
        <v>48101.94</v>
      </c>
      <c r="AQ474" s="30">
        <v>48460.62</v>
      </c>
      <c r="AR474" s="30">
        <v>47877.09</v>
      </c>
      <c r="AS474" s="30">
        <v>48344.89</v>
      </c>
      <c r="AT474" s="30">
        <v>48852.6</v>
      </c>
      <c r="AU474" s="30">
        <v>48587.21</v>
      </c>
      <c r="AV474" s="30">
        <v>48946.3</v>
      </c>
      <c r="AW474" s="30">
        <v>49304.42</v>
      </c>
      <c r="AX474" s="30">
        <v>49745.65</v>
      </c>
      <c r="AY474" s="30">
        <v>50053.3</v>
      </c>
      <c r="AZ474" s="30">
        <v>50449.57</v>
      </c>
      <c r="BA474" s="30" t="e">
        <f t="array" aca="1" ref="BA474" ca="1">_xludf.XLOOKUP(C474,'PL TOTAL D0'!A:A,'PL TOTAL D0'!C:C,"")</f>
        <v>#NAME?</v>
      </c>
    </row>
    <row r="475" spans="1:53" ht="15.75" customHeight="1">
      <c r="A475" s="23" t="s">
        <v>29</v>
      </c>
      <c r="B475" s="3" t="s">
        <v>1675</v>
      </c>
      <c r="C475" s="4" t="s">
        <v>1676</v>
      </c>
      <c r="D475" s="7" t="s">
        <v>19</v>
      </c>
      <c r="E475" s="7" t="s">
        <v>20</v>
      </c>
      <c r="F475" s="7" t="s">
        <v>199</v>
      </c>
      <c r="G475" s="7" t="e">
        <f t="shared" ca="1" si="13"/>
        <v>#NAME?</v>
      </c>
      <c r="H475" s="24" t="s">
        <v>152</v>
      </c>
      <c r="I475" s="24" t="s">
        <v>25</v>
      </c>
      <c r="J475" s="7" t="str">
        <f t="shared" si="23"/>
        <v>Não</v>
      </c>
      <c r="K475" s="25">
        <v>44950</v>
      </c>
      <c r="L475" s="7"/>
      <c r="M475" s="7" t="s">
        <v>200</v>
      </c>
      <c r="N475" s="26">
        <v>1.4999999999999999E-2</v>
      </c>
      <c r="O475" s="7" t="s">
        <v>37</v>
      </c>
      <c r="P475" s="27">
        <v>0.1</v>
      </c>
      <c r="Q475" s="28"/>
      <c r="R475" s="28"/>
      <c r="S475" s="7" t="s">
        <v>145</v>
      </c>
      <c r="T475" s="7" t="s">
        <v>1677</v>
      </c>
      <c r="U475" s="7" t="s">
        <v>1678</v>
      </c>
      <c r="V475" s="24" t="e">
        <f t="shared" ca="1" si="14"/>
        <v>#NAME?</v>
      </c>
      <c r="W475" s="7"/>
      <c r="X475" s="7"/>
      <c r="Y475" s="29" t="s">
        <v>147</v>
      </c>
      <c r="Z475" s="30"/>
      <c r="AA475" s="31">
        <v>44950</v>
      </c>
      <c r="AB475" s="32">
        <v>49075100006059</v>
      </c>
      <c r="AC475" s="30"/>
      <c r="AD475" s="30"/>
      <c r="AE475" s="30"/>
      <c r="AF475" s="30">
        <v>45032.3</v>
      </c>
      <c r="AG475" s="30">
        <v>45427.45</v>
      </c>
      <c r="AH475" s="30">
        <v>45916.51</v>
      </c>
      <c r="AI475" s="30">
        <v>46229.26</v>
      </c>
      <c r="AJ475" s="30">
        <v>46739.32</v>
      </c>
      <c r="AK475" s="30">
        <v>65307.83</v>
      </c>
      <c r="AL475" s="30">
        <v>75863.42</v>
      </c>
      <c r="AM475" s="30">
        <v>85703.16</v>
      </c>
      <c r="AN475" s="30">
        <v>101333.44</v>
      </c>
      <c r="AO475" s="30">
        <v>101439.73</v>
      </c>
      <c r="AP475" s="30">
        <v>103756.43</v>
      </c>
      <c r="AQ475" s="30">
        <v>119426.87</v>
      </c>
      <c r="AR475" s="30">
        <v>126093.77</v>
      </c>
      <c r="AS475" s="30">
        <v>135178.23000000001</v>
      </c>
      <c r="AT475" s="30">
        <v>144495.54999999999</v>
      </c>
      <c r="AU475" s="30">
        <v>126.75</v>
      </c>
      <c r="AV475" s="30">
        <v>126.75</v>
      </c>
      <c r="AW475" s="30">
        <v>15238.4</v>
      </c>
      <c r="AX475" s="30">
        <v>25444.25</v>
      </c>
      <c r="AY475" s="30">
        <v>25628.5</v>
      </c>
      <c r="AZ475" s="30">
        <v>31821.71</v>
      </c>
      <c r="BA475" s="30" t="e">
        <f t="array" aca="1" ref="BA475" ca="1">_xludf.XLOOKUP(C475,'PL TOTAL D0'!A:A,'PL TOTAL D0'!C:C,"")</f>
        <v>#NAME?</v>
      </c>
    </row>
    <row r="476" spans="1:53" ht="15.75" customHeight="1">
      <c r="A476" s="23" t="s">
        <v>29</v>
      </c>
      <c r="B476" s="3" t="s">
        <v>1679</v>
      </c>
      <c r="C476" s="4" t="s">
        <v>1680</v>
      </c>
      <c r="D476" s="7" t="s">
        <v>19</v>
      </c>
      <c r="E476" s="7" t="s">
        <v>20</v>
      </c>
      <c r="F476" s="7" t="s">
        <v>21</v>
      </c>
      <c r="G476" s="7" t="e">
        <f t="shared" ca="1" si="13"/>
        <v>#NAME?</v>
      </c>
      <c r="H476" s="24" t="s">
        <v>152</v>
      </c>
      <c r="I476" s="24" t="s">
        <v>25</v>
      </c>
      <c r="J476" s="7" t="str">
        <f t="shared" si="23"/>
        <v>Não</v>
      </c>
      <c r="K476" s="25">
        <v>44953</v>
      </c>
      <c r="L476" s="7"/>
      <c r="M476" s="7" t="s">
        <v>42</v>
      </c>
      <c r="N476" s="26">
        <v>1.2E-2</v>
      </c>
      <c r="O476" s="7" t="s">
        <v>25</v>
      </c>
      <c r="P476" s="27">
        <v>0</v>
      </c>
      <c r="Q476" s="28"/>
      <c r="R476" s="28"/>
      <c r="S476" s="7" t="s">
        <v>145</v>
      </c>
      <c r="T476" s="7" t="s">
        <v>1681</v>
      </c>
      <c r="U476" s="7" t="s">
        <v>20</v>
      </c>
      <c r="V476" s="24" t="e">
        <f t="shared" ca="1" si="14"/>
        <v>#NAME?</v>
      </c>
      <c r="W476" s="7"/>
      <c r="X476" s="7"/>
      <c r="Y476" s="29" t="s">
        <v>147</v>
      </c>
      <c r="Z476" s="30"/>
      <c r="AA476" s="31">
        <v>44953</v>
      </c>
      <c r="AB476" s="32">
        <v>49075100006067</v>
      </c>
      <c r="AC476" s="30"/>
      <c r="AD476" s="30"/>
      <c r="AE476" s="30"/>
      <c r="AF476" s="30">
        <v>37951.879999999997</v>
      </c>
      <c r="AG476" s="30">
        <v>80366.67</v>
      </c>
      <c r="AH476" s="30">
        <v>81226.47</v>
      </c>
      <c r="AI476" s="30">
        <v>81824.72</v>
      </c>
      <c r="AJ476" s="30">
        <v>129627.9</v>
      </c>
      <c r="AK476" s="30">
        <v>130683.94</v>
      </c>
      <c r="AL476" s="30">
        <v>131755.43</v>
      </c>
      <c r="AM476" s="30">
        <v>133041.37</v>
      </c>
      <c r="AN476" s="30">
        <v>134172.01</v>
      </c>
      <c r="AO476" s="30">
        <v>135424.92000000001</v>
      </c>
      <c r="AP476" s="30">
        <v>136471.81</v>
      </c>
      <c r="AQ476" s="30">
        <v>137256.54</v>
      </c>
      <c r="AR476" s="30">
        <v>137681.35</v>
      </c>
      <c r="AS476" s="30">
        <v>138635.19</v>
      </c>
      <c r="AT476" s="30">
        <v>139736.26</v>
      </c>
      <c r="AU476" s="30">
        <v>140809.29</v>
      </c>
      <c r="AV476" s="30">
        <v>141835.4</v>
      </c>
      <c r="AW476" s="30">
        <v>142451.70000000001</v>
      </c>
      <c r="AX476" s="30">
        <v>143658</v>
      </c>
      <c r="AY476" s="30">
        <v>144835.5</v>
      </c>
      <c r="AZ476" s="30">
        <v>145853.65</v>
      </c>
      <c r="BA476" s="30" t="e">
        <f t="array" aca="1" ref="BA476" ca="1">_xludf.XLOOKUP(C476,'PL TOTAL D0'!A:A,'PL TOTAL D0'!C:C,"")</f>
        <v>#NAME?</v>
      </c>
    </row>
    <row r="477" spans="1:53" ht="15.75" customHeight="1">
      <c r="A477" s="23" t="s">
        <v>29</v>
      </c>
      <c r="B477" s="3" t="s">
        <v>1682</v>
      </c>
      <c r="C477" s="4" t="s">
        <v>1683</v>
      </c>
      <c r="D477" s="7" t="s">
        <v>19</v>
      </c>
      <c r="E477" s="7" t="s">
        <v>20</v>
      </c>
      <c r="F477" s="7" t="s">
        <v>199</v>
      </c>
      <c r="G477" s="7" t="e">
        <f t="shared" ca="1" si="13"/>
        <v>#NAME?</v>
      </c>
      <c r="H477" s="24" t="s">
        <v>143</v>
      </c>
      <c r="I477" s="24" t="s">
        <v>25</v>
      </c>
      <c r="J477" s="7" t="str">
        <f t="shared" si="23"/>
        <v>Não</v>
      </c>
      <c r="K477" s="25">
        <v>45322</v>
      </c>
      <c r="L477" s="25">
        <v>45356</v>
      </c>
      <c r="M477" s="7" t="s">
        <v>42</v>
      </c>
      <c r="N477" s="26">
        <v>0.01</v>
      </c>
      <c r="O477" s="7" t="s">
        <v>25</v>
      </c>
      <c r="P477" s="27">
        <v>0</v>
      </c>
      <c r="Q477" s="28"/>
      <c r="R477" s="28" t="s">
        <v>1684</v>
      </c>
      <c r="S477" s="7" t="s">
        <v>145</v>
      </c>
      <c r="T477" s="7" t="s">
        <v>1685</v>
      </c>
      <c r="U477" s="7" t="s">
        <v>49</v>
      </c>
      <c r="V477" s="24" t="e">
        <f t="shared" ca="1" si="14"/>
        <v>#NAME?</v>
      </c>
      <c r="W477" s="7"/>
      <c r="X477" s="7"/>
      <c r="Y477" s="29" t="s">
        <v>253</v>
      </c>
      <c r="Z477" s="30"/>
      <c r="AA477" s="31">
        <v>45322</v>
      </c>
      <c r="AB477" s="32">
        <v>49075100013365</v>
      </c>
      <c r="AC477" s="30"/>
      <c r="AD477" s="30"/>
      <c r="AE477" s="30"/>
      <c r="AF477" s="30"/>
      <c r="AG477" s="30"/>
      <c r="AH477" s="30"/>
      <c r="AI477" s="30"/>
      <c r="AJ477" s="30"/>
      <c r="AK477" s="30"/>
      <c r="AL477" s="30"/>
      <c r="AM477" s="30"/>
      <c r="AN477" s="30"/>
      <c r="AO477" s="30"/>
      <c r="AP477" s="30"/>
      <c r="AQ477" s="30"/>
      <c r="AR477" s="30">
        <v>0</v>
      </c>
      <c r="AS477" s="30">
        <v>135193.12</v>
      </c>
      <c r="AT477" s="30">
        <v>0</v>
      </c>
      <c r="AU477" s="30">
        <v>0</v>
      </c>
      <c r="AV477" s="30">
        <v>0</v>
      </c>
      <c r="AW477" s="30">
        <v>0</v>
      </c>
      <c r="AX477" s="30">
        <v>0</v>
      </c>
      <c r="AY477" s="30">
        <v>0</v>
      </c>
      <c r="AZ477" s="30">
        <v>0</v>
      </c>
      <c r="BA477" s="30" t="e">
        <f t="array" aca="1" ref="BA477" ca="1">_xludf.XLOOKUP(C477,'PL TOTAL D0'!A:A,'PL TOTAL D0'!C:C,"")</f>
        <v>#NAME?</v>
      </c>
    </row>
    <row r="478" spans="1:53" ht="15.75" customHeight="1">
      <c r="A478" s="23" t="s">
        <v>29</v>
      </c>
      <c r="B478" s="3" t="s">
        <v>1686</v>
      </c>
      <c r="C478" s="4" t="s">
        <v>1687</v>
      </c>
      <c r="D478" s="7" t="s">
        <v>194</v>
      </c>
      <c r="E478" s="7" t="s">
        <v>20</v>
      </c>
      <c r="F478" s="7" t="s">
        <v>195</v>
      </c>
      <c r="G478" s="7" t="e">
        <f t="shared" ca="1" si="13"/>
        <v>#NAME?</v>
      </c>
      <c r="H478" s="24" t="s">
        <v>152</v>
      </c>
      <c r="I478" s="24" t="s">
        <v>25</v>
      </c>
      <c r="J478" s="7" t="str">
        <f t="shared" si="23"/>
        <v>Não</v>
      </c>
      <c r="K478" s="25">
        <v>45576</v>
      </c>
      <c r="L478" s="25"/>
      <c r="M478" s="7" t="s">
        <v>172</v>
      </c>
      <c r="N478" s="26">
        <v>0</v>
      </c>
      <c r="O478" s="7" t="s">
        <v>25</v>
      </c>
      <c r="P478" s="27">
        <v>0</v>
      </c>
      <c r="Q478" s="28"/>
      <c r="R478" s="28"/>
      <c r="S478" s="7" t="s">
        <v>145</v>
      </c>
      <c r="T478" s="7" t="s">
        <v>1688</v>
      </c>
      <c r="U478" s="7" t="s">
        <v>46</v>
      </c>
      <c r="V478" s="24" t="e">
        <f t="shared" ca="1" si="14"/>
        <v>#NAME?</v>
      </c>
      <c r="W478" s="7"/>
      <c r="X478" s="7" t="s">
        <v>52</v>
      </c>
      <c r="Y478" s="29"/>
      <c r="Z478" s="30"/>
      <c r="AA478" s="31"/>
      <c r="AB478" s="32"/>
      <c r="AC478" s="30"/>
      <c r="AD478" s="30"/>
      <c r="AE478" s="30"/>
      <c r="AF478" s="30"/>
      <c r="AG478" s="30"/>
      <c r="AH478" s="30"/>
      <c r="AI478" s="30"/>
      <c r="AJ478" s="30"/>
      <c r="AK478" s="30"/>
      <c r="AL478" s="30"/>
      <c r="AM478" s="30"/>
      <c r="AN478" s="30"/>
      <c r="AO478" s="30"/>
      <c r="AP478" s="30"/>
      <c r="AQ478" s="30"/>
      <c r="AR478" s="30"/>
      <c r="AS478" s="30"/>
      <c r="AT478" s="30"/>
      <c r="AU478" s="30"/>
      <c r="AV478" s="30"/>
      <c r="AW478" s="30"/>
      <c r="AX478" s="30"/>
      <c r="AY478" s="30"/>
      <c r="AZ478" s="30"/>
      <c r="BA478" s="30" t="e">
        <f t="array" aca="1" ref="BA478" ca="1">_xludf.XLOOKUP(C478,'PL TOTAL D0'!A:A,'PL TOTAL D0'!C:C,"")</f>
        <v>#NAME?</v>
      </c>
    </row>
    <row r="479" spans="1:53" ht="15.75" customHeight="1">
      <c r="A479" s="23" t="s">
        <v>29</v>
      </c>
      <c r="B479" s="3" t="s">
        <v>1689</v>
      </c>
      <c r="C479" s="4" t="s">
        <v>1690</v>
      </c>
      <c r="D479" s="7" t="s">
        <v>80</v>
      </c>
      <c r="E479" s="7" t="s">
        <v>49</v>
      </c>
      <c r="F479" s="7" t="s">
        <v>81</v>
      </c>
      <c r="G479" s="7" t="e">
        <f t="shared" ca="1" si="13"/>
        <v>#NAME?</v>
      </c>
      <c r="H479" s="24" t="s">
        <v>152</v>
      </c>
      <c r="I479" s="24" t="s">
        <v>25</v>
      </c>
      <c r="J479" s="7" t="str">
        <f t="shared" si="23"/>
        <v>Não</v>
      </c>
      <c r="K479" s="25">
        <v>45314</v>
      </c>
      <c r="L479" s="7"/>
      <c r="M479" s="7" t="s">
        <v>42</v>
      </c>
      <c r="N479" s="26">
        <v>1.2E-2</v>
      </c>
      <c r="O479" s="7" t="s">
        <v>25</v>
      </c>
      <c r="P479" s="27">
        <v>0</v>
      </c>
      <c r="Q479" s="28"/>
      <c r="R479" s="28"/>
      <c r="S479" s="7" t="s">
        <v>145</v>
      </c>
      <c r="T479" s="7" t="s">
        <v>1691</v>
      </c>
      <c r="U479" s="7" t="s">
        <v>49</v>
      </c>
      <c r="V479" s="24" t="e">
        <f t="shared" ca="1" si="14"/>
        <v>#NAME?</v>
      </c>
      <c r="W479" s="7"/>
      <c r="X479" s="7"/>
      <c r="Y479" s="29" t="s">
        <v>147</v>
      </c>
      <c r="Z479" s="30"/>
      <c r="AA479" s="31">
        <v>45314</v>
      </c>
      <c r="AB479" s="32">
        <v>49075100013209</v>
      </c>
      <c r="AC479" s="30"/>
      <c r="AD479" s="30"/>
      <c r="AE479" s="30"/>
      <c r="AF479" s="30"/>
      <c r="AG479" s="30"/>
      <c r="AH479" s="30"/>
      <c r="AI479" s="30"/>
      <c r="AJ479" s="30"/>
      <c r="AK479" s="30"/>
      <c r="AL479" s="30"/>
      <c r="AM479" s="30"/>
      <c r="AN479" s="30"/>
      <c r="AO479" s="30"/>
      <c r="AP479" s="30"/>
      <c r="AQ479" s="30"/>
      <c r="AR479" s="30">
        <v>350558.06</v>
      </c>
      <c r="AS479" s="30">
        <v>403578.75</v>
      </c>
      <c r="AT479" s="30">
        <v>567918.27</v>
      </c>
      <c r="AU479" s="30">
        <v>620290.48</v>
      </c>
      <c r="AV479" s="30">
        <v>624402.30000000005</v>
      </c>
      <c r="AW479" s="30">
        <v>931162.2</v>
      </c>
      <c r="AX479" s="30">
        <v>1140332</v>
      </c>
      <c r="AY479" s="30">
        <v>1242978.57</v>
      </c>
      <c r="AZ479" s="30">
        <v>1250893.8400000001</v>
      </c>
      <c r="BA479" s="30" t="e">
        <f t="array" aca="1" ref="BA479" ca="1">_xludf.XLOOKUP(C479,'PL TOTAL D0'!A:A,'PL TOTAL D0'!C:C,"")</f>
        <v>#NAME?</v>
      </c>
    </row>
    <row r="480" spans="1:53" ht="15" customHeight="1">
      <c r="A480" s="23" t="s">
        <v>29</v>
      </c>
      <c r="B480" s="37" t="s">
        <v>1692</v>
      </c>
      <c r="C480" s="4" t="s">
        <v>1693</v>
      </c>
      <c r="D480" s="7" t="s">
        <v>64</v>
      </c>
      <c r="E480" s="7" t="s">
        <v>20</v>
      </c>
      <c r="F480" s="7" t="s">
        <v>204</v>
      </c>
      <c r="G480" s="7" t="e">
        <f t="shared" ca="1" si="13"/>
        <v>#NAME?</v>
      </c>
      <c r="H480" s="24" t="s">
        <v>143</v>
      </c>
      <c r="I480" s="24" t="s">
        <v>25</v>
      </c>
      <c r="J480" s="7" t="str">
        <f t="shared" si="23"/>
        <v>Não</v>
      </c>
      <c r="K480" s="25">
        <v>44998</v>
      </c>
      <c r="L480" s="25">
        <v>45407</v>
      </c>
      <c r="M480" s="7" t="s">
        <v>200</v>
      </c>
      <c r="N480" s="26">
        <v>1.4999999999999999E-2</v>
      </c>
      <c r="O480" s="7" t="s">
        <v>37</v>
      </c>
      <c r="P480" s="27">
        <v>0.1</v>
      </c>
      <c r="Q480" s="28"/>
      <c r="R480" s="28" t="s">
        <v>1694</v>
      </c>
      <c r="S480" s="7" t="s">
        <v>145</v>
      </c>
      <c r="T480" s="7" t="s">
        <v>1695</v>
      </c>
      <c r="U480" s="7" t="s">
        <v>20</v>
      </c>
      <c r="V480" s="24" t="e">
        <f t="shared" ca="1" si="14"/>
        <v>#NAME?</v>
      </c>
      <c r="W480" s="7"/>
      <c r="X480" s="7"/>
      <c r="Y480" s="29" t="s">
        <v>147</v>
      </c>
      <c r="Z480" s="30"/>
      <c r="AA480" s="31">
        <v>44998</v>
      </c>
      <c r="AB480" s="32"/>
      <c r="AC480" s="30"/>
      <c r="AD480" s="30"/>
      <c r="AE480" s="30"/>
      <c r="AF480" s="30"/>
      <c r="AG480" s="30"/>
      <c r="AH480" s="30">
        <v>162023.29</v>
      </c>
      <c r="AI480" s="30">
        <v>444063.69</v>
      </c>
      <c r="AJ480" s="30">
        <v>168414.97</v>
      </c>
      <c r="AK480" s="30">
        <v>170952.21</v>
      </c>
      <c r="AL480" s="30">
        <v>171906.21</v>
      </c>
      <c r="AM480" s="30">
        <v>171802.08</v>
      </c>
      <c r="AN480" s="30">
        <v>172413.02</v>
      </c>
      <c r="AO480" s="30">
        <v>171877.91</v>
      </c>
      <c r="AP480" s="30">
        <v>175962.99</v>
      </c>
      <c r="AQ480" s="30">
        <v>179581.79</v>
      </c>
      <c r="AR480" s="30">
        <v>176745.19</v>
      </c>
      <c r="AS480" s="30">
        <v>178110.95</v>
      </c>
      <c r="AT480" s="30">
        <v>179899.19</v>
      </c>
      <c r="AU480" s="30">
        <v>0</v>
      </c>
      <c r="AV480" s="30">
        <v>0</v>
      </c>
      <c r="AW480" s="30">
        <v>0</v>
      </c>
      <c r="AX480" s="30">
        <v>0</v>
      </c>
      <c r="AY480" s="30">
        <v>0</v>
      </c>
      <c r="AZ480" s="30">
        <v>0</v>
      </c>
      <c r="BA480" s="30" t="e">
        <f t="array" aca="1" ref="BA480" ca="1">_xludf.XLOOKUP(C480,'PL TOTAL D0'!A:A,'PL TOTAL D0'!C:C,"")</f>
        <v>#NAME?</v>
      </c>
    </row>
    <row r="481" spans="1:53" ht="15.75" customHeight="1">
      <c r="A481" s="23" t="s">
        <v>29</v>
      </c>
      <c r="B481" s="3" t="s">
        <v>1696</v>
      </c>
      <c r="C481" s="4" t="s">
        <v>1697</v>
      </c>
      <c r="D481" s="7" t="s">
        <v>19</v>
      </c>
      <c r="E481" s="7" t="s">
        <v>49</v>
      </c>
      <c r="F481" s="7" t="s">
        <v>328</v>
      </c>
      <c r="G481" s="7" t="e">
        <f t="shared" ca="1" si="13"/>
        <v>#NAME?</v>
      </c>
      <c r="H481" s="24" t="s">
        <v>152</v>
      </c>
      <c r="I481" s="24" t="s">
        <v>25</v>
      </c>
      <c r="J481" s="7" t="str">
        <f t="shared" si="23"/>
        <v>Sim</v>
      </c>
      <c r="K481" s="25">
        <v>44972</v>
      </c>
      <c r="L481" s="7"/>
      <c r="M481" s="7" t="s">
        <v>58</v>
      </c>
      <c r="N481" s="26">
        <v>1.2E-2</v>
      </c>
      <c r="O481" s="7" t="s">
        <v>37</v>
      </c>
      <c r="P481" s="27">
        <v>0.1</v>
      </c>
      <c r="Q481" s="36" t="s">
        <v>1698</v>
      </c>
      <c r="R481" s="28" t="s">
        <v>1699</v>
      </c>
      <c r="S481" s="7" t="s">
        <v>145</v>
      </c>
      <c r="T481" s="7" t="s">
        <v>1700</v>
      </c>
      <c r="U481" s="7" t="s">
        <v>49</v>
      </c>
      <c r="V481" s="24" t="e">
        <f t="shared" ca="1" si="14"/>
        <v>#NAME?</v>
      </c>
      <c r="W481" s="7"/>
      <c r="X481" s="7"/>
      <c r="Y481" s="29" t="s">
        <v>147</v>
      </c>
      <c r="Z481" s="30"/>
      <c r="AA481" s="31">
        <v>44972</v>
      </c>
      <c r="AB481" s="32">
        <v>49075100009805</v>
      </c>
      <c r="AC481" s="30"/>
      <c r="AD481" s="30"/>
      <c r="AE481" s="30"/>
      <c r="AF481" s="30">
        <v>0</v>
      </c>
      <c r="AG481" s="30">
        <v>2781216.38</v>
      </c>
      <c r="AH481" s="30">
        <v>2812243.72</v>
      </c>
      <c r="AI481" s="30">
        <v>2836358.2</v>
      </c>
      <c r="AJ481" s="30">
        <v>2870623.99</v>
      </c>
      <c r="AK481" s="30">
        <v>2901586.24</v>
      </c>
      <c r="AL481" s="30">
        <v>2927527.12</v>
      </c>
      <c r="AM481" s="30">
        <v>3070459.36</v>
      </c>
      <c r="AN481" s="30">
        <v>3092897.17</v>
      </c>
      <c r="AO481" s="30">
        <v>3121736.93</v>
      </c>
      <c r="AP481" s="30">
        <v>3144175.92</v>
      </c>
      <c r="AQ481" s="30">
        <v>3167084.36</v>
      </c>
      <c r="AR481" s="30">
        <v>3195039.22</v>
      </c>
      <c r="AS481" s="30">
        <v>3208384.34</v>
      </c>
      <c r="AT481" s="30">
        <v>3214698.19</v>
      </c>
      <c r="AU481" s="30">
        <v>3213986.27</v>
      </c>
      <c r="AV481" s="30">
        <v>3228477</v>
      </c>
      <c r="AW481" s="30">
        <v>3253002</v>
      </c>
      <c r="AX481" s="30">
        <v>3288268</v>
      </c>
      <c r="AY481" s="30">
        <v>3408183.86</v>
      </c>
      <c r="AZ481" s="30">
        <v>3424044.6</v>
      </c>
      <c r="BA481" s="30" t="e">
        <f t="array" aca="1" ref="BA481" ca="1">_xludf.XLOOKUP(C481,'PL TOTAL D0'!A:A,'PL TOTAL D0'!C:C,"")</f>
        <v>#NAME?</v>
      </c>
    </row>
    <row r="482" spans="1:53" ht="15.75" customHeight="1">
      <c r="A482" s="23" t="s">
        <v>29</v>
      </c>
      <c r="B482" s="3" t="s">
        <v>1701</v>
      </c>
      <c r="C482" s="4" t="s">
        <v>1702</v>
      </c>
      <c r="D482" s="7" t="s">
        <v>19</v>
      </c>
      <c r="E482" s="7" t="s">
        <v>49</v>
      </c>
      <c r="F482" s="7" t="s">
        <v>50</v>
      </c>
      <c r="G482" s="7" t="e">
        <f t="shared" ca="1" si="13"/>
        <v>#NAME?</v>
      </c>
      <c r="H482" s="24" t="s">
        <v>161</v>
      </c>
      <c r="I482" s="24" t="s">
        <v>162</v>
      </c>
      <c r="J482" s="7" t="str">
        <f t="shared" si="23"/>
        <v>Não</v>
      </c>
      <c r="K482" s="25">
        <v>45056</v>
      </c>
      <c r="L482" s="7"/>
      <c r="M482" s="7" t="s">
        <v>42</v>
      </c>
      <c r="N482" s="26">
        <v>1.2E-2</v>
      </c>
      <c r="O482" s="7" t="s">
        <v>25</v>
      </c>
      <c r="P482" s="27">
        <v>0</v>
      </c>
      <c r="Q482" s="28"/>
      <c r="R482" s="28"/>
      <c r="S482" s="7" t="s">
        <v>145</v>
      </c>
      <c r="T482" s="7" t="s">
        <v>1703</v>
      </c>
      <c r="U482" s="7" t="s">
        <v>49</v>
      </c>
      <c r="V482" s="24" t="e">
        <f t="shared" ca="1" si="14"/>
        <v>#NAME?</v>
      </c>
      <c r="W482" s="7"/>
      <c r="X482" s="7"/>
      <c r="Y482" s="29" t="s">
        <v>147</v>
      </c>
      <c r="Z482" s="30"/>
      <c r="AA482" s="31">
        <v>45056</v>
      </c>
      <c r="AB482" s="32">
        <v>49075100012581</v>
      </c>
      <c r="AC482" s="30"/>
      <c r="AD482" s="30"/>
      <c r="AE482" s="30"/>
      <c r="AF482" s="30"/>
      <c r="AG482" s="30"/>
      <c r="AH482" s="30"/>
      <c r="AI482" s="30">
        <v>0</v>
      </c>
      <c r="AJ482" s="30">
        <v>8.5299999999999994</v>
      </c>
      <c r="AK482" s="30">
        <v>0</v>
      </c>
      <c r="AL482" s="30">
        <v>0</v>
      </c>
      <c r="AM482" s="30">
        <v>0</v>
      </c>
      <c r="AN482" s="30">
        <v>0</v>
      </c>
      <c r="AO482" s="30">
        <v>0</v>
      </c>
      <c r="AP482" s="30">
        <v>0</v>
      </c>
      <c r="AQ482" s="30">
        <v>0</v>
      </c>
      <c r="AR482" s="30">
        <v>0</v>
      </c>
      <c r="AS482" s="30">
        <v>0</v>
      </c>
      <c r="AT482" s="30">
        <v>0</v>
      </c>
      <c r="AU482" s="30">
        <v>0</v>
      </c>
      <c r="AV482" s="30">
        <v>0</v>
      </c>
      <c r="AW482" s="30">
        <v>0</v>
      </c>
      <c r="AX482" s="30">
        <v>0</v>
      </c>
      <c r="AY482" s="30">
        <v>0</v>
      </c>
      <c r="AZ482" s="30">
        <v>0</v>
      </c>
      <c r="BA482" s="30" t="e">
        <f t="array" aca="1" ref="BA482" ca="1">_xludf.XLOOKUP(C482,'PL TOTAL D0'!A:A,'PL TOTAL D0'!C:C,"")</f>
        <v>#NAME?</v>
      </c>
    </row>
    <row r="483" spans="1:53" ht="15.75" customHeight="1">
      <c r="A483" s="23" t="s">
        <v>29</v>
      </c>
      <c r="B483" s="140" t="s">
        <v>1704</v>
      </c>
      <c r="C483" s="141" t="s">
        <v>1705</v>
      </c>
      <c r="D483" s="7" t="s">
        <v>19</v>
      </c>
      <c r="E483" s="7" t="s">
        <v>49</v>
      </c>
      <c r="F483" s="7" t="s">
        <v>328</v>
      </c>
      <c r="G483" s="7" t="e">
        <f t="shared" ca="1" si="13"/>
        <v>#NAME?</v>
      </c>
      <c r="H483" s="24" t="s">
        <v>161</v>
      </c>
      <c r="I483" s="24" t="s">
        <v>222</v>
      </c>
      <c r="J483" s="7" t="str">
        <f t="shared" si="23"/>
        <v>Não</v>
      </c>
      <c r="K483" s="25">
        <v>45166</v>
      </c>
      <c r="L483" s="133"/>
      <c r="M483" s="7" t="s">
        <v>42</v>
      </c>
      <c r="N483" s="26">
        <v>1.2E-2</v>
      </c>
      <c r="O483" s="7" t="s">
        <v>25</v>
      </c>
      <c r="P483" s="27">
        <v>0</v>
      </c>
      <c r="Q483" s="28"/>
      <c r="R483" s="28" t="s">
        <v>1502</v>
      </c>
      <c r="S483" s="7" t="s">
        <v>145</v>
      </c>
      <c r="T483" s="7" t="s">
        <v>1706</v>
      </c>
      <c r="U483" s="7" t="s">
        <v>49</v>
      </c>
      <c r="V483" s="24" t="e">
        <f t="shared" ca="1" si="14"/>
        <v>#NAME?</v>
      </c>
      <c r="W483" s="7"/>
      <c r="X483" s="7"/>
      <c r="Y483" s="29" t="s">
        <v>147</v>
      </c>
      <c r="Z483" s="30"/>
      <c r="AA483" s="31">
        <v>45166</v>
      </c>
      <c r="AB483" s="32">
        <v>49075100011613</v>
      </c>
      <c r="AC483" s="30"/>
      <c r="AD483" s="30"/>
      <c r="AE483" s="30"/>
      <c r="AF483" s="30"/>
      <c r="AG483" s="30"/>
      <c r="AH483" s="30"/>
      <c r="AI483" s="30"/>
      <c r="AJ483" s="30"/>
      <c r="AK483" s="30">
        <v>0</v>
      </c>
      <c r="AL483" s="30">
        <v>0</v>
      </c>
      <c r="AM483" s="30">
        <v>0</v>
      </c>
      <c r="AN483" s="30">
        <v>0</v>
      </c>
      <c r="AO483" s="30">
        <v>0</v>
      </c>
      <c r="AP483" s="30">
        <v>0</v>
      </c>
      <c r="AQ483" s="30">
        <v>0</v>
      </c>
      <c r="AR483" s="30">
        <v>0</v>
      </c>
      <c r="AS483" s="30">
        <v>0</v>
      </c>
      <c r="AT483" s="30">
        <v>0</v>
      </c>
      <c r="AU483" s="30">
        <v>0</v>
      </c>
      <c r="AV483" s="30">
        <v>0</v>
      </c>
      <c r="AW483" s="30">
        <v>0</v>
      </c>
      <c r="AX483" s="30">
        <v>0</v>
      </c>
      <c r="AY483" s="30">
        <v>0</v>
      </c>
      <c r="AZ483" s="30">
        <v>0</v>
      </c>
      <c r="BA483" s="30" t="e">
        <f t="array" aca="1" ref="BA483" ca="1">_xludf.XLOOKUP(C483,'PL TOTAL D0'!A:A,'PL TOTAL D0'!C:C,"")</f>
        <v>#NAME?</v>
      </c>
    </row>
    <row r="484" spans="1:53" ht="15.75" customHeight="1">
      <c r="A484" s="23" t="s">
        <v>29</v>
      </c>
      <c r="B484" s="3" t="s">
        <v>1707</v>
      </c>
      <c r="C484" s="4" t="s">
        <v>1708</v>
      </c>
      <c r="D484" s="7" t="s">
        <v>19</v>
      </c>
      <c r="E484" s="7" t="s">
        <v>20</v>
      </c>
      <c r="F484" s="7" t="s">
        <v>199</v>
      </c>
      <c r="G484" s="7" t="e">
        <f t="shared" ca="1" si="13"/>
        <v>#NAME?</v>
      </c>
      <c r="H484" s="24" t="s">
        <v>152</v>
      </c>
      <c r="I484" s="24" t="s">
        <v>25</v>
      </c>
      <c r="J484" s="7" t="str">
        <f t="shared" si="23"/>
        <v>Não</v>
      </c>
      <c r="K484" s="25">
        <v>45065</v>
      </c>
      <c r="L484" s="7"/>
      <c r="M484" s="7" t="s">
        <v>42</v>
      </c>
      <c r="N484" s="26">
        <v>7.0000000000000001E-3</v>
      </c>
      <c r="O484" s="7" t="s">
        <v>25</v>
      </c>
      <c r="P484" s="27">
        <v>0</v>
      </c>
      <c r="Q484" s="28"/>
      <c r="R484" s="28"/>
      <c r="S484" s="7" t="s">
        <v>145</v>
      </c>
      <c r="T484" s="7" t="s">
        <v>1709</v>
      </c>
      <c r="U484" s="7" t="s">
        <v>585</v>
      </c>
      <c r="V484" s="24" t="e">
        <f t="shared" ca="1" si="14"/>
        <v>#NAME?</v>
      </c>
      <c r="W484" s="7"/>
      <c r="X484" s="7"/>
      <c r="Y484" s="29" t="s">
        <v>147</v>
      </c>
      <c r="Z484" s="30"/>
      <c r="AA484" s="31">
        <v>45065</v>
      </c>
      <c r="AB484" s="32">
        <v>49075100008302</v>
      </c>
      <c r="AC484" s="30"/>
      <c r="AD484" s="30"/>
      <c r="AE484" s="30"/>
      <c r="AF484" s="30"/>
      <c r="AG484" s="30"/>
      <c r="AH484" s="30"/>
      <c r="AI484" s="30">
        <v>0</v>
      </c>
      <c r="AJ484" s="30">
        <v>268927.25</v>
      </c>
      <c r="AK484" s="30">
        <v>271686.78999999998</v>
      </c>
      <c r="AL484" s="30">
        <v>273736.55</v>
      </c>
      <c r="AM484" s="30">
        <v>276593.56</v>
      </c>
      <c r="AN484" s="30">
        <v>278938.3</v>
      </c>
      <c r="AO484" s="30">
        <v>281591.95</v>
      </c>
      <c r="AP484" s="30">
        <v>305230.75</v>
      </c>
      <c r="AQ484" s="30">
        <v>307697.21000000002</v>
      </c>
      <c r="AR484" s="30">
        <v>310118.8</v>
      </c>
      <c r="AS484" s="30">
        <v>311213</v>
      </c>
      <c r="AT484" s="30">
        <v>313991.53999999998</v>
      </c>
      <c r="AU484" s="30">
        <v>340113.73</v>
      </c>
      <c r="AV484" s="30">
        <v>341707.9</v>
      </c>
      <c r="AW484" s="30">
        <v>344298.8</v>
      </c>
      <c r="AX484" s="30">
        <v>347043.4</v>
      </c>
      <c r="AY484" s="30">
        <v>349474.08</v>
      </c>
      <c r="AZ484" s="30">
        <v>351715.45</v>
      </c>
      <c r="BA484" s="30" t="e">
        <f t="array" aca="1" ref="BA484" ca="1">_xludf.XLOOKUP(C484,'PL TOTAL D0'!A:A,'PL TOTAL D0'!C:C,"")</f>
        <v>#NAME?</v>
      </c>
    </row>
    <row r="485" spans="1:53" ht="15.75" customHeight="1">
      <c r="A485" s="23" t="s">
        <v>29</v>
      </c>
      <c r="B485" s="37" t="s">
        <v>1710</v>
      </c>
      <c r="C485" s="4" t="s">
        <v>1711</v>
      </c>
      <c r="D485" s="7" t="s">
        <v>19</v>
      </c>
      <c r="E485" s="7" t="s">
        <v>20</v>
      </c>
      <c r="F485" s="7" t="s">
        <v>372</v>
      </c>
      <c r="G485" s="7" t="e">
        <f t="shared" ca="1" si="13"/>
        <v>#NAME?</v>
      </c>
      <c r="H485" s="24" t="s">
        <v>143</v>
      </c>
      <c r="I485" s="24" t="s">
        <v>25</v>
      </c>
      <c r="J485" s="7" t="str">
        <f t="shared" si="23"/>
        <v>Não</v>
      </c>
      <c r="K485" s="25">
        <v>44994</v>
      </c>
      <c r="L485" s="25">
        <v>45555</v>
      </c>
      <c r="M485" s="7" t="s">
        <v>345</v>
      </c>
      <c r="N485" s="26">
        <v>7.0000000000000001E-3</v>
      </c>
      <c r="O485" s="7" t="s">
        <v>37</v>
      </c>
      <c r="P485" s="27">
        <v>0.2</v>
      </c>
      <c r="Q485" s="28"/>
      <c r="R485" s="28"/>
      <c r="S485" s="7" t="s">
        <v>145</v>
      </c>
      <c r="T485" s="7" t="s">
        <v>1712</v>
      </c>
      <c r="U485" s="7" t="s">
        <v>20</v>
      </c>
      <c r="V485" s="24" t="e">
        <f t="shared" ca="1" si="14"/>
        <v>#NAME?</v>
      </c>
      <c r="W485" s="7"/>
      <c r="X485" s="7"/>
      <c r="Y485" s="29" t="s">
        <v>147</v>
      </c>
      <c r="Z485" s="30"/>
      <c r="AA485" s="31">
        <v>44994</v>
      </c>
      <c r="AB485" s="32">
        <v>49075100003556</v>
      </c>
      <c r="AC485" s="30"/>
      <c r="AD485" s="30"/>
      <c r="AE485" s="30"/>
      <c r="AF485" s="30"/>
      <c r="AG485" s="30"/>
      <c r="AH485" s="30">
        <v>53199.19</v>
      </c>
      <c r="AI485" s="30">
        <v>58106.63</v>
      </c>
      <c r="AJ485" s="30">
        <v>59285.7</v>
      </c>
      <c r="AK485" s="30">
        <v>61168.62</v>
      </c>
      <c r="AL485" s="30">
        <v>70324.05</v>
      </c>
      <c r="AM485" s="30">
        <v>69561.7</v>
      </c>
      <c r="AN485" s="30">
        <v>69908.600000000006</v>
      </c>
      <c r="AO485" s="30">
        <v>69330.720000000001</v>
      </c>
      <c r="AP485" s="30">
        <v>71837.89</v>
      </c>
      <c r="AQ485" s="30">
        <v>73795.839999999997</v>
      </c>
      <c r="AR485" s="30">
        <v>79553.070000000007</v>
      </c>
      <c r="AS485" s="30">
        <v>80307.06</v>
      </c>
      <c r="AT485" s="30">
        <v>111686.15</v>
      </c>
      <c r="AU485" s="30">
        <v>109874.07</v>
      </c>
      <c r="AV485" s="30">
        <v>108756.7</v>
      </c>
      <c r="AW485" s="30">
        <v>122887.3</v>
      </c>
      <c r="AX485" s="30">
        <v>124985.8</v>
      </c>
      <c r="AY485" s="30">
        <v>126881.76</v>
      </c>
      <c r="AZ485" s="30">
        <v>0</v>
      </c>
      <c r="BA485" s="30" t="e">
        <f t="array" aca="1" ref="BA485" ca="1">_xludf.XLOOKUP(C485,'PL TOTAL D0'!A:A,'PL TOTAL D0'!C:C,"")</f>
        <v>#NAME?</v>
      </c>
    </row>
    <row r="486" spans="1:53" ht="15.75" customHeight="1">
      <c r="A486" s="23" t="s">
        <v>29</v>
      </c>
      <c r="B486" s="37" t="s">
        <v>1713</v>
      </c>
      <c r="C486" s="4" t="s">
        <v>1714</v>
      </c>
      <c r="D486" s="7" t="s">
        <v>19</v>
      </c>
      <c r="E486" s="7" t="s">
        <v>20</v>
      </c>
      <c r="F486" s="7" t="s">
        <v>199</v>
      </c>
      <c r="G486" s="7" t="e">
        <f t="shared" ca="1" si="13"/>
        <v>#NAME?</v>
      </c>
      <c r="H486" s="24" t="s">
        <v>167</v>
      </c>
      <c r="I486" s="24" t="s">
        <v>25</v>
      </c>
      <c r="J486" s="7" t="str">
        <f t="shared" si="23"/>
        <v>Não</v>
      </c>
      <c r="K486" s="25">
        <v>45587</v>
      </c>
      <c r="L486" s="25"/>
      <c r="M486" s="7" t="s">
        <v>172</v>
      </c>
      <c r="N486" s="26">
        <v>0</v>
      </c>
      <c r="O486" s="7" t="s">
        <v>25</v>
      </c>
      <c r="P486" s="27">
        <v>0</v>
      </c>
      <c r="Q486" s="28"/>
      <c r="R486" s="28"/>
      <c r="S486" s="7" t="s">
        <v>145</v>
      </c>
      <c r="T486" s="7" t="s">
        <v>1715</v>
      </c>
      <c r="U486" s="7" t="s">
        <v>49</v>
      </c>
      <c r="V486" s="24" t="e">
        <f t="shared" ca="1" si="14"/>
        <v>#NAME?</v>
      </c>
      <c r="W486" s="7"/>
      <c r="X486" s="7" t="s">
        <v>40</v>
      </c>
      <c r="Y486" s="29"/>
      <c r="Z486" s="30"/>
      <c r="AA486" s="31"/>
      <c r="AB486" s="32"/>
      <c r="AC486" s="30"/>
      <c r="AD486" s="30"/>
      <c r="AE486" s="30"/>
      <c r="AF486" s="30"/>
      <c r="AG486" s="30"/>
      <c r="AH486" s="30"/>
      <c r="AI486" s="30"/>
      <c r="AJ486" s="30"/>
      <c r="AK486" s="30"/>
      <c r="AL486" s="30"/>
      <c r="AM486" s="30"/>
      <c r="AN486" s="30"/>
      <c r="AO486" s="30"/>
      <c r="AP486" s="30"/>
      <c r="AQ486" s="30"/>
      <c r="AR486" s="30"/>
      <c r="AS486" s="30"/>
      <c r="AT486" s="30"/>
      <c r="AU486" s="30"/>
      <c r="AV486" s="30"/>
      <c r="AW486" s="30"/>
      <c r="AX486" s="30"/>
      <c r="AY486" s="30"/>
      <c r="AZ486" s="30"/>
      <c r="BA486" s="30" t="e">
        <f t="array" aca="1" ref="BA486" ca="1">_xludf.XLOOKUP(C486,'PL TOTAL D0'!A:A,'PL TOTAL D0'!C:C,"")</f>
        <v>#NAME?</v>
      </c>
    </row>
    <row r="487" spans="1:53" ht="15.75" customHeight="1">
      <c r="A487" s="23" t="s">
        <v>29</v>
      </c>
      <c r="B487" s="3" t="s">
        <v>1716</v>
      </c>
      <c r="C487" s="4" t="s">
        <v>1717</v>
      </c>
      <c r="D487" s="7" t="s">
        <v>19</v>
      </c>
      <c r="E487" s="7" t="s">
        <v>20</v>
      </c>
      <c r="F487" s="7" t="s">
        <v>1718</v>
      </c>
      <c r="G487" s="7" t="e">
        <f t="shared" ca="1" si="13"/>
        <v>#NAME?</v>
      </c>
      <c r="H487" s="24" t="s">
        <v>143</v>
      </c>
      <c r="I487" s="24" t="s">
        <v>25</v>
      </c>
      <c r="J487" s="7" t="str">
        <f t="shared" si="23"/>
        <v>Não</v>
      </c>
      <c r="K487" s="25">
        <v>45321</v>
      </c>
      <c r="L487" s="25">
        <v>45520</v>
      </c>
      <c r="M487" s="7" t="s">
        <v>200</v>
      </c>
      <c r="N487" s="26">
        <v>1.2E-2</v>
      </c>
      <c r="O487" s="7" t="s">
        <v>37</v>
      </c>
      <c r="P487" s="27">
        <v>0.1</v>
      </c>
      <c r="Q487" s="28"/>
      <c r="R487" s="28"/>
      <c r="S487" s="7" t="s">
        <v>145</v>
      </c>
      <c r="T487" s="7" t="s">
        <v>1719</v>
      </c>
      <c r="U487" s="7" t="s">
        <v>20</v>
      </c>
      <c r="V487" s="24" t="e">
        <f t="shared" ca="1" si="14"/>
        <v>#NAME?</v>
      </c>
      <c r="W487" s="7"/>
      <c r="X487" s="7"/>
      <c r="Y487" s="29" t="s">
        <v>253</v>
      </c>
      <c r="Z487" s="30"/>
      <c r="AA487" s="31">
        <v>45321</v>
      </c>
      <c r="AB487" s="32">
        <v>49075100013217</v>
      </c>
      <c r="AC487" s="30"/>
      <c r="AD487" s="30"/>
      <c r="AE487" s="30"/>
      <c r="AF487" s="30"/>
      <c r="AG487" s="30"/>
      <c r="AH487" s="30"/>
      <c r="AI487" s="30"/>
      <c r="AJ487" s="30"/>
      <c r="AK487" s="30"/>
      <c r="AL487" s="30"/>
      <c r="AM487" s="30"/>
      <c r="AN487" s="30"/>
      <c r="AO487" s="30"/>
      <c r="AP487" s="30"/>
      <c r="AQ487" s="30"/>
      <c r="AR487" s="30">
        <v>40063.74</v>
      </c>
      <c r="AS487" s="30">
        <v>40475.33</v>
      </c>
      <c r="AT487" s="30">
        <v>55930.45</v>
      </c>
      <c r="AU487" s="30">
        <v>95808.76</v>
      </c>
      <c r="AV487" s="30">
        <v>95266.58</v>
      </c>
      <c r="AW487" s="30">
        <v>95956.24</v>
      </c>
      <c r="AX487" s="30">
        <v>97432.41</v>
      </c>
      <c r="AY487" s="30">
        <v>0</v>
      </c>
      <c r="AZ487" s="30">
        <v>0</v>
      </c>
      <c r="BA487" s="30" t="e">
        <f t="array" aca="1" ref="BA487" ca="1">_xludf.XLOOKUP(C487,'PL TOTAL D0'!A:A,'PL TOTAL D0'!C:C,"")</f>
        <v>#NAME?</v>
      </c>
    </row>
    <row r="488" spans="1:53" ht="15.75" customHeight="1">
      <c r="A488" s="23" t="s">
        <v>29</v>
      </c>
      <c r="B488" s="3" t="s">
        <v>1720</v>
      </c>
      <c r="C488" s="4" t="s">
        <v>1721</v>
      </c>
      <c r="D488" s="7" t="s">
        <v>64</v>
      </c>
      <c r="E488" s="7" t="s">
        <v>20</v>
      </c>
      <c r="F488" s="7" t="s">
        <v>142</v>
      </c>
      <c r="G488" s="7" t="e">
        <f t="shared" ca="1" si="13"/>
        <v>#NAME?</v>
      </c>
      <c r="H488" s="24" t="s">
        <v>143</v>
      </c>
      <c r="I488" s="24" t="s">
        <v>25</v>
      </c>
      <c r="J488" s="7" t="str">
        <f t="shared" si="23"/>
        <v>Não</v>
      </c>
      <c r="K488" s="25">
        <v>45153</v>
      </c>
      <c r="L488" s="25">
        <v>45525</v>
      </c>
      <c r="M488" s="7" t="s">
        <v>58</v>
      </c>
      <c r="N488" s="26">
        <v>1.2E-2</v>
      </c>
      <c r="O488" s="7" t="s">
        <v>37</v>
      </c>
      <c r="P488" s="27">
        <v>0.1</v>
      </c>
      <c r="Q488" s="28"/>
      <c r="R488" s="28" t="s">
        <v>1722</v>
      </c>
      <c r="S488" s="7" t="s">
        <v>145</v>
      </c>
      <c r="T488" s="7" t="s">
        <v>1723</v>
      </c>
      <c r="U488" s="7" t="s">
        <v>20</v>
      </c>
      <c r="V488" s="24" t="e">
        <f t="shared" ca="1" si="14"/>
        <v>#NAME?</v>
      </c>
      <c r="W488" s="7"/>
      <c r="X488" s="7"/>
      <c r="Y488" s="29" t="s">
        <v>147</v>
      </c>
      <c r="Z488" s="30"/>
      <c r="AA488" s="31">
        <v>45153</v>
      </c>
      <c r="AB488" s="32">
        <v>49075100004277</v>
      </c>
      <c r="AC488" s="30"/>
      <c r="AD488" s="30"/>
      <c r="AE488" s="30"/>
      <c r="AF488" s="30"/>
      <c r="AG488" s="30"/>
      <c r="AH488" s="30"/>
      <c r="AI488" s="30"/>
      <c r="AJ488" s="30"/>
      <c r="AK488" s="30"/>
      <c r="AL488" s="30"/>
      <c r="AM488" s="30">
        <v>86137.17</v>
      </c>
      <c r="AN488" s="30">
        <v>97309.47</v>
      </c>
      <c r="AO488" s="30">
        <v>97261.04</v>
      </c>
      <c r="AP488" s="30">
        <v>235706.8</v>
      </c>
      <c r="AQ488" s="30">
        <v>239103.51</v>
      </c>
      <c r="AR488" s="30">
        <v>237931.99</v>
      </c>
      <c r="AS488" s="30">
        <v>260032.22</v>
      </c>
      <c r="AT488" s="30">
        <v>262611.44</v>
      </c>
      <c r="AU488" s="30">
        <v>262847.63</v>
      </c>
      <c r="AV488" s="30">
        <v>263000.09999999998</v>
      </c>
      <c r="AW488" s="30">
        <v>264928.5</v>
      </c>
      <c r="AX488" s="30">
        <v>267977.09999999998</v>
      </c>
      <c r="AY488" s="30">
        <v>0</v>
      </c>
      <c r="AZ488" s="30">
        <v>0</v>
      </c>
      <c r="BA488" s="30" t="e">
        <f t="array" aca="1" ref="BA488" ca="1">_xludf.XLOOKUP(C488,'PL TOTAL D0'!A:A,'PL TOTAL D0'!C:C,"")</f>
        <v>#NAME?</v>
      </c>
    </row>
    <row r="489" spans="1:53" ht="15.75" customHeight="1">
      <c r="A489" s="23" t="s">
        <v>29</v>
      </c>
      <c r="B489" s="3" t="s">
        <v>1724</v>
      </c>
      <c r="C489" s="4" t="s">
        <v>1725</v>
      </c>
      <c r="D489" s="7" t="s">
        <v>19</v>
      </c>
      <c r="E489" s="7" t="s">
        <v>20</v>
      </c>
      <c r="F489" s="7" t="s">
        <v>199</v>
      </c>
      <c r="G489" s="7" t="e">
        <f t="shared" ca="1" si="13"/>
        <v>#NAME?</v>
      </c>
      <c r="H489" s="24" t="s">
        <v>152</v>
      </c>
      <c r="I489" s="24" t="s">
        <v>25</v>
      </c>
      <c r="J489" s="7" t="str">
        <f t="shared" si="23"/>
        <v>Não</v>
      </c>
      <c r="K489" s="25">
        <v>45049</v>
      </c>
      <c r="L489" s="7"/>
      <c r="M489" s="7" t="s">
        <v>42</v>
      </c>
      <c r="N489" s="26">
        <v>1.2E-2</v>
      </c>
      <c r="O489" s="7" t="s">
        <v>25</v>
      </c>
      <c r="P489" s="27">
        <v>0</v>
      </c>
      <c r="Q489" s="28"/>
      <c r="R489" s="28"/>
      <c r="S489" s="7" t="s">
        <v>145</v>
      </c>
      <c r="T489" s="7" t="s">
        <v>1726</v>
      </c>
      <c r="U489" s="7" t="s">
        <v>20</v>
      </c>
      <c r="V489" s="24" t="e">
        <f t="shared" ca="1" si="14"/>
        <v>#NAME?</v>
      </c>
      <c r="W489" s="7"/>
      <c r="X489" s="7"/>
      <c r="Y489" s="29" t="s">
        <v>147</v>
      </c>
      <c r="Z489" s="30"/>
      <c r="AA489" s="31">
        <v>45049</v>
      </c>
      <c r="AB489" s="32">
        <v>49075100003084</v>
      </c>
      <c r="AC489" s="30"/>
      <c r="AD489" s="30"/>
      <c r="AE489" s="30"/>
      <c r="AF489" s="30"/>
      <c r="AG489" s="30"/>
      <c r="AH489" s="30">
        <v>0</v>
      </c>
      <c r="AI489" s="30">
        <v>0</v>
      </c>
      <c r="AJ489" s="30">
        <v>250702.3</v>
      </c>
      <c r="AK489" s="30">
        <v>253116.48</v>
      </c>
      <c r="AL489" s="30">
        <v>251302.85</v>
      </c>
      <c r="AM489" s="30">
        <v>253049.1</v>
      </c>
      <c r="AN489" s="30">
        <v>254242.64</v>
      </c>
      <c r="AO489" s="30">
        <v>255791.67</v>
      </c>
      <c r="AP489" s="30">
        <v>258385.2</v>
      </c>
      <c r="AQ489" s="30">
        <v>259749.48</v>
      </c>
      <c r="AR489" s="30">
        <v>261888.86</v>
      </c>
      <c r="AS489" s="30">
        <v>263005.86</v>
      </c>
      <c r="AT489" s="30">
        <v>265209.88</v>
      </c>
      <c r="AU489" s="30">
        <v>266678.8</v>
      </c>
      <c r="AV489" s="30">
        <v>268235.90000000002</v>
      </c>
      <c r="AW489" s="30">
        <v>269943.90000000002</v>
      </c>
      <c r="AX489" s="30">
        <v>271548.3</v>
      </c>
      <c r="AY489" s="30">
        <v>258260.25</v>
      </c>
      <c r="AZ489" s="30">
        <v>259917.58</v>
      </c>
      <c r="BA489" s="30" t="e">
        <f t="array" aca="1" ref="BA489" ca="1">_xludf.XLOOKUP(C489,'PL TOTAL D0'!A:A,'PL TOTAL D0'!C:C,"")</f>
        <v>#NAME?</v>
      </c>
    </row>
    <row r="490" spans="1:53" ht="15.75" customHeight="1">
      <c r="A490" s="23" t="s">
        <v>29</v>
      </c>
      <c r="B490" s="36" t="s">
        <v>1727</v>
      </c>
      <c r="C490" s="44" t="s">
        <v>1728</v>
      </c>
      <c r="D490" s="7" t="s">
        <v>19</v>
      </c>
      <c r="E490" s="7" t="s">
        <v>20</v>
      </c>
      <c r="F490" s="7" t="s">
        <v>210</v>
      </c>
      <c r="G490" s="7" t="e">
        <f t="shared" ca="1" si="13"/>
        <v>#NAME?</v>
      </c>
      <c r="H490" s="24" t="s">
        <v>161</v>
      </c>
      <c r="I490" s="24" t="s">
        <v>211</v>
      </c>
      <c r="J490" s="7" t="str">
        <f t="shared" si="23"/>
        <v>Não</v>
      </c>
      <c r="K490" s="25">
        <v>45254</v>
      </c>
      <c r="L490" s="7"/>
      <c r="M490" s="9" t="s">
        <v>172</v>
      </c>
      <c r="N490" s="26">
        <v>0</v>
      </c>
      <c r="O490" s="6" t="s">
        <v>25</v>
      </c>
      <c r="P490" s="27">
        <v>0</v>
      </c>
      <c r="Q490" s="28"/>
      <c r="R490" s="28"/>
      <c r="S490" s="7" t="s">
        <v>145</v>
      </c>
      <c r="T490" s="7" t="s">
        <v>1729</v>
      </c>
      <c r="U490" s="7" t="s">
        <v>20</v>
      </c>
      <c r="V490" s="24" t="e">
        <f t="shared" ca="1" si="14"/>
        <v>#NAME?</v>
      </c>
      <c r="W490" s="7"/>
      <c r="X490" s="7"/>
      <c r="Y490" s="29" t="s">
        <v>147</v>
      </c>
      <c r="Z490" s="30"/>
      <c r="AA490" s="31">
        <v>45254</v>
      </c>
      <c r="AB490" s="32">
        <v>49075100012598</v>
      </c>
      <c r="AC490" s="30"/>
      <c r="AD490" s="30"/>
      <c r="AE490" s="30"/>
      <c r="AF490" s="30"/>
      <c r="AG490" s="30"/>
      <c r="AH490" s="30"/>
      <c r="AI490" s="30"/>
      <c r="AJ490" s="30"/>
      <c r="AK490" s="30"/>
      <c r="AL490" s="30"/>
      <c r="AM490" s="30"/>
      <c r="AN490" s="30"/>
      <c r="AO490" s="30"/>
      <c r="AP490" s="30">
        <v>0</v>
      </c>
      <c r="AQ490" s="30">
        <v>10066.790000000001</v>
      </c>
      <c r="AR490" s="30">
        <v>10162.200000000001</v>
      </c>
      <c r="AS490" s="30">
        <v>10225.44</v>
      </c>
      <c r="AT490" s="30">
        <v>29309.64</v>
      </c>
      <c r="AU490" s="30">
        <v>29442.93</v>
      </c>
      <c r="AV490" s="30">
        <v>29675</v>
      </c>
      <c r="AW490" s="30">
        <v>38333.25</v>
      </c>
      <c r="AX490" s="30">
        <v>47116.13</v>
      </c>
      <c r="AY490" s="30">
        <v>47518.42</v>
      </c>
      <c r="AZ490" s="30">
        <v>47893.63</v>
      </c>
      <c r="BA490" s="30" t="e">
        <f t="array" aca="1" ref="BA490" ca="1">_xludf.XLOOKUP(C490,'PL TOTAL D0'!A:A,'PL TOTAL D0'!C:C,"")</f>
        <v>#NAME?</v>
      </c>
    </row>
    <row r="491" spans="1:53" ht="15.75" customHeight="1">
      <c r="A491" s="23" t="s">
        <v>29</v>
      </c>
      <c r="B491" s="36" t="s">
        <v>1730</v>
      </c>
      <c r="C491" s="44" t="s">
        <v>1731</v>
      </c>
      <c r="D491" s="7" t="s">
        <v>19</v>
      </c>
      <c r="E491" s="7" t="s">
        <v>20</v>
      </c>
      <c r="F491" s="7" t="s">
        <v>210</v>
      </c>
      <c r="G491" s="7" t="e">
        <f t="shared" ca="1" si="13"/>
        <v>#NAME?</v>
      </c>
      <c r="H491" s="24" t="s">
        <v>161</v>
      </c>
      <c r="I491" s="24" t="s">
        <v>211</v>
      </c>
      <c r="J491" s="7" t="str">
        <f t="shared" si="23"/>
        <v>Não</v>
      </c>
      <c r="K491" s="25">
        <v>45408</v>
      </c>
      <c r="L491" s="7"/>
      <c r="M491" s="9" t="s">
        <v>42</v>
      </c>
      <c r="N491" s="26">
        <v>1.2E-2</v>
      </c>
      <c r="O491" s="6" t="s">
        <v>25</v>
      </c>
      <c r="P491" s="27">
        <v>0</v>
      </c>
      <c r="Q491" s="28"/>
      <c r="R491" s="28"/>
      <c r="S491" s="7" t="s">
        <v>145</v>
      </c>
      <c r="T491" s="7" t="s">
        <v>1729</v>
      </c>
      <c r="U491" s="7" t="s">
        <v>20</v>
      </c>
      <c r="V491" s="24" t="e">
        <f t="shared" ca="1" si="14"/>
        <v>#NAME?</v>
      </c>
      <c r="W491" s="7"/>
      <c r="X491" s="7" t="s">
        <v>52</v>
      </c>
      <c r="Y491" s="29" t="s">
        <v>147</v>
      </c>
      <c r="Z491" s="30"/>
      <c r="AA491" s="31">
        <v>45408</v>
      </c>
      <c r="AB491" s="32">
        <v>49075100014086</v>
      </c>
      <c r="AC491" s="30"/>
      <c r="AD491" s="30"/>
      <c r="AE491" s="30"/>
      <c r="AF491" s="30"/>
      <c r="AG491" s="30"/>
      <c r="AH491" s="30"/>
      <c r="AI491" s="30"/>
      <c r="AJ491" s="30"/>
      <c r="AK491" s="30"/>
      <c r="AL491" s="30"/>
      <c r="AM491" s="30"/>
      <c r="AN491" s="30"/>
      <c r="AO491" s="30"/>
      <c r="AP491" s="30"/>
      <c r="AQ491" s="30"/>
      <c r="AR491" s="30"/>
      <c r="AS491" s="30"/>
      <c r="AT491" s="30"/>
      <c r="AU491" s="30">
        <v>0</v>
      </c>
      <c r="AV491" s="30">
        <v>0</v>
      </c>
      <c r="AW491" s="30">
        <v>0</v>
      </c>
      <c r="AX491" s="30">
        <v>0</v>
      </c>
      <c r="AY491" s="30">
        <v>0</v>
      </c>
      <c r="AZ491" s="30">
        <v>0</v>
      </c>
      <c r="BA491" s="30" t="e">
        <f t="array" aca="1" ref="BA491" ca="1">_xludf.XLOOKUP(C491,'PL TOTAL D0'!A:A,'PL TOTAL D0'!C:C,"")</f>
        <v>#NAME?</v>
      </c>
    </row>
    <row r="492" spans="1:53" ht="15.75" customHeight="1">
      <c r="A492" s="23" t="s">
        <v>29</v>
      </c>
      <c r="B492" s="23" t="s">
        <v>1732</v>
      </c>
      <c r="C492" s="44" t="s">
        <v>1733</v>
      </c>
      <c r="D492" s="7" t="s">
        <v>72</v>
      </c>
      <c r="E492" s="7" t="s">
        <v>20</v>
      </c>
      <c r="F492" s="7" t="s">
        <v>386</v>
      </c>
      <c r="G492" s="7" t="e">
        <f t="shared" ca="1" si="13"/>
        <v>#NAME?</v>
      </c>
      <c r="H492" s="24" t="s">
        <v>152</v>
      </c>
      <c r="I492" s="24" t="s">
        <v>25</v>
      </c>
      <c r="J492" s="7" t="str">
        <f t="shared" si="23"/>
        <v>Sim</v>
      </c>
      <c r="K492" s="25">
        <v>45363</v>
      </c>
      <c r="L492" s="7"/>
      <c r="M492" s="9" t="s">
        <v>42</v>
      </c>
      <c r="N492" s="26">
        <v>1.2E-2</v>
      </c>
      <c r="O492" s="6" t="s">
        <v>25</v>
      </c>
      <c r="P492" s="27">
        <v>0</v>
      </c>
      <c r="Q492" s="36" t="s">
        <v>1734</v>
      </c>
      <c r="R492" s="28"/>
      <c r="S492" s="7" t="s">
        <v>145</v>
      </c>
      <c r="T492" s="12" t="s">
        <v>1735</v>
      </c>
      <c r="U492" s="7" t="s">
        <v>20</v>
      </c>
      <c r="V492" s="24" t="e">
        <f t="shared" ca="1" si="14"/>
        <v>#NAME?</v>
      </c>
      <c r="W492" s="7"/>
      <c r="X492" s="7"/>
      <c r="Y492" s="29" t="s">
        <v>147</v>
      </c>
      <c r="Z492" s="30"/>
      <c r="AA492" s="31">
        <v>45363</v>
      </c>
      <c r="AB492" s="32">
        <v>49075100013845</v>
      </c>
      <c r="AC492" s="30"/>
      <c r="AD492" s="30"/>
      <c r="AE492" s="30"/>
      <c r="AF492" s="30"/>
      <c r="AG492" s="30"/>
      <c r="AH492" s="30"/>
      <c r="AI492" s="30"/>
      <c r="AJ492" s="30"/>
      <c r="AK492" s="30"/>
      <c r="AL492" s="30"/>
      <c r="AM492" s="30"/>
      <c r="AN492" s="30"/>
      <c r="AO492" s="30"/>
      <c r="AP492" s="30"/>
      <c r="AQ492" s="30"/>
      <c r="AR492" s="30"/>
      <c r="AS492" s="30"/>
      <c r="AT492" s="30">
        <v>105164.21</v>
      </c>
      <c r="AU492" s="30">
        <v>106021.93</v>
      </c>
      <c r="AV492" s="30">
        <v>106704.3</v>
      </c>
      <c r="AW492" s="30">
        <v>107572.3</v>
      </c>
      <c r="AX492" s="30">
        <v>108492.5</v>
      </c>
      <c r="AY492" s="30">
        <v>109365.04</v>
      </c>
      <c r="AZ492" s="30">
        <v>110150.93</v>
      </c>
      <c r="BA492" s="30" t="e">
        <f t="array" aca="1" ref="BA492" ca="1">_xludf.XLOOKUP(C492,'PL TOTAL D0'!A:A,'PL TOTAL D0'!C:C,"")</f>
        <v>#NAME?</v>
      </c>
    </row>
    <row r="493" spans="1:53" ht="15.75" customHeight="1">
      <c r="A493" s="23" t="s">
        <v>29</v>
      </c>
      <c r="B493" s="3" t="s">
        <v>1736</v>
      </c>
      <c r="C493" s="4" t="s">
        <v>1737</v>
      </c>
      <c r="D493" s="7" t="s">
        <v>19</v>
      </c>
      <c r="E493" s="7" t="s">
        <v>34</v>
      </c>
      <c r="F493" s="7" t="s">
        <v>616</v>
      </c>
      <c r="G493" s="7" t="e">
        <f t="shared" ca="1" si="13"/>
        <v>#NAME?</v>
      </c>
      <c r="H493" s="24" t="s">
        <v>152</v>
      </c>
      <c r="I493" s="24" t="s">
        <v>25</v>
      </c>
      <c r="J493" s="7" t="str">
        <f t="shared" si="23"/>
        <v>Não</v>
      </c>
      <c r="K493" s="25">
        <v>45040</v>
      </c>
      <c r="L493" s="7"/>
      <c r="M493" s="7" t="s">
        <v>42</v>
      </c>
      <c r="N493" s="26">
        <v>7.0000000000000001E-3</v>
      </c>
      <c r="O493" s="7" t="s">
        <v>25</v>
      </c>
      <c r="P493" s="27">
        <v>0</v>
      </c>
      <c r="Q493" s="28"/>
      <c r="R493" s="28"/>
      <c r="S493" s="7" t="s">
        <v>145</v>
      </c>
      <c r="T493" s="7" t="s">
        <v>1738</v>
      </c>
      <c r="U493" s="7" t="s">
        <v>60</v>
      </c>
      <c r="V493" s="24" t="e">
        <f t="shared" ca="1" si="14"/>
        <v>#NAME?</v>
      </c>
      <c r="W493" s="7"/>
      <c r="X493" s="7"/>
      <c r="Y493" s="29" t="s">
        <v>147</v>
      </c>
      <c r="Z493" s="30"/>
      <c r="AA493" s="31">
        <v>45040</v>
      </c>
      <c r="AB493" s="32">
        <v>49075100009120</v>
      </c>
      <c r="AC493" s="30"/>
      <c r="AD493" s="30"/>
      <c r="AE493" s="30"/>
      <c r="AF493" s="30"/>
      <c r="AG493" s="30"/>
      <c r="AH493" s="30">
        <v>0</v>
      </c>
      <c r="AI493" s="30">
        <v>511256.93</v>
      </c>
      <c r="AJ493" s="30">
        <v>1157718</v>
      </c>
      <c r="AK493" s="30">
        <v>1167395.6299999999</v>
      </c>
      <c r="AL493" s="30">
        <v>1176247.47</v>
      </c>
      <c r="AM493" s="30">
        <v>1187563.07</v>
      </c>
      <c r="AN493" s="30">
        <v>1197374.01</v>
      </c>
      <c r="AO493" s="30">
        <v>1208309.75</v>
      </c>
      <c r="AP493" s="30">
        <v>1216659.08</v>
      </c>
      <c r="AQ493" s="30">
        <v>1226329.6000000001</v>
      </c>
      <c r="AR493" s="30">
        <v>1237407.43</v>
      </c>
      <c r="AS493" s="30">
        <v>1245888.74</v>
      </c>
      <c r="AT493" s="30">
        <v>1255013.76</v>
      </c>
      <c r="AU493" s="30">
        <v>1265024.3799999999</v>
      </c>
      <c r="AV493" s="30">
        <v>1272402</v>
      </c>
      <c r="AW493" s="30">
        <v>1283204</v>
      </c>
      <c r="AX493" s="30">
        <v>1293214</v>
      </c>
      <c r="AY493" s="30">
        <v>1302817.3899999999</v>
      </c>
      <c r="AZ493" s="30">
        <v>1312777.69</v>
      </c>
      <c r="BA493" s="30" t="e">
        <f t="array" aca="1" ref="BA493" ca="1">_xludf.XLOOKUP(C493,'PL TOTAL D0'!A:A,'PL TOTAL D0'!C:C,"")</f>
        <v>#NAME?</v>
      </c>
    </row>
    <row r="494" spans="1:53" ht="15.75" customHeight="1">
      <c r="A494" s="23" t="s">
        <v>29</v>
      </c>
      <c r="B494" s="3" t="s">
        <v>1739</v>
      </c>
      <c r="C494" s="4" t="s">
        <v>1740</v>
      </c>
      <c r="D494" s="7" t="s">
        <v>19</v>
      </c>
      <c r="E494" s="7" t="s">
        <v>20</v>
      </c>
      <c r="F494" s="7" t="s">
        <v>21</v>
      </c>
      <c r="G494" s="7" t="e">
        <f t="shared" ca="1" si="13"/>
        <v>#NAME?</v>
      </c>
      <c r="H494" s="24" t="s">
        <v>152</v>
      </c>
      <c r="I494" s="24" t="s">
        <v>25</v>
      </c>
      <c r="J494" s="7" t="str">
        <f t="shared" si="23"/>
        <v>Sim</v>
      </c>
      <c r="K494" s="25">
        <v>45558</v>
      </c>
      <c r="L494" s="7"/>
      <c r="M494" s="7" t="s">
        <v>42</v>
      </c>
      <c r="N494" s="26">
        <v>1.2E-2</v>
      </c>
      <c r="O494" s="7" t="s">
        <v>25</v>
      </c>
      <c r="P494" s="27">
        <v>0</v>
      </c>
      <c r="Q494" s="28" t="s">
        <v>1741</v>
      </c>
      <c r="R494" s="28"/>
      <c r="S494" s="7" t="s">
        <v>145</v>
      </c>
      <c r="T494" s="7" t="s">
        <v>1742</v>
      </c>
      <c r="U494" s="7" t="s">
        <v>20</v>
      </c>
      <c r="V494" s="24" t="e">
        <f t="shared" ca="1" si="14"/>
        <v>#NAME?</v>
      </c>
      <c r="W494" s="7"/>
      <c r="X494" s="7" t="s">
        <v>40</v>
      </c>
      <c r="Y494" s="29"/>
      <c r="Z494" s="30"/>
      <c r="AA494" s="30"/>
      <c r="AB494" s="32"/>
      <c r="AC494" s="30"/>
      <c r="AD494" s="30"/>
      <c r="AE494" s="30"/>
      <c r="AF494" s="30"/>
      <c r="AG494" s="30"/>
      <c r="AH494" s="30"/>
      <c r="AI494" s="30"/>
      <c r="AJ494" s="30"/>
      <c r="AK494" s="30"/>
      <c r="AL494" s="30"/>
      <c r="AM494" s="30"/>
      <c r="AN494" s="30"/>
      <c r="AO494" s="30"/>
      <c r="AP494" s="30"/>
      <c r="AQ494" s="30"/>
      <c r="AR494" s="30"/>
      <c r="AS494" s="30"/>
      <c r="AT494" s="30"/>
      <c r="AU494" s="30"/>
      <c r="AV494" s="30"/>
      <c r="AW494" s="30"/>
      <c r="AX494" s="30"/>
      <c r="AY494" s="30"/>
      <c r="AZ494" s="30">
        <v>498662.39</v>
      </c>
      <c r="BA494" s="30" t="e">
        <f t="array" aca="1" ref="BA494" ca="1">_xludf.XLOOKUP(C494,'PL TOTAL D0'!A:A,'PL TOTAL D0'!C:C,"")</f>
        <v>#NAME?</v>
      </c>
    </row>
    <row r="495" spans="1:53" ht="15.75" customHeight="1">
      <c r="A495" s="23" t="s">
        <v>29</v>
      </c>
      <c r="B495" s="37" t="s">
        <v>1743</v>
      </c>
      <c r="C495" s="4" t="s">
        <v>1744</v>
      </c>
      <c r="D495" s="7" t="s">
        <v>19</v>
      </c>
      <c r="E495" s="7" t="s">
        <v>20</v>
      </c>
      <c r="F495" s="7" t="s">
        <v>21</v>
      </c>
      <c r="G495" s="7" t="e">
        <f t="shared" ca="1" si="13"/>
        <v>#NAME?</v>
      </c>
      <c r="H495" s="24" t="s">
        <v>161</v>
      </c>
      <c r="I495" s="24" t="s">
        <v>162</v>
      </c>
      <c r="J495" s="7" t="str">
        <f t="shared" si="23"/>
        <v>Não</v>
      </c>
      <c r="K495" s="25">
        <v>44991</v>
      </c>
      <c r="L495" s="7"/>
      <c r="M495" s="7" t="s">
        <v>42</v>
      </c>
      <c r="N495" s="26">
        <v>1.2E-2</v>
      </c>
      <c r="O495" s="7" t="s">
        <v>25</v>
      </c>
      <c r="P495" s="27">
        <v>0</v>
      </c>
      <c r="Q495" s="28"/>
      <c r="R495" s="28"/>
      <c r="S495" s="7" t="s">
        <v>145</v>
      </c>
      <c r="T495" s="7" t="s">
        <v>1745</v>
      </c>
      <c r="U495" s="7" t="s">
        <v>20</v>
      </c>
      <c r="V495" s="24" t="e">
        <f t="shared" ca="1" si="14"/>
        <v>#NAME?</v>
      </c>
      <c r="W495" s="7"/>
      <c r="X495" s="7"/>
      <c r="Y495" s="29" t="s">
        <v>147</v>
      </c>
      <c r="Z495" s="30"/>
      <c r="AA495" s="31">
        <v>44991</v>
      </c>
      <c r="AB495" s="32">
        <v>49075100009538</v>
      </c>
      <c r="AC495" s="30"/>
      <c r="AD495" s="30"/>
      <c r="AE495" s="30"/>
      <c r="AF495" s="30"/>
      <c r="AG495" s="30"/>
      <c r="AH495" s="30">
        <v>368265.24</v>
      </c>
      <c r="AI495" s="30">
        <v>340562.58</v>
      </c>
      <c r="AJ495" s="30">
        <v>312389.67</v>
      </c>
      <c r="AK495" s="30">
        <v>284890.51</v>
      </c>
      <c r="AL495" s="30">
        <v>226649.71</v>
      </c>
      <c r="AM495" s="30">
        <v>198726.27</v>
      </c>
      <c r="AN495" s="30">
        <v>169987.25</v>
      </c>
      <c r="AO495" s="30">
        <v>141258.94</v>
      </c>
      <c r="AP495" s="30">
        <v>116854.35</v>
      </c>
      <c r="AQ495" s="30">
        <v>87389.25</v>
      </c>
      <c r="AR495" s="30">
        <v>55777.95</v>
      </c>
      <c r="AS495" s="30">
        <v>25885.58</v>
      </c>
      <c r="AT495" s="30">
        <v>0</v>
      </c>
      <c r="AU495" s="30">
        <v>0</v>
      </c>
      <c r="AV495" s="30">
        <v>0</v>
      </c>
      <c r="AW495" s="30">
        <v>0.17</v>
      </c>
      <c r="AX495" s="30">
        <v>0.17</v>
      </c>
      <c r="AY495" s="30">
        <v>0.17</v>
      </c>
      <c r="AZ495" s="30">
        <v>0.17</v>
      </c>
      <c r="BA495" s="30" t="e">
        <f t="array" aca="1" ref="BA495" ca="1">_xludf.XLOOKUP(C495,'PL TOTAL D0'!A:A,'PL TOTAL D0'!C:C,"")</f>
        <v>#NAME?</v>
      </c>
    </row>
    <row r="496" spans="1:53" ht="15.75" customHeight="1">
      <c r="A496" s="23" t="s">
        <v>29</v>
      </c>
      <c r="B496" s="3" t="s">
        <v>27</v>
      </c>
      <c r="C496" s="4" t="s">
        <v>28</v>
      </c>
      <c r="D496" s="7" t="s">
        <v>19</v>
      </c>
      <c r="E496" s="7" t="s">
        <v>20</v>
      </c>
      <c r="F496" s="7" t="s">
        <v>21</v>
      </c>
      <c r="G496" s="7" t="e">
        <f t="shared" ca="1" si="13"/>
        <v>#NAME?</v>
      </c>
      <c r="H496" s="24" t="s">
        <v>161</v>
      </c>
      <c r="I496" s="24" t="s">
        <v>404</v>
      </c>
      <c r="J496" s="7" t="str">
        <f t="shared" si="23"/>
        <v>Não</v>
      </c>
      <c r="K496" s="25">
        <v>45100</v>
      </c>
      <c r="L496" s="7"/>
      <c r="M496" s="7" t="s">
        <v>357</v>
      </c>
      <c r="N496" s="26">
        <v>7.0000000000000001E-3</v>
      </c>
      <c r="O496" s="7" t="s">
        <v>25</v>
      </c>
      <c r="P496" s="27">
        <v>0</v>
      </c>
      <c r="Q496" s="45"/>
      <c r="R496" s="45" t="s">
        <v>1746</v>
      </c>
      <c r="S496" s="7" t="s">
        <v>145</v>
      </c>
      <c r="T496" s="7" t="s">
        <v>1747</v>
      </c>
      <c r="U496" s="7" t="s">
        <v>20</v>
      </c>
      <c r="V496" s="24" t="e">
        <f t="shared" ca="1" si="14"/>
        <v>#NAME?</v>
      </c>
      <c r="W496" s="7"/>
      <c r="X496" s="7"/>
      <c r="Y496" s="29" t="s">
        <v>147</v>
      </c>
      <c r="Z496" s="30"/>
      <c r="AA496" s="31">
        <v>45100</v>
      </c>
      <c r="AB496" s="32">
        <v>49075100007314</v>
      </c>
      <c r="AC496" s="30"/>
      <c r="AD496" s="30"/>
      <c r="AE496" s="30"/>
      <c r="AF496" s="30"/>
      <c r="AG496" s="30"/>
      <c r="AH496" s="30"/>
      <c r="AI496" s="30"/>
      <c r="AJ496" s="30"/>
      <c r="AK496" s="30">
        <v>120847.69</v>
      </c>
      <c r="AL496" s="30">
        <v>210779.7</v>
      </c>
      <c r="AM496" s="30">
        <v>186414.72</v>
      </c>
      <c r="AN496" s="30">
        <v>188147.5</v>
      </c>
      <c r="AO496" s="30">
        <v>189897.63</v>
      </c>
      <c r="AP496" s="30">
        <v>190792.35</v>
      </c>
      <c r="AQ496" s="30">
        <v>192341.63</v>
      </c>
      <c r="AR496" s="30">
        <v>193266.25</v>
      </c>
      <c r="AS496" s="30">
        <v>95403.65</v>
      </c>
      <c r="AT496" s="30">
        <v>96234.46</v>
      </c>
      <c r="AU496" s="30">
        <v>97100.56</v>
      </c>
      <c r="AV496" s="30">
        <v>97912.56</v>
      </c>
      <c r="AW496" s="30">
        <v>98691.41</v>
      </c>
      <c r="AX496" s="30">
        <v>100130.7</v>
      </c>
      <c r="AY496" s="30">
        <v>100995.19</v>
      </c>
      <c r="AZ496" s="30">
        <v>101774.52</v>
      </c>
      <c r="BA496" s="30" t="e">
        <f t="array" aca="1" ref="BA496" ca="1">_xludf.XLOOKUP(C496,'PL TOTAL D0'!A:A,'PL TOTAL D0'!C:C,"")</f>
        <v>#NAME?</v>
      </c>
    </row>
    <row r="497" spans="1:53" ht="15.75" customHeight="1">
      <c r="A497" s="23" t="s">
        <v>29</v>
      </c>
      <c r="B497" s="3" t="s">
        <v>27</v>
      </c>
      <c r="C497" s="4" t="s">
        <v>1748</v>
      </c>
      <c r="D497" s="7" t="s">
        <v>19</v>
      </c>
      <c r="E497" s="7" t="s">
        <v>20</v>
      </c>
      <c r="F497" s="7" t="s">
        <v>21</v>
      </c>
      <c r="G497" s="7" t="e">
        <f t="shared" ca="1" si="13"/>
        <v>#NAME?</v>
      </c>
      <c r="H497" s="24" t="s">
        <v>152</v>
      </c>
      <c r="I497" s="24" t="s">
        <v>25</v>
      </c>
      <c r="J497" s="7" t="str">
        <f t="shared" si="23"/>
        <v>Sim</v>
      </c>
      <c r="K497" s="25">
        <v>45163</v>
      </c>
      <c r="L497" s="25"/>
      <c r="M497" s="7" t="s">
        <v>200</v>
      </c>
      <c r="N497" s="26">
        <v>1.4999999999999999E-2</v>
      </c>
      <c r="O497" s="7" t="s">
        <v>37</v>
      </c>
      <c r="P497" s="27">
        <v>0.1</v>
      </c>
      <c r="Q497" s="28" t="s">
        <v>1749</v>
      </c>
      <c r="R497" s="45" t="s">
        <v>1750</v>
      </c>
      <c r="S497" s="7" t="s">
        <v>145</v>
      </c>
      <c r="T497" s="7" t="s">
        <v>1747</v>
      </c>
      <c r="U497" s="7" t="s">
        <v>20</v>
      </c>
      <c r="V497" s="24" t="e">
        <f t="shared" ca="1" si="14"/>
        <v>#NAME?</v>
      </c>
      <c r="W497" s="7"/>
      <c r="X497" s="7"/>
      <c r="Y497" s="29" t="s">
        <v>147</v>
      </c>
      <c r="Z497" s="30"/>
      <c r="AA497" s="31">
        <v>45163</v>
      </c>
      <c r="AB497" s="32">
        <v>49075100003610</v>
      </c>
      <c r="AC497" s="30"/>
      <c r="AD497" s="30"/>
      <c r="AE497" s="30"/>
      <c r="AF497" s="30"/>
      <c r="AG497" s="30"/>
      <c r="AH497" s="30"/>
      <c r="AI497" s="30"/>
      <c r="AJ497" s="30"/>
      <c r="AK497" s="30">
        <v>0</v>
      </c>
      <c r="AL497" s="30">
        <v>0</v>
      </c>
      <c r="AM497" s="30">
        <v>27085.37</v>
      </c>
      <c r="AN497" s="30">
        <v>29145.96</v>
      </c>
      <c r="AO497" s="30">
        <v>27767.72</v>
      </c>
      <c r="AP497" s="30">
        <v>28598.080000000002</v>
      </c>
      <c r="AQ497" s="30">
        <v>30015.27</v>
      </c>
      <c r="AR497" s="30">
        <v>27567.040000000001</v>
      </c>
      <c r="AS497" s="30">
        <v>181530.14</v>
      </c>
      <c r="AT497" s="30">
        <v>191029.53</v>
      </c>
      <c r="AU497" s="30">
        <v>189458.43</v>
      </c>
      <c r="AV497" s="30">
        <v>189275.8</v>
      </c>
      <c r="AW497" s="30">
        <v>194550.1</v>
      </c>
      <c r="AX497" s="30">
        <v>196322.6</v>
      </c>
      <c r="AY497" s="30">
        <v>183008.56</v>
      </c>
      <c r="AZ497" s="30">
        <v>183023.05</v>
      </c>
      <c r="BA497" s="30" t="e">
        <f t="array" aca="1" ref="BA497" ca="1">_xludf.XLOOKUP(C497,'PL TOTAL D0'!A:A,'PL TOTAL D0'!C:C,"")</f>
        <v>#NAME?</v>
      </c>
    </row>
    <row r="498" spans="1:53" ht="15.75" customHeight="1">
      <c r="A498" s="23" t="s">
        <v>29</v>
      </c>
      <c r="B498" s="3" t="s">
        <v>1751</v>
      </c>
      <c r="C498" s="4" t="s">
        <v>1752</v>
      </c>
      <c r="D498" s="7" t="s">
        <v>19</v>
      </c>
      <c r="E498" s="7" t="s">
        <v>20</v>
      </c>
      <c r="F498" s="7" t="s">
        <v>210</v>
      </c>
      <c r="G498" s="7" t="e">
        <f t="shared" ca="1" si="13"/>
        <v>#NAME?</v>
      </c>
      <c r="H498" s="24" t="s">
        <v>143</v>
      </c>
      <c r="I498" s="24" t="s">
        <v>25</v>
      </c>
      <c r="J498" s="7" t="str">
        <f t="shared" si="23"/>
        <v>Não</v>
      </c>
      <c r="K498" s="25">
        <v>45107</v>
      </c>
      <c r="L498" s="25">
        <v>45449</v>
      </c>
      <c r="M498" s="7" t="s">
        <v>42</v>
      </c>
      <c r="N498" s="26">
        <v>1.2E-2</v>
      </c>
      <c r="O498" s="7" t="s">
        <v>25</v>
      </c>
      <c r="P498" s="27">
        <v>0</v>
      </c>
      <c r="Q498" s="28"/>
      <c r="R498" s="28" t="s">
        <v>309</v>
      </c>
      <c r="S498" s="7" t="s">
        <v>145</v>
      </c>
      <c r="T498" s="7" t="s">
        <v>1753</v>
      </c>
      <c r="U498" s="7" t="s">
        <v>46</v>
      </c>
      <c r="V498" s="24" t="e">
        <f t="shared" ca="1" si="14"/>
        <v>#NAME?</v>
      </c>
      <c r="W498" s="7"/>
      <c r="X498" s="7"/>
      <c r="Y498" s="29" t="s">
        <v>147</v>
      </c>
      <c r="Z498" s="30"/>
      <c r="AA498" s="31">
        <v>45107</v>
      </c>
      <c r="AB498" s="32">
        <v>49075100011621</v>
      </c>
      <c r="AC498" s="30"/>
      <c r="AD498" s="30"/>
      <c r="AE498" s="30"/>
      <c r="AF498" s="30"/>
      <c r="AG498" s="30"/>
      <c r="AH498" s="30"/>
      <c r="AI498" s="30"/>
      <c r="AJ498" s="30"/>
      <c r="AK498" s="30">
        <v>108827.97</v>
      </c>
      <c r="AL498" s="30">
        <v>0</v>
      </c>
      <c r="AM498" s="30">
        <v>0</v>
      </c>
      <c r="AN498" s="30">
        <v>0</v>
      </c>
      <c r="AO498" s="30">
        <v>0</v>
      </c>
      <c r="AP498" s="30">
        <v>0</v>
      </c>
      <c r="AQ498" s="30">
        <v>0</v>
      </c>
      <c r="AR498" s="30">
        <v>0</v>
      </c>
      <c r="AS498" s="30">
        <v>0</v>
      </c>
      <c r="AT498" s="30">
        <v>0</v>
      </c>
      <c r="AU498" s="30">
        <v>0</v>
      </c>
      <c r="AV498" s="30">
        <v>0</v>
      </c>
      <c r="AW498" s="30">
        <v>0</v>
      </c>
      <c r="AX498" s="30">
        <v>0</v>
      </c>
      <c r="AY498" s="30">
        <v>0</v>
      </c>
      <c r="AZ498" s="30">
        <v>0</v>
      </c>
      <c r="BA498" s="30" t="e">
        <f t="array" aca="1" ref="BA498" ca="1">_xludf.XLOOKUP(C498,'PL TOTAL D0'!A:A,'PL TOTAL D0'!C:C,"")</f>
        <v>#NAME?</v>
      </c>
    </row>
    <row r="499" spans="1:53" ht="15.75" customHeight="1">
      <c r="A499" s="23" t="s">
        <v>29</v>
      </c>
      <c r="B499" s="40" t="s">
        <v>1754</v>
      </c>
      <c r="C499" s="44" t="s">
        <v>1755</v>
      </c>
      <c r="D499" s="7" t="s">
        <v>19</v>
      </c>
      <c r="E499" s="7" t="s">
        <v>34</v>
      </c>
      <c r="F499" s="7" t="s">
        <v>35</v>
      </c>
      <c r="G499" s="7" t="e">
        <f t="shared" ca="1" si="13"/>
        <v>#NAME?</v>
      </c>
      <c r="H499" s="24" t="s">
        <v>152</v>
      </c>
      <c r="I499" s="24" t="s">
        <v>25</v>
      </c>
      <c r="J499" s="7" t="str">
        <f t="shared" si="23"/>
        <v>Não</v>
      </c>
      <c r="K499" s="25">
        <v>45188</v>
      </c>
      <c r="L499" s="7"/>
      <c r="M499" s="7" t="s">
        <v>200</v>
      </c>
      <c r="N499" s="26">
        <v>1.4999999999999999E-2</v>
      </c>
      <c r="O499" s="7" t="s">
        <v>37</v>
      </c>
      <c r="P499" s="27">
        <v>0.1</v>
      </c>
      <c r="Q499" s="23"/>
      <c r="R499" s="28" t="s">
        <v>443</v>
      </c>
      <c r="S499" s="7" t="s">
        <v>145</v>
      </c>
      <c r="T499" s="7" t="s">
        <v>1756</v>
      </c>
      <c r="U499" s="7" t="s">
        <v>39</v>
      </c>
      <c r="V499" s="24" t="e">
        <f t="shared" ca="1" si="14"/>
        <v>#NAME?</v>
      </c>
      <c r="W499" s="7"/>
      <c r="X499" s="7"/>
      <c r="Y499" s="29" t="s">
        <v>147</v>
      </c>
      <c r="Z499" s="30"/>
      <c r="AA499" s="31">
        <v>45188</v>
      </c>
      <c r="AB499" s="32">
        <v>49075100011631</v>
      </c>
      <c r="AC499" s="30"/>
      <c r="AD499" s="30"/>
      <c r="AE499" s="30"/>
      <c r="AF499" s="30"/>
      <c r="AG499" s="30"/>
      <c r="AH499" s="30"/>
      <c r="AI499" s="30"/>
      <c r="AJ499" s="30"/>
      <c r="AK499" s="30"/>
      <c r="AL499" s="30"/>
      <c r="AM499" s="30"/>
      <c r="AN499" s="30">
        <v>208763.51</v>
      </c>
      <c r="AO499" s="30">
        <v>266900.28000000003</v>
      </c>
      <c r="AP499" s="30">
        <v>272939.39</v>
      </c>
      <c r="AQ499" s="30">
        <v>278256.37</v>
      </c>
      <c r="AR499" s="30">
        <v>273662.88</v>
      </c>
      <c r="AS499" s="30">
        <v>276015.90999999997</v>
      </c>
      <c r="AT499" s="30">
        <v>278391.65999999997</v>
      </c>
      <c r="AU499" s="30">
        <v>276463.02</v>
      </c>
      <c r="AV499" s="30">
        <v>274973.3</v>
      </c>
      <c r="AW499" s="30">
        <v>276515.09999999998</v>
      </c>
      <c r="AX499" s="30">
        <v>354447.6</v>
      </c>
      <c r="AY499" s="30">
        <v>357911.94</v>
      </c>
      <c r="AZ499" s="30">
        <v>356251.78</v>
      </c>
      <c r="BA499" s="30" t="e">
        <f t="array" aca="1" ref="BA499" ca="1">_xludf.XLOOKUP(C499,'PL TOTAL D0'!A:A,'PL TOTAL D0'!C:C,"")</f>
        <v>#NAME?</v>
      </c>
    </row>
    <row r="500" spans="1:53" ht="15.75" customHeight="1">
      <c r="A500" s="23" t="s">
        <v>29</v>
      </c>
      <c r="B500" s="40" t="s">
        <v>1757</v>
      </c>
      <c r="C500" s="44" t="s">
        <v>1758</v>
      </c>
      <c r="D500" s="7" t="s">
        <v>19</v>
      </c>
      <c r="E500" s="7" t="s">
        <v>49</v>
      </c>
      <c r="F500" s="7" t="s">
        <v>166</v>
      </c>
      <c r="G500" s="7" t="e">
        <f t="shared" ca="1" si="13"/>
        <v>#NAME?</v>
      </c>
      <c r="H500" s="24" t="s">
        <v>152</v>
      </c>
      <c r="I500" s="24" t="s">
        <v>25</v>
      </c>
      <c r="J500" s="7" t="str">
        <f t="shared" si="23"/>
        <v>Sim</v>
      </c>
      <c r="K500" s="25">
        <v>45547</v>
      </c>
      <c r="L500" s="7"/>
      <c r="M500" s="7" t="s">
        <v>42</v>
      </c>
      <c r="N500" s="26">
        <v>1.2E-2</v>
      </c>
      <c r="O500" s="7" t="s">
        <v>25</v>
      </c>
      <c r="P500" s="27">
        <v>0</v>
      </c>
      <c r="Q500" s="23" t="s">
        <v>1759</v>
      </c>
      <c r="R500" s="28"/>
      <c r="S500" s="7" t="s">
        <v>145</v>
      </c>
      <c r="T500" s="7" t="s">
        <v>1760</v>
      </c>
      <c r="U500" s="7" t="s">
        <v>49</v>
      </c>
      <c r="V500" s="24" t="e">
        <f t="shared" ca="1" si="14"/>
        <v>#NAME?</v>
      </c>
      <c r="W500" s="7"/>
      <c r="X500" s="7" t="s">
        <v>52</v>
      </c>
      <c r="Y500" s="29"/>
      <c r="Z500" s="30"/>
      <c r="AA500" s="30"/>
      <c r="AB500" s="32"/>
      <c r="AC500" s="30"/>
      <c r="AD500" s="30"/>
      <c r="AE500" s="30"/>
      <c r="AF500" s="30"/>
      <c r="AG500" s="30"/>
      <c r="AH500" s="30"/>
      <c r="AI500" s="30"/>
      <c r="AJ500" s="30"/>
      <c r="AK500" s="30"/>
      <c r="AL500" s="30"/>
      <c r="AM500" s="30"/>
      <c r="AN500" s="30"/>
      <c r="AO500" s="30"/>
      <c r="AP500" s="30"/>
      <c r="AQ500" s="30"/>
      <c r="AR500" s="30"/>
      <c r="AS500" s="30"/>
      <c r="AT500" s="30"/>
      <c r="AU500" s="30"/>
      <c r="AV500" s="30"/>
      <c r="AW500" s="30"/>
      <c r="AX500" s="30"/>
      <c r="AY500" s="30"/>
      <c r="AZ500" s="30">
        <v>802362.22</v>
      </c>
      <c r="BA500" s="30" t="e">
        <f t="array" aca="1" ref="BA500" ca="1">_xludf.XLOOKUP(C500,'PL TOTAL D0'!A:A,'PL TOTAL D0'!C:C,"")</f>
        <v>#NAME?</v>
      </c>
    </row>
    <row r="501" spans="1:53" ht="15.75" customHeight="1">
      <c r="A501" s="23" t="s">
        <v>29</v>
      </c>
      <c r="B501" s="3" t="s">
        <v>1761</v>
      </c>
      <c r="C501" s="4" t="s">
        <v>1762</v>
      </c>
      <c r="D501" s="7" t="s">
        <v>19</v>
      </c>
      <c r="E501" s="7" t="s">
        <v>49</v>
      </c>
      <c r="F501" s="7" t="s">
        <v>328</v>
      </c>
      <c r="G501" s="7" t="e">
        <f t="shared" ca="1" si="13"/>
        <v>#NAME?</v>
      </c>
      <c r="H501" s="24" t="s">
        <v>152</v>
      </c>
      <c r="I501" s="24" t="s">
        <v>25</v>
      </c>
      <c r="J501" s="7" t="str">
        <f t="shared" si="23"/>
        <v>Não</v>
      </c>
      <c r="K501" s="25">
        <v>44987</v>
      </c>
      <c r="L501" s="7"/>
      <c r="M501" s="7" t="s">
        <v>200</v>
      </c>
      <c r="N501" s="26">
        <v>1.4999999999999999E-2</v>
      </c>
      <c r="O501" s="7" t="s">
        <v>37</v>
      </c>
      <c r="P501" s="27">
        <v>0.1</v>
      </c>
      <c r="Q501" s="28"/>
      <c r="R501" s="28"/>
      <c r="S501" s="7" t="s">
        <v>145</v>
      </c>
      <c r="T501" s="7" t="s">
        <v>1763</v>
      </c>
      <c r="U501" s="7" t="s">
        <v>49</v>
      </c>
      <c r="V501" s="24" t="e">
        <f t="shared" ca="1" si="14"/>
        <v>#NAME?</v>
      </c>
      <c r="W501" s="7"/>
      <c r="X501" s="7"/>
      <c r="Y501" s="29" t="s">
        <v>253</v>
      </c>
      <c r="Z501" s="30"/>
      <c r="AA501" s="31">
        <v>44987</v>
      </c>
      <c r="AB501" s="32">
        <v>49075100007276</v>
      </c>
      <c r="AC501" s="30"/>
      <c r="AD501" s="30"/>
      <c r="AE501" s="30"/>
      <c r="AF501" s="30">
        <v>0</v>
      </c>
      <c r="AG501" s="30">
        <v>284090.61</v>
      </c>
      <c r="AH501" s="30">
        <v>339363.55</v>
      </c>
      <c r="AI501" s="30">
        <v>341209.52</v>
      </c>
      <c r="AJ501" s="30">
        <v>347483.42</v>
      </c>
      <c r="AK501" s="30">
        <v>353546.33</v>
      </c>
      <c r="AL501" s="30">
        <v>355920.24</v>
      </c>
      <c r="AM501" s="30">
        <v>353649.99</v>
      </c>
      <c r="AN501" s="30">
        <v>354934.72</v>
      </c>
      <c r="AO501" s="30">
        <v>359135.21</v>
      </c>
      <c r="AP501" s="30">
        <v>366613.03</v>
      </c>
      <c r="AQ501" s="30">
        <v>373740.33</v>
      </c>
      <c r="AR501" s="30">
        <v>367839.66</v>
      </c>
      <c r="AS501" s="30">
        <v>370831.17</v>
      </c>
      <c r="AT501" s="30">
        <v>374712.09</v>
      </c>
      <c r="AU501" s="30">
        <v>370888</v>
      </c>
      <c r="AV501" s="30">
        <v>369170.6</v>
      </c>
      <c r="AW501" s="30">
        <v>396651.4</v>
      </c>
      <c r="AX501" s="30">
        <v>401297.3</v>
      </c>
      <c r="AY501" s="30">
        <v>405745.91</v>
      </c>
      <c r="AZ501" s="30">
        <v>404027.43</v>
      </c>
      <c r="BA501" s="30" t="e">
        <f t="array" aca="1" ref="BA501" ca="1">_xludf.XLOOKUP(C501,'PL TOTAL D0'!A:A,'PL TOTAL D0'!C:C,"")</f>
        <v>#NAME?</v>
      </c>
    </row>
    <row r="502" spans="1:53" ht="15.75" customHeight="1">
      <c r="A502" s="23" t="s">
        <v>29</v>
      </c>
      <c r="B502" s="3" t="s">
        <v>1764</v>
      </c>
      <c r="C502" s="4" t="s">
        <v>1765</v>
      </c>
      <c r="D502" s="7" t="s">
        <v>80</v>
      </c>
      <c r="E502" s="7" t="s">
        <v>49</v>
      </c>
      <c r="F502" s="7" t="s">
        <v>81</v>
      </c>
      <c r="G502" s="7" t="e">
        <f t="shared" ca="1" si="13"/>
        <v>#NAME?</v>
      </c>
      <c r="H502" s="24" t="s">
        <v>152</v>
      </c>
      <c r="I502" s="24" t="s">
        <v>25</v>
      </c>
      <c r="J502" s="7" t="str">
        <f t="shared" si="23"/>
        <v>Não</v>
      </c>
      <c r="K502" s="25">
        <v>45490</v>
      </c>
      <c r="L502" s="7"/>
      <c r="M502" s="7" t="s">
        <v>42</v>
      </c>
      <c r="N502" s="26">
        <v>0.01</v>
      </c>
      <c r="O502" s="7" t="s">
        <v>25</v>
      </c>
      <c r="P502" s="27">
        <v>0</v>
      </c>
      <c r="Q502" s="28"/>
      <c r="R502" s="28"/>
      <c r="S502" s="7" t="s">
        <v>145</v>
      </c>
      <c r="T502" s="7" t="s">
        <v>1766</v>
      </c>
      <c r="U502" s="7" t="s">
        <v>20</v>
      </c>
      <c r="V502" s="24" t="e">
        <f t="shared" ca="1" si="14"/>
        <v>#NAME?</v>
      </c>
      <c r="W502" s="7"/>
      <c r="X502" s="7" t="s">
        <v>91</v>
      </c>
      <c r="Y502" s="29" t="s">
        <v>147</v>
      </c>
      <c r="Z502" s="30"/>
      <c r="AA502" s="31">
        <v>45490</v>
      </c>
      <c r="AB502" s="32">
        <v>49075100015406</v>
      </c>
      <c r="AC502" s="30"/>
      <c r="AD502" s="30"/>
      <c r="AE502" s="30"/>
      <c r="AF502" s="30"/>
      <c r="AG502" s="30"/>
      <c r="AH502" s="30"/>
      <c r="AI502" s="30"/>
      <c r="AJ502" s="30"/>
      <c r="AK502" s="30"/>
      <c r="AL502" s="30"/>
      <c r="AM502" s="30"/>
      <c r="AN502" s="30"/>
      <c r="AO502" s="30"/>
      <c r="AP502" s="30"/>
      <c r="AQ502" s="30"/>
      <c r="AR502" s="30"/>
      <c r="AS502" s="30"/>
      <c r="AT502" s="30"/>
      <c r="AU502" s="30"/>
      <c r="AV502" s="30"/>
      <c r="AW502" s="30"/>
      <c r="AX502" s="30">
        <v>444187.2</v>
      </c>
      <c r="AY502" s="30">
        <v>448597.51</v>
      </c>
      <c r="AZ502" s="30">
        <v>451239.58</v>
      </c>
      <c r="BA502" s="30" t="e">
        <f t="array" aca="1" ref="BA502" ca="1">_xludf.XLOOKUP(C502,'PL TOTAL D0'!A:A,'PL TOTAL D0'!C:C,"")</f>
        <v>#NAME?</v>
      </c>
    </row>
    <row r="503" spans="1:53" ht="15.75" customHeight="1">
      <c r="A503" s="23" t="s">
        <v>29</v>
      </c>
      <c r="B503" s="3" t="s">
        <v>1764</v>
      </c>
      <c r="C503" s="4" t="s">
        <v>1767</v>
      </c>
      <c r="D503" s="7" t="s">
        <v>80</v>
      </c>
      <c r="E503" s="7" t="s">
        <v>49</v>
      </c>
      <c r="F503" s="7" t="s">
        <v>81</v>
      </c>
      <c r="G503" s="7" t="e">
        <f t="shared" ca="1" si="13"/>
        <v>#NAME?</v>
      </c>
      <c r="H503" s="24" t="s">
        <v>161</v>
      </c>
      <c r="I503" s="24" t="s">
        <v>25</v>
      </c>
      <c r="J503" s="7" t="str">
        <f t="shared" si="23"/>
        <v>Não</v>
      </c>
      <c r="K503" s="25">
        <v>45488</v>
      </c>
      <c r="L503" s="7"/>
      <c r="M503" s="7" t="s">
        <v>42</v>
      </c>
      <c r="N503" s="26">
        <v>0.01</v>
      </c>
      <c r="O503" s="7" t="s">
        <v>25</v>
      </c>
      <c r="P503" s="27">
        <v>0</v>
      </c>
      <c r="Q503" s="28"/>
      <c r="R503" s="28" t="s">
        <v>1768</v>
      </c>
      <c r="S503" s="7" t="s">
        <v>145</v>
      </c>
      <c r="T503" s="7" t="s">
        <v>1766</v>
      </c>
      <c r="U503" s="7" t="s">
        <v>20</v>
      </c>
      <c r="V503" s="24" t="e">
        <f t="shared" ca="1" si="14"/>
        <v>#NAME?</v>
      </c>
      <c r="W503" s="7"/>
      <c r="X503" s="7" t="s">
        <v>91</v>
      </c>
      <c r="Y503" s="29" t="s">
        <v>147</v>
      </c>
      <c r="Z503" s="30"/>
      <c r="AA503" s="31">
        <v>45488</v>
      </c>
      <c r="AB503" s="32">
        <v>49075100015538</v>
      </c>
      <c r="AC503" s="30"/>
      <c r="AD503" s="30"/>
      <c r="AE503" s="30"/>
      <c r="AF503" s="30"/>
      <c r="AG503" s="30"/>
      <c r="AH503" s="30"/>
      <c r="AI503" s="30"/>
      <c r="AJ503" s="30"/>
      <c r="AK503" s="30"/>
      <c r="AL503" s="30"/>
      <c r="AM503" s="30"/>
      <c r="AN503" s="30"/>
      <c r="AO503" s="30"/>
      <c r="AP503" s="30"/>
      <c r="AQ503" s="30"/>
      <c r="AR503" s="30"/>
      <c r="AS503" s="30"/>
      <c r="AT503" s="30"/>
      <c r="AU503" s="30"/>
      <c r="AV503" s="30"/>
      <c r="AW503" s="30"/>
      <c r="AX503" s="30">
        <v>0</v>
      </c>
      <c r="AY503" s="30">
        <v>0</v>
      </c>
      <c r="AZ503" s="30">
        <v>0</v>
      </c>
      <c r="BA503" s="30" t="e">
        <f t="array" aca="1" ref="BA503" ca="1">_xludf.XLOOKUP(C503,'PL TOTAL D0'!A:A,'PL TOTAL D0'!C:C,"")</f>
        <v>#NAME?</v>
      </c>
    </row>
    <row r="504" spans="1:53" ht="15.75" customHeight="1">
      <c r="A504" s="23" t="s">
        <v>29</v>
      </c>
      <c r="B504" s="3" t="s">
        <v>1769</v>
      </c>
      <c r="C504" s="4" t="s">
        <v>1770</v>
      </c>
      <c r="D504" s="7" t="s">
        <v>80</v>
      </c>
      <c r="E504" s="7" t="s">
        <v>49</v>
      </c>
      <c r="F504" s="7" t="s">
        <v>81</v>
      </c>
      <c r="G504" s="7" t="e">
        <f t="shared" ca="1" si="13"/>
        <v>#NAME?</v>
      </c>
      <c r="H504" s="24" t="s">
        <v>161</v>
      </c>
      <c r="I504" s="24" t="s">
        <v>205</v>
      </c>
      <c r="J504" s="7" t="str">
        <f t="shared" si="23"/>
        <v>Não</v>
      </c>
      <c r="K504" s="25">
        <v>45552</v>
      </c>
      <c r="L504" s="7"/>
      <c r="M504" s="7" t="s">
        <v>31</v>
      </c>
      <c r="N504" s="26">
        <v>0</v>
      </c>
      <c r="O504" s="7" t="s">
        <v>25</v>
      </c>
      <c r="P504" s="27">
        <v>0</v>
      </c>
      <c r="Q504" s="28"/>
      <c r="R504" s="28"/>
      <c r="S504" s="7" t="s">
        <v>145</v>
      </c>
      <c r="T504" s="7" t="s">
        <v>1771</v>
      </c>
      <c r="U504" s="7" t="s">
        <v>20</v>
      </c>
      <c r="V504" s="24" t="e">
        <f t="shared" ca="1" si="14"/>
        <v>#NAME?</v>
      </c>
      <c r="W504" s="7"/>
      <c r="X504" s="7" t="s">
        <v>52</v>
      </c>
      <c r="Y504" s="29"/>
      <c r="Z504" s="30"/>
      <c r="AA504" s="30"/>
      <c r="AB504" s="32"/>
      <c r="AC504" s="30"/>
      <c r="AD504" s="30"/>
      <c r="AE504" s="30"/>
      <c r="AF504" s="30"/>
      <c r="AG504" s="30"/>
      <c r="AH504" s="30"/>
      <c r="AI504" s="30"/>
      <c r="AJ504" s="30"/>
      <c r="AK504" s="30"/>
      <c r="AL504" s="30"/>
      <c r="AM504" s="30"/>
      <c r="AN504" s="30"/>
      <c r="AO504" s="30"/>
      <c r="AP504" s="30"/>
      <c r="AQ504" s="30"/>
      <c r="AR504" s="30"/>
      <c r="AS504" s="30"/>
      <c r="AT504" s="30"/>
      <c r="AU504" s="30"/>
      <c r="AV504" s="30"/>
      <c r="AW504" s="30"/>
      <c r="AX504" s="30"/>
      <c r="AY504" s="30"/>
      <c r="AZ504" s="30">
        <v>6306.48</v>
      </c>
      <c r="BA504" s="30" t="e">
        <f t="array" aca="1" ref="BA504" ca="1">_xludf.XLOOKUP(C504,'PL TOTAL D0'!A:A,'PL TOTAL D0'!C:C,"")</f>
        <v>#NAME?</v>
      </c>
    </row>
    <row r="505" spans="1:53" ht="15.75" customHeight="1">
      <c r="A505" s="23" t="s">
        <v>29</v>
      </c>
      <c r="B505" s="3" t="s">
        <v>1769</v>
      </c>
      <c r="C505" s="4" t="s">
        <v>1772</v>
      </c>
      <c r="D505" s="7" t="s">
        <v>80</v>
      </c>
      <c r="E505" s="7" t="s">
        <v>49</v>
      </c>
      <c r="F505" s="7" t="s">
        <v>81</v>
      </c>
      <c r="G505" s="7" t="e">
        <f t="shared" ca="1" si="13"/>
        <v>#NAME?</v>
      </c>
      <c r="H505" s="24" t="s">
        <v>152</v>
      </c>
      <c r="I505" s="24" t="s">
        <v>25</v>
      </c>
      <c r="J505" s="7" t="str">
        <f t="shared" si="23"/>
        <v>Não</v>
      </c>
      <c r="K505" s="25">
        <v>45551</v>
      </c>
      <c r="L505" s="7"/>
      <c r="M505" s="7" t="s">
        <v>42</v>
      </c>
      <c r="N505" s="26">
        <v>1.2E-2</v>
      </c>
      <c r="O505" s="7" t="s">
        <v>25</v>
      </c>
      <c r="P505" s="27">
        <v>0</v>
      </c>
      <c r="Q505" s="28"/>
      <c r="R505" s="28"/>
      <c r="S505" s="7" t="s">
        <v>145</v>
      </c>
      <c r="T505" s="7" t="s">
        <v>1771</v>
      </c>
      <c r="U505" s="7" t="s">
        <v>20</v>
      </c>
      <c r="V505" s="24" t="e">
        <f t="shared" ca="1" si="14"/>
        <v>#NAME?</v>
      </c>
      <c r="W505" s="7"/>
      <c r="X505" s="7" t="s">
        <v>52</v>
      </c>
      <c r="Y505" s="29"/>
      <c r="Z505" s="30"/>
      <c r="AA505" s="30"/>
      <c r="AB505" s="32"/>
      <c r="AC505" s="30"/>
      <c r="AD505" s="30"/>
      <c r="AE505" s="30"/>
      <c r="AF505" s="30"/>
      <c r="AG505" s="30"/>
      <c r="AH505" s="30"/>
      <c r="AI505" s="30"/>
      <c r="AJ505" s="30"/>
      <c r="AK505" s="30"/>
      <c r="AL505" s="30"/>
      <c r="AM505" s="30"/>
      <c r="AN505" s="30"/>
      <c r="AO505" s="30"/>
      <c r="AP505" s="30"/>
      <c r="AQ505" s="30"/>
      <c r="AR505" s="30"/>
      <c r="AS505" s="30"/>
      <c r="AT505" s="30"/>
      <c r="AU505" s="30"/>
      <c r="AV505" s="30"/>
      <c r="AW505" s="30"/>
      <c r="AX505" s="30"/>
      <c r="AY505" s="30"/>
      <c r="AZ505" s="30">
        <v>251679.82</v>
      </c>
      <c r="BA505" s="30" t="e">
        <f t="array" aca="1" ref="BA505" ca="1">_xludf.XLOOKUP(C505,'PL TOTAL D0'!A:A,'PL TOTAL D0'!C:C,"")</f>
        <v>#NAME?</v>
      </c>
    </row>
    <row r="506" spans="1:53" ht="15.75" customHeight="1">
      <c r="A506" s="23" t="s">
        <v>29</v>
      </c>
      <c r="B506" s="3" t="s">
        <v>1773</v>
      </c>
      <c r="C506" s="35" t="s">
        <v>1774</v>
      </c>
      <c r="D506" s="7" t="s">
        <v>19</v>
      </c>
      <c r="E506" s="7" t="s">
        <v>20</v>
      </c>
      <c r="F506" s="7" t="s">
        <v>942</v>
      </c>
      <c r="G506" s="7" t="e">
        <f t="shared" ca="1" si="13"/>
        <v>#NAME?</v>
      </c>
      <c r="H506" s="24" t="s">
        <v>161</v>
      </c>
      <c r="I506" s="24" t="s">
        <v>162</v>
      </c>
      <c r="J506" s="7" t="str">
        <f t="shared" si="23"/>
        <v>Não</v>
      </c>
      <c r="K506" s="25">
        <v>45356</v>
      </c>
      <c r="L506" s="7"/>
      <c r="M506" s="7" t="s">
        <v>42</v>
      </c>
      <c r="N506" s="26">
        <v>1.2E-2</v>
      </c>
      <c r="O506" s="7" t="s">
        <v>25</v>
      </c>
      <c r="P506" s="27">
        <v>0</v>
      </c>
      <c r="Q506" s="28"/>
      <c r="R506" s="28"/>
      <c r="S506" s="7" t="s">
        <v>145</v>
      </c>
      <c r="T506" s="6" t="s">
        <v>1775</v>
      </c>
      <c r="U506" s="7" t="s">
        <v>20</v>
      </c>
      <c r="V506" s="24" t="e">
        <f t="shared" ca="1" si="14"/>
        <v>#NAME?</v>
      </c>
      <c r="W506" s="7"/>
      <c r="X506" s="7"/>
      <c r="Y506" s="29" t="s">
        <v>147</v>
      </c>
      <c r="Z506" s="30"/>
      <c r="AA506" s="31">
        <v>45356</v>
      </c>
      <c r="AB506" s="32">
        <v>49075100013853</v>
      </c>
      <c r="AC506" s="30"/>
      <c r="AD506" s="30"/>
      <c r="AE506" s="30"/>
      <c r="AF506" s="30"/>
      <c r="AG506" s="30"/>
      <c r="AH506" s="30"/>
      <c r="AI506" s="30"/>
      <c r="AJ506" s="30"/>
      <c r="AK506" s="30"/>
      <c r="AL506" s="30"/>
      <c r="AM506" s="30"/>
      <c r="AN506" s="30"/>
      <c r="AO506" s="30"/>
      <c r="AP506" s="30"/>
      <c r="AQ506" s="30"/>
      <c r="AR506" s="30"/>
      <c r="AS506" s="30">
        <v>0</v>
      </c>
      <c r="AT506" s="30">
        <v>0</v>
      </c>
      <c r="AU506" s="30">
        <v>0</v>
      </c>
      <c r="AV506" s="30">
        <v>0</v>
      </c>
      <c r="AW506" s="30">
        <v>0</v>
      </c>
      <c r="AX506" s="30">
        <v>0</v>
      </c>
      <c r="AY506" s="30">
        <v>0</v>
      </c>
      <c r="AZ506" s="30">
        <v>0</v>
      </c>
      <c r="BA506" s="30" t="e">
        <f t="array" aca="1" ref="BA506" ca="1">_xludf.XLOOKUP(C506,'PL TOTAL D0'!A:A,'PL TOTAL D0'!C:C,"")</f>
        <v>#NAME?</v>
      </c>
    </row>
    <row r="507" spans="1:53" ht="15.75" customHeight="1">
      <c r="A507" s="23" t="s">
        <v>29</v>
      </c>
      <c r="B507" s="3" t="s">
        <v>1776</v>
      </c>
      <c r="C507" s="4" t="s">
        <v>1777</v>
      </c>
      <c r="D507" s="7" t="s">
        <v>19</v>
      </c>
      <c r="E507" s="7" t="s">
        <v>49</v>
      </c>
      <c r="F507" s="7" t="s">
        <v>166</v>
      </c>
      <c r="G507" s="7" t="e">
        <f t="shared" ca="1" si="13"/>
        <v>#NAME?</v>
      </c>
      <c r="H507" s="24" t="s">
        <v>161</v>
      </c>
      <c r="I507" s="24" t="s">
        <v>162</v>
      </c>
      <c r="J507" s="7" t="str">
        <f t="shared" si="23"/>
        <v>Não</v>
      </c>
      <c r="K507" s="25">
        <v>44951</v>
      </c>
      <c r="L507" s="7"/>
      <c r="M507" s="7" t="s">
        <v>87</v>
      </c>
      <c r="N507" s="26">
        <v>2.5000000000000001E-2</v>
      </c>
      <c r="O507" s="7" t="s">
        <v>183</v>
      </c>
      <c r="P507" s="27">
        <v>0.2</v>
      </c>
      <c r="Q507" s="28"/>
      <c r="R507" s="28" t="s">
        <v>1778</v>
      </c>
      <c r="S507" s="7" t="s">
        <v>145</v>
      </c>
      <c r="T507" s="7" t="s">
        <v>1779</v>
      </c>
      <c r="U507" s="7" t="s">
        <v>49</v>
      </c>
      <c r="V507" s="24" t="e">
        <f t="shared" ca="1" si="14"/>
        <v>#NAME?</v>
      </c>
      <c r="W507" s="7"/>
      <c r="X507" s="7"/>
      <c r="Y507" s="29" t="s">
        <v>147</v>
      </c>
      <c r="Z507" s="30"/>
      <c r="AA507" s="31">
        <v>44951</v>
      </c>
      <c r="AB507" s="32">
        <v>49075100006083</v>
      </c>
      <c r="AC507" s="30"/>
      <c r="AD507" s="30"/>
      <c r="AE507" s="30"/>
      <c r="AF507" s="30">
        <v>31710.6</v>
      </c>
      <c r="AG507" s="30">
        <v>51930.03</v>
      </c>
      <c r="AH507" s="30">
        <v>51039.26</v>
      </c>
      <c r="AI507" s="30">
        <v>52412.85</v>
      </c>
      <c r="AJ507" s="30">
        <v>54741.43</v>
      </c>
      <c r="AK507" s="30">
        <v>63009.59</v>
      </c>
      <c r="AL507" s="30">
        <v>78422.94</v>
      </c>
      <c r="AM507" s="30">
        <v>79176.09</v>
      </c>
      <c r="AN507" s="30">
        <v>82436.509999999995</v>
      </c>
      <c r="AO507" s="30">
        <v>81636.55</v>
      </c>
      <c r="AP507" s="30">
        <v>87652.87</v>
      </c>
      <c r="AQ507" s="30">
        <v>91860.35</v>
      </c>
      <c r="AR507" s="30">
        <v>85488.26</v>
      </c>
      <c r="AS507" s="30">
        <v>86638.59</v>
      </c>
      <c r="AT507" s="30">
        <v>353</v>
      </c>
      <c r="AU507" s="30">
        <v>310.18</v>
      </c>
      <c r="AV507" s="30">
        <v>263.44</v>
      </c>
      <c r="AW507" s="30">
        <v>263.83</v>
      </c>
      <c r="AX507" s="30">
        <v>263.83</v>
      </c>
      <c r="AY507" s="30">
        <v>263.83</v>
      </c>
      <c r="AZ507" s="30">
        <v>263.83</v>
      </c>
      <c r="BA507" s="30" t="e">
        <f t="array" aca="1" ref="BA507" ca="1">_xludf.XLOOKUP(C507,'PL TOTAL D0'!A:A,'PL TOTAL D0'!C:C,"")</f>
        <v>#NAME?</v>
      </c>
    </row>
    <row r="508" spans="1:53" ht="15.75" customHeight="1">
      <c r="A508" s="23" t="s">
        <v>29</v>
      </c>
      <c r="B508" s="3" t="s">
        <v>1780</v>
      </c>
      <c r="C508" s="4" t="s">
        <v>1781</v>
      </c>
      <c r="D508" s="7" t="s">
        <v>19</v>
      </c>
      <c r="E508" s="7" t="s">
        <v>34</v>
      </c>
      <c r="F508" s="7" t="s">
        <v>35</v>
      </c>
      <c r="G508" s="7" t="e">
        <f t="shared" ca="1" si="13"/>
        <v>#NAME?</v>
      </c>
      <c r="H508" s="24" t="s">
        <v>161</v>
      </c>
      <c r="I508" s="24" t="s">
        <v>162</v>
      </c>
      <c r="J508" s="7" t="str">
        <f t="shared" si="23"/>
        <v>Não</v>
      </c>
      <c r="K508" s="25">
        <v>45113</v>
      </c>
      <c r="L508" s="25"/>
      <c r="M508" s="7" t="s">
        <v>87</v>
      </c>
      <c r="N508" s="26">
        <v>2.5000000000000001E-2</v>
      </c>
      <c r="O508" s="7" t="s">
        <v>183</v>
      </c>
      <c r="P508" s="27">
        <v>0.2</v>
      </c>
      <c r="Q508" s="28"/>
      <c r="R508" s="28" t="s">
        <v>1782</v>
      </c>
      <c r="S508" s="7" t="s">
        <v>145</v>
      </c>
      <c r="T508" s="7" t="s">
        <v>1783</v>
      </c>
      <c r="U508" s="7" t="s">
        <v>39</v>
      </c>
      <c r="V508" s="24" t="e">
        <f t="shared" ca="1" si="14"/>
        <v>#NAME?</v>
      </c>
      <c r="W508" s="7"/>
      <c r="X508" s="7"/>
      <c r="Y508" s="29" t="s">
        <v>147</v>
      </c>
      <c r="Z508" s="30"/>
      <c r="AA508" s="31">
        <v>45113</v>
      </c>
      <c r="AB508" s="32">
        <v>49075100006873</v>
      </c>
      <c r="AC508" s="30"/>
      <c r="AD508" s="30"/>
      <c r="AE508" s="30"/>
      <c r="AF508" s="30"/>
      <c r="AG508" s="30"/>
      <c r="AH508" s="30"/>
      <c r="AI508" s="30"/>
      <c r="AJ508" s="30"/>
      <c r="AK508" s="30">
        <v>4000</v>
      </c>
      <c r="AL508" s="30">
        <v>58760.66</v>
      </c>
      <c r="AM508" s="30">
        <v>100797.46</v>
      </c>
      <c r="AN508" s="30">
        <v>100548.79</v>
      </c>
      <c r="AO508" s="30">
        <v>105060.3</v>
      </c>
      <c r="AP508" s="30">
        <v>112931.1</v>
      </c>
      <c r="AQ508" s="30">
        <v>148344.70000000001</v>
      </c>
      <c r="AR508" s="30">
        <v>139817.22</v>
      </c>
      <c r="AS508" s="30">
        <v>141680.03</v>
      </c>
      <c r="AT508" s="30">
        <v>567.70000000000005</v>
      </c>
      <c r="AU508" s="30">
        <v>414.56</v>
      </c>
      <c r="AV508" s="30">
        <v>414.56</v>
      </c>
      <c r="AW508" s="30">
        <v>417.19</v>
      </c>
      <c r="AX508" s="30">
        <v>418.23</v>
      </c>
      <c r="AY508" s="30">
        <v>419.25</v>
      </c>
      <c r="AZ508" s="30">
        <v>420.23</v>
      </c>
      <c r="BA508" s="30" t="e">
        <f t="array" aca="1" ref="BA508" ca="1">_xludf.XLOOKUP(C508,'PL TOTAL D0'!A:A,'PL TOTAL D0'!C:C,"")</f>
        <v>#NAME?</v>
      </c>
    </row>
    <row r="509" spans="1:53" ht="18.75" customHeight="1">
      <c r="A509" s="23" t="s">
        <v>29</v>
      </c>
      <c r="B509" s="3" t="s">
        <v>1784</v>
      </c>
      <c r="C509" s="4" t="s">
        <v>1785</v>
      </c>
      <c r="D509" s="7" t="s">
        <v>19</v>
      </c>
      <c r="E509" s="7" t="s">
        <v>34</v>
      </c>
      <c r="F509" s="7" t="s">
        <v>35</v>
      </c>
      <c r="G509" s="7" t="e">
        <f t="shared" ca="1" si="13"/>
        <v>#NAME?</v>
      </c>
      <c r="H509" s="24" t="s">
        <v>152</v>
      </c>
      <c r="I509" s="24" t="s">
        <v>25</v>
      </c>
      <c r="J509" s="7" t="str">
        <f t="shared" si="23"/>
        <v>Não</v>
      </c>
      <c r="K509" s="25">
        <v>45035</v>
      </c>
      <c r="L509" s="7"/>
      <c r="M509" s="7" t="s">
        <v>42</v>
      </c>
      <c r="N509" s="26">
        <v>1.2E-2</v>
      </c>
      <c r="O509" s="7" t="s">
        <v>25</v>
      </c>
      <c r="P509" s="27">
        <v>0</v>
      </c>
      <c r="Q509" s="28"/>
      <c r="R509" s="28"/>
      <c r="S509" s="7" t="s">
        <v>145</v>
      </c>
      <c r="T509" s="7" t="s">
        <v>1783</v>
      </c>
      <c r="U509" s="7" t="s">
        <v>39</v>
      </c>
      <c r="V509" s="24" t="e">
        <f t="shared" ca="1" si="14"/>
        <v>#NAME?</v>
      </c>
      <c r="W509" s="7"/>
      <c r="X509" s="7"/>
      <c r="Y509" s="29" t="s">
        <v>147</v>
      </c>
      <c r="Z509" s="30"/>
      <c r="AA509" s="31">
        <v>45035</v>
      </c>
      <c r="AB509" s="32">
        <v>49075100009775</v>
      </c>
      <c r="AC509" s="30"/>
      <c r="AD509" s="30"/>
      <c r="AE509" s="30"/>
      <c r="AF509" s="30"/>
      <c r="AG509" s="30"/>
      <c r="AH509" s="30">
        <v>0</v>
      </c>
      <c r="AI509" s="30">
        <v>459936.64</v>
      </c>
      <c r="AJ509" s="30">
        <v>510336.77</v>
      </c>
      <c r="AK509" s="30">
        <v>515447.49</v>
      </c>
      <c r="AL509" s="30">
        <v>469355.86</v>
      </c>
      <c r="AM509" s="30">
        <v>432768.81</v>
      </c>
      <c r="AN509" s="30">
        <v>436245.95</v>
      </c>
      <c r="AO509" s="30">
        <v>440042.95</v>
      </c>
      <c r="AP509" s="30">
        <v>443494.03</v>
      </c>
      <c r="AQ509" s="30">
        <v>416227.51</v>
      </c>
      <c r="AR509" s="30">
        <v>419873.9</v>
      </c>
      <c r="AS509" s="30">
        <v>423182</v>
      </c>
      <c r="AT509" s="30">
        <v>426797.43</v>
      </c>
      <c r="AU509" s="30">
        <v>426021</v>
      </c>
      <c r="AV509" s="30">
        <v>427807.8</v>
      </c>
      <c r="AW509" s="30">
        <v>431224.4</v>
      </c>
      <c r="AX509" s="30">
        <v>434799.3</v>
      </c>
      <c r="AY509" s="30">
        <v>435406.03</v>
      </c>
      <c r="AZ509" s="30">
        <v>438361.15</v>
      </c>
      <c r="BA509" s="30" t="e">
        <f t="array" aca="1" ref="BA509" ca="1">_xludf.XLOOKUP(C509,'PL TOTAL D0'!A:A,'PL TOTAL D0'!C:C,"")</f>
        <v>#NAME?</v>
      </c>
    </row>
    <row r="510" spans="1:53" ht="15.75" customHeight="1">
      <c r="A510" s="23" t="s">
        <v>29</v>
      </c>
      <c r="B510" s="3" t="s">
        <v>1786</v>
      </c>
      <c r="C510" s="4" t="s">
        <v>1787</v>
      </c>
      <c r="D510" s="7" t="s">
        <v>19</v>
      </c>
      <c r="E510" s="7" t="s">
        <v>20</v>
      </c>
      <c r="F510" s="7" t="s">
        <v>372</v>
      </c>
      <c r="G510" s="7" t="e">
        <f t="shared" ca="1" si="13"/>
        <v>#NAME?</v>
      </c>
      <c r="H510" s="24" t="s">
        <v>152</v>
      </c>
      <c r="I510" s="24" t="s">
        <v>25</v>
      </c>
      <c r="J510" s="7" t="str">
        <f t="shared" si="23"/>
        <v>Não</v>
      </c>
      <c r="K510" s="25">
        <v>45163</v>
      </c>
      <c r="L510" s="133"/>
      <c r="M510" s="7" t="s">
        <v>42</v>
      </c>
      <c r="N510" s="26">
        <v>1.2E-2</v>
      </c>
      <c r="O510" s="7" t="s">
        <v>25</v>
      </c>
      <c r="P510" s="27">
        <v>0</v>
      </c>
      <c r="Q510" s="45"/>
      <c r="R510" s="158" t="s">
        <v>1788</v>
      </c>
      <c r="S510" s="7" t="s">
        <v>145</v>
      </c>
      <c r="T510" s="7" t="s">
        <v>1789</v>
      </c>
      <c r="U510" s="7" t="s">
        <v>20</v>
      </c>
      <c r="V510" s="24" t="e">
        <f t="shared" ca="1" si="14"/>
        <v>#NAME?</v>
      </c>
      <c r="W510" s="7"/>
      <c r="X510" s="7"/>
      <c r="Y510" s="7" t="s">
        <v>147</v>
      </c>
      <c r="Z510" s="23"/>
      <c r="AA510" s="133">
        <v>45163</v>
      </c>
      <c r="AB510" s="134">
        <v>49075100011648</v>
      </c>
      <c r="AC510" s="23"/>
      <c r="AD510" s="23"/>
      <c r="AE510" s="23"/>
      <c r="AF510" s="23"/>
      <c r="AG510" s="23"/>
      <c r="AH510" s="23"/>
      <c r="AI510" s="23">
        <v>0</v>
      </c>
      <c r="AJ510" s="30">
        <v>0</v>
      </c>
      <c r="AK510" s="30">
        <v>0</v>
      </c>
      <c r="AL510" s="30">
        <v>0</v>
      </c>
      <c r="AM510" s="30">
        <v>0</v>
      </c>
      <c r="AN510" s="30">
        <v>0</v>
      </c>
      <c r="AO510" s="30">
        <v>0</v>
      </c>
      <c r="AP510" s="30">
        <v>0</v>
      </c>
      <c r="AQ510" s="30">
        <v>0</v>
      </c>
      <c r="AR510" s="30">
        <v>0</v>
      </c>
      <c r="AS510" s="30">
        <v>0</v>
      </c>
      <c r="AT510" s="30">
        <v>0</v>
      </c>
      <c r="AU510" s="30">
        <v>0</v>
      </c>
      <c r="AV510" s="30">
        <v>0</v>
      </c>
      <c r="AW510" s="30">
        <v>20000</v>
      </c>
      <c r="AX510" s="30">
        <v>0</v>
      </c>
      <c r="AY510" s="30">
        <v>0.5</v>
      </c>
      <c r="AZ510" s="30">
        <v>120345.4</v>
      </c>
      <c r="BA510" s="30" t="e">
        <f t="array" aca="1" ref="BA510" ca="1">_xludf.XLOOKUP(C510,'PL TOTAL D0'!A:A,'PL TOTAL D0'!C:C,"")</f>
        <v>#NAME?</v>
      </c>
    </row>
    <row r="511" spans="1:53" ht="15.75" customHeight="1">
      <c r="A511" s="23" t="s">
        <v>29</v>
      </c>
      <c r="B511" s="3" t="s">
        <v>1786</v>
      </c>
      <c r="C511" s="4" t="s">
        <v>1790</v>
      </c>
      <c r="D511" s="7" t="s">
        <v>19</v>
      </c>
      <c r="E511" s="7" t="s">
        <v>20</v>
      </c>
      <c r="F511" s="7" t="s">
        <v>372</v>
      </c>
      <c r="G511" s="7" t="e">
        <f t="shared" ca="1" si="13"/>
        <v>#NAME?</v>
      </c>
      <c r="H511" s="24" t="s">
        <v>152</v>
      </c>
      <c r="I511" s="24" t="s">
        <v>25</v>
      </c>
      <c r="J511" s="7" t="str">
        <f t="shared" si="23"/>
        <v>Não</v>
      </c>
      <c r="K511" s="25">
        <v>45163</v>
      </c>
      <c r="L511" s="133"/>
      <c r="M511" s="7" t="s">
        <v>200</v>
      </c>
      <c r="N511" s="26">
        <v>1.4999999999999999E-2</v>
      </c>
      <c r="O511" s="7" t="s">
        <v>37</v>
      </c>
      <c r="P511" s="27">
        <v>0.1</v>
      </c>
      <c r="Q511" s="45"/>
      <c r="R511" s="158" t="s">
        <v>1788</v>
      </c>
      <c r="S511" s="7" t="s">
        <v>145</v>
      </c>
      <c r="T511" s="7" t="s">
        <v>1789</v>
      </c>
      <c r="U511" s="7" t="s">
        <v>20</v>
      </c>
      <c r="V511" s="24" t="e">
        <f t="shared" ca="1" si="14"/>
        <v>#NAME?</v>
      </c>
      <c r="W511" s="7"/>
      <c r="X511" s="7"/>
      <c r="Y511" s="7" t="s">
        <v>147</v>
      </c>
      <c r="Z511" s="23"/>
      <c r="AA511" s="133">
        <v>45163</v>
      </c>
      <c r="AB511" s="134">
        <v>49075100011656</v>
      </c>
      <c r="AC511" s="23"/>
      <c r="AD511" s="23"/>
      <c r="AE511" s="23"/>
      <c r="AF511" s="23"/>
      <c r="AG511" s="23"/>
      <c r="AH511" s="23"/>
      <c r="AI511" s="23">
        <v>0</v>
      </c>
      <c r="AJ511" s="30">
        <v>0</v>
      </c>
      <c r="AK511" s="30">
        <v>0</v>
      </c>
      <c r="AL511" s="30">
        <v>0</v>
      </c>
      <c r="AM511" s="30">
        <v>0</v>
      </c>
      <c r="AN511" s="30">
        <v>0</v>
      </c>
      <c r="AO511" s="30">
        <v>0</v>
      </c>
      <c r="AP511" s="30">
        <v>0</v>
      </c>
      <c r="AQ511" s="30">
        <v>0</v>
      </c>
      <c r="AR511" s="30">
        <v>0</v>
      </c>
      <c r="AS511" s="30">
        <v>0</v>
      </c>
      <c r="AT511" s="30">
        <v>0</v>
      </c>
      <c r="AU511" s="30">
        <v>0</v>
      </c>
      <c r="AV511" s="30">
        <v>0</v>
      </c>
      <c r="AW511" s="30">
        <v>0</v>
      </c>
      <c r="AX511" s="30">
        <v>20122.259999999998</v>
      </c>
      <c r="AY511" s="30">
        <v>20269.39</v>
      </c>
      <c r="AZ511" s="30">
        <v>0</v>
      </c>
      <c r="BA511" s="30" t="e">
        <f t="array" aca="1" ref="BA511" ca="1">_xludf.XLOOKUP(C511,'PL TOTAL D0'!A:A,'PL TOTAL D0'!C:C,"")</f>
        <v>#NAME?</v>
      </c>
    </row>
    <row r="512" spans="1:53" ht="15.75" customHeight="1">
      <c r="A512" s="23" t="s">
        <v>29</v>
      </c>
      <c r="B512" s="3" t="s">
        <v>1791</v>
      </c>
      <c r="C512" s="4" t="s">
        <v>1792</v>
      </c>
      <c r="D512" s="7" t="s">
        <v>19</v>
      </c>
      <c r="E512" s="7" t="s">
        <v>20</v>
      </c>
      <c r="F512" s="7" t="s">
        <v>372</v>
      </c>
      <c r="G512" s="7" t="e">
        <f t="shared" ca="1" si="13"/>
        <v>#NAME?</v>
      </c>
      <c r="H512" s="24" t="s">
        <v>152</v>
      </c>
      <c r="I512" s="24" t="s">
        <v>25</v>
      </c>
      <c r="J512" s="7" t="str">
        <f t="shared" si="23"/>
        <v>Não</v>
      </c>
      <c r="K512" s="25">
        <v>44973</v>
      </c>
      <c r="L512" s="7"/>
      <c r="M512" s="7" t="s">
        <v>172</v>
      </c>
      <c r="N512" s="26">
        <v>0</v>
      </c>
      <c r="O512" s="7" t="s">
        <v>25</v>
      </c>
      <c r="P512" s="27">
        <v>0</v>
      </c>
      <c r="Q512" s="28"/>
      <c r="R512" s="28" t="s">
        <v>1793</v>
      </c>
      <c r="S512" s="7" t="s">
        <v>145</v>
      </c>
      <c r="T512" s="7" t="s">
        <v>1794</v>
      </c>
      <c r="U512" s="7" t="s">
        <v>20</v>
      </c>
      <c r="V512" s="24" t="e">
        <f t="shared" ca="1" si="14"/>
        <v>#NAME?</v>
      </c>
      <c r="W512" s="7"/>
      <c r="X512" s="7"/>
      <c r="Y512" s="29" t="s">
        <v>147</v>
      </c>
      <c r="Z512" s="30"/>
      <c r="AA512" s="31">
        <v>44973</v>
      </c>
      <c r="AB512" s="32">
        <v>49075100006091</v>
      </c>
      <c r="AC512" s="30"/>
      <c r="AD512" s="30"/>
      <c r="AE512" s="30"/>
      <c r="AF512" s="30"/>
      <c r="AG512" s="30">
        <v>5790.98</v>
      </c>
      <c r="AH512" s="30">
        <v>5852.75</v>
      </c>
      <c r="AI512" s="30">
        <v>5888.04</v>
      </c>
      <c r="AJ512" s="30">
        <v>6317.77</v>
      </c>
      <c r="AK512" s="30">
        <v>6868.15</v>
      </c>
      <c r="AL512" s="30">
        <v>6927.27</v>
      </c>
      <c r="AM512" s="30">
        <v>7834.09</v>
      </c>
      <c r="AN512" s="30">
        <v>8020.29</v>
      </c>
      <c r="AO512" s="30">
        <v>8086.59</v>
      </c>
      <c r="AP512" s="30">
        <v>8649.01</v>
      </c>
      <c r="AQ512" s="30">
        <v>9191</v>
      </c>
      <c r="AR512" s="30">
        <v>9279.92</v>
      </c>
      <c r="AS512" s="30">
        <v>10352.1</v>
      </c>
      <c r="AT512" s="30">
        <v>11431.85</v>
      </c>
      <c r="AU512" s="30">
        <v>11508.63</v>
      </c>
      <c r="AV512" s="30">
        <v>11520.95</v>
      </c>
      <c r="AW512" s="30">
        <v>11581.53</v>
      </c>
      <c r="AX512" s="30">
        <v>11689.72</v>
      </c>
      <c r="AY512" s="30">
        <v>11789.58</v>
      </c>
      <c r="AZ512" s="30">
        <v>11882.89</v>
      </c>
      <c r="BA512" s="30" t="e">
        <f t="array" aca="1" ref="BA512" ca="1">_xludf.XLOOKUP(C512,'PL TOTAL D0'!A:A,'PL TOTAL D0'!C:C,"")</f>
        <v>#NAME?</v>
      </c>
    </row>
    <row r="513" spans="1:53" ht="15.75" customHeight="1">
      <c r="A513" s="23" t="s">
        <v>29</v>
      </c>
      <c r="B513" s="3" t="s">
        <v>1795</v>
      </c>
      <c r="C513" s="4" t="s">
        <v>1796</v>
      </c>
      <c r="D513" s="7" t="s">
        <v>64</v>
      </c>
      <c r="E513" s="7" t="s">
        <v>20</v>
      </c>
      <c r="F513" s="7" t="s">
        <v>489</v>
      </c>
      <c r="G513" s="7" t="e">
        <f t="shared" ref="G513:G767" ca="1" si="24">_xludf.IFS($BA$3:$BA$864&lt;=500000,"Breno",$BA$3:$BA$864&lt;=20000000,"Bruno",$BA$3:$BA$864="","")</f>
        <v>#NAME?</v>
      </c>
      <c r="H513" s="24" t="s">
        <v>161</v>
      </c>
      <c r="I513" s="24" t="s">
        <v>211</v>
      </c>
      <c r="J513" s="7" t="s">
        <v>181</v>
      </c>
      <c r="K513" s="25">
        <v>45348</v>
      </c>
      <c r="L513" s="7"/>
      <c r="M513" s="7" t="s">
        <v>350</v>
      </c>
      <c r="N513" s="26">
        <v>5.0000000000000001E-3</v>
      </c>
      <c r="O513" s="7" t="s">
        <v>25</v>
      </c>
      <c r="P513" s="27">
        <v>0</v>
      </c>
      <c r="Q513" s="23"/>
      <c r="R513" s="28" t="s">
        <v>702</v>
      </c>
      <c r="S513" s="7" t="s">
        <v>145</v>
      </c>
      <c r="T513" s="7" t="s">
        <v>1797</v>
      </c>
      <c r="U513" s="7"/>
      <c r="V513" s="24" t="e">
        <f t="shared" ref="V513:V767" ca="1" si="25">_xludf.IFS(H:H="Encerrado","Encerrado",COUNTBLANK(AM513:AX513)&gt;0,"Ativo",SUM(AM513:AX513)=0,"Inativo",SUM(AM513:AX513)&gt;0,"Ativo")</f>
        <v>#NAME?</v>
      </c>
      <c r="W513" s="7"/>
      <c r="X513" s="7"/>
      <c r="Y513" s="29"/>
      <c r="Z513" s="30"/>
      <c r="AA513" s="31">
        <v>45348</v>
      </c>
      <c r="AB513" s="32">
        <v>49075100013594</v>
      </c>
      <c r="AC513" s="30"/>
      <c r="AD513" s="30"/>
      <c r="AE513" s="30"/>
      <c r="AF513" s="30"/>
      <c r="AG513" s="30"/>
      <c r="AH513" s="30"/>
      <c r="AI513" s="30"/>
      <c r="AJ513" s="30"/>
      <c r="AK513" s="30"/>
      <c r="AL513" s="30"/>
      <c r="AM513" s="30"/>
      <c r="AN513" s="30"/>
      <c r="AO513" s="30"/>
      <c r="AP513" s="30"/>
      <c r="AQ513" s="30"/>
      <c r="AR513" s="30"/>
      <c r="AS513" s="30">
        <v>2561451.81</v>
      </c>
      <c r="AT513" s="30">
        <v>2584018.75</v>
      </c>
      <c r="AU513" s="30">
        <v>2602467.12</v>
      </c>
      <c r="AV513" s="30">
        <v>2623061</v>
      </c>
      <c r="AW513" s="30">
        <v>2635950</v>
      </c>
      <c r="AX513" s="30">
        <v>0</v>
      </c>
      <c r="AY513" s="30">
        <v>0</v>
      </c>
      <c r="AZ513" s="30">
        <v>0</v>
      </c>
      <c r="BA513" s="30" t="e">
        <f t="array" aca="1" ref="BA513" ca="1">_xludf.XLOOKUP(C513,'PL TOTAL D0'!A:A,'PL TOTAL D0'!C:C,"")</f>
        <v>#NAME?</v>
      </c>
    </row>
    <row r="514" spans="1:53" ht="15.75" customHeight="1">
      <c r="A514" s="23" t="s">
        <v>29</v>
      </c>
      <c r="B514" s="3" t="s">
        <v>1798</v>
      </c>
      <c r="C514" s="4" t="s">
        <v>1799</v>
      </c>
      <c r="D514" s="7" t="s">
        <v>19</v>
      </c>
      <c r="E514" s="7" t="s">
        <v>20</v>
      </c>
      <c r="F514" s="7" t="s">
        <v>372</v>
      </c>
      <c r="G514" s="7" t="e">
        <f t="shared" ca="1" si="24"/>
        <v>#NAME?</v>
      </c>
      <c r="H514" s="24" t="s">
        <v>161</v>
      </c>
      <c r="I514" s="24" t="s">
        <v>211</v>
      </c>
      <c r="J514" s="7" t="str">
        <f t="shared" ref="J514:J548" si="26">IF(Q514=0,"Não","Sim")</f>
        <v>Não</v>
      </c>
      <c r="K514" s="25">
        <v>44965</v>
      </c>
      <c r="L514" s="7"/>
      <c r="M514" s="7" t="s">
        <v>200</v>
      </c>
      <c r="N514" s="26">
        <v>1.4999999999999999E-2</v>
      </c>
      <c r="O514" s="7" t="s">
        <v>37</v>
      </c>
      <c r="P514" s="27">
        <v>0.1</v>
      </c>
      <c r="Q514" s="28"/>
      <c r="R514" s="28"/>
      <c r="S514" s="7" t="s">
        <v>145</v>
      </c>
      <c r="T514" s="7" t="s">
        <v>1800</v>
      </c>
      <c r="U514" s="7" t="s">
        <v>20</v>
      </c>
      <c r="V514" s="24" t="e">
        <f t="shared" ca="1" si="25"/>
        <v>#NAME?</v>
      </c>
      <c r="W514" s="7"/>
      <c r="X514" s="7"/>
      <c r="Y514" s="29" t="s">
        <v>147</v>
      </c>
      <c r="Z514" s="30"/>
      <c r="AA514" s="31">
        <v>44965</v>
      </c>
      <c r="AB514" s="32">
        <v>49075100009716</v>
      </c>
      <c r="AC514" s="30"/>
      <c r="AD514" s="30"/>
      <c r="AE514" s="30"/>
      <c r="AF514" s="30">
        <v>0</v>
      </c>
      <c r="AG514" s="30">
        <v>71695.11</v>
      </c>
      <c r="AH514" s="30">
        <v>72215.39</v>
      </c>
      <c r="AI514" s="30">
        <v>72488.98</v>
      </c>
      <c r="AJ514" s="30">
        <v>73058.100000000006</v>
      </c>
      <c r="AK514" s="30">
        <v>44016.3</v>
      </c>
      <c r="AL514" s="30">
        <v>44694.58</v>
      </c>
      <c r="AM514" s="30">
        <v>44440.77</v>
      </c>
      <c r="AN514" s="30">
        <v>44594.44</v>
      </c>
      <c r="AO514" s="30">
        <v>44838.89</v>
      </c>
      <c r="AP514" s="30">
        <v>44457.26</v>
      </c>
      <c r="AQ514" s="30">
        <v>44766.9</v>
      </c>
      <c r="AR514" s="30">
        <v>59625.17</v>
      </c>
      <c r="AS514" s="30">
        <v>1052792.26</v>
      </c>
      <c r="AT514" s="30">
        <v>1064896.8899999999</v>
      </c>
      <c r="AU514" s="30">
        <v>1059869.3899999999</v>
      </c>
      <c r="AV514" s="30">
        <v>1054261</v>
      </c>
      <c r="AW514" s="30">
        <v>1060786</v>
      </c>
      <c r="AX514" s="30">
        <v>1075111</v>
      </c>
      <c r="AY514" s="30">
        <v>1088049.8799999999</v>
      </c>
      <c r="AZ514" s="30">
        <v>1087054.3899999999</v>
      </c>
      <c r="BA514" s="30" t="e">
        <f t="array" aca="1" ref="BA514" ca="1">_xludf.XLOOKUP(C514,'PL TOTAL D0'!A:A,'PL TOTAL D0'!C:C,"")</f>
        <v>#NAME?</v>
      </c>
    </row>
    <row r="515" spans="1:53" ht="15.75" customHeight="1">
      <c r="A515" s="23" t="s">
        <v>29</v>
      </c>
      <c r="B515" s="3" t="s">
        <v>1801</v>
      </c>
      <c r="C515" s="4" t="s">
        <v>1802</v>
      </c>
      <c r="D515" s="7" t="s">
        <v>19</v>
      </c>
      <c r="E515" s="7" t="s">
        <v>20</v>
      </c>
      <c r="F515" s="7" t="s">
        <v>210</v>
      </c>
      <c r="G515" s="7" t="e">
        <f t="shared" ca="1" si="24"/>
        <v>#NAME?</v>
      </c>
      <c r="H515" s="24" t="s">
        <v>152</v>
      </c>
      <c r="I515" s="24" t="s">
        <v>25</v>
      </c>
      <c r="J515" s="7" t="str">
        <f t="shared" si="26"/>
        <v>Não</v>
      </c>
      <c r="K515" s="25">
        <v>45041</v>
      </c>
      <c r="L515" s="7"/>
      <c r="M515" s="7" t="s">
        <v>200</v>
      </c>
      <c r="N515" s="26">
        <v>1.4999999999999999E-2</v>
      </c>
      <c r="O515" s="7" t="s">
        <v>37</v>
      </c>
      <c r="P515" s="27">
        <v>0.1</v>
      </c>
      <c r="Q515" s="28"/>
      <c r="R515" s="28"/>
      <c r="S515" s="7" t="s">
        <v>145</v>
      </c>
      <c r="T515" s="7" t="s">
        <v>1803</v>
      </c>
      <c r="U515" s="7" t="s">
        <v>20</v>
      </c>
      <c r="V515" s="24" t="e">
        <f t="shared" ca="1" si="25"/>
        <v>#NAME?</v>
      </c>
      <c r="W515" s="7"/>
      <c r="X515" s="7"/>
      <c r="Y515" s="29" t="s">
        <v>147</v>
      </c>
      <c r="Z515" s="30"/>
      <c r="AA515" s="31">
        <v>45041</v>
      </c>
      <c r="AB515" s="32">
        <v>49075100006806</v>
      </c>
      <c r="AC515" s="30"/>
      <c r="AD515" s="30"/>
      <c r="AE515" s="30"/>
      <c r="AF515" s="30"/>
      <c r="AG515" s="30"/>
      <c r="AH515" s="30"/>
      <c r="AI515" s="30">
        <v>20624.5</v>
      </c>
      <c r="AJ515" s="30">
        <v>13707.4</v>
      </c>
      <c r="AK515" s="30">
        <v>13791.31</v>
      </c>
      <c r="AL515" s="30">
        <v>13905.96</v>
      </c>
      <c r="AM515" s="30">
        <v>14043.02</v>
      </c>
      <c r="AN515" s="30">
        <v>14113.01</v>
      </c>
      <c r="AO515" s="30">
        <v>7111.33</v>
      </c>
      <c r="AP515" s="30">
        <v>6039.64</v>
      </c>
      <c r="AQ515" s="30">
        <v>0</v>
      </c>
      <c r="AR515" s="30">
        <v>0</v>
      </c>
      <c r="AS515" s="30">
        <v>15068.39</v>
      </c>
      <c r="AT515" s="30">
        <v>5612.56</v>
      </c>
      <c r="AU515" s="30">
        <v>3633.75</v>
      </c>
      <c r="AV515" s="30">
        <v>3641.35</v>
      </c>
      <c r="AW515" s="30">
        <v>3670.17</v>
      </c>
      <c r="AX515" s="30">
        <v>3702.47</v>
      </c>
      <c r="AY515" s="30">
        <v>3728.23</v>
      </c>
      <c r="AZ515" s="30">
        <v>3759.26</v>
      </c>
      <c r="BA515" s="30" t="e">
        <f t="array" aca="1" ref="BA515" ca="1">_xludf.XLOOKUP(C515,'PL TOTAL D0'!A:A,'PL TOTAL D0'!C:C,"")</f>
        <v>#NAME?</v>
      </c>
    </row>
    <row r="516" spans="1:53" ht="15.75" customHeight="1">
      <c r="A516" s="23" t="s">
        <v>29</v>
      </c>
      <c r="B516" s="37" t="s">
        <v>1804</v>
      </c>
      <c r="C516" s="4" t="s">
        <v>1805</v>
      </c>
      <c r="D516" s="7" t="s">
        <v>19</v>
      </c>
      <c r="E516" s="7" t="s">
        <v>49</v>
      </c>
      <c r="F516" s="7" t="s">
        <v>50</v>
      </c>
      <c r="G516" s="7" t="e">
        <f t="shared" ca="1" si="24"/>
        <v>#NAME?</v>
      </c>
      <c r="H516" s="24" t="s">
        <v>152</v>
      </c>
      <c r="I516" s="24" t="s">
        <v>25</v>
      </c>
      <c r="J516" s="7" t="str">
        <f t="shared" si="26"/>
        <v>Sim</v>
      </c>
      <c r="K516" s="25">
        <v>45005</v>
      </c>
      <c r="L516" s="7"/>
      <c r="M516" s="7" t="s">
        <v>42</v>
      </c>
      <c r="N516" s="26">
        <v>1.2E-2</v>
      </c>
      <c r="O516" s="7" t="s">
        <v>25</v>
      </c>
      <c r="P516" s="27">
        <v>0</v>
      </c>
      <c r="Q516" s="28" t="s">
        <v>1806</v>
      </c>
      <c r="R516" s="28"/>
      <c r="S516" s="7" t="s">
        <v>145</v>
      </c>
      <c r="T516" s="7" t="s">
        <v>1807</v>
      </c>
      <c r="U516" s="7" t="s">
        <v>49</v>
      </c>
      <c r="V516" s="24" t="e">
        <f t="shared" ca="1" si="25"/>
        <v>#NAME?</v>
      </c>
      <c r="W516" s="7"/>
      <c r="X516" s="7"/>
      <c r="Y516" s="29" t="s">
        <v>147</v>
      </c>
      <c r="Z516" s="30"/>
      <c r="AA516" s="31">
        <v>45005</v>
      </c>
      <c r="AB516" s="32">
        <v>49075100007993</v>
      </c>
      <c r="AC516" s="30"/>
      <c r="AD516" s="30"/>
      <c r="AE516" s="30"/>
      <c r="AF516" s="30"/>
      <c r="AG516" s="30"/>
      <c r="AH516" s="30">
        <v>490650.14</v>
      </c>
      <c r="AI516" s="30">
        <v>494510.23</v>
      </c>
      <c r="AJ516" s="30">
        <v>499291.51</v>
      </c>
      <c r="AK516" s="30">
        <v>503579.04</v>
      </c>
      <c r="AL516" s="30">
        <v>507721.03</v>
      </c>
      <c r="AM516" s="30">
        <v>512302.95</v>
      </c>
      <c r="AN516" s="30">
        <v>516326.05</v>
      </c>
      <c r="AO516" s="30">
        <v>520849.72</v>
      </c>
      <c r="AP516" s="30">
        <v>524615.85</v>
      </c>
      <c r="AQ516" s="30">
        <v>528655.79</v>
      </c>
      <c r="AR516" s="30">
        <v>533438.11</v>
      </c>
      <c r="AS516" s="30">
        <v>537680.14</v>
      </c>
      <c r="AT516" s="30">
        <v>530776.49</v>
      </c>
      <c r="AU516" s="30">
        <v>533939.9</v>
      </c>
      <c r="AV516" s="30">
        <v>537799.6</v>
      </c>
      <c r="AW516" s="30">
        <v>541596.9</v>
      </c>
      <c r="AX516" s="30">
        <v>545758</v>
      </c>
      <c r="AY516" s="30">
        <v>850021.82</v>
      </c>
      <c r="AZ516" s="30">
        <v>855690.84</v>
      </c>
      <c r="BA516" s="30" t="e">
        <f t="array" aca="1" ref="BA516" ca="1">_xludf.XLOOKUP(C516,'PL TOTAL D0'!A:A,'PL TOTAL D0'!C:C,"")</f>
        <v>#NAME?</v>
      </c>
    </row>
    <row r="517" spans="1:53" ht="15.75" customHeight="1">
      <c r="A517" s="23" t="s">
        <v>29</v>
      </c>
      <c r="B517" s="37" t="s">
        <v>1804</v>
      </c>
      <c r="C517" s="4" t="s">
        <v>1808</v>
      </c>
      <c r="D517" s="7" t="s">
        <v>19</v>
      </c>
      <c r="E517" s="7" t="s">
        <v>49</v>
      </c>
      <c r="F517" s="7" t="s">
        <v>50</v>
      </c>
      <c r="G517" s="7" t="e">
        <f t="shared" ca="1" si="24"/>
        <v>#NAME?</v>
      </c>
      <c r="H517" s="24" t="s">
        <v>167</v>
      </c>
      <c r="I517" s="24" t="s">
        <v>222</v>
      </c>
      <c r="J517" s="7" t="str">
        <f t="shared" si="26"/>
        <v>Não</v>
      </c>
      <c r="K517" s="25">
        <v>45545</v>
      </c>
      <c r="L517" s="7"/>
      <c r="M517" s="7" t="s">
        <v>257</v>
      </c>
      <c r="N517" s="26">
        <v>8.0000000000000002E-3</v>
      </c>
      <c r="O517" s="7" t="s">
        <v>258</v>
      </c>
      <c r="P517" s="27">
        <v>0.1</v>
      </c>
      <c r="Q517" s="28"/>
      <c r="R517" s="28"/>
      <c r="S517" s="7" t="s">
        <v>145</v>
      </c>
      <c r="T517" s="7" t="s">
        <v>1807</v>
      </c>
      <c r="U517" s="7" t="s">
        <v>1809</v>
      </c>
      <c r="V517" s="24" t="e">
        <f t="shared" ca="1" si="25"/>
        <v>#NAME?</v>
      </c>
      <c r="W517" s="7"/>
      <c r="X517" s="7" t="s">
        <v>52</v>
      </c>
      <c r="Y517" s="29"/>
      <c r="Z517" s="30"/>
      <c r="AA517" s="30"/>
      <c r="AB517" s="32"/>
      <c r="AC517" s="30"/>
      <c r="AD517" s="30"/>
      <c r="AE517" s="30"/>
      <c r="AF517" s="30"/>
      <c r="AG517" s="30"/>
      <c r="AH517" s="30"/>
      <c r="AI517" s="30"/>
      <c r="AJ517" s="30"/>
      <c r="AK517" s="30"/>
      <c r="AL517" s="30"/>
      <c r="AM517" s="30"/>
      <c r="AN517" s="30"/>
      <c r="AO517" s="30"/>
      <c r="AP517" s="30"/>
      <c r="AQ517" s="30"/>
      <c r="AR517" s="30"/>
      <c r="AS517" s="30"/>
      <c r="AT517" s="30"/>
      <c r="AU517" s="30"/>
      <c r="AV517" s="30"/>
      <c r="AW517" s="30"/>
      <c r="AX517" s="30"/>
      <c r="AY517" s="30"/>
      <c r="AZ517" s="30">
        <v>0</v>
      </c>
      <c r="BA517" s="30" t="e">
        <f t="array" aca="1" ref="BA517" ca="1">_xludf.XLOOKUP(C517,'PL TOTAL D0'!A:A,'PL TOTAL D0'!C:C,"")</f>
        <v>#NAME?</v>
      </c>
    </row>
    <row r="518" spans="1:53" ht="15.75" customHeight="1">
      <c r="A518" s="23" t="s">
        <v>29</v>
      </c>
      <c r="B518" s="3" t="s">
        <v>1810</v>
      </c>
      <c r="C518" s="4" t="s">
        <v>1811</v>
      </c>
      <c r="D518" s="7" t="s">
        <v>19</v>
      </c>
      <c r="E518" s="7" t="s">
        <v>49</v>
      </c>
      <c r="F518" s="7" t="s">
        <v>50</v>
      </c>
      <c r="G518" s="7" t="e">
        <f t="shared" ca="1" si="24"/>
        <v>#NAME?</v>
      </c>
      <c r="H518" s="24" t="s">
        <v>152</v>
      </c>
      <c r="I518" s="24" t="s">
        <v>25</v>
      </c>
      <c r="J518" s="7" t="str">
        <f t="shared" si="26"/>
        <v>Sim</v>
      </c>
      <c r="K518" s="25">
        <v>45504</v>
      </c>
      <c r="L518" s="25"/>
      <c r="M518" s="7" t="s">
        <v>42</v>
      </c>
      <c r="N518" s="26">
        <v>1.2E-2</v>
      </c>
      <c r="O518" s="7" t="s">
        <v>25</v>
      </c>
      <c r="P518" s="27">
        <v>0</v>
      </c>
      <c r="Q518" s="45" t="s">
        <v>1812</v>
      </c>
      <c r="R518" s="28"/>
      <c r="S518" s="7" t="s">
        <v>145</v>
      </c>
      <c r="T518" s="7" t="s">
        <v>1813</v>
      </c>
      <c r="U518" s="7" t="s">
        <v>49</v>
      </c>
      <c r="V518" s="24" t="e">
        <f t="shared" ca="1" si="25"/>
        <v>#NAME?</v>
      </c>
      <c r="W518" s="7"/>
      <c r="X518" s="7" t="s">
        <v>40</v>
      </c>
      <c r="Y518" s="29" t="s">
        <v>147</v>
      </c>
      <c r="Z518" s="30"/>
      <c r="AA518" s="31">
        <v>45504</v>
      </c>
      <c r="AB518" s="32">
        <v>49075100015491</v>
      </c>
      <c r="AC518" s="30"/>
      <c r="AD518" s="30"/>
      <c r="AE518" s="30"/>
      <c r="AF518" s="30"/>
      <c r="AG518" s="30"/>
      <c r="AH518" s="30"/>
      <c r="AI518" s="30"/>
      <c r="AJ518" s="30"/>
      <c r="AK518" s="30"/>
      <c r="AL518" s="30"/>
      <c r="AM518" s="30"/>
      <c r="AN518" s="30"/>
      <c r="AO518" s="30"/>
      <c r="AP518" s="30"/>
      <c r="AQ518" s="30"/>
      <c r="AR518" s="30"/>
      <c r="AS518" s="30"/>
      <c r="AT518" s="30"/>
      <c r="AU518" s="30"/>
      <c r="AV518" s="30"/>
      <c r="AW518" s="30"/>
      <c r="AX518" s="30">
        <v>30000</v>
      </c>
      <c r="AY518" s="30">
        <v>90688.86</v>
      </c>
      <c r="AZ518" s="30">
        <v>61134.64</v>
      </c>
      <c r="BA518" s="30" t="e">
        <f t="array" aca="1" ref="BA518" ca="1">_xludf.XLOOKUP(C518,'PL TOTAL D0'!A:A,'PL TOTAL D0'!C:C,"")</f>
        <v>#NAME?</v>
      </c>
    </row>
    <row r="519" spans="1:53" ht="15.75" customHeight="1">
      <c r="A519" s="23" t="s">
        <v>29</v>
      </c>
      <c r="B519" s="3" t="s">
        <v>1814</v>
      </c>
      <c r="C519" s="4" t="s">
        <v>1815</v>
      </c>
      <c r="D519" s="7" t="s">
        <v>64</v>
      </c>
      <c r="E519" s="7" t="s">
        <v>20</v>
      </c>
      <c r="F519" s="7" t="s">
        <v>921</v>
      </c>
      <c r="G519" s="7" t="e">
        <f t="shared" ca="1" si="24"/>
        <v>#NAME?</v>
      </c>
      <c r="H519" s="24" t="s">
        <v>143</v>
      </c>
      <c r="I519" s="24" t="s">
        <v>25</v>
      </c>
      <c r="J519" s="7" t="str">
        <f t="shared" si="26"/>
        <v>Não</v>
      </c>
      <c r="K519" s="25">
        <v>45070</v>
      </c>
      <c r="L519" s="25">
        <v>45126</v>
      </c>
      <c r="M519" s="7" t="s">
        <v>200</v>
      </c>
      <c r="N519" s="26">
        <v>1.6E-2</v>
      </c>
      <c r="O519" s="7" t="s">
        <v>37</v>
      </c>
      <c r="P519" s="27">
        <v>0.1</v>
      </c>
      <c r="Q519" s="45"/>
      <c r="R519" s="28"/>
      <c r="S519" s="7" t="s">
        <v>145</v>
      </c>
      <c r="T519" s="7" t="s">
        <v>1816</v>
      </c>
      <c r="U519" s="7" t="s">
        <v>20</v>
      </c>
      <c r="V519" s="24" t="e">
        <f t="shared" ca="1" si="25"/>
        <v>#NAME?</v>
      </c>
      <c r="W519" s="7"/>
      <c r="X519" s="7"/>
      <c r="Y519" s="29"/>
      <c r="Z519" s="30"/>
      <c r="AA519" s="31">
        <v>45070</v>
      </c>
      <c r="AB519" s="32"/>
      <c r="AC519" s="30"/>
      <c r="AD519" s="30"/>
      <c r="AE519" s="30"/>
      <c r="AF519" s="30"/>
      <c r="AG519" s="30"/>
      <c r="AH519" s="30"/>
      <c r="AI519" s="30">
        <v>0</v>
      </c>
      <c r="AJ519" s="30">
        <v>2497905.81</v>
      </c>
      <c r="AK519" s="30">
        <v>2498485.38</v>
      </c>
      <c r="AL519" s="30">
        <v>0</v>
      </c>
      <c r="AM519" s="30">
        <v>0</v>
      </c>
      <c r="AN519" s="30">
        <v>0</v>
      </c>
      <c r="AO519" s="30">
        <v>0</v>
      </c>
      <c r="AP519" s="30">
        <v>0</v>
      </c>
      <c r="AQ519" s="30">
        <v>0</v>
      </c>
      <c r="AR519" s="30">
        <v>0</v>
      </c>
      <c r="AS519" s="30">
        <v>0</v>
      </c>
      <c r="AT519" s="30">
        <v>0</v>
      </c>
      <c r="AU519" s="30">
        <v>0</v>
      </c>
      <c r="AV519" s="30">
        <v>0</v>
      </c>
      <c r="AW519" s="30">
        <v>0</v>
      </c>
      <c r="AX519" s="30">
        <v>0</v>
      </c>
      <c r="AY519" s="30">
        <v>0</v>
      </c>
      <c r="AZ519" s="30">
        <v>0</v>
      </c>
      <c r="BA519" s="30" t="e">
        <f t="array" aca="1" ref="BA519" ca="1">_xludf.XLOOKUP(C519,'PL TOTAL D0'!A:A,'PL TOTAL D0'!C:C,"")</f>
        <v>#NAME?</v>
      </c>
    </row>
    <row r="520" spans="1:53" ht="15.75" customHeight="1">
      <c r="A520" s="23" t="s">
        <v>29</v>
      </c>
      <c r="B520" s="3" t="s">
        <v>1817</v>
      </c>
      <c r="C520" s="4" t="s">
        <v>1818</v>
      </c>
      <c r="D520" s="7" t="s">
        <v>64</v>
      </c>
      <c r="E520" s="7" t="s">
        <v>20</v>
      </c>
      <c r="F520" s="7" t="s">
        <v>142</v>
      </c>
      <c r="G520" s="7" t="e">
        <f t="shared" ca="1" si="24"/>
        <v>#NAME?</v>
      </c>
      <c r="H520" s="24" t="s">
        <v>152</v>
      </c>
      <c r="I520" s="24" t="s">
        <v>25</v>
      </c>
      <c r="J520" s="7" t="str">
        <f t="shared" si="26"/>
        <v>Não</v>
      </c>
      <c r="K520" s="25">
        <v>45168</v>
      </c>
      <c r="L520" s="25"/>
      <c r="M520" s="7" t="s">
        <v>200</v>
      </c>
      <c r="N520" s="26">
        <v>1.6E-2</v>
      </c>
      <c r="O520" s="7" t="s">
        <v>37</v>
      </c>
      <c r="P520" s="27">
        <v>0.2</v>
      </c>
      <c r="Q520" s="45"/>
      <c r="R520" s="28"/>
      <c r="S520" s="7" t="s">
        <v>145</v>
      </c>
      <c r="T520" s="7" t="s">
        <v>1819</v>
      </c>
      <c r="U520" s="7" t="s">
        <v>20</v>
      </c>
      <c r="V520" s="24" t="e">
        <f t="shared" ca="1" si="25"/>
        <v>#NAME?</v>
      </c>
      <c r="W520" s="7"/>
      <c r="X520" s="7"/>
      <c r="Y520" s="29" t="s">
        <v>147</v>
      </c>
      <c r="Z520" s="30"/>
      <c r="AA520" s="31">
        <v>45168</v>
      </c>
      <c r="AB520" s="32">
        <v>49075100004366</v>
      </c>
      <c r="AC520" s="30"/>
      <c r="AD520" s="30"/>
      <c r="AE520" s="30"/>
      <c r="AF520" s="30"/>
      <c r="AG520" s="30"/>
      <c r="AH520" s="30"/>
      <c r="AI520" s="30"/>
      <c r="AJ520" s="30"/>
      <c r="AK520" s="30"/>
      <c r="AL520" s="30"/>
      <c r="AM520" s="30">
        <v>86640.52</v>
      </c>
      <c r="AN520" s="30">
        <v>87103.29</v>
      </c>
      <c r="AO520" s="30">
        <v>87579.02</v>
      </c>
      <c r="AP520" s="30">
        <v>87910.080000000002</v>
      </c>
      <c r="AQ520" s="30">
        <v>81281.600000000006</v>
      </c>
      <c r="AR520" s="30">
        <v>58806.46</v>
      </c>
      <c r="AS520" s="30">
        <v>59229.760000000002</v>
      </c>
      <c r="AT520" s="30">
        <v>59694.45</v>
      </c>
      <c r="AU520" s="30">
        <v>59084.54</v>
      </c>
      <c r="AV520" s="30">
        <v>58900.06</v>
      </c>
      <c r="AW520" s="30">
        <v>10609.15</v>
      </c>
      <c r="AX520" s="30">
        <v>10564.75</v>
      </c>
      <c r="AY520" s="30">
        <v>10552.31</v>
      </c>
      <c r="AZ520" s="30">
        <v>10539.39</v>
      </c>
      <c r="BA520" s="30" t="e">
        <f t="array" aca="1" ref="BA520" ca="1">_xludf.XLOOKUP(C520,'PL TOTAL D0'!A:A,'PL TOTAL D0'!C:C,"")</f>
        <v>#NAME?</v>
      </c>
    </row>
    <row r="521" spans="1:53" ht="15.75" customHeight="1">
      <c r="A521" s="23" t="s">
        <v>29</v>
      </c>
      <c r="B521" s="3" t="s">
        <v>1820</v>
      </c>
      <c r="C521" s="4" t="s">
        <v>1821</v>
      </c>
      <c r="D521" s="7" t="s">
        <v>64</v>
      </c>
      <c r="E521" s="7" t="s">
        <v>20</v>
      </c>
      <c r="F521" s="7" t="s">
        <v>142</v>
      </c>
      <c r="G521" s="7" t="e">
        <f t="shared" ca="1" si="24"/>
        <v>#NAME?</v>
      </c>
      <c r="H521" s="24" t="s">
        <v>143</v>
      </c>
      <c r="I521" s="24" t="s">
        <v>25</v>
      </c>
      <c r="J521" s="7" t="str">
        <f t="shared" si="26"/>
        <v>Não</v>
      </c>
      <c r="K521" s="25">
        <v>45158</v>
      </c>
      <c r="L521" s="79">
        <v>45576</v>
      </c>
      <c r="M521" s="7" t="s">
        <v>200</v>
      </c>
      <c r="N521" s="26">
        <v>8.9999999999999993E-3</v>
      </c>
      <c r="O521" s="7" t="s">
        <v>37</v>
      </c>
      <c r="P521" s="27">
        <v>0.2</v>
      </c>
      <c r="Q521" s="28"/>
      <c r="R521" s="28" t="s">
        <v>702</v>
      </c>
      <c r="S521" s="7" t="s">
        <v>145</v>
      </c>
      <c r="T521" s="7" t="s">
        <v>1822</v>
      </c>
      <c r="U521" s="7" t="s">
        <v>20</v>
      </c>
      <c r="V521" s="24" t="e">
        <f t="shared" ca="1" si="25"/>
        <v>#NAME?</v>
      </c>
      <c r="W521" s="7"/>
      <c r="X521" s="7"/>
      <c r="Y521" s="29" t="s">
        <v>253</v>
      </c>
      <c r="Z521" s="30"/>
      <c r="AA521" s="31">
        <v>45158</v>
      </c>
      <c r="AB521" s="32">
        <v>49075100006008</v>
      </c>
      <c r="AC521" s="30"/>
      <c r="AD521" s="30"/>
      <c r="AE521" s="30"/>
      <c r="AF521" s="30"/>
      <c r="AG521" s="30"/>
      <c r="AH521" s="30"/>
      <c r="AI521" s="30"/>
      <c r="AJ521" s="30"/>
      <c r="AK521" s="30"/>
      <c r="AL521" s="30">
        <v>0</v>
      </c>
      <c r="AM521" s="30">
        <v>598103.92000000004</v>
      </c>
      <c r="AN521" s="30">
        <v>594234.29</v>
      </c>
      <c r="AO521" s="30">
        <v>594911.39</v>
      </c>
      <c r="AP521" s="30">
        <v>615008.44999999995</v>
      </c>
      <c r="AQ521" s="30">
        <v>649546.84</v>
      </c>
      <c r="AR521" s="30">
        <v>648672.86</v>
      </c>
      <c r="AS521" s="30">
        <v>652869.66</v>
      </c>
      <c r="AT521" s="30">
        <v>655720.22</v>
      </c>
      <c r="AU521" s="30">
        <v>650035.26</v>
      </c>
      <c r="AV521" s="30">
        <v>651486.1</v>
      </c>
      <c r="AW521" s="30">
        <v>651018.6</v>
      </c>
      <c r="AX521" s="30">
        <v>0</v>
      </c>
      <c r="AY521" s="30">
        <v>0</v>
      </c>
      <c r="AZ521" s="30">
        <v>0</v>
      </c>
      <c r="BA521" s="30" t="e">
        <f t="array" aca="1" ref="BA521" ca="1">_xludf.XLOOKUP(C521,'PL TOTAL D0'!A:A,'PL TOTAL D0'!C:C,"")</f>
        <v>#NAME?</v>
      </c>
    </row>
    <row r="522" spans="1:53" ht="15.75" customHeight="1">
      <c r="A522" s="23" t="s">
        <v>29</v>
      </c>
      <c r="B522" s="3" t="s">
        <v>1823</v>
      </c>
      <c r="C522" s="44" t="s">
        <v>1824</v>
      </c>
      <c r="D522" s="7" t="s">
        <v>64</v>
      </c>
      <c r="E522" s="7" t="s">
        <v>20</v>
      </c>
      <c r="F522" s="7" t="s">
        <v>431</v>
      </c>
      <c r="G522" s="7" t="e">
        <f t="shared" ca="1" si="24"/>
        <v>#NAME?</v>
      </c>
      <c r="H522" s="24" t="s">
        <v>152</v>
      </c>
      <c r="I522" s="24" t="s">
        <v>25</v>
      </c>
      <c r="J522" s="7" t="str">
        <f t="shared" si="26"/>
        <v>Não</v>
      </c>
      <c r="K522" s="25">
        <v>45348</v>
      </c>
      <c r="L522" s="7"/>
      <c r="M522" s="7" t="s">
        <v>58</v>
      </c>
      <c r="N522" s="26">
        <v>1.4E-2</v>
      </c>
      <c r="O522" s="7" t="s">
        <v>37</v>
      </c>
      <c r="P522" s="27">
        <v>0.1</v>
      </c>
      <c r="Q522" s="28"/>
      <c r="R522" s="28"/>
      <c r="S522" s="7" t="s">
        <v>145</v>
      </c>
      <c r="T522" s="12" t="s">
        <v>1825</v>
      </c>
      <c r="U522" s="7" t="s">
        <v>20</v>
      </c>
      <c r="V522" s="24" t="e">
        <f t="shared" ca="1" si="25"/>
        <v>#NAME?</v>
      </c>
      <c r="W522" s="7"/>
      <c r="X522" s="7"/>
      <c r="Y522" s="29" t="s">
        <v>147</v>
      </c>
      <c r="Z522" s="30"/>
      <c r="AA522" s="31">
        <v>45348</v>
      </c>
      <c r="AB522" s="32">
        <v>49075100013381</v>
      </c>
      <c r="AC522" s="30"/>
      <c r="AD522" s="30"/>
      <c r="AE522" s="30"/>
      <c r="AF522" s="30"/>
      <c r="AG522" s="30"/>
      <c r="AH522" s="30"/>
      <c r="AI522" s="30"/>
      <c r="AJ522" s="30"/>
      <c r="AK522" s="30"/>
      <c r="AL522" s="30"/>
      <c r="AM522" s="30"/>
      <c r="AN522" s="30"/>
      <c r="AO522" s="30"/>
      <c r="AP522" s="30"/>
      <c r="AQ522" s="30"/>
      <c r="AR522" s="30"/>
      <c r="AS522" s="30">
        <v>100044.69</v>
      </c>
      <c r="AT522" s="30">
        <v>101250.66</v>
      </c>
      <c r="AU522" s="30">
        <v>101304.98</v>
      </c>
      <c r="AV522" s="30">
        <v>101692.8</v>
      </c>
      <c r="AW522" s="30">
        <v>102424.3</v>
      </c>
      <c r="AX522" s="30">
        <v>103468.8</v>
      </c>
      <c r="AY522" s="30">
        <v>104408.47</v>
      </c>
      <c r="AZ522" s="30">
        <v>104732.92</v>
      </c>
      <c r="BA522" s="30" t="e">
        <f t="array" aca="1" ref="BA522" ca="1">_xludf.XLOOKUP(C522,'PL TOTAL D0'!A:A,'PL TOTAL D0'!C:C,"")</f>
        <v>#NAME?</v>
      </c>
    </row>
    <row r="523" spans="1:53" ht="15.75" customHeight="1">
      <c r="A523" s="23" t="s">
        <v>29</v>
      </c>
      <c r="B523" s="3" t="s">
        <v>1826</v>
      </c>
      <c r="C523" s="4" t="s">
        <v>1827</v>
      </c>
      <c r="D523" s="7" t="s">
        <v>19</v>
      </c>
      <c r="E523" s="7" t="s">
        <v>20</v>
      </c>
      <c r="F523" s="7" t="s">
        <v>372</v>
      </c>
      <c r="G523" s="7" t="e">
        <f t="shared" ca="1" si="24"/>
        <v>#NAME?</v>
      </c>
      <c r="H523" s="24" t="s">
        <v>161</v>
      </c>
      <c r="I523" s="24" t="s">
        <v>211</v>
      </c>
      <c r="J523" s="7" t="str">
        <f t="shared" si="26"/>
        <v>Não</v>
      </c>
      <c r="K523" s="25">
        <v>45043</v>
      </c>
      <c r="L523" s="7"/>
      <c r="M523" s="7" t="s">
        <v>884</v>
      </c>
      <c r="N523" s="26">
        <v>7.0000000000000001E-3</v>
      </c>
      <c r="O523" s="7" t="s">
        <v>25</v>
      </c>
      <c r="P523" s="27">
        <v>0</v>
      </c>
      <c r="Q523" s="28"/>
      <c r="R523" s="28" t="s">
        <v>1828</v>
      </c>
      <c r="S523" s="7" t="s">
        <v>145</v>
      </c>
      <c r="T523" s="7" t="s">
        <v>1829</v>
      </c>
      <c r="U523" s="7" t="s">
        <v>20</v>
      </c>
      <c r="V523" s="24" t="e">
        <f t="shared" ca="1" si="25"/>
        <v>#NAME?</v>
      </c>
      <c r="W523" s="7"/>
      <c r="X523" s="7"/>
      <c r="Y523" s="29" t="s">
        <v>147</v>
      </c>
      <c r="Z523" s="30"/>
      <c r="AA523" s="31">
        <v>45043</v>
      </c>
      <c r="AB523" s="32">
        <v>49075100008231</v>
      </c>
      <c r="AC523" s="30"/>
      <c r="AD523" s="30"/>
      <c r="AE523" s="30"/>
      <c r="AF523" s="30"/>
      <c r="AG523" s="30"/>
      <c r="AH523" s="30"/>
      <c r="AI523" s="30">
        <v>23000</v>
      </c>
      <c r="AJ523" s="30">
        <v>15154.39</v>
      </c>
      <c r="AK523" s="30">
        <v>15296.76</v>
      </c>
      <c r="AL523" s="30">
        <v>15420.75</v>
      </c>
      <c r="AM523" s="30">
        <v>15586.14</v>
      </c>
      <c r="AN523" s="30">
        <v>15725.28</v>
      </c>
      <c r="AO523" s="30">
        <v>15878.29</v>
      </c>
      <c r="AP523" s="30">
        <v>16003.69</v>
      </c>
      <c r="AQ523" s="30">
        <v>16135.27</v>
      </c>
      <c r="AR523" s="30">
        <v>16089.04</v>
      </c>
      <c r="AS523" s="30">
        <v>16200.64</v>
      </c>
      <c r="AT523" s="30">
        <v>51666.39</v>
      </c>
      <c r="AU523" s="30">
        <v>51419.29</v>
      </c>
      <c r="AV523" s="30">
        <v>51541.81</v>
      </c>
      <c r="AW523" s="30">
        <v>51707.88</v>
      </c>
      <c r="AX523" s="30">
        <v>68219.149999999994</v>
      </c>
      <c r="AY523" s="30">
        <v>68728.38</v>
      </c>
      <c r="AZ523" s="30">
        <v>69422.080000000002</v>
      </c>
      <c r="BA523" s="30" t="e">
        <f t="array" aca="1" ref="BA523" ca="1">_xludf.XLOOKUP(C523,'PL TOTAL D0'!A:A,'PL TOTAL D0'!C:C,"")</f>
        <v>#NAME?</v>
      </c>
    </row>
    <row r="524" spans="1:53" ht="15.75" customHeight="1">
      <c r="A524" s="23" t="s">
        <v>29</v>
      </c>
      <c r="B524" s="3" t="s">
        <v>1830</v>
      </c>
      <c r="C524" s="4" t="s">
        <v>1831</v>
      </c>
      <c r="D524" s="7" t="s">
        <v>19</v>
      </c>
      <c r="E524" s="7" t="s">
        <v>60</v>
      </c>
      <c r="F524" s="7" t="s">
        <v>661</v>
      </c>
      <c r="G524" s="7" t="e">
        <f t="shared" ca="1" si="24"/>
        <v>#NAME?</v>
      </c>
      <c r="H524" s="24" t="s">
        <v>143</v>
      </c>
      <c r="I524" s="24" t="s">
        <v>25</v>
      </c>
      <c r="J524" s="7" t="str">
        <f t="shared" si="26"/>
        <v>Não</v>
      </c>
      <c r="K524" s="25">
        <v>44973</v>
      </c>
      <c r="L524" s="25">
        <v>45539</v>
      </c>
      <c r="M524" s="7" t="s">
        <v>200</v>
      </c>
      <c r="N524" s="26">
        <v>1.4999999999999999E-2</v>
      </c>
      <c r="O524" s="7" t="s">
        <v>37</v>
      </c>
      <c r="P524" s="27">
        <v>0.1</v>
      </c>
      <c r="Q524" s="28"/>
      <c r="R524" s="28"/>
      <c r="S524" s="7" t="s">
        <v>145</v>
      </c>
      <c r="T524" s="7" t="s">
        <v>1832</v>
      </c>
      <c r="U524" s="7" t="s">
        <v>60</v>
      </c>
      <c r="V524" s="24" t="e">
        <f t="shared" ca="1" si="25"/>
        <v>#NAME?</v>
      </c>
      <c r="W524" s="7"/>
      <c r="X524" s="7"/>
      <c r="Y524" s="29" t="s">
        <v>147</v>
      </c>
      <c r="Z524" s="30"/>
      <c r="AA524" s="31">
        <v>44973</v>
      </c>
      <c r="AB524" s="32">
        <v>49075100010277</v>
      </c>
      <c r="AC524" s="30"/>
      <c r="AD524" s="30"/>
      <c r="AE524" s="30"/>
      <c r="AF524" s="30">
        <v>0</v>
      </c>
      <c r="AG524" s="30">
        <v>30166.52</v>
      </c>
      <c r="AH524" s="30">
        <v>32411.69</v>
      </c>
      <c r="AI524" s="30">
        <v>34582.67</v>
      </c>
      <c r="AJ524" s="30">
        <v>37421.919999999998</v>
      </c>
      <c r="AK524" s="30">
        <v>40114.94</v>
      </c>
      <c r="AL524" s="30">
        <v>40553.65</v>
      </c>
      <c r="AM524" s="30">
        <v>40571.919999999998</v>
      </c>
      <c r="AN524" s="30">
        <v>40649.300000000003</v>
      </c>
      <c r="AO524" s="30">
        <v>40627.370000000003</v>
      </c>
      <c r="AP524" s="30">
        <v>41061.599999999999</v>
      </c>
      <c r="AQ524" s="30">
        <v>41826.03</v>
      </c>
      <c r="AR524" s="30">
        <v>41287.199999999997</v>
      </c>
      <c r="AS524" s="30">
        <v>41549.160000000003</v>
      </c>
      <c r="AT524" s="30">
        <v>41967.58</v>
      </c>
      <c r="AU524" s="30">
        <v>41272.03</v>
      </c>
      <c r="AV524" s="30">
        <v>41221.46</v>
      </c>
      <c r="AW524" s="30">
        <v>41425.75</v>
      </c>
      <c r="AX524" s="30">
        <v>41953.47</v>
      </c>
      <c r="AY524" s="30">
        <v>42334.19</v>
      </c>
      <c r="AZ524" s="30">
        <v>0</v>
      </c>
      <c r="BA524" s="30" t="e">
        <f t="array" aca="1" ref="BA524" ca="1">_xludf.XLOOKUP(C524,'PL TOTAL D0'!A:A,'PL TOTAL D0'!C:C,"")</f>
        <v>#NAME?</v>
      </c>
    </row>
    <row r="525" spans="1:53" ht="15.75" customHeight="1">
      <c r="A525" s="23" t="s">
        <v>29</v>
      </c>
      <c r="B525" s="36" t="s">
        <v>1833</v>
      </c>
      <c r="C525" s="64" t="s">
        <v>1834</v>
      </c>
      <c r="D525" s="7" t="s">
        <v>19</v>
      </c>
      <c r="E525" s="7" t="s">
        <v>49</v>
      </c>
      <c r="F525" s="7" t="s">
        <v>50</v>
      </c>
      <c r="G525" s="7" t="e">
        <f t="shared" ca="1" si="24"/>
        <v>#NAME?</v>
      </c>
      <c r="H525" s="24" t="s">
        <v>152</v>
      </c>
      <c r="I525" s="24" t="s">
        <v>25</v>
      </c>
      <c r="J525" s="7" t="str">
        <f t="shared" si="26"/>
        <v>Não</v>
      </c>
      <c r="K525" s="25">
        <v>45253</v>
      </c>
      <c r="L525" s="7"/>
      <c r="M525" s="7" t="s">
        <v>42</v>
      </c>
      <c r="N525" s="10">
        <v>1.2E-2</v>
      </c>
      <c r="O525" s="6" t="s">
        <v>25</v>
      </c>
      <c r="P525" s="11">
        <v>0</v>
      </c>
      <c r="Q525" s="28"/>
      <c r="R525" s="28"/>
      <c r="S525" s="7" t="s">
        <v>145</v>
      </c>
      <c r="T525" s="7" t="s">
        <v>1835</v>
      </c>
      <c r="U525" s="7" t="s">
        <v>49</v>
      </c>
      <c r="V525" s="24" t="e">
        <f t="shared" ca="1" si="25"/>
        <v>#NAME?</v>
      </c>
      <c r="W525" s="7"/>
      <c r="X525" s="7"/>
      <c r="Y525" s="29" t="s">
        <v>147</v>
      </c>
      <c r="Z525" s="30"/>
      <c r="AA525" s="31">
        <v>45253</v>
      </c>
      <c r="AB525" s="32">
        <v>49075100013012</v>
      </c>
      <c r="AC525" s="30"/>
      <c r="AD525" s="30"/>
      <c r="AE525" s="30"/>
      <c r="AF525" s="30"/>
      <c r="AG525" s="30"/>
      <c r="AH525" s="30"/>
      <c r="AI525" s="30"/>
      <c r="AJ525" s="30"/>
      <c r="AK525" s="30"/>
      <c r="AL525" s="30"/>
      <c r="AM525" s="30"/>
      <c r="AN525" s="30"/>
      <c r="AO525" s="30"/>
      <c r="AP525" s="30">
        <v>0</v>
      </c>
      <c r="AQ525" s="30">
        <v>2300</v>
      </c>
      <c r="AR525" s="30">
        <v>2300</v>
      </c>
      <c r="AS525" s="30">
        <v>2311.38</v>
      </c>
      <c r="AT525" s="30">
        <v>2325.06</v>
      </c>
      <c r="AU525" s="30">
        <v>2335.63</v>
      </c>
      <c r="AV525" s="30">
        <v>2354.04</v>
      </c>
      <c r="AW525" s="30">
        <v>2364.7199999999998</v>
      </c>
      <c r="AX525" s="30">
        <v>2386.84</v>
      </c>
      <c r="AY525" s="30">
        <v>2407.2199999999998</v>
      </c>
      <c r="AZ525" s="30">
        <v>2426.23</v>
      </c>
      <c r="BA525" s="30" t="e">
        <f t="array" aca="1" ref="BA525" ca="1">_xludf.XLOOKUP(C525,'PL TOTAL D0'!A:A,'PL TOTAL D0'!C:C,"")</f>
        <v>#NAME?</v>
      </c>
    </row>
    <row r="526" spans="1:53" ht="15.75" customHeight="1">
      <c r="A526" s="23" t="s">
        <v>29</v>
      </c>
      <c r="B526" s="37" t="s">
        <v>1836</v>
      </c>
      <c r="C526" s="4" t="s">
        <v>1837</v>
      </c>
      <c r="D526" s="7" t="s">
        <v>19</v>
      </c>
      <c r="E526" s="7" t="s">
        <v>49</v>
      </c>
      <c r="F526" s="7" t="s">
        <v>50</v>
      </c>
      <c r="G526" s="7" t="e">
        <f t="shared" ca="1" si="24"/>
        <v>#NAME?</v>
      </c>
      <c r="H526" s="24" t="s">
        <v>152</v>
      </c>
      <c r="I526" s="24" t="s">
        <v>25</v>
      </c>
      <c r="J526" s="7" t="str">
        <f t="shared" si="26"/>
        <v>Não</v>
      </c>
      <c r="K526" s="25">
        <v>45149</v>
      </c>
      <c r="L526" s="25"/>
      <c r="M526" s="7" t="s">
        <v>42</v>
      </c>
      <c r="N526" s="26">
        <v>1.2E-2</v>
      </c>
      <c r="O526" s="7" t="s">
        <v>25</v>
      </c>
      <c r="P526" s="27">
        <v>0</v>
      </c>
      <c r="Q526" s="28"/>
      <c r="R526" s="28"/>
      <c r="S526" s="7" t="s">
        <v>145</v>
      </c>
      <c r="T526" s="7" t="s">
        <v>1838</v>
      </c>
      <c r="U526" s="7" t="s">
        <v>49</v>
      </c>
      <c r="V526" s="24" t="e">
        <f t="shared" ca="1" si="25"/>
        <v>#NAME?</v>
      </c>
      <c r="W526" s="7"/>
      <c r="X526" s="7"/>
      <c r="Y526" s="29" t="s">
        <v>147</v>
      </c>
      <c r="Z526" s="30"/>
      <c r="AA526" s="31">
        <v>45149</v>
      </c>
      <c r="AB526" s="32">
        <v>49075100012611</v>
      </c>
      <c r="AC526" s="30"/>
      <c r="AD526" s="30"/>
      <c r="AE526" s="30"/>
      <c r="AF526" s="30"/>
      <c r="AG526" s="30"/>
      <c r="AH526" s="30"/>
      <c r="AI526" s="30"/>
      <c r="AJ526" s="30"/>
      <c r="AK526" s="30">
        <v>0</v>
      </c>
      <c r="AL526" s="30">
        <v>0</v>
      </c>
      <c r="AM526" s="30">
        <v>12077.1</v>
      </c>
      <c r="AN526" s="30">
        <v>12189.66</v>
      </c>
      <c r="AO526" s="30">
        <v>13818.94</v>
      </c>
      <c r="AP526" s="30">
        <v>13925.05</v>
      </c>
      <c r="AQ526" s="30">
        <v>14038.81</v>
      </c>
      <c r="AR526" s="30">
        <v>14162.82</v>
      </c>
      <c r="AS526" s="30">
        <v>14265.7</v>
      </c>
      <c r="AT526" s="30">
        <v>15351.73</v>
      </c>
      <c r="AU526" s="30">
        <v>34293.199999999997</v>
      </c>
      <c r="AV526" s="30">
        <v>34878.199999999997</v>
      </c>
      <c r="AW526" s="30">
        <v>50468.13</v>
      </c>
      <c r="AX526" s="30">
        <v>51320.23</v>
      </c>
      <c r="AY526" s="30">
        <v>51844.49</v>
      </c>
      <c r="AZ526" s="30">
        <v>57082.91</v>
      </c>
      <c r="BA526" s="30" t="e">
        <f t="array" aca="1" ref="BA526" ca="1">_xludf.XLOOKUP(C526,'PL TOTAL D0'!A:A,'PL TOTAL D0'!C:C,"")</f>
        <v>#NAME?</v>
      </c>
    </row>
    <row r="527" spans="1:53" ht="15.75" customHeight="1">
      <c r="A527" s="23" t="s">
        <v>29</v>
      </c>
      <c r="B527" s="3" t="s">
        <v>1839</v>
      </c>
      <c r="C527" s="4" t="s">
        <v>1840</v>
      </c>
      <c r="D527" s="7" t="s">
        <v>64</v>
      </c>
      <c r="E527" s="7" t="s">
        <v>20</v>
      </c>
      <c r="F527" s="7" t="s">
        <v>1841</v>
      </c>
      <c r="G527" s="7" t="e">
        <f t="shared" ca="1" si="24"/>
        <v>#NAME?</v>
      </c>
      <c r="H527" s="24" t="s">
        <v>143</v>
      </c>
      <c r="I527" s="24" t="s">
        <v>25</v>
      </c>
      <c r="J527" s="7" t="str">
        <f t="shared" si="26"/>
        <v>Não</v>
      </c>
      <c r="K527" s="25">
        <v>44973</v>
      </c>
      <c r="L527" s="25">
        <v>45572</v>
      </c>
      <c r="M527" s="7" t="s">
        <v>215</v>
      </c>
      <c r="N527" s="26">
        <v>1.2E-2</v>
      </c>
      <c r="O527" s="7" t="s">
        <v>25</v>
      </c>
      <c r="P527" s="27">
        <v>0</v>
      </c>
      <c r="Q527" s="28"/>
      <c r="R527" s="28"/>
      <c r="S527" s="7" t="s">
        <v>145</v>
      </c>
      <c r="T527" s="7" t="s">
        <v>1842</v>
      </c>
      <c r="U527" s="7" t="s">
        <v>20</v>
      </c>
      <c r="V527" s="24" t="e">
        <f t="shared" ca="1" si="25"/>
        <v>#NAME?</v>
      </c>
      <c r="W527" s="7"/>
      <c r="X527" s="7"/>
      <c r="Y527" s="29" t="s">
        <v>433</v>
      </c>
      <c r="Z527" s="30"/>
      <c r="AA527" s="31">
        <v>44973</v>
      </c>
      <c r="AB527" s="32">
        <v>49075100006652</v>
      </c>
      <c r="AC527" s="30"/>
      <c r="AD527" s="30"/>
      <c r="AE527" s="30"/>
      <c r="AF527" s="30">
        <v>0</v>
      </c>
      <c r="AG527" s="30">
        <v>0</v>
      </c>
      <c r="AH527" s="30">
        <v>0</v>
      </c>
      <c r="AI527" s="30">
        <v>347988.69</v>
      </c>
      <c r="AJ527" s="30">
        <v>357710.52</v>
      </c>
      <c r="AK527" s="30">
        <v>364672.27</v>
      </c>
      <c r="AL527" s="30">
        <v>370568.08</v>
      </c>
      <c r="AM527" s="30">
        <v>374390.39</v>
      </c>
      <c r="AN527" s="30">
        <v>376886.21</v>
      </c>
      <c r="AO527" s="30">
        <v>376422.29</v>
      </c>
      <c r="AP527" s="30">
        <v>380757.32</v>
      </c>
      <c r="AQ527" s="30">
        <v>386224.65</v>
      </c>
      <c r="AR527" s="30">
        <v>388515.52</v>
      </c>
      <c r="AS527" s="30">
        <v>393413.58</v>
      </c>
      <c r="AT527" s="30">
        <v>396652.54</v>
      </c>
      <c r="AU527" s="30">
        <v>396242.02</v>
      </c>
      <c r="AV527" s="30">
        <v>397246.1</v>
      </c>
      <c r="AW527" s="30">
        <v>397970.7</v>
      </c>
      <c r="AX527" s="30">
        <v>402117.5</v>
      </c>
      <c r="AY527" s="30">
        <v>404374.9</v>
      </c>
      <c r="AZ527" s="30">
        <v>0</v>
      </c>
      <c r="BA527" s="30" t="e">
        <f t="array" aca="1" ref="BA527" ca="1">_xludf.XLOOKUP(C527,'PL TOTAL D0'!A:A,'PL TOTAL D0'!C:C,"")</f>
        <v>#NAME?</v>
      </c>
    </row>
    <row r="528" spans="1:53" ht="15.75" customHeight="1">
      <c r="A528" s="23" t="s">
        <v>29</v>
      </c>
      <c r="B528" s="3" t="s">
        <v>1843</v>
      </c>
      <c r="C528" s="4" t="s">
        <v>1844</v>
      </c>
      <c r="D528" s="7" t="s">
        <v>72</v>
      </c>
      <c r="E528" s="7" t="s">
        <v>20</v>
      </c>
      <c r="F528" s="7" t="s">
        <v>337</v>
      </c>
      <c r="G528" s="7" t="e">
        <f t="shared" ca="1" si="24"/>
        <v>#NAME?</v>
      </c>
      <c r="H528" s="24" t="s">
        <v>152</v>
      </c>
      <c r="I528" s="24" t="s">
        <v>25</v>
      </c>
      <c r="J528" s="7" t="str">
        <f t="shared" si="26"/>
        <v>Não</v>
      </c>
      <c r="K528" s="25">
        <v>45449</v>
      </c>
      <c r="L528" s="7"/>
      <c r="M528" s="7" t="s">
        <v>58</v>
      </c>
      <c r="N528" s="26">
        <v>1.2E-2</v>
      </c>
      <c r="O528" s="7" t="s">
        <v>37</v>
      </c>
      <c r="P528" s="27">
        <v>0.1</v>
      </c>
      <c r="Q528" s="28"/>
      <c r="R528" s="28"/>
      <c r="S528" s="7" t="s">
        <v>145</v>
      </c>
      <c r="T528" s="7" t="s">
        <v>1845</v>
      </c>
      <c r="U528" s="7" t="s">
        <v>20</v>
      </c>
      <c r="V528" s="24" t="e">
        <f t="shared" ca="1" si="25"/>
        <v>#NAME?</v>
      </c>
      <c r="W528" s="7"/>
      <c r="X528" s="7" t="s">
        <v>52</v>
      </c>
      <c r="Y528" s="29" t="s">
        <v>147</v>
      </c>
      <c r="Z528" s="30"/>
      <c r="AA528" s="31">
        <v>45449</v>
      </c>
      <c r="AB528" s="32">
        <v>49075100015066</v>
      </c>
      <c r="AC528" s="30"/>
      <c r="AD528" s="30"/>
      <c r="AE528" s="30"/>
      <c r="AF528" s="30"/>
      <c r="AG528" s="30"/>
      <c r="AH528" s="30"/>
      <c r="AI528" s="30"/>
      <c r="AJ528" s="30"/>
      <c r="AK528" s="30"/>
      <c r="AL528" s="30"/>
      <c r="AM528" s="30"/>
      <c r="AN528" s="30"/>
      <c r="AO528" s="30"/>
      <c r="AP528" s="30"/>
      <c r="AQ528" s="30"/>
      <c r="AR528" s="30"/>
      <c r="AS528" s="30"/>
      <c r="AT528" s="30"/>
      <c r="AU528" s="30"/>
      <c r="AV528" s="30"/>
      <c r="AW528" s="30">
        <v>389887.7</v>
      </c>
      <c r="AX528" s="30">
        <v>393810</v>
      </c>
      <c r="AY528" s="30">
        <v>391529.98</v>
      </c>
      <c r="AZ528" s="30">
        <v>388360.53</v>
      </c>
      <c r="BA528" s="30" t="e">
        <f t="array" aca="1" ref="BA528" ca="1">_xludf.XLOOKUP(C528,'PL TOTAL D0'!A:A,'PL TOTAL D0'!C:C,"")</f>
        <v>#NAME?</v>
      </c>
    </row>
    <row r="529" spans="1:53" ht="15.75" customHeight="1">
      <c r="A529" s="23" t="s">
        <v>29</v>
      </c>
      <c r="B529" s="3" t="s">
        <v>1846</v>
      </c>
      <c r="C529" s="35" t="s">
        <v>1847</v>
      </c>
      <c r="D529" s="7" t="s">
        <v>19</v>
      </c>
      <c r="E529" s="7" t="s">
        <v>20</v>
      </c>
      <c r="F529" s="7" t="s">
        <v>21</v>
      </c>
      <c r="G529" s="7" t="e">
        <f t="shared" ca="1" si="24"/>
        <v>#NAME?</v>
      </c>
      <c r="H529" s="24" t="s">
        <v>152</v>
      </c>
      <c r="I529" s="24" t="s">
        <v>25</v>
      </c>
      <c r="J529" s="7" t="str">
        <f t="shared" si="26"/>
        <v>Não</v>
      </c>
      <c r="K529" s="25">
        <v>45359</v>
      </c>
      <c r="L529" s="25"/>
      <c r="M529" s="7" t="s">
        <v>42</v>
      </c>
      <c r="N529" s="26">
        <v>1.2E-2</v>
      </c>
      <c r="O529" s="7" t="s">
        <v>25</v>
      </c>
      <c r="P529" s="27">
        <v>0</v>
      </c>
      <c r="Q529" s="28"/>
      <c r="R529" s="28" t="s">
        <v>1848</v>
      </c>
      <c r="S529" s="7" t="s">
        <v>145</v>
      </c>
      <c r="T529" s="6" t="s">
        <v>1849</v>
      </c>
      <c r="U529" s="7" t="s">
        <v>20</v>
      </c>
      <c r="V529" s="24" t="e">
        <f t="shared" ca="1" si="25"/>
        <v>#NAME?</v>
      </c>
      <c r="W529" s="7"/>
      <c r="X529" s="7"/>
      <c r="Y529" s="29" t="s">
        <v>147</v>
      </c>
      <c r="Z529" s="30"/>
      <c r="AA529" s="31">
        <v>45359</v>
      </c>
      <c r="AB529" s="32">
        <v>49075100013861</v>
      </c>
      <c r="AC529" s="30"/>
      <c r="AD529" s="30"/>
      <c r="AE529" s="30"/>
      <c r="AF529" s="30"/>
      <c r="AG529" s="30"/>
      <c r="AH529" s="30"/>
      <c r="AI529" s="30"/>
      <c r="AJ529" s="30"/>
      <c r="AK529" s="30"/>
      <c r="AL529" s="30"/>
      <c r="AM529" s="30"/>
      <c r="AN529" s="30"/>
      <c r="AO529" s="30"/>
      <c r="AP529" s="30"/>
      <c r="AQ529" s="30"/>
      <c r="AR529" s="30"/>
      <c r="AS529" s="30"/>
      <c r="AT529" s="30">
        <v>350725.59</v>
      </c>
      <c r="AU529" s="30">
        <v>351793.23</v>
      </c>
      <c r="AV529" s="30">
        <v>354369.2</v>
      </c>
      <c r="AW529" s="30">
        <v>424859.3</v>
      </c>
      <c r="AX529" s="30">
        <v>428565</v>
      </c>
      <c r="AY529" s="30">
        <v>432083.45</v>
      </c>
      <c r="AZ529" s="30">
        <v>434756.91</v>
      </c>
      <c r="BA529" s="30" t="e">
        <f t="array" aca="1" ref="BA529" ca="1">_xludf.XLOOKUP(C529,'PL TOTAL D0'!A:A,'PL TOTAL D0'!C:C,"")</f>
        <v>#NAME?</v>
      </c>
    </row>
    <row r="530" spans="1:53" ht="15.75" customHeight="1">
      <c r="A530" s="23" t="s">
        <v>29</v>
      </c>
      <c r="B530" s="3" t="s">
        <v>1850</v>
      </c>
      <c r="C530" s="4" t="s">
        <v>1851</v>
      </c>
      <c r="D530" s="7" t="s">
        <v>19</v>
      </c>
      <c r="E530" s="7" t="s">
        <v>49</v>
      </c>
      <c r="F530" s="7" t="s">
        <v>50</v>
      </c>
      <c r="G530" s="7" t="e">
        <f t="shared" ca="1" si="24"/>
        <v>#NAME?</v>
      </c>
      <c r="H530" s="24" t="s">
        <v>152</v>
      </c>
      <c r="I530" s="24" t="s">
        <v>25</v>
      </c>
      <c r="J530" s="7" t="str">
        <f t="shared" si="26"/>
        <v>Não</v>
      </c>
      <c r="K530" s="25">
        <v>45034</v>
      </c>
      <c r="L530" s="7"/>
      <c r="M530" s="7" t="s">
        <v>42</v>
      </c>
      <c r="N530" s="26">
        <v>1.2E-2</v>
      </c>
      <c r="O530" s="7" t="s">
        <v>25</v>
      </c>
      <c r="P530" s="27">
        <v>0</v>
      </c>
      <c r="Q530" s="28"/>
      <c r="R530" s="28"/>
      <c r="S530" s="7" t="s">
        <v>145</v>
      </c>
      <c r="T530" s="7" t="s">
        <v>1852</v>
      </c>
      <c r="U530" s="7" t="s">
        <v>20</v>
      </c>
      <c r="V530" s="24" t="e">
        <f t="shared" ca="1" si="25"/>
        <v>#NAME?</v>
      </c>
      <c r="W530" s="7"/>
      <c r="X530" s="7"/>
      <c r="Y530" s="29" t="s">
        <v>147</v>
      </c>
      <c r="Z530" s="30"/>
      <c r="AA530" s="31">
        <v>45034</v>
      </c>
      <c r="AB530" s="32">
        <v>49075100008388</v>
      </c>
      <c r="AC530" s="30"/>
      <c r="AD530" s="30"/>
      <c r="AE530" s="30"/>
      <c r="AF530" s="30"/>
      <c r="AG530" s="30"/>
      <c r="AH530" s="30">
        <v>0</v>
      </c>
      <c r="AI530" s="30">
        <v>114482.14</v>
      </c>
      <c r="AJ530" s="30">
        <v>116324.12</v>
      </c>
      <c r="AK530" s="30">
        <v>117665.37</v>
      </c>
      <c r="AL530" s="30">
        <v>158063.24</v>
      </c>
      <c r="AM530" s="30">
        <v>158805.14000000001</v>
      </c>
      <c r="AN530" s="30">
        <v>159033.28</v>
      </c>
      <c r="AO530" s="30">
        <v>160346.51</v>
      </c>
      <c r="AP530" s="30">
        <v>162382.9</v>
      </c>
      <c r="AQ530" s="30">
        <v>163655.53</v>
      </c>
      <c r="AR530" s="30">
        <v>164859.70000000001</v>
      </c>
      <c r="AS530" s="30">
        <v>166549.19</v>
      </c>
      <c r="AT530" s="30">
        <v>167903.82</v>
      </c>
      <c r="AU530" s="30">
        <v>167832.6</v>
      </c>
      <c r="AV530" s="30">
        <v>170532.3</v>
      </c>
      <c r="AW530" s="30">
        <v>120218.6</v>
      </c>
      <c r="AX530" s="30">
        <v>121668.6</v>
      </c>
      <c r="AY530" s="30">
        <v>69647.759999999995</v>
      </c>
      <c r="AZ530" s="30">
        <v>68843.350000000006</v>
      </c>
      <c r="BA530" s="30" t="e">
        <f t="array" aca="1" ref="BA530" ca="1">_xludf.XLOOKUP(C530,'PL TOTAL D0'!A:A,'PL TOTAL D0'!C:C,"")</f>
        <v>#NAME?</v>
      </c>
    </row>
    <row r="531" spans="1:53" ht="15.75" customHeight="1">
      <c r="A531" s="23" t="s">
        <v>29</v>
      </c>
      <c r="B531" s="3" t="s">
        <v>1853</v>
      </c>
      <c r="C531" s="4" t="s">
        <v>1854</v>
      </c>
      <c r="D531" s="7" t="s">
        <v>19</v>
      </c>
      <c r="E531" s="7" t="s">
        <v>34</v>
      </c>
      <c r="F531" s="7" t="s">
        <v>262</v>
      </c>
      <c r="G531" s="7" t="e">
        <f t="shared" ca="1" si="24"/>
        <v>#NAME?</v>
      </c>
      <c r="H531" s="24" t="s">
        <v>152</v>
      </c>
      <c r="I531" s="24" t="s">
        <v>25</v>
      </c>
      <c r="J531" s="7" t="str">
        <f t="shared" si="26"/>
        <v>Sim</v>
      </c>
      <c r="K531" s="25">
        <v>45070</v>
      </c>
      <c r="L531" s="25"/>
      <c r="M531" s="7" t="s">
        <v>875</v>
      </c>
      <c r="N531" s="26">
        <v>0.02</v>
      </c>
      <c r="O531" s="7" t="s">
        <v>183</v>
      </c>
      <c r="P531" s="27">
        <v>0.2</v>
      </c>
      <c r="Q531" s="28" t="s">
        <v>1855</v>
      </c>
      <c r="R531" s="28"/>
      <c r="S531" s="7" t="s">
        <v>145</v>
      </c>
      <c r="T531" s="7" t="s">
        <v>1856</v>
      </c>
      <c r="U531" s="7" t="s">
        <v>39</v>
      </c>
      <c r="V531" s="24" t="e">
        <f t="shared" ca="1" si="25"/>
        <v>#NAME?</v>
      </c>
      <c r="W531" s="7"/>
      <c r="X531" s="7"/>
      <c r="Y531" s="29" t="s">
        <v>147</v>
      </c>
      <c r="Z531" s="30"/>
      <c r="AA531" s="31">
        <v>45070</v>
      </c>
      <c r="AB531" s="32">
        <v>49075100009260</v>
      </c>
      <c r="AC531" s="30"/>
      <c r="AD531" s="30"/>
      <c r="AE531" s="30"/>
      <c r="AF531" s="30"/>
      <c r="AG531" s="30"/>
      <c r="AH531" s="30"/>
      <c r="AI531" s="30">
        <v>0</v>
      </c>
      <c r="AJ531" s="30">
        <v>0</v>
      </c>
      <c r="AK531" s="30">
        <v>481579.68</v>
      </c>
      <c r="AL531" s="30">
        <v>479112.38</v>
      </c>
      <c r="AM531" s="30">
        <v>482826.85</v>
      </c>
      <c r="AN531" s="30">
        <v>494486.85</v>
      </c>
      <c r="AO531" s="30">
        <v>491878.69</v>
      </c>
      <c r="AP531" s="30">
        <v>533565.37</v>
      </c>
      <c r="AQ531" s="30">
        <v>585023.88</v>
      </c>
      <c r="AR531" s="30">
        <v>573373.79</v>
      </c>
      <c r="AS531" s="30">
        <v>575238.78</v>
      </c>
      <c r="AT531" s="30">
        <v>574607.37</v>
      </c>
      <c r="AU531" s="30">
        <v>559333.6</v>
      </c>
      <c r="AV531" s="30">
        <v>560456.69999999995</v>
      </c>
      <c r="AW531" s="30">
        <v>566993.1</v>
      </c>
      <c r="AX531" s="30">
        <v>589389.30000000005</v>
      </c>
      <c r="AY531" s="30">
        <v>623454.29</v>
      </c>
      <c r="AZ531" s="30">
        <v>617643.89</v>
      </c>
      <c r="BA531" s="30" t="e">
        <f t="array" aca="1" ref="BA531" ca="1">_xludf.XLOOKUP(C531,'PL TOTAL D0'!A:A,'PL TOTAL D0'!C:C,"")</f>
        <v>#NAME?</v>
      </c>
    </row>
    <row r="532" spans="1:53" ht="15.75" customHeight="1">
      <c r="A532" s="23" t="s">
        <v>29</v>
      </c>
      <c r="B532" s="40" t="s">
        <v>1857</v>
      </c>
      <c r="C532" s="159" t="s">
        <v>1858</v>
      </c>
      <c r="D532" s="7" t="s">
        <v>19</v>
      </c>
      <c r="E532" s="7" t="s">
        <v>34</v>
      </c>
      <c r="F532" s="7" t="s">
        <v>262</v>
      </c>
      <c r="G532" s="7" t="e">
        <f t="shared" ca="1" si="24"/>
        <v>#NAME?</v>
      </c>
      <c r="H532" s="24" t="s">
        <v>161</v>
      </c>
      <c r="I532" s="24" t="s">
        <v>162</v>
      </c>
      <c r="J532" s="7" t="str">
        <f t="shared" si="26"/>
        <v>Não</v>
      </c>
      <c r="K532" s="25">
        <v>45209</v>
      </c>
      <c r="L532" s="7"/>
      <c r="M532" s="7" t="s">
        <v>42</v>
      </c>
      <c r="N532" s="26">
        <v>1.2E-2</v>
      </c>
      <c r="O532" s="7" t="s">
        <v>25</v>
      </c>
      <c r="P532" s="27">
        <v>0</v>
      </c>
      <c r="Q532" s="28"/>
      <c r="R532" s="90"/>
      <c r="S532" s="7" t="s">
        <v>145</v>
      </c>
      <c r="T532" s="7" t="s">
        <v>1859</v>
      </c>
      <c r="U532" s="7" t="s">
        <v>39</v>
      </c>
      <c r="V532" s="24" t="e">
        <f t="shared" ca="1" si="25"/>
        <v>#NAME?</v>
      </c>
      <c r="W532" s="7"/>
      <c r="X532" s="7"/>
      <c r="Y532" s="29" t="s">
        <v>147</v>
      </c>
      <c r="Z532" s="30"/>
      <c r="AA532" s="31">
        <v>45209</v>
      </c>
      <c r="AB532" s="32">
        <v>49075100012636</v>
      </c>
      <c r="AC532" s="30"/>
      <c r="AD532" s="30"/>
      <c r="AE532" s="30"/>
      <c r="AF532" s="30"/>
      <c r="AG532" s="30"/>
      <c r="AH532" s="30"/>
      <c r="AI532" s="30"/>
      <c r="AJ532" s="30"/>
      <c r="AK532" s="30"/>
      <c r="AL532" s="30"/>
      <c r="AM532" s="30"/>
      <c r="AN532" s="30">
        <v>0</v>
      </c>
      <c r="AO532" s="30">
        <v>0</v>
      </c>
      <c r="AP532" s="30">
        <v>0</v>
      </c>
      <c r="AQ532" s="30">
        <v>0</v>
      </c>
      <c r="AR532" s="30">
        <v>0</v>
      </c>
      <c r="AS532" s="30">
        <v>0</v>
      </c>
      <c r="AT532" s="30">
        <v>0</v>
      </c>
      <c r="AU532" s="30">
        <v>0</v>
      </c>
      <c r="AV532" s="30">
        <v>0</v>
      </c>
      <c r="AW532" s="30">
        <v>0</v>
      </c>
      <c r="AX532" s="30">
        <v>0</v>
      </c>
      <c r="AY532" s="30">
        <v>0</v>
      </c>
      <c r="AZ532" s="30">
        <v>0</v>
      </c>
      <c r="BA532" s="30" t="e">
        <f t="array" aca="1" ref="BA532" ca="1">_xludf.XLOOKUP(C532,'PL TOTAL D0'!A:A,'PL TOTAL D0'!C:C,"")</f>
        <v>#NAME?</v>
      </c>
    </row>
    <row r="533" spans="1:53" ht="15.75" customHeight="1">
      <c r="A533" s="23" t="s">
        <v>29</v>
      </c>
      <c r="B533" s="3" t="s">
        <v>1860</v>
      </c>
      <c r="C533" s="4" t="s">
        <v>1861</v>
      </c>
      <c r="D533" s="7" t="s">
        <v>19</v>
      </c>
      <c r="E533" s="7" t="s">
        <v>20</v>
      </c>
      <c r="F533" s="7" t="s">
        <v>372</v>
      </c>
      <c r="G533" s="7" t="e">
        <f t="shared" ca="1" si="24"/>
        <v>#NAME?</v>
      </c>
      <c r="H533" s="24" t="s">
        <v>161</v>
      </c>
      <c r="I533" s="24" t="s">
        <v>162</v>
      </c>
      <c r="J533" s="7" t="str">
        <f t="shared" si="26"/>
        <v>Não</v>
      </c>
      <c r="K533" s="25">
        <v>44911</v>
      </c>
      <c r="L533" s="7"/>
      <c r="M533" s="7" t="s">
        <v>87</v>
      </c>
      <c r="N533" s="26">
        <v>2.5000000000000001E-2</v>
      </c>
      <c r="O533" s="7" t="s">
        <v>183</v>
      </c>
      <c r="P533" s="27">
        <v>0.2</v>
      </c>
      <c r="Q533" s="23"/>
      <c r="R533" s="28" t="s">
        <v>1862</v>
      </c>
      <c r="S533" s="7" t="s">
        <v>145</v>
      </c>
      <c r="T533" s="7" t="s">
        <v>1863</v>
      </c>
      <c r="U533" s="7" t="s">
        <v>20</v>
      </c>
      <c r="V533" s="24" t="e">
        <f t="shared" ca="1" si="25"/>
        <v>#NAME?</v>
      </c>
      <c r="W533" s="7"/>
      <c r="X533" s="7"/>
      <c r="Y533" s="29" t="s">
        <v>253</v>
      </c>
      <c r="Z533" s="30"/>
      <c r="AA533" s="31">
        <v>44911</v>
      </c>
      <c r="AB533" s="32">
        <v>49075100006131</v>
      </c>
      <c r="AC533" s="30"/>
      <c r="AD533" s="30"/>
      <c r="AE533" s="30">
        <v>14721.08</v>
      </c>
      <c r="AF533" s="30">
        <v>14932.95</v>
      </c>
      <c r="AG533" s="30">
        <v>15016.78</v>
      </c>
      <c r="AH533" s="30">
        <v>15092.34</v>
      </c>
      <c r="AI533" s="30">
        <v>15185.7</v>
      </c>
      <c r="AJ533" s="30">
        <v>5316.89</v>
      </c>
      <c r="AK533" s="30">
        <v>5698.8</v>
      </c>
      <c r="AL533" s="30">
        <v>5852.36</v>
      </c>
      <c r="AM533" s="30">
        <v>5390.36</v>
      </c>
      <c r="AN533" s="30">
        <v>5272.2</v>
      </c>
      <c r="AO533" s="30">
        <v>5006.41</v>
      </c>
      <c r="AP533" s="30">
        <v>5366.84</v>
      </c>
      <c r="AQ533" s="30">
        <v>5643.12</v>
      </c>
      <c r="AR533" s="30">
        <v>35.340000000000003</v>
      </c>
      <c r="AS533" s="30">
        <v>35.29</v>
      </c>
      <c r="AT533" s="30">
        <v>35.29</v>
      </c>
      <c r="AU533" s="30">
        <v>35.29</v>
      </c>
      <c r="AV533" s="30">
        <v>35.29</v>
      </c>
      <c r="AW533" s="30">
        <v>35.29</v>
      </c>
      <c r="AX533" s="30">
        <v>35.29</v>
      </c>
      <c r="AY533" s="30">
        <v>35.29</v>
      </c>
      <c r="AZ533" s="30">
        <v>35.29</v>
      </c>
      <c r="BA533" s="30" t="e">
        <f t="array" aca="1" ref="BA533" ca="1">_xludf.XLOOKUP(C533,'PL TOTAL D0'!A:A,'PL TOTAL D0'!C:C,"")</f>
        <v>#NAME?</v>
      </c>
    </row>
    <row r="534" spans="1:53" ht="15.75" customHeight="1">
      <c r="A534" s="23" t="s">
        <v>29</v>
      </c>
      <c r="B534" s="3" t="s">
        <v>1860</v>
      </c>
      <c r="C534" s="4" t="s">
        <v>1864</v>
      </c>
      <c r="D534" s="7" t="s">
        <v>19</v>
      </c>
      <c r="E534" s="7" t="s">
        <v>20</v>
      </c>
      <c r="F534" s="7" t="s">
        <v>372</v>
      </c>
      <c r="G534" s="7" t="e">
        <f t="shared" ca="1" si="24"/>
        <v>#NAME?</v>
      </c>
      <c r="H534" s="24" t="s">
        <v>152</v>
      </c>
      <c r="I534" s="24" t="s">
        <v>25</v>
      </c>
      <c r="J534" s="7" t="str">
        <f t="shared" si="26"/>
        <v>Não</v>
      </c>
      <c r="K534" s="25">
        <v>44893</v>
      </c>
      <c r="L534" s="7"/>
      <c r="M534" s="7" t="s">
        <v>200</v>
      </c>
      <c r="N534" s="26">
        <v>1.4999999999999999E-2</v>
      </c>
      <c r="O534" s="7" t="s">
        <v>37</v>
      </c>
      <c r="P534" s="27">
        <v>0.1</v>
      </c>
      <c r="Q534" s="28"/>
      <c r="R534" s="28"/>
      <c r="S534" s="7" t="s">
        <v>145</v>
      </c>
      <c r="T534" s="7" t="s">
        <v>1863</v>
      </c>
      <c r="U534" s="7" t="s">
        <v>20</v>
      </c>
      <c r="V534" s="24" t="e">
        <f t="shared" ca="1" si="25"/>
        <v>#NAME?</v>
      </c>
      <c r="W534" s="7"/>
      <c r="X534" s="7"/>
      <c r="Y534" s="29" t="s">
        <v>253</v>
      </c>
      <c r="Z534" s="30"/>
      <c r="AA534" s="31">
        <v>44893</v>
      </c>
      <c r="AB534" s="32">
        <v>49075100006121</v>
      </c>
      <c r="AC534" s="30"/>
      <c r="AD534" s="30"/>
      <c r="AE534" s="30">
        <v>64596.85</v>
      </c>
      <c r="AF534" s="30">
        <v>65271.12</v>
      </c>
      <c r="AG534" s="30">
        <v>65927.09</v>
      </c>
      <c r="AH534" s="30">
        <v>66639.289999999994</v>
      </c>
      <c r="AI534" s="30">
        <v>67134.960000000006</v>
      </c>
      <c r="AJ534" s="30">
        <v>67680.42</v>
      </c>
      <c r="AK534" s="30">
        <v>68277.539999999994</v>
      </c>
      <c r="AL534" s="30">
        <v>68884.14</v>
      </c>
      <c r="AM534" s="30">
        <v>79671.28</v>
      </c>
      <c r="AN534" s="30">
        <v>80142.490000000005</v>
      </c>
      <c r="AO534" s="30">
        <v>80771.11</v>
      </c>
      <c r="AP534" s="30">
        <v>76230.720000000001</v>
      </c>
      <c r="AQ534" s="30">
        <v>76436.55</v>
      </c>
      <c r="AR534" s="30">
        <v>77264.27</v>
      </c>
      <c r="AS534" s="30">
        <v>77705.23</v>
      </c>
      <c r="AT534" s="30">
        <v>98754.33</v>
      </c>
      <c r="AU534" s="30">
        <v>101220.8</v>
      </c>
      <c r="AV534" s="30">
        <v>115801.3</v>
      </c>
      <c r="AW534" s="30">
        <v>113405.7</v>
      </c>
      <c r="AX534" s="30">
        <v>130141.3</v>
      </c>
      <c r="AY534" s="30">
        <v>131556.67000000001</v>
      </c>
      <c r="AZ534" s="30">
        <v>131535.85999999999</v>
      </c>
      <c r="BA534" s="30" t="e">
        <f t="array" aca="1" ref="BA534" ca="1">_xludf.XLOOKUP(C534,'PL TOTAL D0'!A:A,'PL TOTAL D0'!C:C,"")</f>
        <v>#NAME?</v>
      </c>
    </row>
    <row r="535" spans="1:53" ht="15.75" customHeight="1">
      <c r="A535" s="23" t="s">
        <v>29</v>
      </c>
      <c r="B535" s="40" t="s">
        <v>1865</v>
      </c>
      <c r="C535" s="160" t="s">
        <v>1866</v>
      </c>
      <c r="D535" s="7" t="s">
        <v>19</v>
      </c>
      <c r="E535" s="7" t="s">
        <v>20</v>
      </c>
      <c r="F535" s="7" t="s">
        <v>800</v>
      </c>
      <c r="G535" s="7" t="e">
        <f t="shared" ca="1" si="24"/>
        <v>#NAME?</v>
      </c>
      <c r="H535" s="24" t="s">
        <v>143</v>
      </c>
      <c r="I535" s="24" t="s">
        <v>25</v>
      </c>
      <c r="J535" s="7" t="str">
        <f t="shared" si="26"/>
        <v>Não</v>
      </c>
      <c r="K535" s="25">
        <v>45180</v>
      </c>
      <c r="L535" s="25">
        <v>45523</v>
      </c>
      <c r="M535" s="7" t="s">
        <v>87</v>
      </c>
      <c r="N535" s="26">
        <v>1.4999999999999999E-2</v>
      </c>
      <c r="O535" s="7" t="s">
        <v>25</v>
      </c>
      <c r="P535" s="27">
        <v>0</v>
      </c>
      <c r="Q535" s="28"/>
      <c r="R535" s="28" t="s">
        <v>1867</v>
      </c>
      <c r="S535" s="7" t="s">
        <v>145</v>
      </c>
      <c r="T535" s="7" t="s">
        <v>1868</v>
      </c>
      <c r="U535" s="7" t="s">
        <v>20</v>
      </c>
      <c r="V535" s="24" t="e">
        <f t="shared" ca="1" si="25"/>
        <v>#NAME?</v>
      </c>
      <c r="W535" s="7"/>
      <c r="X535" s="7"/>
      <c r="Y535" s="29" t="s">
        <v>253</v>
      </c>
      <c r="Z535" s="30"/>
      <c r="AA535" s="31">
        <v>45180</v>
      </c>
      <c r="AB535" s="32">
        <v>49075100012628</v>
      </c>
      <c r="AC535" s="30"/>
      <c r="AD535" s="30"/>
      <c r="AE535" s="30"/>
      <c r="AF535" s="30"/>
      <c r="AG535" s="30"/>
      <c r="AH535" s="30"/>
      <c r="AI535" s="30"/>
      <c r="AJ535" s="30"/>
      <c r="AK535" s="30"/>
      <c r="AL535" s="30"/>
      <c r="AM535" s="30">
        <v>0</v>
      </c>
      <c r="AN535" s="30">
        <v>0</v>
      </c>
      <c r="AO535" s="30">
        <v>0</v>
      </c>
      <c r="AP535" s="30">
        <v>0</v>
      </c>
      <c r="AQ535" s="30">
        <v>0</v>
      </c>
      <c r="AR535" s="30">
        <v>0</v>
      </c>
      <c r="AS535" s="30">
        <v>4216123.96</v>
      </c>
      <c r="AT535" s="30">
        <v>4295934.78</v>
      </c>
      <c r="AU535" s="30">
        <v>2815971.09</v>
      </c>
      <c r="AV535" s="30">
        <v>1780224</v>
      </c>
      <c r="AW535" s="30">
        <v>1162155</v>
      </c>
      <c r="AX535" s="30">
        <v>10787.94</v>
      </c>
      <c r="AY535" s="30">
        <v>0</v>
      </c>
      <c r="AZ535" s="30">
        <v>0</v>
      </c>
      <c r="BA535" s="30" t="e">
        <f t="array" aca="1" ref="BA535" ca="1">_xludf.XLOOKUP(C535,'PL TOTAL D0'!A:A,'PL TOTAL D0'!C:C,"")</f>
        <v>#NAME?</v>
      </c>
    </row>
    <row r="536" spans="1:53" ht="15.75" customHeight="1">
      <c r="A536" s="23" t="s">
        <v>29</v>
      </c>
      <c r="B536" s="40" t="s">
        <v>1865</v>
      </c>
      <c r="C536" s="160" t="s">
        <v>1869</v>
      </c>
      <c r="D536" s="7" t="s">
        <v>19</v>
      </c>
      <c r="E536" s="7" t="s">
        <v>20</v>
      </c>
      <c r="F536" s="7" t="s">
        <v>800</v>
      </c>
      <c r="G536" s="7" t="e">
        <f t="shared" ca="1" si="24"/>
        <v>#NAME?</v>
      </c>
      <c r="H536" s="24" t="s">
        <v>143</v>
      </c>
      <c r="I536" s="24" t="s">
        <v>25</v>
      </c>
      <c r="J536" s="7" t="str">
        <f t="shared" si="26"/>
        <v>Não</v>
      </c>
      <c r="K536" s="25">
        <v>45177</v>
      </c>
      <c r="L536" s="25">
        <v>45523</v>
      </c>
      <c r="M536" s="7" t="s">
        <v>42</v>
      </c>
      <c r="N536" s="26">
        <v>7.0000000000000001E-3</v>
      </c>
      <c r="O536" s="7" t="s">
        <v>25</v>
      </c>
      <c r="P536" s="27">
        <v>0</v>
      </c>
      <c r="Q536" s="28"/>
      <c r="R536" s="28" t="s">
        <v>1867</v>
      </c>
      <c r="S536" s="7" t="s">
        <v>145</v>
      </c>
      <c r="T536" s="7" t="s">
        <v>1868</v>
      </c>
      <c r="U536" s="7" t="s">
        <v>20</v>
      </c>
      <c r="V536" s="24" t="e">
        <f t="shared" ca="1" si="25"/>
        <v>#NAME?</v>
      </c>
      <c r="W536" s="7"/>
      <c r="X536" s="7"/>
      <c r="Y536" s="29" t="s">
        <v>253</v>
      </c>
      <c r="Z536" s="30"/>
      <c r="AA536" s="31">
        <v>45177</v>
      </c>
      <c r="AB536" s="32">
        <v>49075100011664</v>
      </c>
      <c r="AC536" s="30"/>
      <c r="AD536" s="30"/>
      <c r="AE536" s="30"/>
      <c r="AF536" s="30"/>
      <c r="AG536" s="30"/>
      <c r="AH536" s="30"/>
      <c r="AI536" s="30"/>
      <c r="AJ536" s="30"/>
      <c r="AK536" s="30"/>
      <c r="AL536" s="30"/>
      <c r="AM536" s="30">
        <v>0</v>
      </c>
      <c r="AN536" s="30">
        <v>0</v>
      </c>
      <c r="AO536" s="30">
        <v>0</v>
      </c>
      <c r="AP536" s="30">
        <v>0</v>
      </c>
      <c r="AQ536" s="30">
        <v>0</v>
      </c>
      <c r="AR536" s="30">
        <v>0</v>
      </c>
      <c r="AS536" s="30">
        <v>827196.2</v>
      </c>
      <c r="AT536" s="30">
        <v>829370.48</v>
      </c>
      <c r="AU536" s="30">
        <v>2180207.6</v>
      </c>
      <c r="AV536" s="30">
        <v>2377484</v>
      </c>
      <c r="AW536" s="30">
        <v>2717400</v>
      </c>
      <c r="AX536" s="30">
        <v>3308747</v>
      </c>
      <c r="AY536" s="30">
        <v>0</v>
      </c>
      <c r="AZ536" s="30">
        <v>0</v>
      </c>
      <c r="BA536" s="30" t="e">
        <f t="array" aca="1" ref="BA536" ca="1">_xludf.XLOOKUP(C536,'PL TOTAL D0'!A:A,'PL TOTAL D0'!C:C,"")</f>
        <v>#NAME?</v>
      </c>
    </row>
    <row r="537" spans="1:53" ht="15.75" customHeight="1">
      <c r="A537" s="23" t="s">
        <v>29</v>
      </c>
      <c r="B537" s="37" t="s">
        <v>1870</v>
      </c>
      <c r="C537" s="4" t="s">
        <v>1871</v>
      </c>
      <c r="D537" s="7" t="s">
        <v>19</v>
      </c>
      <c r="E537" s="7" t="s">
        <v>20</v>
      </c>
      <c r="F537" s="7" t="s">
        <v>21</v>
      </c>
      <c r="G537" s="7" t="e">
        <f t="shared" ca="1" si="24"/>
        <v>#NAME?</v>
      </c>
      <c r="H537" s="24" t="s">
        <v>152</v>
      </c>
      <c r="I537" s="24" t="s">
        <v>25</v>
      </c>
      <c r="J537" s="7" t="str">
        <f t="shared" si="26"/>
        <v>Não</v>
      </c>
      <c r="K537" s="25">
        <v>45042</v>
      </c>
      <c r="L537" s="7"/>
      <c r="M537" s="7" t="s">
        <v>87</v>
      </c>
      <c r="N537" s="26">
        <v>2.5000000000000001E-2</v>
      </c>
      <c r="O537" s="7" t="s">
        <v>183</v>
      </c>
      <c r="P537" s="27">
        <v>0.2</v>
      </c>
      <c r="Q537" s="90"/>
      <c r="R537" s="90"/>
      <c r="S537" s="7" t="s">
        <v>145</v>
      </c>
      <c r="T537" s="7" t="s">
        <v>1872</v>
      </c>
      <c r="U537" s="7" t="s">
        <v>20</v>
      </c>
      <c r="V537" s="24" t="e">
        <f t="shared" ca="1" si="25"/>
        <v>#NAME?</v>
      </c>
      <c r="W537" s="7"/>
      <c r="X537" s="7"/>
      <c r="Y537" s="29" t="s">
        <v>147</v>
      </c>
      <c r="Z537" s="30"/>
      <c r="AA537" s="31">
        <v>45042</v>
      </c>
      <c r="AB537" s="32">
        <v>49075100008248</v>
      </c>
      <c r="AC537" s="30"/>
      <c r="AD537" s="30"/>
      <c r="AE537" s="30"/>
      <c r="AF537" s="30"/>
      <c r="AG537" s="30"/>
      <c r="AH537" s="30">
        <v>0</v>
      </c>
      <c r="AI537" s="30">
        <v>53520.35</v>
      </c>
      <c r="AJ537" s="30">
        <v>54661.25</v>
      </c>
      <c r="AK537" s="30">
        <v>58707.839999999997</v>
      </c>
      <c r="AL537" s="30">
        <v>60765.599999999999</v>
      </c>
      <c r="AM537" s="30">
        <v>58978.07</v>
      </c>
      <c r="AN537" s="30">
        <v>58569.48</v>
      </c>
      <c r="AO537" s="30">
        <v>55998.07</v>
      </c>
      <c r="AP537" s="30">
        <v>60194.16</v>
      </c>
      <c r="AQ537" s="30">
        <v>63255.040000000001</v>
      </c>
      <c r="AR537" s="30">
        <v>58666.86</v>
      </c>
      <c r="AS537" s="30">
        <v>160547.06</v>
      </c>
      <c r="AT537" s="30">
        <v>163478.71</v>
      </c>
      <c r="AU537" s="30">
        <v>157336.19</v>
      </c>
      <c r="AV537" s="30">
        <v>153007.70000000001</v>
      </c>
      <c r="AW537" s="30">
        <v>153242.6</v>
      </c>
      <c r="AX537" s="30">
        <v>157397</v>
      </c>
      <c r="AY537" s="30">
        <v>160690.94</v>
      </c>
      <c r="AZ537" s="30">
        <v>157437.73000000001</v>
      </c>
      <c r="BA537" s="30" t="e">
        <f t="array" aca="1" ref="BA537" ca="1">_xludf.XLOOKUP(C537,'PL TOTAL D0'!A:A,'PL TOTAL D0'!C:C,"")</f>
        <v>#NAME?</v>
      </c>
    </row>
    <row r="538" spans="1:53" ht="15.75" customHeight="1">
      <c r="A538" s="23" t="s">
        <v>29</v>
      </c>
      <c r="B538" s="3" t="s">
        <v>1870</v>
      </c>
      <c r="C538" s="4" t="s">
        <v>1873</v>
      </c>
      <c r="D538" s="7" t="s">
        <v>19</v>
      </c>
      <c r="E538" s="7" t="s">
        <v>20</v>
      </c>
      <c r="F538" s="7" t="s">
        <v>21</v>
      </c>
      <c r="G538" s="7" t="e">
        <f t="shared" ca="1" si="24"/>
        <v>#NAME?</v>
      </c>
      <c r="H538" s="24" t="s">
        <v>152</v>
      </c>
      <c r="I538" s="24" t="s">
        <v>25</v>
      </c>
      <c r="J538" s="7" t="str">
        <f t="shared" si="26"/>
        <v>Não</v>
      </c>
      <c r="K538" s="25">
        <v>45006</v>
      </c>
      <c r="L538" s="7"/>
      <c r="M538" s="7" t="s">
        <v>42</v>
      </c>
      <c r="N538" s="26">
        <v>1.2E-2</v>
      </c>
      <c r="O538" s="7" t="s">
        <v>25</v>
      </c>
      <c r="P538" s="27">
        <v>0</v>
      </c>
      <c r="Q538" s="90"/>
      <c r="R538" s="90"/>
      <c r="S538" s="7" t="s">
        <v>145</v>
      </c>
      <c r="T538" s="7" t="s">
        <v>1872</v>
      </c>
      <c r="U538" s="7" t="s">
        <v>20</v>
      </c>
      <c r="V538" s="24" t="e">
        <f t="shared" ca="1" si="25"/>
        <v>#NAME?</v>
      </c>
      <c r="W538" s="7"/>
      <c r="X538" s="7"/>
      <c r="Y538" s="29" t="s">
        <v>147</v>
      </c>
      <c r="Z538" s="30"/>
      <c r="AA538" s="31">
        <v>45006</v>
      </c>
      <c r="AB538" s="32">
        <v>49075100008183</v>
      </c>
      <c r="AC538" s="30"/>
      <c r="AD538" s="30"/>
      <c r="AE538" s="30"/>
      <c r="AF538" s="30"/>
      <c r="AG538" s="30"/>
      <c r="AH538" s="30">
        <v>711474.6</v>
      </c>
      <c r="AI538" s="30">
        <v>664128.98</v>
      </c>
      <c r="AJ538" s="30">
        <v>671497.32</v>
      </c>
      <c r="AK538" s="30">
        <v>675072.26</v>
      </c>
      <c r="AL538" s="30">
        <v>680203.78</v>
      </c>
      <c r="AM538" s="30">
        <v>684676.14</v>
      </c>
      <c r="AN538" s="30">
        <v>686452.52</v>
      </c>
      <c r="AO538" s="30">
        <v>690160.78</v>
      </c>
      <c r="AP538" s="30">
        <v>697458.11</v>
      </c>
      <c r="AQ538" s="30">
        <v>704478.61</v>
      </c>
      <c r="AR538" s="30">
        <v>705505.43</v>
      </c>
      <c r="AS538" s="30">
        <v>1111761.26</v>
      </c>
      <c r="AT538" s="30">
        <v>1120231.44</v>
      </c>
      <c r="AU538" s="30">
        <v>1127213.29</v>
      </c>
      <c r="AV538" s="30">
        <v>1134918</v>
      </c>
      <c r="AW538" s="30">
        <v>1140503</v>
      </c>
      <c r="AX538" s="30">
        <v>1148605</v>
      </c>
      <c r="AY538" s="30">
        <v>1163859.73</v>
      </c>
      <c r="AZ538" s="30">
        <v>1168117.31</v>
      </c>
      <c r="BA538" s="30" t="e">
        <f t="array" aca="1" ref="BA538" ca="1">_xludf.XLOOKUP(C538,'PL TOTAL D0'!A:A,'PL TOTAL D0'!C:C,"")</f>
        <v>#NAME?</v>
      </c>
    </row>
    <row r="539" spans="1:53" ht="15.75" customHeight="1">
      <c r="A539" s="23" t="s">
        <v>29</v>
      </c>
      <c r="B539" s="40" t="s">
        <v>1874</v>
      </c>
      <c r="C539" s="159" t="s">
        <v>1875</v>
      </c>
      <c r="D539" s="7" t="s">
        <v>80</v>
      </c>
      <c r="E539" s="7" t="s">
        <v>49</v>
      </c>
      <c r="F539" s="7" t="s">
        <v>81</v>
      </c>
      <c r="G539" s="7" t="e">
        <f t="shared" ca="1" si="24"/>
        <v>#NAME?</v>
      </c>
      <c r="H539" s="24" t="s">
        <v>152</v>
      </c>
      <c r="I539" s="24" t="s">
        <v>25</v>
      </c>
      <c r="J539" s="7" t="str">
        <f t="shared" si="26"/>
        <v>Não</v>
      </c>
      <c r="K539" s="25">
        <v>45490</v>
      </c>
      <c r="L539" s="7"/>
      <c r="M539" s="7" t="s">
        <v>42</v>
      </c>
      <c r="N539" s="26">
        <v>1.2E-2</v>
      </c>
      <c r="O539" s="7" t="s">
        <v>25</v>
      </c>
      <c r="P539" s="27">
        <v>0</v>
      </c>
      <c r="Q539" s="28"/>
      <c r="R539" s="90"/>
      <c r="S539" s="7" t="s">
        <v>145</v>
      </c>
      <c r="T539" s="7" t="s">
        <v>1876</v>
      </c>
      <c r="U539" s="7" t="s">
        <v>49</v>
      </c>
      <c r="V539" s="24" t="e">
        <f t="shared" ca="1" si="25"/>
        <v>#NAME?</v>
      </c>
      <c r="W539" s="7"/>
      <c r="X539" s="7" t="s">
        <v>52</v>
      </c>
      <c r="Y539" s="29" t="s">
        <v>147</v>
      </c>
      <c r="Z539" s="30"/>
      <c r="AA539" s="31">
        <v>45490</v>
      </c>
      <c r="AB539" s="32">
        <v>49075100015430</v>
      </c>
      <c r="AC539" s="30"/>
      <c r="AD539" s="30"/>
      <c r="AE539" s="30"/>
      <c r="AF539" s="30"/>
      <c r="AG539" s="30"/>
      <c r="AH539" s="30"/>
      <c r="AI539" s="30"/>
      <c r="AJ539" s="30"/>
      <c r="AK539" s="30"/>
      <c r="AL539" s="30"/>
      <c r="AM539" s="30"/>
      <c r="AN539" s="30"/>
      <c r="AO539" s="30"/>
      <c r="AP539" s="30"/>
      <c r="AQ539" s="30"/>
      <c r="AR539" s="30"/>
      <c r="AS539" s="30"/>
      <c r="AT539" s="30"/>
      <c r="AU539" s="30"/>
      <c r="AV539" s="30"/>
      <c r="AW539" s="30"/>
      <c r="AX539" s="30">
        <v>251041.2</v>
      </c>
      <c r="AY539" s="30">
        <v>303997.93</v>
      </c>
      <c r="AZ539" s="30">
        <v>306277.55</v>
      </c>
      <c r="BA539" s="30" t="e">
        <f t="array" aca="1" ref="BA539" ca="1">_xludf.XLOOKUP(C539,'PL TOTAL D0'!A:A,'PL TOTAL D0'!C:C,"")</f>
        <v>#NAME?</v>
      </c>
    </row>
    <row r="540" spans="1:53" ht="15.75" customHeight="1">
      <c r="A540" s="23" t="s">
        <v>29</v>
      </c>
      <c r="B540" s="3" t="s">
        <v>1877</v>
      </c>
      <c r="C540" s="4" t="s">
        <v>1878</v>
      </c>
      <c r="D540" s="7" t="s">
        <v>64</v>
      </c>
      <c r="E540" s="7" t="s">
        <v>20</v>
      </c>
      <c r="F540" s="7" t="s">
        <v>142</v>
      </c>
      <c r="G540" s="7" t="e">
        <f t="shared" ca="1" si="24"/>
        <v>#NAME?</v>
      </c>
      <c r="H540" s="24" t="s">
        <v>143</v>
      </c>
      <c r="I540" s="24" t="s">
        <v>25</v>
      </c>
      <c r="J540" s="7" t="str">
        <f t="shared" si="26"/>
        <v>Não</v>
      </c>
      <c r="K540" s="25">
        <v>45104</v>
      </c>
      <c r="L540" s="25">
        <v>45513</v>
      </c>
      <c r="M540" s="7" t="s">
        <v>1536</v>
      </c>
      <c r="N540" s="26">
        <v>1.2E-2</v>
      </c>
      <c r="O540" s="7" t="s">
        <v>37</v>
      </c>
      <c r="P540" s="27">
        <v>0.1</v>
      </c>
      <c r="Q540" s="28"/>
      <c r="R540" s="28" t="s">
        <v>351</v>
      </c>
      <c r="S540" s="7" t="s">
        <v>145</v>
      </c>
      <c r="T540" s="7" t="s">
        <v>1879</v>
      </c>
      <c r="U540" s="7" t="s">
        <v>886</v>
      </c>
      <c r="V540" s="24" t="e">
        <f t="shared" ca="1" si="25"/>
        <v>#NAME?</v>
      </c>
      <c r="W540" s="7"/>
      <c r="X540" s="7"/>
      <c r="Y540" s="29" t="s">
        <v>253</v>
      </c>
      <c r="Z540" s="30"/>
      <c r="AA540" s="31">
        <v>45104</v>
      </c>
      <c r="AB540" s="32">
        <v>49075100008035</v>
      </c>
      <c r="AC540" s="30"/>
      <c r="AD540" s="30"/>
      <c r="AE540" s="30"/>
      <c r="AF540" s="30"/>
      <c r="AG540" s="30"/>
      <c r="AH540" s="30"/>
      <c r="AI540" s="30"/>
      <c r="AJ540" s="30"/>
      <c r="AK540" s="30">
        <v>155770.65</v>
      </c>
      <c r="AL540" s="30">
        <v>286860.28000000003</v>
      </c>
      <c r="AM540" s="30">
        <v>406228.53</v>
      </c>
      <c r="AN540" s="30">
        <v>408929.28000000003</v>
      </c>
      <c r="AO540" s="30">
        <v>410236.8</v>
      </c>
      <c r="AP540" s="30">
        <v>415850.21</v>
      </c>
      <c r="AQ540" s="30">
        <v>420654.55</v>
      </c>
      <c r="AR540" s="30">
        <v>421571.79</v>
      </c>
      <c r="AS540" s="30">
        <v>424971.39</v>
      </c>
      <c r="AT540" s="30">
        <v>428542.58</v>
      </c>
      <c r="AU540" s="30">
        <v>428300.89</v>
      </c>
      <c r="AV540" s="30">
        <v>472427.2</v>
      </c>
      <c r="AW540" s="30">
        <v>483335</v>
      </c>
      <c r="AX540" s="30">
        <v>0</v>
      </c>
      <c r="AY540" s="30">
        <v>0</v>
      </c>
      <c r="AZ540" s="30">
        <v>0</v>
      </c>
      <c r="BA540" s="30" t="e">
        <f t="array" aca="1" ref="BA540" ca="1">_xludf.XLOOKUP(C540,'PL TOTAL D0'!A:A,'PL TOTAL D0'!C:C,"")</f>
        <v>#NAME?</v>
      </c>
    </row>
    <row r="541" spans="1:53" ht="15.75" customHeight="1">
      <c r="A541" s="23" t="s">
        <v>29</v>
      </c>
      <c r="B541" s="3" t="s">
        <v>1880</v>
      </c>
      <c r="C541" s="4" t="s">
        <v>1881</v>
      </c>
      <c r="D541" s="7" t="s">
        <v>19</v>
      </c>
      <c r="E541" s="7" t="s">
        <v>34</v>
      </c>
      <c r="F541" s="7" t="s">
        <v>262</v>
      </c>
      <c r="G541" s="7" t="e">
        <f t="shared" ca="1" si="24"/>
        <v>#NAME?</v>
      </c>
      <c r="H541" s="24" t="s">
        <v>161</v>
      </c>
      <c r="I541" s="24" t="s">
        <v>162</v>
      </c>
      <c r="J541" s="7" t="str">
        <f t="shared" si="26"/>
        <v>Não</v>
      </c>
      <c r="K541" s="25">
        <v>45163</v>
      </c>
      <c r="L541" s="25"/>
      <c r="M541" s="7" t="s">
        <v>200</v>
      </c>
      <c r="N541" s="26">
        <v>1.4999999999999999E-2</v>
      </c>
      <c r="O541" s="7" t="s">
        <v>37</v>
      </c>
      <c r="P541" s="27">
        <v>0.1</v>
      </c>
      <c r="Q541" s="90"/>
      <c r="R541" s="28" t="s">
        <v>1882</v>
      </c>
      <c r="S541" s="7" t="s">
        <v>145</v>
      </c>
      <c r="T541" s="7" t="s">
        <v>1883</v>
      </c>
      <c r="U541" s="7" t="s">
        <v>39</v>
      </c>
      <c r="V541" s="24" t="e">
        <f t="shared" ca="1" si="25"/>
        <v>#NAME?</v>
      </c>
      <c r="W541" s="7"/>
      <c r="X541" s="7"/>
      <c r="Y541" s="29" t="s">
        <v>147</v>
      </c>
      <c r="Z541" s="30"/>
      <c r="AA541" s="31">
        <v>45163</v>
      </c>
      <c r="AB541" s="32">
        <v>49075100011672</v>
      </c>
      <c r="AC541" s="30"/>
      <c r="AD541" s="30"/>
      <c r="AE541" s="30"/>
      <c r="AF541" s="30"/>
      <c r="AG541" s="30"/>
      <c r="AH541" s="30"/>
      <c r="AI541" s="30">
        <v>0</v>
      </c>
      <c r="AJ541" s="30">
        <v>0</v>
      </c>
      <c r="AK541" s="30">
        <v>0</v>
      </c>
      <c r="AL541" s="30">
        <v>0</v>
      </c>
      <c r="AM541" s="30">
        <v>0</v>
      </c>
      <c r="AN541" s="30">
        <v>0</v>
      </c>
      <c r="AO541" s="30">
        <v>0</v>
      </c>
      <c r="AP541" s="30">
        <v>0</v>
      </c>
      <c r="AQ541" s="30">
        <v>0</v>
      </c>
      <c r="AR541" s="30">
        <v>0</v>
      </c>
      <c r="AS541" s="30">
        <v>0</v>
      </c>
      <c r="AT541" s="30">
        <v>0</v>
      </c>
      <c r="AU541" s="30">
        <v>0</v>
      </c>
      <c r="AV541" s="30">
        <v>0</v>
      </c>
      <c r="AW541" s="30">
        <v>0</v>
      </c>
      <c r="AX541" s="30">
        <v>0</v>
      </c>
      <c r="AY541" s="30">
        <v>0</v>
      </c>
      <c r="AZ541" s="30">
        <v>0</v>
      </c>
      <c r="BA541" s="30" t="e">
        <f t="array" aca="1" ref="BA541" ca="1">_xludf.XLOOKUP(C541,'PL TOTAL D0'!A:A,'PL TOTAL D0'!C:C,"")</f>
        <v>#NAME?</v>
      </c>
    </row>
    <row r="542" spans="1:53" ht="15.75" customHeight="1">
      <c r="A542" s="23" t="s">
        <v>29</v>
      </c>
      <c r="B542" s="3" t="s">
        <v>1884</v>
      </c>
      <c r="C542" s="4" t="s">
        <v>1885</v>
      </c>
      <c r="D542" s="7" t="s">
        <v>19</v>
      </c>
      <c r="E542" s="7" t="s">
        <v>49</v>
      </c>
      <c r="F542" s="7" t="s">
        <v>277</v>
      </c>
      <c r="G542" s="7" t="e">
        <f t="shared" ca="1" si="24"/>
        <v>#NAME?</v>
      </c>
      <c r="H542" s="24" t="s">
        <v>152</v>
      </c>
      <c r="I542" s="24" t="s">
        <v>25</v>
      </c>
      <c r="J542" s="7" t="str">
        <f t="shared" si="26"/>
        <v>Não</v>
      </c>
      <c r="K542" s="25">
        <v>45580</v>
      </c>
      <c r="L542" s="25"/>
      <c r="M542" s="7" t="s">
        <v>42</v>
      </c>
      <c r="N542" s="26">
        <v>1.2E-2</v>
      </c>
      <c r="O542" s="7" t="s">
        <v>25</v>
      </c>
      <c r="P542" s="27">
        <v>0</v>
      </c>
      <c r="Q542" s="90"/>
      <c r="R542" s="28"/>
      <c r="S542" s="7" t="s">
        <v>145</v>
      </c>
      <c r="T542" s="7" t="s">
        <v>1886</v>
      </c>
      <c r="U542" s="7" t="s">
        <v>49</v>
      </c>
      <c r="V542" s="24" t="e">
        <f t="shared" ca="1" si="25"/>
        <v>#NAME?</v>
      </c>
      <c r="W542" s="7"/>
      <c r="X542" s="7" t="s">
        <v>52</v>
      </c>
      <c r="Y542" s="29"/>
      <c r="Z542" s="30"/>
      <c r="AA542" s="31"/>
      <c r="AB542" s="32"/>
      <c r="AC542" s="30"/>
      <c r="AD542" s="30"/>
      <c r="AE542" s="30"/>
      <c r="AF542" s="30"/>
      <c r="AG542" s="30"/>
      <c r="AH542" s="30"/>
      <c r="AI542" s="30"/>
      <c r="AJ542" s="30"/>
      <c r="AK542" s="30"/>
      <c r="AL542" s="30"/>
      <c r="AM542" s="30"/>
      <c r="AN542" s="30"/>
      <c r="AO542" s="30"/>
      <c r="AP542" s="30"/>
      <c r="AQ542" s="30"/>
      <c r="AR542" s="30"/>
      <c r="AS542" s="30"/>
      <c r="AT542" s="30"/>
      <c r="AU542" s="30"/>
      <c r="AV542" s="30"/>
      <c r="AW542" s="30"/>
      <c r="AX542" s="30"/>
      <c r="AY542" s="30"/>
      <c r="AZ542" s="30"/>
      <c r="BA542" s="30" t="e">
        <f t="array" aca="1" ref="BA542" ca="1">_xludf.XLOOKUP(C542,'PL TOTAL D0'!A:A,'PL TOTAL D0'!C:C,"")</f>
        <v>#NAME?</v>
      </c>
    </row>
    <row r="543" spans="1:53" ht="15.75" customHeight="1">
      <c r="A543" s="23" t="s">
        <v>29</v>
      </c>
      <c r="B543" s="37" t="s">
        <v>1887</v>
      </c>
      <c r="C543" s="4" t="s">
        <v>1888</v>
      </c>
      <c r="D543" s="7" t="s">
        <v>19</v>
      </c>
      <c r="E543" s="7" t="s">
        <v>49</v>
      </c>
      <c r="F543" s="7" t="s">
        <v>328</v>
      </c>
      <c r="G543" s="7" t="e">
        <f t="shared" ca="1" si="24"/>
        <v>#NAME?</v>
      </c>
      <c r="H543" s="24" t="s">
        <v>161</v>
      </c>
      <c r="I543" s="24" t="s">
        <v>162</v>
      </c>
      <c r="J543" s="7" t="str">
        <f t="shared" si="26"/>
        <v>Não</v>
      </c>
      <c r="K543" s="25">
        <v>45163</v>
      </c>
      <c r="L543" s="25"/>
      <c r="M543" s="7" t="s">
        <v>345</v>
      </c>
      <c r="N543" s="26">
        <v>0.02</v>
      </c>
      <c r="O543" s="7" t="s">
        <v>37</v>
      </c>
      <c r="P543" s="27">
        <v>0.2</v>
      </c>
      <c r="Q543" s="90"/>
      <c r="R543" s="90"/>
      <c r="S543" s="7" t="s">
        <v>145</v>
      </c>
      <c r="T543" s="7" t="s">
        <v>1889</v>
      </c>
      <c r="U543" s="7" t="s">
        <v>46</v>
      </c>
      <c r="V543" s="24" t="e">
        <f t="shared" ca="1" si="25"/>
        <v>#NAME?</v>
      </c>
      <c r="W543" s="7"/>
      <c r="X543" s="7"/>
      <c r="Y543" s="29" t="s">
        <v>147</v>
      </c>
      <c r="Z543" s="30"/>
      <c r="AA543" s="31">
        <v>45163</v>
      </c>
      <c r="AB543" s="32">
        <v>49075100011680</v>
      </c>
      <c r="AC543" s="30"/>
      <c r="AD543" s="30"/>
      <c r="AE543" s="30"/>
      <c r="AF543" s="30"/>
      <c r="AG543" s="30"/>
      <c r="AH543" s="30">
        <v>0</v>
      </c>
      <c r="AI543" s="30">
        <v>0</v>
      </c>
      <c r="AJ543" s="30">
        <v>0</v>
      </c>
      <c r="AK543" s="30">
        <v>0</v>
      </c>
      <c r="AL543" s="30">
        <v>0</v>
      </c>
      <c r="AM543" s="30">
        <v>0</v>
      </c>
      <c r="AN543" s="30">
        <v>0</v>
      </c>
      <c r="AO543" s="30">
        <v>0</v>
      </c>
      <c r="AP543" s="30">
        <v>0</v>
      </c>
      <c r="AQ543" s="30">
        <v>0</v>
      </c>
      <c r="AR543" s="30">
        <v>0</v>
      </c>
      <c r="AS543" s="30">
        <v>0</v>
      </c>
      <c r="AT543" s="30">
        <v>0</v>
      </c>
      <c r="AU543" s="30">
        <v>0</v>
      </c>
      <c r="AV543" s="30">
        <v>0</v>
      </c>
      <c r="AW543" s="30">
        <v>0</v>
      </c>
      <c r="AX543" s="30">
        <v>0</v>
      </c>
      <c r="AY543" s="30">
        <v>0</v>
      </c>
      <c r="AZ543" s="30">
        <v>0</v>
      </c>
      <c r="BA543" s="30" t="e">
        <f t="array" aca="1" ref="BA543" ca="1">_xludf.XLOOKUP(C543,'PL TOTAL D0'!A:A,'PL TOTAL D0'!C:C,"")</f>
        <v>#NAME?</v>
      </c>
    </row>
    <row r="544" spans="1:53" ht="15.75" customHeight="1">
      <c r="A544" s="23" t="s">
        <v>29</v>
      </c>
      <c r="B544" s="3" t="s">
        <v>1890</v>
      </c>
      <c r="C544" s="4" t="s">
        <v>1891</v>
      </c>
      <c r="D544" s="7" t="s">
        <v>64</v>
      </c>
      <c r="E544" s="7" t="s">
        <v>20</v>
      </c>
      <c r="F544" s="7" t="s">
        <v>142</v>
      </c>
      <c r="G544" s="7" t="e">
        <f t="shared" ca="1" si="24"/>
        <v>#NAME?</v>
      </c>
      <c r="H544" s="24" t="s">
        <v>143</v>
      </c>
      <c r="I544" s="24" t="s">
        <v>25</v>
      </c>
      <c r="J544" s="7" t="str">
        <f t="shared" si="26"/>
        <v>Não</v>
      </c>
      <c r="K544" s="25">
        <v>45142</v>
      </c>
      <c r="L544" s="25">
        <v>45525</v>
      </c>
      <c r="M544" s="7" t="s">
        <v>58</v>
      </c>
      <c r="N544" s="26">
        <v>1.2E-2</v>
      </c>
      <c r="O544" s="7" t="s">
        <v>37</v>
      </c>
      <c r="P544" s="27">
        <v>0.1</v>
      </c>
      <c r="Q544" s="90"/>
      <c r="R544" s="90"/>
      <c r="S544" s="7" t="s">
        <v>145</v>
      </c>
      <c r="T544" s="7" t="s">
        <v>1892</v>
      </c>
      <c r="U544" s="7" t="s">
        <v>20</v>
      </c>
      <c r="V544" s="24" t="e">
        <f t="shared" ca="1" si="25"/>
        <v>#NAME?</v>
      </c>
      <c r="W544" s="7"/>
      <c r="X544" s="7"/>
      <c r="Y544" s="29" t="s">
        <v>253</v>
      </c>
      <c r="Z544" s="30"/>
      <c r="AA544" s="31">
        <v>45142</v>
      </c>
      <c r="AB544" s="32">
        <v>49075100003025</v>
      </c>
      <c r="AC544" s="30"/>
      <c r="AD544" s="30"/>
      <c r="AE544" s="30"/>
      <c r="AF544" s="30"/>
      <c r="AG544" s="30"/>
      <c r="AH544" s="30"/>
      <c r="AI544" s="30"/>
      <c r="AJ544" s="30"/>
      <c r="AK544" s="30"/>
      <c r="AL544" s="30"/>
      <c r="AM544" s="30">
        <v>113710.95</v>
      </c>
      <c r="AN544" s="30">
        <v>140590.94</v>
      </c>
      <c r="AO544" s="30">
        <v>140857.09</v>
      </c>
      <c r="AP544" s="30">
        <v>143109.31</v>
      </c>
      <c r="AQ544" s="30">
        <v>145201.68</v>
      </c>
      <c r="AR544" s="30">
        <v>103439.6</v>
      </c>
      <c r="AS544" s="30">
        <v>104207.06</v>
      </c>
      <c r="AT544" s="30">
        <v>104868.18</v>
      </c>
      <c r="AU544" s="30">
        <v>104717.38</v>
      </c>
      <c r="AV544" s="30">
        <v>53741.27</v>
      </c>
      <c r="AW544" s="30">
        <v>54026.77</v>
      </c>
      <c r="AX544" s="30">
        <v>54726.43</v>
      </c>
      <c r="AY544" s="30">
        <v>0</v>
      </c>
      <c r="AZ544" s="30">
        <v>0</v>
      </c>
      <c r="BA544" s="30" t="e">
        <f t="array" aca="1" ref="BA544" ca="1">_xludf.XLOOKUP(C544,'PL TOTAL D0'!A:A,'PL TOTAL D0'!C:C,"")</f>
        <v>#NAME?</v>
      </c>
    </row>
    <row r="545" spans="1:53" ht="15.75" customHeight="1">
      <c r="A545" s="23" t="s">
        <v>29</v>
      </c>
      <c r="B545" s="3" t="s">
        <v>1893</v>
      </c>
      <c r="C545" s="4" t="s">
        <v>1894</v>
      </c>
      <c r="D545" s="7" t="s">
        <v>19</v>
      </c>
      <c r="E545" s="7" t="s">
        <v>49</v>
      </c>
      <c r="F545" s="7" t="s">
        <v>328</v>
      </c>
      <c r="G545" s="7" t="e">
        <f t="shared" ca="1" si="24"/>
        <v>#NAME?</v>
      </c>
      <c r="H545" s="24" t="s">
        <v>152</v>
      </c>
      <c r="I545" s="24" t="s">
        <v>25</v>
      </c>
      <c r="J545" s="7" t="str">
        <f t="shared" si="26"/>
        <v>Sim</v>
      </c>
      <c r="K545" s="25">
        <v>45061</v>
      </c>
      <c r="L545" s="7"/>
      <c r="M545" s="7" t="s">
        <v>42</v>
      </c>
      <c r="N545" s="26">
        <v>1.2E-2</v>
      </c>
      <c r="O545" s="7" t="s">
        <v>25</v>
      </c>
      <c r="P545" s="27">
        <v>0</v>
      </c>
      <c r="Q545" s="36" t="s">
        <v>1895</v>
      </c>
      <c r="R545" s="45"/>
      <c r="S545" s="7" t="s">
        <v>145</v>
      </c>
      <c r="T545" s="7" t="s">
        <v>1896</v>
      </c>
      <c r="U545" s="7" t="s">
        <v>49</v>
      </c>
      <c r="V545" s="24" t="e">
        <f t="shared" ca="1" si="25"/>
        <v>#NAME?</v>
      </c>
      <c r="W545" s="7"/>
      <c r="X545" s="7"/>
      <c r="Y545" s="29" t="s">
        <v>147</v>
      </c>
      <c r="Z545" s="30"/>
      <c r="AA545" s="31">
        <v>45061</v>
      </c>
      <c r="AB545" s="32">
        <v>49075100008957</v>
      </c>
      <c r="AC545" s="30"/>
      <c r="AD545" s="30"/>
      <c r="AE545" s="30"/>
      <c r="AF545" s="30"/>
      <c r="AG545" s="30"/>
      <c r="AH545" s="30"/>
      <c r="AI545" s="30">
        <v>0</v>
      </c>
      <c r="AJ545" s="30">
        <v>100563.06</v>
      </c>
      <c r="AK545" s="30">
        <v>101482.84</v>
      </c>
      <c r="AL545" s="30">
        <v>98285.69</v>
      </c>
      <c r="AM545" s="30">
        <v>99818.75</v>
      </c>
      <c r="AN545" s="30">
        <v>101218.18</v>
      </c>
      <c r="AO545" s="30">
        <v>102112.14</v>
      </c>
      <c r="AP545" s="30">
        <v>107887.84</v>
      </c>
      <c r="AQ545" s="30">
        <v>112538.41</v>
      </c>
      <c r="AR545" s="30">
        <v>115488.71</v>
      </c>
      <c r="AS545" s="30">
        <v>117061.56</v>
      </c>
      <c r="AT545" s="30">
        <v>124791.66</v>
      </c>
      <c r="AU545" s="30">
        <v>129535.66</v>
      </c>
      <c r="AV545" s="30">
        <v>130442</v>
      </c>
      <c r="AW545" s="30">
        <v>131948.4</v>
      </c>
      <c r="AX545" s="30">
        <v>137185</v>
      </c>
      <c r="AY545" s="30">
        <v>145993.47</v>
      </c>
      <c r="AZ545" s="30">
        <v>150133.13</v>
      </c>
      <c r="BA545" s="30" t="e">
        <f t="array" aca="1" ref="BA545" ca="1">_xludf.XLOOKUP(C545,'PL TOTAL D0'!A:A,'PL TOTAL D0'!C:C,"")</f>
        <v>#NAME?</v>
      </c>
    </row>
    <row r="546" spans="1:53" ht="15.75" customHeight="1">
      <c r="A546" s="23" t="s">
        <v>29</v>
      </c>
      <c r="B546" s="3" t="s">
        <v>1897</v>
      </c>
      <c r="C546" s="4" t="s">
        <v>1898</v>
      </c>
      <c r="D546" s="7" t="s">
        <v>19</v>
      </c>
      <c r="E546" s="7" t="s">
        <v>20</v>
      </c>
      <c r="F546" s="7" t="s">
        <v>21</v>
      </c>
      <c r="G546" s="7" t="e">
        <f t="shared" ca="1" si="24"/>
        <v>#NAME?</v>
      </c>
      <c r="H546" s="24" t="s">
        <v>152</v>
      </c>
      <c r="I546" s="24" t="s">
        <v>25</v>
      </c>
      <c r="J546" s="7" t="str">
        <f t="shared" si="26"/>
        <v>Sim</v>
      </c>
      <c r="K546" s="25">
        <v>45163</v>
      </c>
      <c r="L546" s="25"/>
      <c r="M546" s="7" t="s">
        <v>42</v>
      </c>
      <c r="N546" s="26">
        <v>1.2E-2</v>
      </c>
      <c r="O546" s="7" t="s">
        <v>25</v>
      </c>
      <c r="P546" s="27">
        <v>0</v>
      </c>
      <c r="Q546" s="71" t="s">
        <v>1899</v>
      </c>
      <c r="R546" s="90"/>
      <c r="S546" s="7" t="s">
        <v>145</v>
      </c>
      <c r="T546" s="4" t="s">
        <v>1900</v>
      </c>
      <c r="U546" s="7" t="s">
        <v>20</v>
      </c>
      <c r="V546" s="24" t="e">
        <f t="shared" ca="1" si="25"/>
        <v>#NAME?</v>
      </c>
      <c r="W546" s="7"/>
      <c r="X546" s="7"/>
      <c r="Y546" s="29" t="s">
        <v>147</v>
      </c>
      <c r="Z546" s="30"/>
      <c r="AA546" s="31">
        <v>45163</v>
      </c>
      <c r="AB546" s="32">
        <v>49075100007527</v>
      </c>
      <c r="AC546" s="30"/>
      <c r="AD546" s="30"/>
      <c r="AE546" s="30"/>
      <c r="AF546" s="30"/>
      <c r="AG546" s="30"/>
      <c r="AH546" s="30"/>
      <c r="AI546" s="30">
        <v>0</v>
      </c>
      <c r="AJ546" s="30">
        <v>0</v>
      </c>
      <c r="AK546" s="30">
        <v>0</v>
      </c>
      <c r="AL546" s="30">
        <v>0</v>
      </c>
      <c r="AM546" s="30">
        <v>0</v>
      </c>
      <c r="AN546" s="30">
        <v>69433.98</v>
      </c>
      <c r="AO546" s="30">
        <v>119309.69</v>
      </c>
      <c r="AP546" s="30">
        <v>120232.86</v>
      </c>
      <c r="AQ546" s="30">
        <v>121160.89</v>
      </c>
      <c r="AR546" s="30">
        <v>111265.43</v>
      </c>
      <c r="AS546" s="30">
        <v>101675.26</v>
      </c>
      <c r="AT546" s="30">
        <v>94987.15</v>
      </c>
      <c r="AU546" s="30">
        <v>88119.86</v>
      </c>
      <c r="AV546" s="30">
        <v>81028.38</v>
      </c>
      <c r="AW546" s="30">
        <v>73568.12</v>
      </c>
      <c r="AX546" s="30">
        <v>66079.520000000004</v>
      </c>
      <c r="AY546" s="30">
        <v>58458.09</v>
      </c>
      <c r="AZ546" s="30">
        <v>49122.720000000001</v>
      </c>
      <c r="BA546" s="30" t="e">
        <f t="array" aca="1" ref="BA546" ca="1">_xludf.XLOOKUP(C546,'PL TOTAL D0'!A:A,'PL TOTAL D0'!C:C,"")</f>
        <v>#NAME?</v>
      </c>
    </row>
    <row r="547" spans="1:53" ht="15.75" customHeight="1">
      <c r="A547" s="23" t="s">
        <v>29</v>
      </c>
      <c r="B547" s="3" t="s">
        <v>1901</v>
      </c>
      <c r="C547" s="4" t="s">
        <v>1902</v>
      </c>
      <c r="D547" s="7" t="s">
        <v>19</v>
      </c>
      <c r="E547" s="7" t="s">
        <v>49</v>
      </c>
      <c r="F547" s="7" t="s">
        <v>50</v>
      </c>
      <c r="G547" s="7" t="e">
        <f t="shared" ca="1" si="24"/>
        <v>#NAME?</v>
      </c>
      <c r="H547" s="24" t="s">
        <v>161</v>
      </c>
      <c r="I547" s="24" t="s">
        <v>162</v>
      </c>
      <c r="J547" s="7" t="str">
        <f t="shared" si="26"/>
        <v>Não</v>
      </c>
      <c r="K547" s="25">
        <v>45163</v>
      </c>
      <c r="L547" s="25"/>
      <c r="M547" s="7" t="s">
        <v>42</v>
      </c>
      <c r="N547" s="26">
        <v>0.01</v>
      </c>
      <c r="O547" s="7" t="s">
        <v>25</v>
      </c>
      <c r="P547" s="27">
        <v>0</v>
      </c>
      <c r="Q547" s="90"/>
      <c r="R547" s="90"/>
      <c r="S547" s="7" t="s">
        <v>145</v>
      </c>
      <c r="T547" s="7" t="s">
        <v>1903</v>
      </c>
      <c r="U547" s="7" t="s">
        <v>49</v>
      </c>
      <c r="V547" s="24" t="e">
        <f t="shared" ca="1" si="25"/>
        <v>#NAME?</v>
      </c>
      <c r="W547" s="7"/>
      <c r="X547" s="7"/>
      <c r="Y547" s="29" t="s">
        <v>147</v>
      </c>
      <c r="Z547" s="30"/>
      <c r="AA547" s="31">
        <v>45163</v>
      </c>
      <c r="AB547" s="32">
        <v>49075100011699</v>
      </c>
      <c r="AC547" s="30"/>
      <c r="AD547" s="30"/>
      <c r="AE547" s="30"/>
      <c r="AF547" s="30"/>
      <c r="AG547" s="30">
        <v>0</v>
      </c>
      <c r="AH547" s="30">
        <v>0</v>
      </c>
      <c r="AI547" s="30">
        <v>0</v>
      </c>
      <c r="AJ547" s="30">
        <v>0</v>
      </c>
      <c r="AK547" s="30">
        <v>0</v>
      </c>
      <c r="AL547" s="30">
        <v>0</v>
      </c>
      <c r="AM547" s="30">
        <v>0</v>
      </c>
      <c r="AN547" s="30">
        <v>0</v>
      </c>
      <c r="AO547" s="30">
        <v>0</v>
      </c>
      <c r="AP547" s="30">
        <v>0</v>
      </c>
      <c r="AQ547" s="30">
        <v>0</v>
      </c>
      <c r="AR547" s="30">
        <v>0</v>
      </c>
      <c r="AS547" s="30">
        <v>0</v>
      </c>
      <c r="AT547" s="30">
        <v>0</v>
      </c>
      <c r="AU547" s="30">
        <v>0</v>
      </c>
      <c r="AV547" s="30">
        <v>0</v>
      </c>
      <c r="AW547" s="30">
        <v>0</v>
      </c>
      <c r="AX547" s="30">
        <v>0</v>
      </c>
      <c r="AY547" s="30">
        <v>0</v>
      </c>
      <c r="AZ547" s="30">
        <v>0</v>
      </c>
      <c r="BA547" s="30" t="e">
        <f t="array" aca="1" ref="BA547" ca="1">_xludf.XLOOKUP(C547,'PL TOTAL D0'!A:A,'PL TOTAL D0'!C:C,"")</f>
        <v>#NAME?</v>
      </c>
    </row>
    <row r="548" spans="1:53" ht="15.75" customHeight="1">
      <c r="A548" s="23" t="s">
        <v>29</v>
      </c>
      <c r="B548" s="3" t="s">
        <v>1904</v>
      </c>
      <c r="C548" s="4" t="s">
        <v>1905</v>
      </c>
      <c r="D548" s="7" t="s">
        <v>19</v>
      </c>
      <c r="E548" s="7" t="s">
        <v>20</v>
      </c>
      <c r="F548" s="7" t="s">
        <v>199</v>
      </c>
      <c r="G548" s="7" t="e">
        <f t="shared" ca="1" si="24"/>
        <v>#NAME?</v>
      </c>
      <c r="H548" s="24" t="s">
        <v>152</v>
      </c>
      <c r="I548" s="24" t="s">
        <v>25</v>
      </c>
      <c r="J548" s="7" t="str">
        <f t="shared" si="26"/>
        <v>Não</v>
      </c>
      <c r="K548" s="25">
        <v>45048</v>
      </c>
      <c r="L548" s="7"/>
      <c r="M548" s="7" t="s">
        <v>42</v>
      </c>
      <c r="N548" s="26">
        <v>1.2E-2</v>
      </c>
      <c r="O548" s="7" t="s">
        <v>25</v>
      </c>
      <c r="P548" s="27">
        <v>0</v>
      </c>
      <c r="Q548" s="90"/>
      <c r="R548" s="90"/>
      <c r="S548" s="7" t="s">
        <v>145</v>
      </c>
      <c r="T548" s="7" t="s">
        <v>1906</v>
      </c>
      <c r="U548" s="7" t="s">
        <v>20</v>
      </c>
      <c r="V548" s="24" t="e">
        <f t="shared" ca="1" si="25"/>
        <v>#NAME?</v>
      </c>
      <c r="W548" s="7"/>
      <c r="X548" s="7"/>
      <c r="Y548" s="29" t="s">
        <v>147</v>
      </c>
      <c r="Z548" s="30"/>
      <c r="AA548" s="31">
        <v>45048</v>
      </c>
      <c r="AB548" s="32">
        <v>49075100007055</v>
      </c>
      <c r="AC548" s="30"/>
      <c r="AD548" s="30"/>
      <c r="AE548" s="30"/>
      <c r="AF548" s="30"/>
      <c r="AG548" s="30"/>
      <c r="AH548" s="30">
        <v>0</v>
      </c>
      <c r="AI548" s="30">
        <v>0</v>
      </c>
      <c r="AJ548" s="30">
        <v>230828.89</v>
      </c>
      <c r="AK548" s="30">
        <v>233457.5</v>
      </c>
      <c r="AL548" s="30">
        <v>235284.62</v>
      </c>
      <c r="AM548" s="30">
        <v>236929.21</v>
      </c>
      <c r="AN548" s="30">
        <v>236309.68</v>
      </c>
      <c r="AO548" s="30">
        <v>237754.02</v>
      </c>
      <c r="AP548" s="30">
        <v>240176.41</v>
      </c>
      <c r="AQ548" s="30">
        <v>242739.59</v>
      </c>
      <c r="AR548" s="30">
        <v>241480.57</v>
      </c>
      <c r="AS548" s="30">
        <v>243002.64</v>
      </c>
      <c r="AT548" s="30">
        <v>244225.82</v>
      </c>
      <c r="AU548" s="30">
        <v>244913.65</v>
      </c>
      <c r="AV548" s="30">
        <v>246827.4</v>
      </c>
      <c r="AW548" s="30">
        <v>247926.1</v>
      </c>
      <c r="AX548" s="30">
        <v>249319.6</v>
      </c>
      <c r="AY548" s="30">
        <v>254933.36</v>
      </c>
      <c r="AZ548" s="30">
        <v>256274.47</v>
      </c>
      <c r="BA548" s="30" t="e">
        <f t="array" aca="1" ref="BA548" ca="1">_xludf.XLOOKUP(C548,'PL TOTAL D0'!A:A,'PL TOTAL D0'!C:C,"")</f>
        <v>#NAME?</v>
      </c>
    </row>
    <row r="549" spans="1:53" ht="15.75" customHeight="1">
      <c r="A549" s="23" t="s">
        <v>29</v>
      </c>
      <c r="B549" s="3" t="s">
        <v>1907</v>
      </c>
      <c r="C549" s="4" t="s">
        <v>1908</v>
      </c>
      <c r="D549" s="7" t="s">
        <v>64</v>
      </c>
      <c r="E549" s="7" t="s">
        <v>20</v>
      </c>
      <c r="F549" s="7" t="s">
        <v>1909</v>
      </c>
      <c r="G549" s="7" t="e">
        <f t="shared" ca="1" si="24"/>
        <v>#NAME?</v>
      </c>
      <c r="H549" s="24" t="s">
        <v>143</v>
      </c>
      <c r="I549" s="24" t="s">
        <v>25</v>
      </c>
      <c r="J549" s="7" t="s">
        <v>1142</v>
      </c>
      <c r="K549" s="25">
        <v>45337</v>
      </c>
      <c r="L549" s="25">
        <v>45532</v>
      </c>
      <c r="M549" s="7" t="s">
        <v>284</v>
      </c>
      <c r="N549" s="26">
        <v>1.4E-2</v>
      </c>
      <c r="O549" s="7" t="s">
        <v>37</v>
      </c>
      <c r="P549" s="27">
        <v>0.1</v>
      </c>
      <c r="Q549" s="90"/>
      <c r="R549" s="90"/>
      <c r="S549" s="7" t="s">
        <v>145</v>
      </c>
      <c r="T549" s="7" t="s">
        <v>1910</v>
      </c>
      <c r="U549" s="7" t="s">
        <v>20</v>
      </c>
      <c r="V549" s="24" t="e">
        <f t="shared" ca="1" si="25"/>
        <v>#NAME?</v>
      </c>
      <c r="W549" s="7"/>
      <c r="X549" s="7"/>
      <c r="Y549" s="29"/>
      <c r="Z549" s="30"/>
      <c r="AA549" s="31">
        <v>45337</v>
      </c>
      <c r="AB549" s="32">
        <v>49075100013391</v>
      </c>
      <c r="AC549" s="30"/>
      <c r="AD549" s="30"/>
      <c r="AE549" s="30"/>
      <c r="AF549" s="30"/>
      <c r="AG549" s="30"/>
      <c r="AH549" s="30"/>
      <c r="AI549" s="30"/>
      <c r="AJ549" s="30"/>
      <c r="AK549" s="30"/>
      <c r="AL549" s="30"/>
      <c r="AM549" s="30"/>
      <c r="AN549" s="30"/>
      <c r="AO549" s="30"/>
      <c r="AP549" s="30"/>
      <c r="AQ549" s="30"/>
      <c r="AR549" s="30"/>
      <c r="AS549" s="30">
        <v>396577.13</v>
      </c>
      <c r="AT549" s="30">
        <v>501159.88</v>
      </c>
      <c r="AU549" s="30">
        <v>679243.23</v>
      </c>
      <c r="AV549" s="30">
        <v>799332.7</v>
      </c>
      <c r="AW549" s="30">
        <v>803953.7</v>
      </c>
      <c r="AX549" s="30">
        <v>1118595</v>
      </c>
      <c r="AY549" s="30">
        <v>0</v>
      </c>
      <c r="AZ549" s="30">
        <v>0</v>
      </c>
      <c r="BA549" s="30" t="e">
        <f t="array" aca="1" ref="BA549" ca="1">_xludf.XLOOKUP(C549,'PL TOTAL D0'!A:A,'PL TOTAL D0'!C:C,"")</f>
        <v>#NAME?</v>
      </c>
    </row>
    <row r="550" spans="1:53" ht="15.75" customHeight="1">
      <c r="A550" s="23" t="s">
        <v>29</v>
      </c>
      <c r="B550" s="3" t="s">
        <v>1911</v>
      </c>
      <c r="C550" s="4" t="s">
        <v>1912</v>
      </c>
      <c r="D550" s="7" t="s">
        <v>19</v>
      </c>
      <c r="E550" s="7" t="s">
        <v>49</v>
      </c>
      <c r="F550" s="7" t="s">
        <v>277</v>
      </c>
      <c r="G550" s="7" t="e">
        <f t="shared" ca="1" si="24"/>
        <v>#NAME?</v>
      </c>
      <c r="H550" s="24" t="s">
        <v>161</v>
      </c>
      <c r="I550" s="24" t="s">
        <v>162</v>
      </c>
      <c r="J550" s="7" t="str">
        <f t="shared" ref="J550:J581" si="27">IF(Q550=0,"Não","Sim")</f>
        <v>Não</v>
      </c>
      <c r="K550" s="25">
        <v>45029</v>
      </c>
      <c r="L550" s="7"/>
      <c r="M550" s="7" t="s">
        <v>87</v>
      </c>
      <c r="N550" s="26">
        <v>2.5000000000000001E-2</v>
      </c>
      <c r="O550" s="7" t="s">
        <v>183</v>
      </c>
      <c r="P550" s="27">
        <v>0.2</v>
      </c>
      <c r="Q550" s="90"/>
      <c r="R550" s="28" t="s">
        <v>1913</v>
      </c>
      <c r="S550" s="7" t="s">
        <v>145</v>
      </c>
      <c r="T550" s="7" t="s">
        <v>1914</v>
      </c>
      <c r="U550" s="7" t="s">
        <v>49</v>
      </c>
      <c r="V550" s="24" t="e">
        <f t="shared" ca="1" si="25"/>
        <v>#NAME?</v>
      </c>
      <c r="W550" s="7"/>
      <c r="X550" s="7"/>
      <c r="Y550" s="29" t="s">
        <v>253</v>
      </c>
      <c r="Z550" s="30"/>
      <c r="AA550" s="31">
        <v>45029</v>
      </c>
      <c r="AB550" s="32">
        <v>49075100009198</v>
      </c>
      <c r="AC550" s="30"/>
      <c r="AD550" s="30"/>
      <c r="AE550" s="30"/>
      <c r="AF550" s="30">
        <v>0</v>
      </c>
      <c r="AG550" s="30">
        <v>0</v>
      </c>
      <c r="AH550" s="30">
        <v>0</v>
      </c>
      <c r="AI550" s="30">
        <v>286046.33</v>
      </c>
      <c r="AJ550" s="30">
        <v>289366.31</v>
      </c>
      <c r="AK550" s="30">
        <v>292898.11</v>
      </c>
      <c r="AL550" s="30">
        <v>295833.26</v>
      </c>
      <c r="AM550" s="30">
        <v>297702.8</v>
      </c>
      <c r="AN550" s="30">
        <v>300124.34999999998</v>
      </c>
      <c r="AO550" s="30">
        <v>302212.93</v>
      </c>
      <c r="AP550" s="30">
        <v>305456.62</v>
      </c>
      <c r="AQ550" s="30">
        <v>308888.3</v>
      </c>
      <c r="AR550" s="30">
        <v>309347.39</v>
      </c>
      <c r="AS550" s="30">
        <v>225.73</v>
      </c>
      <c r="AT550" s="30">
        <v>68.39</v>
      </c>
      <c r="AU550" s="30">
        <v>68.39</v>
      </c>
      <c r="AV550" s="30">
        <v>68.39</v>
      </c>
      <c r="AW550" s="30">
        <v>68.430000000000007</v>
      </c>
      <c r="AX550" s="30">
        <v>68.430000000000007</v>
      </c>
      <c r="AY550" s="30">
        <v>68.430000000000007</v>
      </c>
      <c r="AZ550" s="30">
        <v>68.430000000000007</v>
      </c>
      <c r="BA550" s="30" t="e">
        <f t="array" aca="1" ref="BA550" ca="1">_xludf.XLOOKUP(C550,'PL TOTAL D0'!A:A,'PL TOTAL D0'!C:C,"")</f>
        <v>#NAME?</v>
      </c>
    </row>
    <row r="551" spans="1:53" ht="15.75" customHeight="1">
      <c r="A551" s="23" t="s">
        <v>29</v>
      </c>
      <c r="B551" s="37" t="s">
        <v>1915</v>
      </c>
      <c r="C551" s="4" t="s">
        <v>1916</v>
      </c>
      <c r="D551" s="7" t="s">
        <v>19</v>
      </c>
      <c r="E551" s="7" t="s">
        <v>20</v>
      </c>
      <c r="F551" s="7" t="s">
        <v>199</v>
      </c>
      <c r="G551" s="7" t="e">
        <f t="shared" ca="1" si="24"/>
        <v>#NAME?</v>
      </c>
      <c r="H551" s="24" t="s">
        <v>152</v>
      </c>
      <c r="I551" s="24" t="s">
        <v>25</v>
      </c>
      <c r="J551" s="7" t="str">
        <f t="shared" si="27"/>
        <v>Não</v>
      </c>
      <c r="K551" s="25">
        <v>44995</v>
      </c>
      <c r="L551" s="7"/>
      <c r="M551" s="7" t="s">
        <v>87</v>
      </c>
      <c r="N551" s="26">
        <v>2.5000000000000001E-2</v>
      </c>
      <c r="O551" s="7" t="s">
        <v>183</v>
      </c>
      <c r="P551" s="27">
        <v>0.2</v>
      </c>
      <c r="Q551" s="28"/>
      <c r="R551" s="28"/>
      <c r="S551" s="7" t="s">
        <v>145</v>
      </c>
      <c r="T551" s="7" t="s">
        <v>1917</v>
      </c>
      <c r="U551" s="7" t="s">
        <v>46</v>
      </c>
      <c r="V551" s="24" t="e">
        <f t="shared" ca="1" si="25"/>
        <v>#NAME?</v>
      </c>
      <c r="W551" s="7"/>
      <c r="X551" s="7"/>
      <c r="Y551" s="29" t="s">
        <v>147</v>
      </c>
      <c r="Z551" s="30"/>
      <c r="AA551" s="31">
        <v>44995</v>
      </c>
      <c r="AB551" s="32">
        <v>49075100012644</v>
      </c>
      <c r="AC551" s="30"/>
      <c r="AD551" s="30"/>
      <c r="AE551" s="30"/>
      <c r="AF551" s="30"/>
      <c r="AG551" s="30"/>
      <c r="AH551" s="30">
        <v>367764.99</v>
      </c>
      <c r="AI551" s="30">
        <v>367686.19</v>
      </c>
      <c r="AJ551" s="30">
        <v>406919.01</v>
      </c>
      <c r="AK551" s="30">
        <v>438425.42</v>
      </c>
      <c r="AL551" s="30">
        <v>436082.42</v>
      </c>
      <c r="AM551" s="30">
        <v>416674.53</v>
      </c>
      <c r="AN551" s="30">
        <v>366586.03</v>
      </c>
      <c r="AO551" s="30">
        <v>348048.83</v>
      </c>
      <c r="AP551" s="30">
        <v>374041.62</v>
      </c>
      <c r="AQ551" s="30">
        <v>391888.29</v>
      </c>
      <c r="AR551" s="30">
        <v>364856.23</v>
      </c>
      <c r="AS551" s="30">
        <v>369881.45</v>
      </c>
      <c r="AT551" s="30">
        <v>376620.2</v>
      </c>
      <c r="AU551" s="30">
        <v>362153.74</v>
      </c>
      <c r="AV551" s="30">
        <v>350348.5</v>
      </c>
      <c r="AW551" s="30">
        <v>350873.1</v>
      </c>
      <c r="AX551" s="30">
        <v>327219.8</v>
      </c>
      <c r="AY551" s="30">
        <v>335190.99</v>
      </c>
      <c r="AZ551" s="30">
        <v>328933.71999999997</v>
      </c>
      <c r="BA551" s="30" t="e">
        <f t="array" aca="1" ref="BA551" ca="1">_xludf.XLOOKUP(C551,'PL TOTAL D0'!A:A,'PL TOTAL D0'!C:C,"")</f>
        <v>#NAME?</v>
      </c>
    </row>
    <row r="552" spans="1:53" ht="15.75" customHeight="1">
      <c r="A552" s="23" t="s">
        <v>29</v>
      </c>
      <c r="B552" s="37" t="s">
        <v>1915</v>
      </c>
      <c r="C552" s="4" t="s">
        <v>1918</v>
      </c>
      <c r="D552" s="7" t="s">
        <v>19</v>
      </c>
      <c r="E552" s="7" t="s">
        <v>20</v>
      </c>
      <c r="F552" s="7" t="s">
        <v>199</v>
      </c>
      <c r="G552" s="7" t="e">
        <f t="shared" ca="1" si="24"/>
        <v>#NAME?</v>
      </c>
      <c r="H552" s="24" t="s">
        <v>152</v>
      </c>
      <c r="I552" s="24" t="s">
        <v>25</v>
      </c>
      <c r="J552" s="7" t="str">
        <f t="shared" si="27"/>
        <v>Não</v>
      </c>
      <c r="K552" s="25">
        <v>44995</v>
      </c>
      <c r="L552" s="7"/>
      <c r="M552" s="7" t="s">
        <v>495</v>
      </c>
      <c r="N552" s="26">
        <v>0.02</v>
      </c>
      <c r="O552" s="7" t="s">
        <v>183</v>
      </c>
      <c r="P552" s="27">
        <v>0.2</v>
      </c>
      <c r="Q552" s="28"/>
      <c r="R552" s="28"/>
      <c r="S552" s="7" t="s">
        <v>145</v>
      </c>
      <c r="T552" s="7" t="s">
        <v>1917</v>
      </c>
      <c r="U552" s="7" t="s">
        <v>46</v>
      </c>
      <c r="V552" s="24" t="e">
        <f t="shared" ca="1" si="25"/>
        <v>#NAME?</v>
      </c>
      <c r="W552" s="7"/>
      <c r="X552" s="7"/>
      <c r="Y552" s="29" t="s">
        <v>147</v>
      </c>
      <c r="Z552" s="30"/>
      <c r="AA552" s="31">
        <v>44995</v>
      </c>
      <c r="AB552" s="32">
        <v>49075100012652</v>
      </c>
      <c r="AC552" s="30"/>
      <c r="AD552" s="30"/>
      <c r="AE552" s="30"/>
      <c r="AF552" s="30"/>
      <c r="AG552" s="30"/>
      <c r="AH552" s="30">
        <v>156498.64000000001</v>
      </c>
      <c r="AI552" s="30">
        <v>159700.37</v>
      </c>
      <c r="AJ552" s="30">
        <v>174038.01</v>
      </c>
      <c r="AK552" s="30">
        <v>187209.86</v>
      </c>
      <c r="AL552" s="30">
        <v>201894.44</v>
      </c>
      <c r="AM552" s="30">
        <v>203267.32</v>
      </c>
      <c r="AN552" s="30">
        <v>200471.45</v>
      </c>
      <c r="AO552" s="30">
        <v>183105.1</v>
      </c>
      <c r="AP552" s="30">
        <v>196445.33</v>
      </c>
      <c r="AQ552" s="30">
        <v>207938.86</v>
      </c>
      <c r="AR552" s="30">
        <v>191185.99</v>
      </c>
      <c r="AS552" s="30">
        <v>189479.82</v>
      </c>
      <c r="AT552" s="30">
        <v>196353.37</v>
      </c>
      <c r="AU552" s="30">
        <v>180285.43</v>
      </c>
      <c r="AV552" s="30">
        <v>166397.29999999999</v>
      </c>
      <c r="AW552" s="30">
        <v>165460.1</v>
      </c>
      <c r="AX552" s="30">
        <v>155488.79999999999</v>
      </c>
      <c r="AY552" s="30">
        <v>157920.94</v>
      </c>
      <c r="AZ552" s="30">
        <v>150832.6</v>
      </c>
      <c r="BA552" s="30" t="e">
        <f t="array" aca="1" ref="BA552" ca="1">_xludf.XLOOKUP(C552,'PL TOTAL D0'!A:A,'PL TOTAL D0'!C:C,"")</f>
        <v>#NAME?</v>
      </c>
    </row>
    <row r="553" spans="1:53" ht="15.75" customHeight="1">
      <c r="A553" s="23" t="s">
        <v>29</v>
      </c>
      <c r="B553" s="37" t="s">
        <v>1919</v>
      </c>
      <c r="C553" s="4" t="s">
        <v>1920</v>
      </c>
      <c r="D553" s="7" t="s">
        <v>19</v>
      </c>
      <c r="E553" s="7" t="s">
        <v>34</v>
      </c>
      <c r="F553" s="7" t="s">
        <v>262</v>
      </c>
      <c r="G553" s="7" t="e">
        <f t="shared" ca="1" si="24"/>
        <v>#NAME?</v>
      </c>
      <c r="H553" s="24" t="s">
        <v>152</v>
      </c>
      <c r="I553" s="24" t="s">
        <v>25</v>
      </c>
      <c r="J553" s="7" t="str">
        <f t="shared" si="27"/>
        <v>Não</v>
      </c>
      <c r="K553" s="25">
        <v>45002</v>
      </c>
      <c r="L553" s="7"/>
      <c r="M553" s="7" t="s">
        <v>58</v>
      </c>
      <c r="N553" s="26">
        <v>0.01</v>
      </c>
      <c r="O553" s="7" t="s">
        <v>25</v>
      </c>
      <c r="P553" s="27">
        <v>0</v>
      </c>
      <c r="Q553" s="90"/>
      <c r="R553" s="90"/>
      <c r="S553" s="7" t="s">
        <v>145</v>
      </c>
      <c r="T553" s="7" t="s">
        <v>1921</v>
      </c>
      <c r="U553" s="7" t="s">
        <v>60</v>
      </c>
      <c r="V553" s="24" t="e">
        <f t="shared" ca="1" si="25"/>
        <v>#NAME?</v>
      </c>
      <c r="W553" s="7"/>
      <c r="X553" s="7"/>
      <c r="Y553" s="29" t="s">
        <v>147</v>
      </c>
      <c r="Z553" s="30"/>
      <c r="AA553" s="31">
        <v>45002</v>
      </c>
      <c r="AB553" s="32">
        <v>49075100006776</v>
      </c>
      <c r="AC553" s="30"/>
      <c r="AD553" s="30"/>
      <c r="AE553" s="30"/>
      <c r="AF553" s="30"/>
      <c r="AG553" s="30"/>
      <c r="AH553" s="30">
        <v>943347.36</v>
      </c>
      <c r="AI553" s="30">
        <v>950389.54</v>
      </c>
      <c r="AJ553" s="30">
        <v>1089087.97</v>
      </c>
      <c r="AK553" s="30">
        <v>1096279.8700000001</v>
      </c>
      <c r="AL553" s="30">
        <v>1104974.04</v>
      </c>
      <c r="AM553" s="30">
        <v>1113323.77</v>
      </c>
      <c r="AN553" s="30">
        <v>1400497.04</v>
      </c>
      <c r="AO553" s="30">
        <v>1401599.23</v>
      </c>
      <c r="AP553" s="30">
        <v>1425706</v>
      </c>
      <c r="AQ553" s="30">
        <v>1441206.32</v>
      </c>
      <c r="AR553" s="30">
        <v>1439806.42</v>
      </c>
      <c r="AS553" s="30">
        <v>1446953.94</v>
      </c>
      <c r="AT553" s="30">
        <v>1459910.2</v>
      </c>
      <c r="AU553" s="30">
        <v>1449446.83</v>
      </c>
      <c r="AV553" s="30">
        <v>1453175</v>
      </c>
      <c r="AW553" s="30">
        <v>1464827</v>
      </c>
      <c r="AX553" s="30">
        <v>1481819</v>
      </c>
      <c r="AY553" s="30">
        <v>1497943.68</v>
      </c>
      <c r="AZ553" s="30">
        <v>1499949.69</v>
      </c>
      <c r="BA553" s="30" t="e">
        <f t="array" aca="1" ref="BA553" ca="1">_xludf.XLOOKUP(C553,'PL TOTAL D0'!A:A,'PL TOTAL D0'!C:C,"")</f>
        <v>#NAME?</v>
      </c>
    </row>
    <row r="554" spans="1:53" ht="15.75" customHeight="1">
      <c r="A554" s="23" t="s">
        <v>29</v>
      </c>
      <c r="B554" s="38" t="s">
        <v>1922</v>
      </c>
      <c r="C554" s="39" t="s">
        <v>1923</v>
      </c>
      <c r="D554" s="7" t="s">
        <v>19</v>
      </c>
      <c r="E554" s="7" t="s">
        <v>49</v>
      </c>
      <c r="F554" s="7" t="s">
        <v>277</v>
      </c>
      <c r="G554" s="7" t="e">
        <f t="shared" ca="1" si="24"/>
        <v>#NAME?</v>
      </c>
      <c r="H554" s="24" t="s">
        <v>161</v>
      </c>
      <c r="I554" s="24" t="s">
        <v>162</v>
      </c>
      <c r="J554" s="7" t="str">
        <f t="shared" si="27"/>
        <v>Não</v>
      </c>
      <c r="K554" s="25">
        <v>45390</v>
      </c>
      <c r="L554" s="7"/>
      <c r="M554" s="7" t="s">
        <v>1924</v>
      </c>
      <c r="N554" s="26">
        <v>0.02</v>
      </c>
      <c r="O554" s="7" t="s">
        <v>25</v>
      </c>
      <c r="P554" s="27">
        <v>0</v>
      </c>
      <c r="Q554" s="28"/>
      <c r="R554" s="90"/>
      <c r="S554" s="7" t="s">
        <v>145</v>
      </c>
      <c r="T554" s="6" t="s">
        <v>1925</v>
      </c>
      <c r="U554" s="7" t="s">
        <v>49</v>
      </c>
      <c r="V554" s="24" t="e">
        <f t="shared" ca="1" si="25"/>
        <v>#NAME?</v>
      </c>
      <c r="W554" s="7"/>
      <c r="X554" s="7"/>
      <c r="Y554" s="29" t="s">
        <v>147</v>
      </c>
      <c r="Z554" s="30"/>
      <c r="AA554" s="31">
        <v>45390</v>
      </c>
      <c r="AB554" s="32">
        <v>49075100014094</v>
      </c>
      <c r="AC554" s="30"/>
      <c r="AD554" s="30"/>
      <c r="AE554" s="30"/>
      <c r="AF554" s="30"/>
      <c r="AG554" s="30"/>
      <c r="AH554" s="30"/>
      <c r="AI554" s="30"/>
      <c r="AJ554" s="30"/>
      <c r="AK554" s="30"/>
      <c r="AL554" s="30"/>
      <c r="AM554" s="30"/>
      <c r="AN554" s="30"/>
      <c r="AO554" s="30"/>
      <c r="AP554" s="30"/>
      <c r="AQ554" s="30"/>
      <c r="AR554" s="30"/>
      <c r="AS554" s="30"/>
      <c r="AT554" s="30"/>
      <c r="AU554" s="30">
        <v>1314611.1299999999</v>
      </c>
      <c r="AV554" s="30">
        <v>0</v>
      </c>
      <c r="AW554" s="30">
        <v>10.89</v>
      </c>
      <c r="AX554" s="30">
        <v>10.89</v>
      </c>
      <c r="AY554" s="30">
        <v>10.89</v>
      </c>
      <c r="AZ554" s="30">
        <v>10.89</v>
      </c>
      <c r="BA554" s="30" t="e">
        <f t="array" aca="1" ref="BA554" ca="1">_xludf.XLOOKUP(C554,'PL TOTAL D0'!A:A,'PL TOTAL D0'!C:C,"")</f>
        <v>#NAME?</v>
      </c>
    </row>
    <row r="555" spans="1:53" ht="15.75" customHeight="1">
      <c r="A555" s="23" t="s">
        <v>29</v>
      </c>
      <c r="B555" s="3" t="s">
        <v>1926</v>
      </c>
      <c r="C555" s="4" t="s">
        <v>1927</v>
      </c>
      <c r="D555" s="7" t="s">
        <v>19</v>
      </c>
      <c r="E555" s="7" t="s">
        <v>20</v>
      </c>
      <c r="F555" s="7" t="s">
        <v>372</v>
      </c>
      <c r="G555" s="7" t="e">
        <f t="shared" ca="1" si="24"/>
        <v>#NAME?</v>
      </c>
      <c r="H555" s="24" t="s">
        <v>161</v>
      </c>
      <c r="I555" s="24" t="s">
        <v>211</v>
      </c>
      <c r="J555" s="7" t="str">
        <f t="shared" si="27"/>
        <v>Não</v>
      </c>
      <c r="K555" s="25">
        <v>44908</v>
      </c>
      <c r="L555" s="7"/>
      <c r="M555" s="7" t="s">
        <v>87</v>
      </c>
      <c r="N555" s="26">
        <v>0.02</v>
      </c>
      <c r="O555" s="7" t="s">
        <v>183</v>
      </c>
      <c r="P555" s="27">
        <v>0.2</v>
      </c>
      <c r="Q555" s="161"/>
      <c r="R555" s="28" t="s">
        <v>1928</v>
      </c>
      <c r="S555" s="7" t="s">
        <v>145</v>
      </c>
      <c r="T555" s="7" t="s">
        <v>1929</v>
      </c>
      <c r="U555" s="7" t="s">
        <v>20</v>
      </c>
      <c r="V555" s="24" t="e">
        <f t="shared" ca="1" si="25"/>
        <v>#NAME?</v>
      </c>
      <c r="W555" s="7"/>
      <c r="X555" s="7"/>
      <c r="Y555" s="29" t="s">
        <v>147</v>
      </c>
      <c r="Z555" s="30"/>
      <c r="AA555" s="31">
        <v>44908</v>
      </c>
      <c r="AB555" s="32">
        <v>49075100006148</v>
      </c>
      <c r="AC555" s="30"/>
      <c r="AD555" s="30"/>
      <c r="AE555" s="30">
        <v>818196.58</v>
      </c>
      <c r="AF555" s="30">
        <v>828082.58</v>
      </c>
      <c r="AG555" s="30">
        <v>990968.05</v>
      </c>
      <c r="AH555" s="30">
        <v>1038419.02</v>
      </c>
      <c r="AI555" s="30">
        <v>1044490.68</v>
      </c>
      <c r="AJ555" s="30">
        <v>1140148.3899999999</v>
      </c>
      <c r="AK555" s="30">
        <v>1175009.74</v>
      </c>
      <c r="AL555" s="30">
        <v>1266407.6399999999</v>
      </c>
      <c r="AM555" s="30">
        <v>1248695.8899999999</v>
      </c>
      <c r="AN555" s="30">
        <v>1251801.6299999999</v>
      </c>
      <c r="AO555" s="30">
        <v>1230464.75</v>
      </c>
      <c r="AP555" s="30">
        <v>1260351.3600000001</v>
      </c>
      <c r="AQ555" s="30">
        <v>1280008.1499999999</v>
      </c>
      <c r="AR555" s="30">
        <v>1284055.75</v>
      </c>
      <c r="AS555" s="30">
        <v>1307211.23</v>
      </c>
      <c r="AT555" s="30">
        <v>802110.67</v>
      </c>
      <c r="AU555" s="30">
        <v>586142.46</v>
      </c>
      <c r="AV555" s="30">
        <v>564140.4</v>
      </c>
      <c r="AW555" s="30">
        <v>594395.19999999995</v>
      </c>
      <c r="AX555" s="30">
        <v>613107.69999999995</v>
      </c>
      <c r="AY555" s="30">
        <v>627606.23</v>
      </c>
      <c r="AZ555" s="30">
        <v>615559.68999999994</v>
      </c>
      <c r="BA555" s="30" t="e">
        <f t="array" aca="1" ref="BA555" ca="1">_xludf.XLOOKUP(C555,'PL TOTAL D0'!A:A,'PL TOTAL D0'!C:C,"")</f>
        <v>#NAME?</v>
      </c>
    </row>
    <row r="556" spans="1:53" ht="15.75" customHeight="1">
      <c r="A556" s="23" t="s">
        <v>29</v>
      </c>
      <c r="B556" s="3" t="s">
        <v>1926</v>
      </c>
      <c r="C556" s="4" t="s">
        <v>1930</v>
      </c>
      <c r="D556" s="7" t="s">
        <v>19</v>
      </c>
      <c r="E556" s="7" t="s">
        <v>20</v>
      </c>
      <c r="F556" s="7" t="s">
        <v>372</v>
      </c>
      <c r="G556" s="7" t="e">
        <f t="shared" ca="1" si="24"/>
        <v>#NAME?</v>
      </c>
      <c r="H556" s="24" t="s">
        <v>161</v>
      </c>
      <c r="I556" s="24" t="s">
        <v>211</v>
      </c>
      <c r="J556" s="7" t="str">
        <f t="shared" si="27"/>
        <v>Não</v>
      </c>
      <c r="K556" s="25">
        <v>45330</v>
      </c>
      <c r="L556" s="7"/>
      <c r="M556" s="7" t="s">
        <v>42</v>
      </c>
      <c r="N556" s="26">
        <v>1.2E-2</v>
      </c>
      <c r="O556" s="7" t="s">
        <v>25</v>
      </c>
      <c r="P556" s="27">
        <v>0</v>
      </c>
      <c r="Q556" s="28"/>
      <c r="R556" s="43" t="s">
        <v>1931</v>
      </c>
      <c r="S556" s="7" t="s">
        <v>145</v>
      </c>
      <c r="T556" s="7" t="s">
        <v>1929</v>
      </c>
      <c r="U556" s="7" t="s">
        <v>20</v>
      </c>
      <c r="V556" s="24" t="e">
        <f t="shared" ca="1" si="25"/>
        <v>#NAME?</v>
      </c>
      <c r="W556" s="7"/>
      <c r="X556" s="7"/>
      <c r="Y556" s="29" t="s">
        <v>147</v>
      </c>
      <c r="Z556" s="30"/>
      <c r="AA556" s="31">
        <v>45330</v>
      </c>
      <c r="AB556" s="32">
        <v>49075100013403</v>
      </c>
      <c r="AC556" s="30"/>
      <c r="AD556" s="30"/>
      <c r="AE556" s="30"/>
      <c r="AF556" s="30"/>
      <c r="AG556" s="30"/>
      <c r="AH556" s="30"/>
      <c r="AI556" s="30"/>
      <c r="AJ556" s="30"/>
      <c r="AK556" s="30"/>
      <c r="AL556" s="30"/>
      <c r="AM556" s="30"/>
      <c r="AN556" s="30"/>
      <c r="AO556" s="30"/>
      <c r="AP556" s="30"/>
      <c r="AQ556" s="30"/>
      <c r="AR556" s="30"/>
      <c r="AS556" s="30">
        <v>0</v>
      </c>
      <c r="AT556" s="30">
        <v>527081.27</v>
      </c>
      <c r="AU556" s="30">
        <v>715155.64</v>
      </c>
      <c r="AV556" s="30">
        <v>718123.2</v>
      </c>
      <c r="AW556" s="30">
        <v>724373.3</v>
      </c>
      <c r="AX556" s="30">
        <v>831701.9</v>
      </c>
      <c r="AY556" s="30">
        <v>917997.9</v>
      </c>
      <c r="AZ556" s="30">
        <v>924501.84</v>
      </c>
      <c r="BA556" s="30" t="e">
        <f t="array" aca="1" ref="BA556" ca="1">_xludf.XLOOKUP(C556,'PL TOTAL D0'!A:A,'PL TOTAL D0'!C:C,"")</f>
        <v>#NAME?</v>
      </c>
    </row>
    <row r="557" spans="1:53" ht="15.75" customHeight="1">
      <c r="A557" s="23" t="s">
        <v>29</v>
      </c>
      <c r="B557" s="3" t="s">
        <v>1932</v>
      </c>
      <c r="C557" s="4" t="s">
        <v>1933</v>
      </c>
      <c r="D557" s="7" t="s">
        <v>19</v>
      </c>
      <c r="E557" s="7" t="s">
        <v>49</v>
      </c>
      <c r="F557" s="7" t="s">
        <v>277</v>
      </c>
      <c r="G557" s="7" t="e">
        <f t="shared" ca="1" si="24"/>
        <v>#NAME?</v>
      </c>
      <c r="H557" s="24" t="s">
        <v>152</v>
      </c>
      <c r="I557" s="24" t="s">
        <v>25</v>
      </c>
      <c r="J557" s="7" t="str">
        <f t="shared" si="27"/>
        <v>Não</v>
      </c>
      <c r="K557" s="25">
        <v>45118</v>
      </c>
      <c r="L557" s="7"/>
      <c r="M557" s="7" t="s">
        <v>42</v>
      </c>
      <c r="N557" s="26">
        <v>1.2E-2</v>
      </c>
      <c r="O557" s="7" t="s">
        <v>25</v>
      </c>
      <c r="P557" s="27">
        <v>0</v>
      </c>
      <c r="Q557" s="28"/>
      <c r="R557" s="28"/>
      <c r="S557" s="7" t="s">
        <v>145</v>
      </c>
      <c r="T557" s="7" t="s">
        <v>1934</v>
      </c>
      <c r="U557" s="7" t="s">
        <v>49</v>
      </c>
      <c r="V557" s="24" t="e">
        <f t="shared" ca="1" si="25"/>
        <v>#NAME?</v>
      </c>
      <c r="W557" s="7"/>
      <c r="X557" s="7"/>
      <c r="Y557" s="29" t="s">
        <v>147</v>
      </c>
      <c r="Z557" s="30"/>
      <c r="AA557" s="31">
        <v>45118</v>
      </c>
      <c r="AB557" s="32">
        <v>49075100012660</v>
      </c>
      <c r="AC557" s="30"/>
      <c r="AD557" s="30"/>
      <c r="AE557" s="30"/>
      <c r="AF557" s="30"/>
      <c r="AG557" s="30"/>
      <c r="AH557" s="30"/>
      <c r="AI557" s="30"/>
      <c r="AJ557" s="30"/>
      <c r="AK557" s="30">
        <v>0</v>
      </c>
      <c r="AL557" s="30">
        <v>236912.56</v>
      </c>
      <c r="AM557" s="30">
        <v>239432.92</v>
      </c>
      <c r="AN557" s="30">
        <v>268544.31</v>
      </c>
      <c r="AO557" s="30">
        <v>279721.99</v>
      </c>
      <c r="AP557" s="30">
        <v>281711.45</v>
      </c>
      <c r="AQ557" s="30">
        <v>316793.96000000002</v>
      </c>
      <c r="AR557" s="30">
        <v>319594.49</v>
      </c>
      <c r="AS557" s="30">
        <v>317694.94</v>
      </c>
      <c r="AT557" s="30">
        <v>316403.92</v>
      </c>
      <c r="AU557" s="30">
        <v>323401.14</v>
      </c>
      <c r="AV557" s="30">
        <v>337965.1</v>
      </c>
      <c r="AW557" s="30">
        <v>362639.4</v>
      </c>
      <c r="AX557" s="30">
        <v>375015.7</v>
      </c>
      <c r="AY557" s="30">
        <v>378255.55</v>
      </c>
      <c r="AZ557" s="30">
        <v>392839.56</v>
      </c>
      <c r="BA557" s="30" t="e">
        <f t="array" aca="1" ref="BA557" ca="1">_xludf.XLOOKUP(C557,'PL TOTAL D0'!A:A,'PL TOTAL D0'!C:C,"")</f>
        <v>#NAME?</v>
      </c>
    </row>
    <row r="558" spans="1:53" ht="15.75" customHeight="1">
      <c r="A558" s="23" t="s">
        <v>29</v>
      </c>
      <c r="B558" s="3" t="s">
        <v>1935</v>
      </c>
      <c r="C558" s="4" t="s">
        <v>1936</v>
      </c>
      <c r="D558" s="7" t="s">
        <v>19</v>
      </c>
      <c r="E558" s="7" t="s">
        <v>34</v>
      </c>
      <c r="F558" s="7" t="s">
        <v>35</v>
      </c>
      <c r="G558" s="7" t="e">
        <f t="shared" ca="1" si="24"/>
        <v>#NAME?</v>
      </c>
      <c r="H558" s="24" t="s">
        <v>161</v>
      </c>
      <c r="I558" s="24" t="s">
        <v>162</v>
      </c>
      <c r="J558" s="7" t="str">
        <f t="shared" si="27"/>
        <v>Não</v>
      </c>
      <c r="K558" s="25">
        <v>45127</v>
      </c>
      <c r="L558" s="25"/>
      <c r="M558" s="7" t="s">
        <v>87</v>
      </c>
      <c r="N558" s="26">
        <v>2.5000000000000001E-2</v>
      </c>
      <c r="O558" s="7" t="s">
        <v>183</v>
      </c>
      <c r="P558" s="27">
        <v>0.2</v>
      </c>
      <c r="Q558" s="90"/>
      <c r="R558" s="90"/>
      <c r="S558" s="7" t="s">
        <v>145</v>
      </c>
      <c r="T558" s="7" t="s">
        <v>1937</v>
      </c>
      <c r="U558" s="7" t="s">
        <v>39</v>
      </c>
      <c r="V558" s="24" t="e">
        <f t="shared" ca="1" si="25"/>
        <v>#NAME?</v>
      </c>
      <c r="W558" s="7"/>
      <c r="X558" s="7"/>
      <c r="Y558" s="29" t="s">
        <v>147</v>
      </c>
      <c r="Z558" s="30"/>
      <c r="AA558" s="31">
        <v>45127</v>
      </c>
      <c r="AB558" s="32">
        <v>49075100009831</v>
      </c>
      <c r="AC558" s="30"/>
      <c r="AD558" s="30"/>
      <c r="AE558" s="30"/>
      <c r="AF558" s="30"/>
      <c r="AG558" s="30"/>
      <c r="AH558" s="30"/>
      <c r="AI558" s="30"/>
      <c r="AJ558" s="30"/>
      <c r="AK558" s="30">
        <v>0</v>
      </c>
      <c r="AL558" s="30">
        <v>51761.9</v>
      </c>
      <c r="AM558" s="30">
        <v>51743.98</v>
      </c>
      <c r="AN558" s="30">
        <v>50555.96</v>
      </c>
      <c r="AO558" s="30">
        <v>48256.800000000003</v>
      </c>
      <c r="AP558" s="30">
        <v>51908.81</v>
      </c>
      <c r="AQ558" s="30">
        <v>49827.07</v>
      </c>
      <c r="AR558" s="30">
        <v>47231.72</v>
      </c>
      <c r="AS558" s="30">
        <v>47847.12</v>
      </c>
      <c r="AT558" s="30">
        <v>48585.14</v>
      </c>
      <c r="AU558" s="30">
        <v>46484.02</v>
      </c>
      <c r="AV558" s="30">
        <v>452.33</v>
      </c>
      <c r="AW558" s="30">
        <v>454.32</v>
      </c>
      <c r="AX558" s="30">
        <v>455.35</v>
      </c>
      <c r="AY558" s="30">
        <v>456.34</v>
      </c>
      <c r="AZ558" s="30">
        <v>457.55</v>
      </c>
      <c r="BA558" s="30" t="e">
        <f t="array" aca="1" ref="BA558" ca="1">_xludf.XLOOKUP(C558,'PL TOTAL D0'!A:A,'PL TOTAL D0'!C:C,"")</f>
        <v>#NAME?</v>
      </c>
    </row>
    <row r="559" spans="1:53" ht="15.75" customHeight="1">
      <c r="A559" s="23" t="s">
        <v>29</v>
      </c>
      <c r="B559" s="37" t="s">
        <v>1935</v>
      </c>
      <c r="C559" s="4" t="s">
        <v>1938</v>
      </c>
      <c r="D559" s="7" t="s">
        <v>19</v>
      </c>
      <c r="E559" s="7" t="s">
        <v>34</v>
      </c>
      <c r="F559" s="7" t="s">
        <v>35</v>
      </c>
      <c r="G559" s="7" t="e">
        <f t="shared" ca="1" si="24"/>
        <v>#NAME?</v>
      </c>
      <c r="H559" s="24" t="s">
        <v>161</v>
      </c>
      <c r="I559" s="24" t="s">
        <v>162</v>
      </c>
      <c r="J559" s="7" t="str">
        <f t="shared" si="27"/>
        <v>Não</v>
      </c>
      <c r="K559" s="25">
        <v>45064</v>
      </c>
      <c r="L559" s="25"/>
      <c r="M559" s="7" t="s">
        <v>42</v>
      </c>
      <c r="N559" s="26">
        <v>1.2E-2</v>
      </c>
      <c r="O559" s="7" t="s">
        <v>25</v>
      </c>
      <c r="P559" s="27">
        <v>0</v>
      </c>
      <c r="Q559" s="28"/>
      <c r="R559" s="90"/>
      <c r="S559" s="7" t="s">
        <v>145</v>
      </c>
      <c r="T559" s="7" t="s">
        <v>1937</v>
      </c>
      <c r="U559" s="7" t="s">
        <v>39</v>
      </c>
      <c r="V559" s="24" t="e">
        <f t="shared" ca="1" si="25"/>
        <v>#NAME?</v>
      </c>
      <c r="W559" s="7"/>
      <c r="X559" s="7"/>
      <c r="Y559" s="29" t="s">
        <v>147</v>
      </c>
      <c r="Z559" s="30"/>
      <c r="AA559" s="31">
        <v>45064</v>
      </c>
      <c r="AB559" s="32">
        <v>49075100005508</v>
      </c>
      <c r="AC559" s="30"/>
      <c r="AD559" s="30"/>
      <c r="AE559" s="30"/>
      <c r="AF559" s="30"/>
      <c r="AG559" s="30"/>
      <c r="AH559" s="30">
        <v>0</v>
      </c>
      <c r="AI559" s="30">
        <v>0</v>
      </c>
      <c r="AJ559" s="30">
        <v>0</v>
      </c>
      <c r="AK559" s="30">
        <v>177711.3</v>
      </c>
      <c r="AL559" s="30">
        <v>128735.41</v>
      </c>
      <c r="AM559" s="30">
        <v>130008.98</v>
      </c>
      <c r="AN559" s="30">
        <v>131025.4</v>
      </c>
      <c r="AO559" s="30">
        <v>132166.66</v>
      </c>
      <c r="AP559" s="30">
        <v>133117.54</v>
      </c>
      <c r="AQ559" s="30">
        <v>118089.24</v>
      </c>
      <c r="AR559" s="30">
        <v>102899.13</v>
      </c>
      <c r="AS559" s="30">
        <v>103738.25</v>
      </c>
      <c r="AT559" s="30">
        <v>104723.2</v>
      </c>
      <c r="AU559" s="30">
        <v>105554.87</v>
      </c>
      <c r="AV559" s="30">
        <v>0</v>
      </c>
      <c r="AW559" s="30">
        <v>4.4000000000000004</v>
      </c>
      <c r="AX559" s="30">
        <v>4.4000000000000004</v>
      </c>
      <c r="AY559" s="30">
        <v>4.4000000000000004</v>
      </c>
      <c r="AZ559" s="30">
        <v>4.4000000000000004</v>
      </c>
      <c r="BA559" s="30" t="e">
        <f t="array" aca="1" ref="BA559" ca="1">_xludf.XLOOKUP(C559,'PL TOTAL D0'!A:A,'PL TOTAL D0'!C:C,"")</f>
        <v>#NAME?</v>
      </c>
    </row>
    <row r="560" spans="1:53" ht="15.75" customHeight="1">
      <c r="A560" s="23" t="s">
        <v>29</v>
      </c>
      <c r="B560" s="3" t="s">
        <v>1939</v>
      </c>
      <c r="C560" s="4" t="s">
        <v>1940</v>
      </c>
      <c r="D560" s="7" t="s">
        <v>64</v>
      </c>
      <c r="E560" s="7" t="s">
        <v>20</v>
      </c>
      <c r="F560" s="7" t="s">
        <v>142</v>
      </c>
      <c r="G560" s="7" t="e">
        <f t="shared" ca="1" si="24"/>
        <v>#NAME?</v>
      </c>
      <c r="H560" s="24" t="s">
        <v>143</v>
      </c>
      <c r="I560" s="24" t="s">
        <v>25</v>
      </c>
      <c r="J560" s="7" t="str">
        <f t="shared" si="27"/>
        <v>Não</v>
      </c>
      <c r="K560" s="25">
        <v>45105</v>
      </c>
      <c r="L560" s="25">
        <v>45513</v>
      </c>
      <c r="M560" s="7" t="s">
        <v>200</v>
      </c>
      <c r="N560" s="26">
        <v>1.4999999999999999E-2</v>
      </c>
      <c r="O560" s="7" t="s">
        <v>37</v>
      </c>
      <c r="P560" s="27">
        <v>0.1</v>
      </c>
      <c r="Q560" s="28"/>
      <c r="R560" s="28" t="s">
        <v>1497</v>
      </c>
      <c r="S560" s="7" t="s">
        <v>145</v>
      </c>
      <c r="T560" s="7" t="s">
        <v>1941</v>
      </c>
      <c r="U560" s="7" t="s">
        <v>20</v>
      </c>
      <c r="V560" s="24" t="e">
        <f t="shared" ca="1" si="25"/>
        <v>#NAME?</v>
      </c>
      <c r="W560" s="7"/>
      <c r="X560" s="7"/>
      <c r="Y560" s="29" t="s">
        <v>253</v>
      </c>
      <c r="Z560" s="30"/>
      <c r="AA560" s="31">
        <v>45105</v>
      </c>
      <c r="AB560" s="32">
        <v>49075100007209</v>
      </c>
      <c r="AC560" s="30"/>
      <c r="AD560" s="30"/>
      <c r="AE560" s="30"/>
      <c r="AF560" s="30"/>
      <c r="AG560" s="30"/>
      <c r="AH560" s="30"/>
      <c r="AI560" s="30"/>
      <c r="AJ560" s="30"/>
      <c r="AK560" s="30">
        <v>144597.64000000001</v>
      </c>
      <c r="AL560" s="30">
        <v>249151.62</v>
      </c>
      <c r="AM560" s="30">
        <v>240637.98</v>
      </c>
      <c r="AN560" s="30">
        <v>222998.54</v>
      </c>
      <c r="AO560" s="30">
        <v>206781.25</v>
      </c>
      <c r="AP560" s="30">
        <v>204344.21</v>
      </c>
      <c r="AQ560" s="30">
        <v>208352.87</v>
      </c>
      <c r="AR560" s="30">
        <v>255201.5</v>
      </c>
      <c r="AS560" s="30">
        <v>249479.85</v>
      </c>
      <c r="AT560" s="30">
        <v>243986.61</v>
      </c>
      <c r="AU560" s="30">
        <v>233685.22</v>
      </c>
      <c r="AV560" s="30">
        <v>232346.8</v>
      </c>
      <c r="AW560" s="30">
        <v>232504.7</v>
      </c>
      <c r="AX560" s="30">
        <v>0</v>
      </c>
      <c r="AY560" s="30">
        <v>0</v>
      </c>
      <c r="AZ560" s="30">
        <v>0</v>
      </c>
      <c r="BA560" s="30" t="e">
        <f t="array" aca="1" ref="BA560" ca="1">_xludf.XLOOKUP(C560,'PL TOTAL D0'!A:A,'PL TOTAL D0'!C:C,"")</f>
        <v>#NAME?</v>
      </c>
    </row>
    <row r="561" spans="1:53" ht="15.75" customHeight="1">
      <c r="A561" s="23" t="s">
        <v>29</v>
      </c>
      <c r="B561" s="3" t="s">
        <v>1942</v>
      </c>
      <c r="C561" s="44" t="s">
        <v>1943</v>
      </c>
      <c r="D561" s="7" t="s">
        <v>64</v>
      </c>
      <c r="E561" s="7" t="s">
        <v>20</v>
      </c>
      <c r="F561" s="7" t="s">
        <v>142</v>
      </c>
      <c r="G561" s="7" t="e">
        <f t="shared" ca="1" si="24"/>
        <v>#NAME?</v>
      </c>
      <c r="H561" s="24" t="s">
        <v>143</v>
      </c>
      <c r="I561" s="24" t="s">
        <v>25</v>
      </c>
      <c r="J561" s="7" t="str">
        <f t="shared" si="27"/>
        <v>Não</v>
      </c>
      <c r="K561" s="25">
        <v>45345</v>
      </c>
      <c r="L561" s="25">
        <v>45540</v>
      </c>
      <c r="M561" s="7" t="s">
        <v>42</v>
      </c>
      <c r="N561" s="26">
        <v>1.2E-2</v>
      </c>
      <c r="O561" s="7" t="s">
        <v>25</v>
      </c>
      <c r="P561" s="27">
        <v>0</v>
      </c>
      <c r="Q561" s="28"/>
      <c r="R561" s="28" t="s">
        <v>1497</v>
      </c>
      <c r="S561" s="7" t="s">
        <v>145</v>
      </c>
      <c r="T561" s="12" t="s">
        <v>1941</v>
      </c>
      <c r="U561" s="7" t="s">
        <v>20</v>
      </c>
      <c r="V561" s="24" t="e">
        <f t="shared" ca="1" si="25"/>
        <v>#NAME?</v>
      </c>
      <c r="W561" s="7"/>
      <c r="X561" s="7"/>
      <c r="Y561" s="29" t="s">
        <v>253</v>
      </c>
      <c r="Z561" s="30"/>
      <c r="AA561" s="31">
        <v>45345</v>
      </c>
      <c r="AB561" s="32">
        <v>49075100013411</v>
      </c>
      <c r="AC561" s="30"/>
      <c r="AD561" s="30"/>
      <c r="AE561" s="30"/>
      <c r="AF561" s="30"/>
      <c r="AG561" s="30"/>
      <c r="AH561" s="30"/>
      <c r="AI561" s="30"/>
      <c r="AJ561" s="30"/>
      <c r="AK561" s="30"/>
      <c r="AL561" s="30"/>
      <c r="AM561" s="30"/>
      <c r="AN561" s="30"/>
      <c r="AO561" s="30"/>
      <c r="AP561" s="30"/>
      <c r="AQ561" s="30"/>
      <c r="AR561" s="30"/>
      <c r="AS561" s="30">
        <v>0</v>
      </c>
      <c r="AT561" s="30">
        <v>0</v>
      </c>
      <c r="AU561" s="30">
        <v>0</v>
      </c>
      <c r="AV561" s="30">
        <v>0</v>
      </c>
      <c r="AW561" s="30">
        <v>0</v>
      </c>
      <c r="AX561" s="30">
        <v>0</v>
      </c>
      <c r="AY561" s="30">
        <v>0</v>
      </c>
      <c r="AZ561" s="30">
        <v>0</v>
      </c>
      <c r="BA561" s="30" t="e">
        <f t="array" aca="1" ref="BA561" ca="1">_xludf.XLOOKUP(C561,'PL TOTAL D0'!A:A,'PL TOTAL D0'!C:C,"")</f>
        <v>#NAME?</v>
      </c>
    </row>
    <row r="562" spans="1:53" ht="15.75" customHeight="1">
      <c r="A562" s="23" t="s">
        <v>29</v>
      </c>
      <c r="B562" s="3" t="s">
        <v>1944</v>
      </c>
      <c r="C562" s="44" t="s">
        <v>1945</v>
      </c>
      <c r="D562" s="7" t="s">
        <v>19</v>
      </c>
      <c r="E562" s="7" t="s">
        <v>20</v>
      </c>
      <c r="F562" s="7" t="s">
        <v>372</v>
      </c>
      <c r="G562" s="7" t="e">
        <f t="shared" ca="1" si="24"/>
        <v>#NAME?</v>
      </c>
      <c r="H562" s="24" t="s">
        <v>161</v>
      </c>
      <c r="I562" s="24" t="s">
        <v>211</v>
      </c>
      <c r="J562" s="7" t="str">
        <f t="shared" si="27"/>
        <v>Não</v>
      </c>
      <c r="K562" s="25">
        <v>45453</v>
      </c>
      <c r="L562" s="25"/>
      <c r="M562" s="7" t="s">
        <v>42</v>
      </c>
      <c r="N562" s="26">
        <v>1.2E-2</v>
      </c>
      <c r="O562" s="7" t="s">
        <v>25</v>
      </c>
      <c r="P562" s="27">
        <v>0</v>
      </c>
      <c r="Q562" s="28"/>
      <c r="R562" s="28"/>
      <c r="S562" s="7" t="s">
        <v>145</v>
      </c>
      <c r="T562" s="12" t="s">
        <v>1946</v>
      </c>
      <c r="U562" s="7" t="s">
        <v>20</v>
      </c>
      <c r="V562" s="24" t="e">
        <f t="shared" ca="1" si="25"/>
        <v>#NAME?</v>
      </c>
      <c r="W562" s="7"/>
      <c r="X562" s="7" t="s">
        <v>91</v>
      </c>
      <c r="Y562" s="29" t="s">
        <v>147</v>
      </c>
      <c r="Z562" s="30"/>
      <c r="AA562" s="31">
        <v>45453</v>
      </c>
      <c r="AB562" s="32">
        <v>49075100015112</v>
      </c>
      <c r="AC562" s="30"/>
      <c r="AD562" s="30"/>
      <c r="AE562" s="30"/>
      <c r="AF562" s="30"/>
      <c r="AG562" s="30"/>
      <c r="AH562" s="30"/>
      <c r="AI562" s="30"/>
      <c r="AJ562" s="30"/>
      <c r="AK562" s="30"/>
      <c r="AL562" s="30"/>
      <c r="AM562" s="30"/>
      <c r="AN562" s="30"/>
      <c r="AO562" s="30"/>
      <c r="AP562" s="30"/>
      <c r="AQ562" s="30"/>
      <c r="AR562" s="30"/>
      <c r="AS562" s="30"/>
      <c r="AT562" s="30"/>
      <c r="AU562" s="30"/>
      <c r="AV562" s="30"/>
      <c r="AW562" s="30">
        <v>694317.1</v>
      </c>
      <c r="AX562" s="30">
        <v>700710.6</v>
      </c>
      <c r="AY562" s="30">
        <v>707238.48</v>
      </c>
      <c r="AZ562" s="30">
        <v>711912.1</v>
      </c>
      <c r="BA562" s="30" t="e">
        <f t="array" aca="1" ref="BA562" ca="1">_xludf.XLOOKUP(C562,'PL TOTAL D0'!A:A,'PL TOTAL D0'!C:C,"")</f>
        <v>#NAME?</v>
      </c>
    </row>
    <row r="563" spans="1:53" ht="15.75" customHeight="1">
      <c r="A563" s="23" t="s">
        <v>29</v>
      </c>
      <c r="B563" s="77" t="s">
        <v>1947</v>
      </c>
      <c r="C563" s="4" t="s">
        <v>1948</v>
      </c>
      <c r="D563" s="7" t="s">
        <v>64</v>
      </c>
      <c r="E563" s="7" t="s">
        <v>20</v>
      </c>
      <c r="F563" s="7" t="s">
        <v>489</v>
      </c>
      <c r="G563" s="7" t="e">
        <f t="shared" ca="1" si="24"/>
        <v>#NAME?</v>
      </c>
      <c r="H563" s="24" t="s">
        <v>143</v>
      </c>
      <c r="I563" s="24" t="s">
        <v>25</v>
      </c>
      <c r="J563" s="7" t="str">
        <f t="shared" si="27"/>
        <v>Não</v>
      </c>
      <c r="K563" s="25">
        <v>45105</v>
      </c>
      <c r="L563" s="25">
        <v>45513</v>
      </c>
      <c r="M563" s="7" t="s">
        <v>42</v>
      </c>
      <c r="N563" s="26">
        <v>8.5000000000000006E-3</v>
      </c>
      <c r="O563" s="7" t="s">
        <v>25</v>
      </c>
      <c r="P563" s="27">
        <v>0</v>
      </c>
      <c r="Q563" s="28"/>
      <c r="R563" s="28" t="s">
        <v>702</v>
      </c>
      <c r="S563" s="7" t="s">
        <v>145</v>
      </c>
      <c r="T563" s="7" t="s">
        <v>1949</v>
      </c>
      <c r="U563" s="7" t="s">
        <v>60</v>
      </c>
      <c r="V563" s="24" t="e">
        <f t="shared" ca="1" si="25"/>
        <v>#NAME?</v>
      </c>
      <c r="W563" s="7"/>
      <c r="X563" s="7"/>
      <c r="Y563" s="29" t="s">
        <v>147</v>
      </c>
      <c r="Z563" s="30"/>
      <c r="AA563" s="31">
        <v>45105</v>
      </c>
      <c r="AB563" s="32">
        <v>49075100010153</v>
      </c>
      <c r="AC563" s="30"/>
      <c r="AD563" s="30"/>
      <c r="AE563" s="30"/>
      <c r="AF563" s="30"/>
      <c r="AG563" s="30"/>
      <c r="AH563" s="30"/>
      <c r="AI563" s="30"/>
      <c r="AJ563" s="30"/>
      <c r="AK563" s="30"/>
      <c r="AL563" s="30">
        <v>791856.43</v>
      </c>
      <c r="AM563" s="30">
        <v>817625.14</v>
      </c>
      <c r="AN563" s="30">
        <v>819516.43</v>
      </c>
      <c r="AO563" s="30">
        <v>885191.86</v>
      </c>
      <c r="AP563" s="30">
        <v>886981.65</v>
      </c>
      <c r="AQ563" s="30">
        <v>892805.98</v>
      </c>
      <c r="AR563" s="30">
        <v>883088.38</v>
      </c>
      <c r="AS563" s="30">
        <v>890559.72</v>
      </c>
      <c r="AT563" s="30">
        <v>898278.39</v>
      </c>
      <c r="AU563" s="30">
        <v>984105.29</v>
      </c>
      <c r="AV563" s="30">
        <v>992243.5</v>
      </c>
      <c r="AW563" s="30">
        <v>1000850</v>
      </c>
      <c r="AX563" s="30">
        <v>0</v>
      </c>
      <c r="AY563" s="30">
        <v>0</v>
      </c>
      <c r="AZ563" s="30">
        <v>0</v>
      </c>
      <c r="BA563" s="30" t="e">
        <f t="array" aca="1" ref="BA563" ca="1">_xludf.XLOOKUP(C563,'PL TOTAL D0'!A:A,'PL TOTAL D0'!C:C,"")</f>
        <v>#NAME?</v>
      </c>
    </row>
    <row r="564" spans="1:53" ht="15.75" customHeight="1">
      <c r="A564" s="23" t="s">
        <v>29</v>
      </c>
      <c r="B564" s="77" t="s">
        <v>1950</v>
      </c>
      <c r="C564" s="4" t="s">
        <v>1951</v>
      </c>
      <c r="D564" s="7" t="s">
        <v>64</v>
      </c>
      <c r="E564" s="7" t="s">
        <v>20</v>
      </c>
      <c r="F564" s="7" t="s">
        <v>1952</v>
      </c>
      <c r="G564" s="7" t="e">
        <f t="shared" ca="1" si="24"/>
        <v>#NAME?</v>
      </c>
      <c r="H564" s="24" t="s">
        <v>152</v>
      </c>
      <c r="I564" s="24" t="s">
        <v>25</v>
      </c>
      <c r="J564" s="7" t="str">
        <f t="shared" si="27"/>
        <v>Não</v>
      </c>
      <c r="K564" s="25">
        <v>45476</v>
      </c>
      <c r="L564" s="25"/>
      <c r="M564" s="7" t="s">
        <v>42</v>
      </c>
      <c r="N564" s="26">
        <v>1.2E-2</v>
      </c>
      <c r="O564" s="7" t="s">
        <v>25</v>
      </c>
      <c r="P564" s="27">
        <v>0</v>
      </c>
      <c r="Q564" s="28"/>
      <c r="R564" s="28"/>
      <c r="S564" s="7" t="s">
        <v>145</v>
      </c>
      <c r="T564" s="7" t="s">
        <v>1953</v>
      </c>
      <c r="U564" s="7" t="s">
        <v>46</v>
      </c>
      <c r="V564" s="24" t="e">
        <f t="shared" ca="1" si="25"/>
        <v>#NAME?</v>
      </c>
      <c r="W564" s="7"/>
      <c r="X564" s="7" t="s">
        <v>52</v>
      </c>
      <c r="Y564" s="29" t="s">
        <v>433</v>
      </c>
      <c r="Z564" s="30"/>
      <c r="AA564" s="31">
        <v>45476</v>
      </c>
      <c r="AB564" s="32">
        <v>49075100015368</v>
      </c>
      <c r="AC564" s="30"/>
      <c r="AD564" s="30"/>
      <c r="AE564" s="30"/>
      <c r="AF564" s="30"/>
      <c r="AG564" s="30"/>
      <c r="AH564" s="30"/>
      <c r="AI564" s="30"/>
      <c r="AJ564" s="30"/>
      <c r="AK564" s="30"/>
      <c r="AL564" s="30"/>
      <c r="AM564" s="30"/>
      <c r="AN564" s="30"/>
      <c r="AO564" s="30"/>
      <c r="AP564" s="30"/>
      <c r="AQ564" s="30"/>
      <c r="AR564" s="30"/>
      <c r="AS564" s="30"/>
      <c r="AT564" s="30"/>
      <c r="AU564" s="30"/>
      <c r="AV564" s="30"/>
      <c r="AW564" s="30"/>
      <c r="AX564" s="30">
        <v>668651.19999999995</v>
      </c>
      <c r="AY564" s="30">
        <v>674921.15</v>
      </c>
      <c r="AZ564" s="30">
        <v>679682.94</v>
      </c>
      <c r="BA564" s="30" t="e">
        <f t="array" aca="1" ref="BA564" ca="1">_xludf.XLOOKUP(C564,'PL TOTAL D0'!A:A,'PL TOTAL D0'!C:C,"")</f>
        <v>#NAME?</v>
      </c>
    </row>
    <row r="565" spans="1:53" ht="15.75" customHeight="1">
      <c r="A565" s="23" t="s">
        <v>29</v>
      </c>
      <c r="B565" s="3" t="s">
        <v>1954</v>
      </c>
      <c r="C565" s="4" t="s">
        <v>1955</v>
      </c>
      <c r="D565" s="7" t="s">
        <v>64</v>
      </c>
      <c r="E565" s="7" t="s">
        <v>20</v>
      </c>
      <c r="F565" s="7" t="s">
        <v>142</v>
      </c>
      <c r="G565" s="7" t="e">
        <f t="shared" ca="1" si="24"/>
        <v>#NAME?</v>
      </c>
      <c r="H565" s="24" t="s">
        <v>161</v>
      </c>
      <c r="I565" s="24" t="s">
        <v>211</v>
      </c>
      <c r="J565" s="7" t="str">
        <f t="shared" si="27"/>
        <v>Não</v>
      </c>
      <c r="K565" s="25">
        <v>45132</v>
      </c>
      <c r="L565" s="25"/>
      <c r="M565" s="7" t="s">
        <v>42</v>
      </c>
      <c r="N565" s="26">
        <v>7.0000000000000001E-3</v>
      </c>
      <c r="O565" s="7" t="s">
        <v>25</v>
      </c>
      <c r="P565" s="27">
        <v>0</v>
      </c>
      <c r="Q565" s="28"/>
      <c r="R565" s="28" t="s">
        <v>702</v>
      </c>
      <c r="S565" s="7" t="s">
        <v>145</v>
      </c>
      <c r="T565" s="7" t="s">
        <v>1956</v>
      </c>
      <c r="U565" s="7" t="s">
        <v>60</v>
      </c>
      <c r="V565" s="24" t="e">
        <f t="shared" ca="1" si="25"/>
        <v>#NAME?</v>
      </c>
      <c r="W565" s="7"/>
      <c r="X565" s="7"/>
      <c r="Y565" s="29" t="s">
        <v>253</v>
      </c>
      <c r="Z565" s="30"/>
      <c r="AA565" s="31">
        <v>45132</v>
      </c>
      <c r="AB565" s="32">
        <v>49075100007217</v>
      </c>
      <c r="AC565" s="30"/>
      <c r="AD565" s="30"/>
      <c r="AE565" s="30"/>
      <c r="AF565" s="30"/>
      <c r="AG565" s="30"/>
      <c r="AH565" s="30"/>
      <c r="AI565" s="30"/>
      <c r="AJ565" s="30"/>
      <c r="AK565" s="30"/>
      <c r="AL565" s="30">
        <v>565393.68000000005</v>
      </c>
      <c r="AM565" s="30">
        <v>544900.06999999995</v>
      </c>
      <c r="AN565" s="30">
        <v>512555.95</v>
      </c>
      <c r="AO565" s="30">
        <v>500246.61</v>
      </c>
      <c r="AP565" s="30">
        <v>486733.81</v>
      </c>
      <c r="AQ565" s="30">
        <v>463036.36</v>
      </c>
      <c r="AR565" s="30">
        <v>419820.89</v>
      </c>
      <c r="AS565" s="30">
        <v>396521.35</v>
      </c>
      <c r="AT565" s="30">
        <v>388775</v>
      </c>
      <c r="AU565" s="30">
        <v>369081.1</v>
      </c>
      <c r="AV565" s="30">
        <v>355948.6</v>
      </c>
      <c r="AW565" s="30">
        <v>443221.3</v>
      </c>
      <c r="AX565" s="30">
        <v>0</v>
      </c>
      <c r="AY565" s="30">
        <v>0</v>
      </c>
      <c r="AZ565" s="30">
        <v>0</v>
      </c>
      <c r="BA565" s="30" t="e">
        <f t="array" aca="1" ref="BA565" ca="1">_xludf.XLOOKUP(C565,'PL TOTAL D0'!A:A,'PL TOTAL D0'!C:C,"")</f>
        <v>#NAME?</v>
      </c>
    </row>
    <row r="566" spans="1:53" ht="15.75" customHeight="1">
      <c r="A566" s="23" t="s">
        <v>29</v>
      </c>
      <c r="B566" s="3" t="s">
        <v>1957</v>
      </c>
      <c r="C566" s="4" t="s">
        <v>1958</v>
      </c>
      <c r="D566" s="7" t="s">
        <v>19</v>
      </c>
      <c r="E566" s="7" t="s">
        <v>20</v>
      </c>
      <c r="F566" s="7" t="s">
        <v>372</v>
      </c>
      <c r="G566" s="7" t="e">
        <f t="shared" ca="1" si="24"/>
        <v>#NAME?</v>
      </c>
      <c r="H566" s="24" t="s">
        <v>152</v>
      </c>
      <c r="I566" s="24" t="s">
        <v>25</v>
      </c>
      <c r="J566" s="7" t="str">
        <f t="shared" si="27"/>
        <v>Não</v>
      </c>
      <c r="K566" s="25">
        <v>45158</v>
      </c>
      <c r="L566" s="25"/>
      <c r="M566" s="7" t="s">
        <v>880</v>
      </c>
      <c r="N566" s="26">
        <v>8.0000000000000002E-3</v>
      </c>
      <c r="O566" s="7" t="s">
        <v>25</v>
      </c>
      <c r="P566" s="27">
        <v>0</v>
      </c>
      <c r="Q566" s="28"/>
      <c r="R566" s="90"/>
      <c r="S566" s="7" t="s">
        <v>145</v>
      </c>
      <c r="T566" s="7" t="s">
        <v>1959</v>
      </c>
      <c r="U566" s="7" t="s">
        <v>20</v>
      </c>
      <c r="V566" s="24" t="e">
        <f t="shared" ca="1" si="25"/>
        <v>#NAME?</v>
      </c>
      <c r="W566" s="7"/>
      <c r="X566" s="7"/>
      <c r="Y566" s="29" t="s">
        <v>147</v>
      </c>
      <c r="Z566" s="30"/>
      <c r="AA566" s="31">
        <v>45158</v>
      </c>
      <c r="AB566" s="32">
        <v>49075100008418</v>
      </c>
      <c r="AC566" s="30"/>
      <c r="AD566" s="30"/>
      <c r="AE566" s="30"/>
      <c r="AF566" s="30"/>
      <c r="AG566" s="30"/>
      <c r="AH566" s="30"/>
      <c r="AI566" s="30">
        <v>0</v>
      </c>
      <c r="AJ566" s="30">
        <v>0</v>
      </c>
      <c r="AK566" s="30">
        <v>0</v>
      </c>
      <c r="AL566" s="30">
        <v>0</v>
      </c>
      <c r="AM566" s="30">
        <v>1194211.6200000001</v>
      </c>
      <c r="AN566" s="30">
        <v>1208400.83</v>
      </c>
      <c r="AO566" s="30">
        <v>1219197.6299999999</v>
      </c>
      <c r="AP566" s="30">
        <v>1229323.33</v>
      </c>
      <c r="AQ566" s="30">
        <v>1244149.42</v>
      </c>
      <c r="AR566" s="30">
        <v>1255754.27</v>
      </c>
      <c r="AS566" s="30">
        <v>1264467.51</v>
      </c>
      <c r="AT566" s="30">
        <v>1277140.44</v>
      </c>
      <c r="AU566" s="30">
        <v>1282517.68</v>
      </c>
      <c r="AV566" s="30">
        <v>1291567</v>
      </c>
      <c r="AW566" s="30">
        <v>1300141</v>
      </c>
      <c r="AX566" s="30">
        <v>1312629</v>
      </c>
      <c r="AY566" s="30">
        <v>1322982.42</v>
      </c>
      <c r="AZ566" s="30">
        <v>1335383.78</v>
      </c>
      <c r="BA566" s="30" t="e">
        <f t="array" aca="1" ref="BA566" ca="1">_xludf.XLOOKUP(C566,'PL TOTAL D0'!A:A,'PL TOTAL D0'!C:C,"")</f>
        <v>#NAME?</v>
      </c>
    </row>
    <row r="567" spans="1:53" ht="15.75" customHeight="1">
      <c r="A567" s="23" t="s">
        <v>29</v>
      </c>
      <c r="B567" s="3" t="s">
        <v>1957</v>
      </c>
      <c r="C567" s="4" t="s">
        <v>1960</v>
      </c>
      <c r="D567" s="7" t="s">
        <v>19</v>
      </c>
      <c r="E567" s="7" t="s">
        <v>20</v>
      </c>
      <c r="F567" s="7" t="s">
        <v>372</v>
      </c>
      <c r="G567" s="7" t="e">
        <f t="shared" ca="1" si="24"/>
        <v>#NAME?</v>
      </c>
      <c r="H567" s="24" t="s">
        <v>161</v>
      </c>
      <c r="I567" s="24" t="s">
        <v>162</v>
      </c>
      <c r="J567" s="7" t="str">
        <f t="shared" si="27"/>
        <v>Não</v>
      </c>
      <c r="K567" s="25">
        <v>45163</v>
      </c>
      <c r="L567" s="25"/>
      <c r="M567" s="7" t="s">
        <v>42</v>
      </c>
      <c r="N567" s="26">
        <v>1.2E-2</v>
      </c>
      <c r="O567" s="7" t="s">
        <v>25</v>
      </c>
      <c r="P567" s="27">
        <v>0</v>
      </c>
      <c r="Q567" s="28"/>
      <c r="R567" s="28" t="s">
        <v>1961</v>
      </c>
      <c r="S567" s="7" t="s">
        <v>145</v>
      </c>
      <c r="T567" s="7" t="s">
        <v>1959</v>
      </c>
      <c r="U567" s="7" t="s">
        <v>20</v>
      </c>
      <c r="V567" s="24" t="e">
        <f t="shared" ca="1" si="25"/>
        <v>#NAME?</v>
      </c>
      <c r="W567" s="7"/>
      <c r="X567" s="7"/>
      <c r="Y567" s="29" t="s">
        <v>147</v>
      </c>
      <c r="Z567" s="30"/>
      <c r="AA567" s="31">
        <v>45163</v>
      </c>
      <c r="AB567" s="32">
        <v>49075100011702</v>
      </c>
      <c r="AC567" s="30"/>
      <c r="AD567" s="30"/>
      <c r="AE567" s="30"/>
      <c r="AF567" s="30"/>
      <c r="AG567" s="30"/>
      <c r="AH567" s="30"/>
      <c r="AI567" s="30"/>
      <c r="AJ567" s="30"/>
      <c r="AK567" s="30">
        <v>0</v>
      </c>
      <c r="AL567" s="30">
        <v>0</v>
      </c>
      <c r="AM567" s="30">
        <v>0</v>
      </c>
      <c r="AN567" s="30">
        <v>0</v>
      </c>
      <c r="AO567" s="30">
        <v>0</v>
      </c>
      <c r="AP567" s="30">
        <v>0</v>
      </c>
      <c r="AQ567" s="30">
        <v>0</v>
      </c>
      <c r="AR567" s="30">
        <v>0</v>
      </c>
      <c r="AS567" s="30">
        <v>0</v>
      </c>
      <c r="AT567" s="30">
        <v>0</v>
      </c>
      <c r="AU567" s="30">
        <v>0</v>
      </c>
      <c r="AV567" s="30">
        <v>0</v>
      </c>
      <c r="AW567" s="30">
        <v>0</v>
      </c>
      <c r="AX567" s="30">
        <v>0</v>
      </c>
      <c r="AY567" s="30">
        <v>0</v>
      </c>
      <c r="AZ567" s="30">
        <v>0</v>
      </c>
      <c r="BA567" s="30" t="e">
        <f t="array" aca="1" ref="BA567" ca="1">_xludf.XLOOKUP(C567,'PL TOTAL D0'!A:A,'PL TOTAL D0'!C:C,"")</f>
        <v>#NAME?</v>
      </c>
    </row>
    <row r="568" spans="1:53" ht="15.75" customHeight="1">
      <c r="A568" s="23" t="s">
        <v>29</v>
      </c>
      <c r="B568" s="38" t="s">
        <v>1962</v>
      </c>
      <c r="C568" s="39" t="s">
        <v>1963</v>
      </c>
      <c r="D568" s="7" t="s">
        <v>80</v>
      </c>
      <c r="E568" s="7" t="s">
        <v>49</v>
      </c>
      <c r="F568" s="7" t="s">
        <v>81</v>
      </c>
      <c r="G568" s="7" t="e">
        <f t="shared" ca="1" si="24"/>
        <v>#NAME?</v>
      </c>
      <c r="H568" s="24" t="s">
        <v>152</v>
      </c>
      <c r="I568" s="24" t="s">
        <v>25</v>
      </c>
      <c r="J568" s="7" t="str">
        <f t="shared" si="27"/>
        <v>Não</v>
      </c>
      <c r="K568" s="25">
        <v>45387</v>
      </c>
      <c r="L568" s="25"/>
      <c r="M568" s="7" t="s">
        <v>42</v>
      </c>
      <c r="N568" s="26">
        <v>1.2E-2</v>
      </c>
      <c r="O568" s="7" t="s">
        <v>25</v>
      </c>
      <c r="P568" s="27">
        <v>0</v>
      </c>
      <c r="Q568" s="90"/>
      <c r="R568" s="90"/>
      <c r="S568" s="7" t="s">
        <v>145</v>
      </c>
      <c r="T568" s="6" t="s">
        <v>1964</v>
      </c>
      <c r="U568" s="7" t="s">
        <v>49</v>
      </c>
      <c r="V568" s="24" t="e">
        <f t="shared" ca="1" si="25"/>
        <v>#NAME?</v>
      </c>
      <c r="W568" s="7"/>
      <c r="X568" s="7"/>
      <c r="Y568" s="29" t="s">
        <v>147</v>
      </c>
      <c r="Z568" s="30"/>
      <c r="AA568" s="31">
        <v>45387</v>
      </c>
      <c r="AB568" s="32">
        <v>49075100014108</v>
      </c>
      <c r="AC568" s="30"/>
      <c r="AD568" s="30"/>
      <c r="AE568" s="30"/>
      <c r="AF568" s="30"/>
      <c r="AG568" s="30"/>
      <c r="AH568" s="30"/>
      <c r="AI568" s="30"/>
      <c r="AJ568" s="30"/>
      <c r="AK568" s="30"/>
      <c r="AL568" s="30"/>
      <c r="AM568" s="30"/>
      <c r="AN568" s="30"/>
      <c r="AO568" s="30"/>
      <c r="AP568" s="30"/>
      <c r="AQ568" s="30"/>
      <c r="AR568" s="30"/>
      <c r="AS568" s="30"/>
      <c r="AT568" s="30"/>
      <c r="AU568" s="30">
        <v>419685.46</v>
      </c>
      <c r="AV568" s="30">
        <v>424040.7</v>
      </c>
      <c r="AW568" s="30">
        <v>423929</v>
      </c>
      <c r="AX568" s="30">
        <v>431118</v>
      </c>
      <c r="AY568" s="30">
        <v>459531.92</v>
      </c>
      <c r="AZ568" s="30">
        <v>464967.78</v>
      </c>
      <c r="BA568" s="30" t="e">
        <f t="array" aca="1" ref="BA568" ca="1">_xludf.XLOOKUP(C568,'PL TOTAL D0'!A:A,'PL TOTAL D0'!C:C,"")</f>
        <v>#NAME?</v>
      </c>
    </row>
    <row r="569" spans="1:53" ht="15.75" customHeight="1">
      <c r="A569" s="23" t="s">
        <v>29</v>
      </c>
      <c r="B569" s="38" t="s">
        <v>1965</v>
      </c>
      <c r="C569" s="39" t="s">
        <v>1966</v>
      </c>
      <c r="D569" s="7" t="s">
        <v>19</v>
      </c>
      <c r="E569" s="7" t="s">
        <v>20</v>
      </c>
      <c r="F569" s="7" t="s">
        <v>989</v>
      </c>
      <c r="G569" s="7" t="e">
        <f t="shared" ca="1" si="24"/>
        <v>#NAME?</v>
      </c>
      <c r="H569" s="24" t="s">
        <v>161</v>
      </c>
      <c r="I569" s="24" t="s">
        <v>211</v>
      </c>
      <c r="J569" s="7" t="str">
        <f t="shared" si="27"/>
        <v>Não</v>
      </c>
      <c r="K569" s="25">
        <v>45401</v>
      </c>
      <c r="L569" s="25"/>
      <c r="M569" s="7" t="s">
        <v>58</v>
      </c>
      <c r="N569" s="26">
        <v>1.2E-2</v>
      </c>
      <c r="O569" s="7" t="s">
        <v>37</v>
      </c>
      <c r="P569" s="27">
        <v>0.1</v>
      </c>
      <c r="Q569" s="28"/>
      <c r="R569" s="90"/>
      <c r="S569" s="7" t="s">
        <v>145</v>
      </c>
      <c r="T569" s="6" t="s">
        <v>1967</v>
      </c>
      <c r="U569" s="7" t="s">
        <v>20</v>
      </c>
      <c r="V569" s="24" t="e">
        <f t="shared" ca="1" si="25"/>
        <v>#NAME?</v>
      </c>
      <c r="W569" s="7"/>
      <c r="X569" s="7" t="s">
        <v>52</v>
      </c>
      <c r="Y569" s="29" t="s">
        <v>147</v>
      </c>
      <c r="Z569" s="30"/>
      <c r="AA569" s="31">
        <v>45401</v>
      </c>
      <c r="AB569" s="32">
        <v>49075100014116</v>
      </c>
      <c r="AC569" s="30"/>
      <c r="AD569" s="30"/>
      <c r="AE569" s="30"/>
      <c r="AF569" s="30"/>
      <c r="AG569" s="30"/>
      <c r="AH569" s="30"/>
      <c r="AI569" s="30"/>
      <c r="AJ569" s="30"/>
      <c r="AK569" s="30"/>
      <c r="AL569" s="30"/>
      <c r="AM569" s="30"/>
      <c r="AN569" s="30"/>
      <c r="AO569" s="30"/>
      <c r="AP569" s="30"/>
      <c r="AQ569" s="30"/>
      <c r="AR569" s="30"/>
      <c r="AS569" s="30"/>
      <c r="AT569" s="30"/>
      <c r="AU569" s="30">
        <v>967127.32</v>
      </c>
      <c r="AV569" s="30">
        <v>942343.1</v>
      </c>
      <c r="AW569" s="30">
        <v>936256.9</v>
      </c>
      <c r="AX569" s="30">
        <v>936541</v>
      </c>
      <c r="AY569" s="30">
        <v>946771.21</v>
      </c>
      <c r="AZ569" s="30">
        <v>925356.59</v>
      </c>
      <c r="BA569" s="30" t="e">
        <f t="array" aca="1" ref="BA569" ca="1">_xludf.XLOOKUP(C569,'PL TOTAL D0'!A:A,'PL TOTAL D0'!C:C,"")</f>
        <v>#NAME?</v>
      </c>
    </row>
    <row r="570" spans="1:53" ht="15" customHeight="1">
      <c r="A570" s="23" t="s">
        <v>29</v>
      </c>
      <c r="B570" s="3" t="s">
        <v>1968</v>
      </c>
      <c r="C570" s="4" t="s">
        <v>1969</v>
      </c>
      <c r="D570" s="7" t="s">
        <v>19</v>
      </c>
      <c r="E570" s="7" t="s">
        <v>49</v>
      </c>
      <c r="F570" s="7" t="s">
        <v>166</v>
      </c>
      <c r="G570" s="7" t="e">
        <f t="shared" ca="1" si="24"/>
        <v>#NAME?</v>
      </c>
      <c r="H570" s="24" t="s">
        <v>161</v>
      </c>
      <c r="I570" s="24" t="s">
        <v>1045</v>
      </c>
      <c r="J570" s="7" t="str">
        <f t="shared" si="27"/>
        <v>Sim</v>
      </c>
      <c r="K570" s="25">
        <v>44957</v>
      </c>
      <c r="L570" s="7"/>
      <c r="M570" s="7" t="s">
        <v>87</v>
      </c>
      <c r="N570" s="26">
        <v>1.2E-2</v>
      </c>
      <c r="O570" s="7" t="s">
        <v>183</v>
      </c>
      <c r="P570" s="27">
        <v>0.2</v>
      </c>
      <c r="Q570" s="71" t="s">
        <v>1970</v>
      </c>
      <c r="R570" s="28" t="s">
        <v>1848</v>
      </c>
      <c r="S570" s="7" t="s">
        <v>145</v>
      </c>
      <c r="T570" s="7" t="s">
        <v>1971</v>
      </c>
      <c r="U570" s="7" t="s">
        <v>49</v>
      </c>
      <c r="V570" s="24" t="e">
        <f t="shared" ca="1" si="25"/>
        <v>#NAME?</v>
      </c>
      <c r="W570" s="7"/>
      <c r="X570" s="7" t="s">
        <v>91</v>
      </c>
      <c r="Y570" s="29" t="s">
        <v>147</v>
      </c>
      <c r="Z570" s="30"/>
      <c r="AA570" s="31">
        <v>44957</v>
      </c>
      <c r="AB570" s="32">
        <v>49075100006164</v>
      </c>
      <c r="AC570" s="30"/>
      <c r="AD570" s="30"/>
      <c r="AE570" s="30"/>
      <c r="AF570" s="30">
        <v>11787.84</v>
      </c>
      <c r="AG570" s="30">
        <v>22682.07</v>
      </c>
      <c r="AH570" s="30">
        <v>26103.99</v>
      </c>
      <c r="AI570" s="30">
        <v>56051.76</v>
      </c>
      <c r="AJ570" s="30">
        <v>52222.99</v>
      </c>
      <c r="AK570" s="30">
        <v>54504.69</v>
      </c>
      <c r="AL570" s="30">
        <v>52409.24</v>
      </c>
      <c r="AM570" s="30">
        <v>49494.51</v>
      </c>
      <c r="AN570" s="30">
        <v>1410.83</v>
      </c>
      <c r="AO570" s="30">
        <v>397.94</v>
      </c>
      <c r="AP570" s="30">
        <v>452.52</v>
      </c>
      <c r="AQ570" s="30">
        <v>514.44000000000005</v>
      </c>
      <c r="AR570" s="30">
        <v>495.5</v>
      </c>
      <c r="AS570" s="30">
        <v>557.09</v>
      </c>
      <c r="AT570" s="30">
        <v>33853.440000000002</v>
      </c>
      <c r="AU570" s="30">
        <v>131448.95000000001</v>
      </c>
      <c r="AV570" s="30">
        <v>640452.80000000005</v>
      </c>
      <c r="AW570" s="30">
        <v>634993.9</v>
      </c>
      <c r="AX570" s="30">
        <v>660723.9</v>
      </c>
      <c r="AY570" s="30">
        <v>683641.81</v>
      </c>
      <c r="AZ570" s="30">
        <v>684619.83</v>
      </c>
      <c r="BA570" s="30" t="e">
        <f t="array" aca="1" ref="BA570" ca="1">_xludf.XLOOKUP(C570,'PL TOTAL D0'!A:A,'PL TOTAL D0'!C:C,"")</f>
        <v>#NAME?</v>
      </c>
    </row>
    <row r="571" spans="1:53" ht="15" customHeight="1">
      <c r="A571" s="23" t="s">
        <v>29</v>
      </c>
      <c r="B571" s="3" t="s">
        <v>1968</v>
      </c>
      <c r="C571" s="4" t="s">
        <v>1972</v>
      </c>
      <c r="D571" s="7" t="s">
        <v>19</v>
      </c>
      <c r="E571" s="7" t="s">
        <v>49</v>
      </c>
      <c r="F571" s="7" t="s">
        <v>166</v>
      </c>
      <c r="G571" s="7" t="e">
        <f t="shared" ca="1" si="24"/>
        <v>#NAME?</v>
      </c>
      <c r="H571" s="24" t="s">
        <v>152</v>
      </c>
      <c r="I571" s="24" t="s">
        <v>25</v>
      </c>
      <c r="J571" s="7" t="str">
        <f t="shared" si="27"/>
        <v>Não</v>
      </c>
      <c r="K571" s="25">
        <v>44957</v>
      </c>
      <c r="L571" s="7"/>
      <c r="M571" s="7" t="s">
        <v>42</v>
      </c>
      <c r="N571" s="26">
        <v>0.01</v>
      </c>
      <c r="O571" s="7" t="s">
        <v>25</v>
      </c>
      <c r="P571" s="27">
        <v>0</v>
      </c>
      <c r="Q571" s="23"/>
      <c r="R571" s="28" t="s">
        <v>1973</v>
      </c>
      <c r="S571" s="7" t="s">
        <v>145</v>
      </c>
      <c r="T571" s="7" t="s">
        <v>1971</v>
      </c>
      <c r="U571" s="7" t="s">
        <v>49</v>
      </c>
      <c r="V571" s="24" t="e">
        <f t="shared" ca="1" si="25"/>
        <v>#NAME?</v>
      </c>
      <c r="W571" s="7"/>
      <c r="X571" s="7" t="s">
        <v>91</v>
      </c>
      <c r="Y571" s="29" t="s">
        <v>147</v>
      </c>
      <c r="Z571" s="30"/>
      <c r="AA571" s="31">
        <v>44957</v>
      </c>
      <c r="AB571" s="32">
        <v>49075100006156</v>
      </c>
      <c r="AC571" s="30"/>
      <c r="AD571" s="30"/>
      <c r="AE571" s="30"/>
      <c r="AF571" s="30">
        <v>817484.12</v>
      </c>
      <c r="AG571" s="30">
        <v>2780380.17</v>
      </c>
      <c r="AH571" s="30">
        <v>2812325.28</v>
      </c>
      <c r="AI571" s="30">
        <v>3204638.15</v>
      </c>
      <c r="AJ571" s="30">
        <v>3239178.93</v>
      </c>
      <c r="AK571" s="30">
        <v>3268216.61</v>
      </c>
      <c r="AL571" s="30">
        <v>3297963.12</v>
      </c>
      <c r="AM571" s="30">
        <v>3323567.62</v>
      </c>
      <c r="AN571" s="30">
        <v>3322940.36</v>
      </c>
      <c r="AO571" s="30">
        <v>3316293.09</v>
      </c>
      <c r="AP571" s="30">
        <v>3365051.12</v>
      </c>
      <c r="AQ571" s="30">
        <v>3412356.99</v>
      </c>
      <c r="AR571" s="30">
        <v>3403625.52</v>
      </c>
      <c r="AS571" s="30">
        <v>3428944.68</v>
      </c>
      <c r="AT571" s="30">
        <v>3431369.99</v>
      </c>
      <c r="AU571" s="30">
        <v>3288861.95</v>
      </c>
      <c r="AV571" s="30">
        <v>2799431</v>
      </c>
      <c r="AW571" s="30">
        <v>2816108</v>
      </c>
      <c r="AX571" s="30">
        <v>2835090</v>
      </c>
      <c r="AY571" s="30">
        <v>2827092.43</v>
      </c>
      <c r="AZ571" s="30">
        <v>2845704</v>
      </c>
      <c r="BA571" s="30" t="e">
        <f t="array" aca="1" ref="BA571" ca="1">_xludf.XLOOKUP(C571,'PL TOTAL D0'!A:A,'PL TOTAL D0'!C:C,"")</f>
        <v>#NAME?</v>
      </c>
    </row>
    <row r="572" spans="1:53" ht="15" customHeight="1">
      <c r="A572" s="23" t="s">
        <v>29</v>
      </c>
      <c r="B572" s="3" t="s">
        <v>1974</v>
      </c>
      <c r="C572" s="4" t="s">
        <v>1975</v>
      </c>
      <c r="D572" s="7" t="s">
        <v>72</v>
      </c>
      <c r="E572" s="7" t="s">
        <v>20</v>
      </c>
      <c r="F572" s="7" t="s">
        <v>337</v>
      </c>
      <c r="G572" s="7" t="e">
        <f t="shared" ca="1" si="24"/>
        <v>#NAME?</v>
      </c>
      <c r="H572" s="24" t="s">
        <v>152</v>
      </c>
      <c r="I572" s="24" t="s">
        <v>25</v>
      </c>
      <c r="J572" s="7" t="str">
        <f t="shared" si="27"/>
        <v>Não</v>
      </c>
      <c r="K572" s="25">
        <v>45518</v>
      </c>
      <c r="L572" s="7"/>
      <c r="M572" s="7" t="s">
        <v>42</v>
      </c>
      <c r="N572" s="26">
        <v>1.2E-2</v>
      </c>
      <c r="O572" s="7" t="s">
        <v>25</v>
      </c>
      <c r="P572" s="27">
        <v>0</v>
      </c>
      <c r="Q572" s="23"/>
      <c r="R572" s="28"/>
      <c r="S572" s="7" t="s">
        <v>145</v>
      </c>
      <c r="T572" s="7" t="s">
        <v>1976</v>
      </c>
      <c r="U572" s="7" t="s">
        <v>20</v>
      </c>
      <c r="V572" s="24" t="e">
        <f t="shared" ca="1" si="25"/>
        <v>#NAME?</v>
      </c>
      <c r="W572" s="7"/>
      <c r="X572" s="7" t="s">
        <v>52</v>
      </c>
      <c r="Y572" s="29" t="s">
        <v>147</v>
      </c>
      <c r="Z572" s="30"/>
      <c r="AA572" s="30"/>
      <c r="AB572" s="32"/>
      <c r="AC572" s="30"/>
      <c r="AD572" s="30"/>
      <c r="AE572" s="30"/>
      <c r="AF572" s="30"/>
      <c r="AG572" s="30"/>
      <c r="AH572" s="30"/>
      <c r="AI572" s="30"/>
      <c r="AJ572" s="30"/>
      <c r="AK572" s="30"/>
      <c r="AL572" s="30"/>
      <c r="AM572" s="30"/>
      <c r="AN572" s="30"/>
      <c r="AO572" s="30"/>
      <c r="AP572" s="30"/>
      <c r="AQ572" s="30"/>
      <c r="AR572" s="30"/>
      <c r="AS572" s="30"/>
      <c r="AT572" s="30"/>
      <c r="AU572" s="30"/>
      <c r="AV572" s="30"/>
      <c r="AW572" s="30"/>
      <c r="AX572" s="30"/>
      <c r="AY572" s="30">
        <v>201972.21</v>
      </c>
      <c r="AZ572" s="30">
        <v>203364.18</v>
      </c>
      <c r="BA572" s="30" t="e">
        <f t="array" aca="1" ref="BA572" ca="1">_xludf.XLOOKUP(C572,'PL TOTAL D0'!A:A,'PL TOTAL D0'!C:C,"")</f>
        <v>#NAME?</v>
      </c>
    </row>
    <row r="573" spans="1:53" ht="15.75" customHeight="1">
      <c r="A573" s="23" t="s">
        <v>29</v>
      </c>
      <c r="B573" s="37" t="s">
        <v>1977</v>
      </c>
      <c r="C573" s="4" t="s">
        <v>1978</v>
      </c>
      <c r="D573" s="7" t="s">
        <v>19</v>
      </c>
      <c r="E573" s="7" t="s">
        <v>49</v>
      </c>
      <c r="F573" s="7" t="s">
        <v>50</v>
      </c>
      <c r="G573" s="7" t="e">
        <f t="shared" ca="1" si="24"/>
        <v>#NAME?</v>
      </c>
      <c r="H573" s="24" t="s">
        <v>161</v>
      </c>
      <c r="I573" s="24" t="s">
        <v>162</v>
      </c>
      <c r="J573" s="7" t="str">
        <f t="shared" si="27"/>
        <v>Não</v>
      </c>
      <c r="K573" s="25">
        <v>45163</v>
      </c>
      <c r="L573" s="7"/>
      <c r="M573" s="7" t="s">
        <v>42</v>
      </c>
      <c r="N573" s="26">
        <v>1.2E-2</v>
      </c>
      <c r="O573" s="7" t="s">
        <v>25</v>
      </c>
      <c r="P573" s="27">
        <v>0</v>
      </c>
      <c r="Q573" s="45"/>
      <c r="R573" s="45"/>
      <c r="S573" s="7" t="s">
        <v>145</v>
      </c>
      <c r="T573" s="7" t="s">
        <v>1979</v>
      </c>
      <c r="U573" s="7" t="s">
        <v>49</v>
      </c>
      <c r="V573" s="24" t="e">
        <f t="shared" ca="1" si="25"/>
        <v>#NAME?</v>
      </c>
      <c r="W573" s="7"/>
      <c r="X573" s="7"/>
      <c r="Y573" s="29" t="s">
        <v>147</v>
      </c>
      <c r="Z573" s="30"/>
      <c r="AA573" s="31">
        <v>45163</v>
      </c>
      <c r="AB573" s="32">
        <v>49075100011710</v>
      </c>
      <c r="AC573" s="30"/>
      <c r="AD573" s="30"/>
      <c r="AE573" s="30"/>
      <c r="AF573" s="30"/>
      <c r="AG573" s="30"/>
      <c r="AH573" s="30"/>
      <c r="AI573" s="30"/>
      <c r="AJ573" s="30"/>
      <c r="AK573" s="30"/>
      <c r="AL573" s="30">
        <v>0</v>
      </c>
      <c r="AM573" s="30">
        <v>0</v>
      </c>
      <c r="AN573" s="30">
        <v>0</v>
      </c>
      <c r="AO573" s="30">
        <v>0</v>
      </c>
      <c r="AP573" s="30">
        <v>0</v>
      </c>
      <c r="AQ573" s="30">
        <v>0</v>
      </c>
      <c r="AR573" s="30">
        <v>0</v>
      </c>
      <c r="AS573" s="30">
        <v>0</v>
      </c>
      <c r="AT573" s="30">
        <v>0</v>
      </c>
      <c r="AU573" s="30">
        <v>0</v>
      </c>
      <c r="AV573" s="30">
        <v>0</v>
      </c>
      <c r="AW573" s="30">
        <v>0</v>
      </c>
      <c r="AX573" s="30">
        <v>0</v>
      </c>
      <c r="AY573" s="30">
        <v>0</v>
      </c>
      <c r="AZ573" s="30">
        <v>0</v>
      </c>
      <c r="BA573" s="30" t="e">
        <f t="array" aca="1" ref="BA573" ca="1">_xludf.XLOOKUP(C573,'PL TOTAL D0'!A:A,'PL TOTAL D0'!C:C,"")</f>
        <v>#NAME?</v>
      </c>
    </row>
    <row r="574" spans="1:53" ht="15.75" customHeight="1">
      <c r="A574" s="23" t="s">
        <v>29</v>
      </c>
      <c r="B574" s="3" t="s">
        <v>1980</v>
      </c>
      <c r="C574" s="4" t="s">
        <v>1981</v>
      </c>
      <c r="D574" s="7" t="s">
        <v>19</v>
      </c>
      <c r="E574" s="7" t="s">
        <v>34</v>
      </c>
      <c r="F574" s="7" t="s">
        <v>262</v>
      </c>
      <c r="G574" s="7" t="e">
        <f t="shared" ca="1" si="24"/>
        <v>#NAME?</v>
      </c>
      <c r="H574" s="24" t="s">
        <v>161</v>
      </c>
      <c r="I574" s="24" t="s">
        <v>162</v>
      </c>
      <c r="J574" s="7" t="str">
        <f t="shared" si="27"/>
        <v>Não</v>
      </c>
      <c r="K574" s="25">
        <v>45163</v>
      </c>
      <c r="L574" s="25"/>
      <c r="M574" s="7" t="s">
        <v>42</v>
      </c>
      <c r="N574" s="26">
        <v>1.2E-2</v>
      </c>
      <c r="O574" s="7" t="s">
        <v>25</v>
      </c>
      <c r="P574" s="27">
        <v>0</v>
      </c>
      <c r="Q574" s="90"/>
      <c r="R574" s="28" t="s">
        <v>1882</v>
      </c>
      <c r="S574" s="7" t="s">
        <v>145</v>
      </c>
      <c r="T574" s="7" t="s">
        <v>1982</v>
      </c>
      <c r="U574" s="7" t="s">
        <v>39</v>
      </c>
      <c r="V574" s="24" t="e">
        <f t="shared" ca="1" si="25"/>
        <v>#NAME?</v>
      </c>
      <c r="W574" s="7"/>
      <c r="X574" s="7"/>
      <c r="Y574" s="29" t="s">
        <v>147</v>
      </c>
      <c r="Z574" s="30"/>
      <c r="AA574" s="31">
        <v>45163</v>
      </c>
      <c r="AB574" s="32">
        <v>49075100011729</v>
      </c>
      <c r="AC574" s="30"/>
      <c r="AD574" s="30"/>
      <c r="AE574" s="30"/>
      <c r="AF574" s="30"/>
      <c r="AG574" s="30"/>
      <c r="AH574" s="30"/>
      <c r="AI574" s="30">
        <v>0</v>
      </c>
      <c r="AJ574" s="30">
        <v>0</v>
      </c>
      <c r="AK574" s="30">
        <v>0</v>
      </c>
      <c r="AL574" s="30">
        <v>0</v>
      </c>
      <c r="AM574" s="30">
        <v>0</v>
      </c>
      <c r="AN574" s="30">
        <v>0</v>
      </c>
      <c r="AO574" s="30">
        <v>0</v>
      </c>
      <c r="AP574" s="30">
        <v>0</v>
      </c>
      <c r="AQ574" s="30">
        <v>0</v>
      </c>
      <c r="AR574" s="30">
        <v>0</v>
      </c>
      <c r="AS574" s="30">
        <v>0</v>
      </c>
      <c r="AT574" s="30">
        <v>0</v>
      </c>
      <c r="AU574" s="30">
        <v>0</v>
      </c>
      <c r="AV574" s="30">
        <v>0</v>
      </c>
      <c r="AW574" s="30">
        <v>0</v>
      </c>
      <c r="AX574" s="30">
        <v>0</v>
      </c>
      <c r="AY574" s="30">
        <v>0</v>
      </c>
      <c r="AZ574" s="30">
        <v>0</v>
      </c>
      <c r="BA574" s="30" t="e">
        <f t="array" aca="1" ref="BA574" ca="1">_xludf.XLOOKUP(C574,'PL TOTAL D0'!A:A,'PL TOTAL D0'!C:C,"")</f>
        <v>#NAME?</v>
      </c>
    </row>
    <row r="575" spans="1:53" ht="15.75" customHeight="1">
      <c r="A575" s="23" t="s">
        <v>29</v>
      </c>
      <c r="B575" s="3" t="s">
        <v>1983</v>
      </c>
      <c r="C575" s="41" t="s">
        <v>1984</v>
      </c>
      <c r="D575" s="7" t="s">
        <v>19</v>
      </c>
      <c r="E575" s="7" t="s">
        <v>49</v>
      </c>
      <c r="F575" s="162" t="s">
        <v>50</v>
      </c>
      <c r="G575" s="7" t="e">
        <f t="shared" ca="1" si="24"/>
        <v>#NAME?</v>
      </c>
      <c r="H575" s="24" t="s">
        <v>161</v>
      </c>
      <c r="I575" s="24" t="s">
        <v>162</v>
      </c>
      <c r="J575" s="7" t="str">
        <f t="shared" si="27"/>
        <v>Não</v>
      </c>
      <c r="K575" s="25">
        <v>45173</v>
      </c>
      <c r="L575" s="26"/>
      <c r="M575" s="7" t="s">
        <v>42</v>
      </c>
      <c r="N575" s="26">
        <v>1.2E-2</v>
      </c>
      <c r="O575" s="7" t="s">
        <v>25</v>
      </c>
      <c r="P575" s="27">
        <v>0</v>
      </c>
      <c r="Q575" s="163"/>
      <c r="R575" s="28"/>
      <c r="S575" s="7" t="s">
        <v>145</v>
      </c>
      <c r="T575" s="7" t="s">
        <v>1985</v>
      </c>
      <c r="U575" s="78" t="s">
        <v>49</v>
      </c>
      <c r="V575" s="24" t="e">
        <f t="shared" ca="1" si="25"/>
        <v>#NAME?</v>
      </c>
      <c r="W575" s="163"/>
      <c r="X575" s="163"/>
      <c r="Y575" s="28" t="s">
        <v>147</v>
      </c>
      <c r="Z575" s="163"/>
      <c r="AA575" s="164">
        <v>45173</v>
      </c>
      <c r="AB575" s="165">
        <v>49075100011737</v>
      </c>
      <c r="AC575" s="166"/>
      <c r="AD575" s="166"/>
      <c r="AE575" s="166"/>
      <c r="AF575" s="166"/>
      <c r="AG575" s="166"/>
      <c r="AH575" s="166"/>
      <c r="AI575" s="166"/>
      <c r="AJ575" s="166"/>
      <c r="AK575" s="166"/>
      <c r="AL575" s="166"/>
      <c r="AM575" s="167">
        <v>0</v>
      </c>
      <c r="AN575" s="30">
        <v>70505.919999999998</v>
      </c>
      <c r="AO575" s="30">
        <v>71100.929999999993</v>
      </c>
      <c r="AP575" s="30">
        <v>71586.33</v>
      </c>
      <c r="AQ575" s="30">
        <v>72109.81</v>
      </c>
      <c r="AR575" s="30">
        <v>72717.95</v>
      </c>
      <c r="AS575" s="30">
        <v>73256.820000000007</v>
      </c>
      <c r="AT575" s="30">
        <v>73840.23</v>
      </c>
      <c r="AU575" s="30">
        <v>74216.2</v>
      </c>
      <c r="AV575" s="30">
        <v>74779.009999999995</v>
      </c>
      <c r="AW575" s="30">
        <v>75375.78</v>
      </c>
      <c r="AX575" s="30">
        <v>76015.42</v>
      </c>
      <c r="AY575" s="30">
        <v>0</v>
      </c>
      <c r="AZ575" s="30">
        <v>0</v>
      </c>
      <c r="BA575" s="30" t="e">
        <f t="array" aca="1" ref="BA575" ca="1">_xludf.XLOOKUP(C575,'PL TOTAL D0'!A:A,'PL TOTAL D0'!C:C,"")</f>
        <v>#NAME?</v>
      </c>
    </row>
    <row r="576" spans="1:53" ht="15.75" customHeight="1">
      <c r="A576" s="23" t="s">
        <v>29</v>
      </c>
      <c r="B576" s="3" t="s">
        <v>1986</v>
      </c>
      <c r="C576" s="4" t="s">
        <v>1987</v>
      </c>
      <c r="D576" s="7" t="s">
        <v>19</v>
      </c>
      <c r="E576" s="7" t="s">
        <v>20</v>
      </c>
      <c r="F576" s="7" t="s">
        <v>800</v>
      </c>
      <c r="G576" s="7" t="e">
        <f t="shared" ca="1" si="24"/>
        <v>#NAME?</v>
      </c>
      <c r="H576" s="24" t="s">
        <v>152</v>
      </c>
      <c r="I576" s="24" t="s">
        <v>25</v>
      </c>
      <c r="J576" s="7" t="str">
        <f t="shared" si="27"/>
        <v>Não</v>
      </c>
      <c r="K576" s="25">
        <v>44993</v>
      </c>
      <c r="L576" s="7"/>
      <c r="M576" s="7" t="s">
        <v>42</v>
      </c>
      <c r="N576" s="26">
        <v>7.0000000000000001E-3</v>
      </c>
      <c r="O576" s="7" t="s">
        <v>25</v>
      </c>
      <c r="P576" s="27">
        <v>0</v>
      </c>
      <c r="Q576" s="28"/>
      <c r="R576" s="90"/>
      <c r="S576" s="7" t="s">
        <v>145</v>
      </c>
      <c r="T576" s="7" t="s">
        <v>1988</v>
      </c>
      <c r="U576" s="7" t="s">
        <v>49</v>
      </c>
      <c r="V576" s="24" t="e">
        <f t="shared" ca="1" si="25"/>
        <v>#NAME?</v>
      </c>
      <c r="W576" s="7"/>
      <c r="X576" s="7"/>
      <c r="Y576" s="29" t="s">
        <v>147</v>
      </c>
      <c r="Z576" s="30"/>
      <c r="AA576" s="31">
        <v>44993</v>
      </c>
      <c r="AB576" s="32">
        <v>49075100009546</v>
      </c>
      <c r="AC576" s="30"/>
      <c r="AD576" s="30"/>
      <c r="AE576" s="30"/>
      <c r="AF576" s="30"/>
      <c r="AG576" s="30">
        <v>0</v>
      </c>
      <c r="AH576" s="30">
        <v>1604739.39</v>
      </c>
      <c r="AI576" s="30">
        <v>1473903.2</v>
      </c>
      <c r="AJ576" s="30">
        <v>1481389.2</v>
      </c>
      <c r="AK576" s="30">
        <v>1491823.87</v>
      </c>
      <c r="AL576" s="30">
        <v>1242237.8999999999</v>
      </c>
      <c r="AM576" s="30">
        <v>1248948.75</v>
      </c>
      <c r="AN576" s="30">
        <v>1248278.3500000001</v>
      </c>
      <c r="AO576" s="30">
        <v>1249070.19</v>
      </c>
      <c r="AP576" s="30">
        <v>1262605.28</v>
      </c>
      <c r="AQ576" s="30">
        <v>1269804.17</v>
      </c>
      <c r="AR576" s="30">
        <v>1268448.4099999999</v>
      </c>
      <c r="AS576" s="30">
        <v>1277858.49</v>
      </c>
      <c r="AT576" s="30">
        <v>1200219.25</v>
      </c>
      <c r="AU576" s="30">
        <v>1203299.21</v>
      </c>
      <c r="AV576" s="30">
        <v>1212906</v>
      </c>
      <c r="AW576" s="30">
        <v>1223279</v>
      </c>
      <c r="AX576" s="30">
        <v>1233758</v>
      </c>
      <c r="AY576" s="30">
        <v>1241548.74</v>
      </c>
      <c r="AZ576" s="30">
        <v>1248892.6100000001</v>
      </c>
      <c r="BA576" s="30" t="e">
        <f t="array" aca="1" ref="BA576" ca="1">_xludf.XLOOKUP(C576,'PL TOTAL D0'!A:A,'PL TOTAL D0'!C:C,"")</f>
        <v>#NAME?</v>
      </c>
    </row>
    <row r="577" spans="1:53" ht="15.75" customHeight="1">
      <c r="A577" s="23" t="s">
        <v>29</v>
      </c>
      <c r="B577" s="40" t="s">
        <v>1989</v>
      </c>
      <c r="C577" s="41" t="s">
        <v>1990</v>
      </c>
      <c r="D577" s="7" t="s">
        <v>64</v>
      </c>
      <c r="E577" s="7" t="s">
        <v>20</v>
      </c>
      <c r="F577" s="7" t="s">
        <v>142</v>
      </c>
      <c r="G577" s="7" t="e">
        <f t="shared" ca="1" si="24"/>
        <v>#NAME?</v>
      </c>
      <c r="H577" s="24" t="s">
        <v>143</v>
      </c>
      <c r="I577" s="24" t="s">
        <v>25</v>
      </c>
      <c r="J577" s="7" t="str">
        <f t="shared" si="27"/>
        <v>Não</v>
      </c>
      <c r="K577" s="25">
        <v>45184</v>
      </c>
      <c r="L577" s="25">
        <v>45525</v>
      </c>
      <c r="M577" s="7" t="s">
        <v>42</v>
      </c>
      <c r="N577" s="26">
        <v>8.0000000000000002E-3</v>
      </c>
      <c r="O577" s="7" t="s">
        <v>25</v>
      </c>
      <c r="P577" s="27">
        <v>0</v>
      </c>
      <c r="Q577" s="23"/>
      <c r="R577" s="69"/>
      <c r="S577" s="7" t="s">
        <v>145</v>
      </c>
      <c r="T577" s="7" t="s">
        <v>1991</v>
      </c>
      <c r="U577" s="78" t="s">
        <v>20</v>
      </c>
      <c r="V577" s="24" t="e">
        <f t="shared" ca="1" si="25"/>
        <v>#NAME?</v>
      </c>
      <c r="W577" s="163"/>
      <c r="X577" s="163"/>
      <c r="Y577" s="28" t="s">
        <v>147</v>
      </c>
      <c r="Z577" s="163"/>
      <c r="AA577" s="164">
        <v>45184</v>
      </c>
      <c r="AB577" s="165">
        <v>49075100011745</v>
      </c>
      <c r="AC577" s="166"/>
      <c r="AD577" s="166"/>
      <c r="AE577" s="166"/>
      <c r="AF577" s="166"/>
      <c r="AG577" s="166"/>
      <c r="AH577" s="166"/>
      <c r="AI577" s="166"/>
      <c r="AJ577" s="166"/>
      <c r="AK577" s="166"/>
      <c r="AL577" s="166"/>
      <c r="AM577" s="167"/>
      <c r="AN577" s="30">
        <v>2545016.37</v>
      </c>
      <c r="AO577" s="30">
        <v>3615194.62</v>
      </c>
      <c r="AP577" s="30">
        <v>4149605.23</v>
      </c>
      <c r="AQ577" s="30">
        <v>4189690.54</v>
      </c>
      <c r="AR577" s="30">
        <v>4230755.17</v>
      </c>
      <c r="AS577" s="30">
        <v>4419040.9400000004</v>
      </c>
      <c r="AT577" s="30">
        <v>4460551.74</v>
      </c>
      <c r="AU577" s="30">
        <v>4494765.13</v>
      </c>
      <c r="AV577" s="30">
        <v>4536217</v>
      </c>
      <c r="AW577" s="30">
        <v>4576159</v>
      </c>
      <c r="AX577" s="30">
        <v>4613440</v>
      </c>
      <c r="AY577" s="30">
        <v>0</v>
      </c>
      <c r="AZ577" s="30">
        <v>0</v>
      </c>
      <c r="BA577" s="30" t="e">
        <f t="array" aca="1" ref="BA577" ca="1">_xludf.XLOOKUP(C577,'PL TOTAL D0'!A:A,'PL TOTAL D0'!C:C,"")</f>
        <v>#NAME?</v>
      </c>
    </row>
    <row r="578" spans="1:53" ht="15.75" customHeight="1">
      <c r="A578" s="23" t="s">
        <v>29</v>
      </c>
      <c r="B578" s="3" t="s">
        <v>1992</v>
      </c>
      <c r="C578" s="4" t="s">
        <v>1993</v>
      </c>
      <c r="D578" s="7" t="s">
        <v>19</v>
      </c>
      <c r="E578" s="7" t="s">
        <v>49</v>
      </c>
      <c r="F578" s="7" t="s">
        <v>166</v>
      </c>
      <c r="G578" s="7" t="e">
        <f t="shared" ca="1" si="24"/>
        <v>#NAME?</v>
      </c>
      <c r="H578" s="24" t="s">
        <v>161</v>
      </c>
      <c r="I578" s="24" t="s">
        <v>162</v>
      </c>
      <c r="J578" s="7" t="str">
        <f t="shared" si="27"/>
        <v>Não</v>
      </c>
      <c r="K578" s="25">
        <v>44951</v>
      </c>
      <c r="L578" s="7"/>
      <c r="M578" s="7" t="s">
        <v>42</v>
      </c>
      <c r="N578" s="26">
        <v>7.0000000000000001E-3</v>
      </c>
      <c r="O578" s="7" t="s">
        <v>25</v>
      </c>
      <c r="P578" s="27">
        <v>0</v>
      </c>
      <c r="Q578" s="90"/>
      <c r="R578" s="90"/>
      <c r="S578" s="7" t="s">
        <v>145</v>
      </c>
      <c r="T578" s="7" t="s">
        <v>1994</v>
      </c>
      <c r="U578" s="7" t="s">
        <v>49</v>
      </c>
      <c r="V578" s="24" t="e">
        <f t="shared" ca="1" si="25"/>
        <v>#NAME?</v>
      </c>
      <c r="W578" s="7"/>
      <c r="X578" s="7"/>
      <c r="Y578" s="29" t="s">
        <v>147</v>
      </c>
      <c r="Z578" s="30"/>
      <c r="AA578" s="31">
        <v>44951</v>
      </c>
      <c r="AB578" s="32">
        <v>49075100006172</v>
      </c>
      <c r="AC578" s="30"/>
      <c r="AD578" s="30"/>
      <c r="AE578" s="30"/>
      <c r="AF578" s="30">
        <v>116998.11</v>
      </c>
      <c r="AG578" s="30">
        <v>124923.21</v>
      </c>
      <c r="AH578" s="30">
        <v>110310.81</v>
      </c>
      <c r="AI578" s="30">
        <v>109478.85</v>
      </c>
      <c r="AJ578" s="30">
        <v>86217.05</v>
      </c>
      <c r="AK578" s="30">
        <v>50580.59</v>
      </c>
      <c r="AL578" s="30">
        <v>35709.370000000003</v>
      </c>
      <c r="AM578" s="30">
        <v>25952.12</v>
      </c>
      <c r="AN578" s="30">
        <v>22046.5</v>
      </c>
      <c r="AO578" s="30">
        <v>22262.6</v>
      </c>
      <c r="AP578" s="30">
        <v>20432.400000000001</v>
      </c>
      <c r="AQ578" s="30">
        <v>26.17</v>
      </c>
      <c r="AR578" s="30">
        <v>19.079999999999998</v>
      </c>
      <c r="AS578" s="30">
        <v>20.72</v>
      </c>
      <c r="AT578" s="30">
        <v>20.72</v>
      </c>
      <c r="AU578" s="30">
        <v>20.75</v>
      </c>
      <c r="AV578" s="30">
        <v>20.75</v>
      </c>
      <c r="AW578" s="30">
        <v>20.75</v>
      </c>
      <c r="AX578" s="30">
        <v>20.75</v>
      </c>
      <c r="AY578" s="30">
        <v>20.75</v>
      </c>
      <c r="AZ578" s="30">
        <v>20.75</v>
      </c>
      <c r="BA578" s="30" t="e">
        <f t="array" aca="1" ref="BA578" ca="1">_xludf.XLOOKUP(C578,'PL TOTAL D0'!A:A,'PL TOTAL D0'!C:C,"")</f>
        <v>#NAME?</v>
      </c>
    </row>
    <row r="579" spans="1:53" ht="17.25" customHeight="1">
      <c r="A579" s="23" t="s">
        <v>29</v>
      </c>
      <c r="B579" s="3" t="s">
        <v>1995</v>
      </c>
      <c r="C579" s="4" t="s">
        <v>1996</v>
      </c>
      <c r="D579" s="7" t="s">
        <v>19</v>
      </c>
      <c r="E579" s="7" t="s">
        <v>49</v>
      </c>
      <c r="F579" s="7" t="s">
        <v>166</v>
      </c>
      <c r="G579" s="7" t="e">
        <f t="shared" ca="1" si="24"/>
        <v>#NAME?</v>
      </c>
      <c r="H579" s="24" t="s">
        <v>152</v>
      </c>
      <c r="I579" s="24" t="s">
        <v>25</v>
      </c>
      <c r="J579" s="7" t="str">
        <f t="shared" si="27"/>
        <v>Não</v>
      </c>
      <c r="K579" s="25">
        <v>44949</v>
      </c>
      <c r="L579" s="7"/>
      <c r="M579" s="7" t="s">
        <v>42</v>
      </c>
      <c r="N579" s="26">
        <v>1.2E-2</v>
      </c>
      <c r="O579" s="7" t="s">
        <v>25</v>
      </c>
      <c r="P579" s="27">
        <v>0</v>
      </c>
      <c r="Q579" s="23"/>
      <c r="R579" s="28" t="s">
        <v>1997</v>
      </c>
      <c r="S579" s="7" t="s">
        <v>145</v>
      </c>
      <c r="T579" s="7" t="s">
        <v>1998</v>
      </c>
      <c r="U579" s="7" t="s">
        <v>49</v>
      </c>
      <c r="V579" s="24" t="e">
        <f t="shared" ca="1" si="25"/>
        <v>#NAME?</v>
      </c>
      <c r="W579" s="7"/>
      <c r="X579" s="7" t="s">
        <v>52</v>
      </c>
      <c r="Y579" s="29" t="s">
        <v>147</v>
      </c>
      <c r="Z579" s="30"/>
      <c r="AA579" s="31">
        <v>44949</v>
      </c>
      <c r="AB579" s="32">
        <v>49075100006180</v>
      </c>
      <c r="AC579" s="30"/>
      <c r="AD579" s="30"/>
      <c r="AE579" s="30"/>
      <c r="AF579" s="30">
        <v>1652218.89</v>
      </c>
      <c r="AG579" s="30">
        <v>1718110.98</v>
      </c>
      <c r="AH579" s="30">
        <v>1737740.56</v>
      </c>
      <c r="AI579" s="30">
        <v>1751867.31</v>
      </c>
      <c r="AJ579" s="30">
        <v>1769481.97</v>
      </c>
      <c r="AK579" s="30">
        <v>1781611.74</v>
      </c>
      <c r="AL579" s="30">
        <v>1795213.42</v>
      </c>
      <c r="AM579" s="30">
        <v>1805336.03</v>
      </c>
      <c r="AN579" s="30">
        <v>1810474.77</v>
      </c>
      <c r="AO579" s="30">
        <v>1815036.86</v>
      </c>
      <c r="AP579" s="30">
        <v>1842147.25</v>
      </c>
      <c r="AQ579" s="30">
        <v>1867845.05</v>
      </c>
      <c r="AR579" s="30">
        <v>1848323.25</v>
      </c>
      <c r="AS579" s="30">
        <v>1862905.58</v>
      </c>
      <c r="AT579" s="30">
        <v>1882119.94</v>
      </c>
      <c r="AU579" s="30">
        <v>1878261.46</v>
      </c>
      <c r="AV579" s="30">
        <v>1875811</v>
      </c>
      <c r="AW579" s="30">
        <v>1632139</v>
      </c>
      <c r="AX579" s="30">
        <v>1613226</v>
      </c>
      <c r="AY579" s="30">
        <v>1623777.3</v>
      </c>
      <c r="AZ579" s="30">
        <v>1635856.96</v>
      </c>
      <c r="BA579" s="30" t="e">
        <f t="array" aca="1" ref="BA579" ca="1">_xludf.XLOOKUP(C579,'PL TOTAL D0'!A:A,'PL TOTAL D0'!C:C,"")</f>
        <v>#NAME?</v>
      </c>
    </row>
    <row r="580" spans="1:53" ht="17.25" customHeight="1">
      <c r="A580" s="23" t="s">
        <v>29</v>
      </c>
      <c r="B580" s="3" t="s">
        <v>1995</v>
      </c>
      <c r="C580" s="4" t="s">
        <v>1999</v>
      </c>
      <c r="D580" s="7" t="s">
        <v>19</v>
      </c>
      <c r="E580" s="7" t="s">
        <v>49</v>
      </c>
      <c r="F580" s="7" t="s">
        <v>166</v>
      </c>
      <c r="G580" s="7" t="e">
        <f t="shared" ca="1" si="24"/>
        <v>#NAME?</v>
      </c>
      <c r="H580" s="24" t="s">
        <v>161</v>
      </c>
      <c r="I580" s="24" t="s">
        <v>1045</v>
      </c>
      <c r="J580" s="7" t="str">
        <f t="shared" si="27"/>
        <v>Não</v>
      </c>
      <c r="K580" s="25">
        <v>45432</v>
      </c>
      <c r="L580" s="7"/>
      <c r="M580" s="7" t="s">
        <v>87</v>
      </c>
      <c r="N580" s="26">
        <v>1.0999999999999999E-2</v>
      </c>
      <c r="O580" s="7" t="s">
        <v>183</v>
      </c>
      <c r="P580" s="27">
        <v>0.2</v>
      </c>
      <c r="Q580" s="23"/>
      <c r="R580" s="28"/>
      <c r="S580" s="7" t="s">
        <v>145</v>
      </c>
      <c r="T580" s="7" t="s">
        <v>1998</v>
      </c>
      <c r="U580" s="7" t="s">
        <v>49</v>
      </c>
      <c r="V580" s="24" t="e">
        <f t="shared" ca="1" si="25"/>
        <v>#NAME?</v>
      </c>
      <c r="W580" s="7"/>
      <c r="X580" s="7" t="s">
        <v>52</v>
      </c>
      <c r="Y580" s="29" t="s">
        <v>147</v>
      </c>
      <c r="Z580" s="30"/>
      <c r="AA580" s="31">
        <v>45432</v>
      </c>
      <c r="AB580" s="32">
        <v>49075100014590</v>
      </c>
      <c r="AC580" s="30"/>
      <c r="AD580" s="30"/>
      <c r="AE580" s="30"/>
      <c r="AF580" s="30"/>
      <c r="AG580" s="30"/>
      <c r="AH580" s="30"/>
      <c r="AI580" s="30"/>
      <c r="AJ580" s="30"/>
      <c r="AK580" s="30"/>
      <c r="AL580" s="30"/>
      <c r="AM580" s="30"/>
      <c r="AN580" s="30"/>
      <c r="AO580" s="30"/>
      <c r="AP580" s="30"/>
      <c r="AQ580" s="30"/>
      <c r="AR580" s="30"/>
      <c r="AS580" s="30"/>
      <c r="AT580" s="30"/>
      <c r="AU580" s="30"/>
      <c r="AV580" s="30">
        <v>0</v>
      </c>
      <c r="AW580" s="30">
        <v>252060.9</v>
      </c>
      <c r="AX580" s="30">
        <v>275648.90000000002</v>
      </c>
      <c r="AY580" s="30">
        <v>281905.65999999997</v>
      </c>
      <c r="AZ580" s="30">
        <v>276392.7</v>
      </c>
      <c r="BA580" s="30" t="e">
        <f t="array" aca="1" ref="BA580" ca="1">_xludf.XLOOKUP(C580,'PL TOTAL D0'!A:A,'PL TOTAL D0'!C:C,"")</f>
        <v>#NAME?</v>
      </c>
    </row>
    <row r="581" spans="1:53" ht="15.75" customHeight="1">
      <c r="A581" s="23" t="s">
        <v>29</v>
      </c>
      <c r="B581" s="3" t="s">
        <v>2000</v>
      </c>
      <c r="C581" s="4" t="s">
        <v>2001</v>
      </c>
      <c r="D581" s="7" t="s">
        <v>19</v>
      </c>
      <c r="E581" s="7" t="s">
        <v>49</v>
      </c>
      <c r="F581" s="7" t="s">
        <v>50</v>
      </c>
      <c r="G581" s="7" t="e">
        <f t="shared" ca="1" si="24"/>
        <v>#NAME?</v>
      </c>
      <c r="H581" s="24" t="s">
        <v>152</v>
      </c>
      <c r="I581" s="24" t="s">
        <v>25</v>
      </c>
      <c r="J581" s="7" t="str">
        <f t="shared" si="27"/>
        <v>Sim</v>
      </c>
      <c r="K581" s="25">
        <v>44957</v>
      </c>
      <c r="L581" s="7"/>
      <c r="M581" s="7" t="s">
        <v>42</v>
      </c>
      <c r="N581" s="26">
        <v>0.01</v>
      </c>
      <c r="O581" s="7" t="s">
        <v>25</v>
      </c>
      <c r="P581" s="27">
        <v>0</v>
      </c>
      <c r="Q581" s="28" t="s">
        <v>2002</v>
      </c>
      <c r="R581" s="28"/>
      <c r="S581" s="7" t="s">
        <v>145</v>
      </c>
      <c r="T581" s="7" t="s">
        <v>2003</v>
      </c>
      <c r="U581" s="7" t="s">
        <v>49</v>
      </c>
      <c r="V581" s="24" t="e">
        <f t="shared" ca="1" si="25"/>
        <v>#NAME?</v>
      </c>
      <c r="W581" s="7"/>
      <c r="X581" s="7"/>
      <c r="Y581" s="29" t="s">
        <v>147</v>
      </c>
      <c r="Z581" s="30"/>
      <c r="AA581" s="31">
        <v>44957</v>
      </c>
      <c r="AB581" s="32">
        <v>49075100006199</v>
      </c>
      <c r="AC581" s="30"/>
      <c r="AD581" s="30"/>
      <c r="AE581" s="30"/>
      <c r="AF581" s="30">
        <v>77520.320000000007</v>
      </c>
      <c r="AG581" s="30">
        <v>78310.67</v>
      </c>
      <c r="AH581" s="30">
        <v>79413.38</v>
      </c>
      <c r="AI581" s="30">
        <v>84128.08</v>
      </c>
      <c r="AJ581" s="30">
        <v>80132.509999999995</v>
      </c>
      <c r="AK581" s="30">
        <v>70966.44</v>
      </c>
      <c r="AL581" s="30">
        <v>71598.240000000005</v>
      </c>
      <c r="AM581" s="30">
        <v>67173.2</v>
      </c>
      <c r="AN581" s="30">
        <v>46567.55</v>
      </c>
      <c r="AO581" s="30">
        <v>86670.15</v>
      </c>
      <c r="AP581" s="30">
        <v>90825.27</v>
      </c>
      <c r="AQ581" s="30">
        <v>75577.759999999995</v>
      </c>
      <c r="AR581" s="30">
        <v>73095.179999999993</v>
      </c>
      <c r="AS581" s="30">
        <v>56074.58</v>
      </c>
      <c r="AT581" s="30">
        <v>53505.91</v>
      </c>
      <c r="AU581" s="30">
        <v>50057.03</v>
      </c>
      <c r="AV581" s="30">
        <v>45394.28</v>
      </c>
      <c r="AW581" s="30">
        <v>35310.379999999997</v>
      </c>
      <c r="AX581" s="30">
        <v>35609.629999999997</v>
      </c>
      <c r="AY581" s="30">
        <v>55024.88</v>
      </c>
      <c r="AZ581" s="30">
        <v>40156.18</v>
      </c>
      <c r="BA581" s="30" t="e">
        <f t="array" aca="1" ref="BA581" ca="1">_xludf.XLOOKUP(C581,'PL TOTAL D0'!A:A,'PL TOTAL D0'!C:C,"")</f>
        <v>#NAME?</v>
      </c>
    </row>
    <row r="582" spans="1:53" ht="15.75" customHeight="1">
      <c r="A582" s="23" t="s">
        <v>29</v>
      </c>
      <c r="B582" s="3" t="s">
        <v>2004</v>
      </c>
      <c r="C582" s="4" t="s">
        <v>2005</v>
      </c>
      <c r="D582" s="7" t="s">
        <v>64</v>
      </c>
      <c r="E582" s="7" t="s">
        <v>20</v>
      </c>
      <c r="F582" s="7" t="s">
        <v>489</v>
      </c>
      <c r="G582" s="7" t="e">
        <f t="shared" ca="1" si="24"/>
        <v>#NAME?</v>
      </c>
      <c r="H582" s="24" t="s">
        <v>161</v>
      </c>
      <c r="I582" s="24" t="s">
        <v>211</v>
      </c>
      <c r="J582" s="7" t="s">
        <v>181</v>
      </c>
      <c r="K582" s="25">
        <v>45349</v>
      </c>
      <c r="L582" s="7"/>
      <c r="M582" s="7" t="s">
        <v>350</v>
      </c>
      <c r="N582" s="26">
        <v>5.0000000000000001E-3</v>
      </c>
      <c r="O582" s="7" t="s">
        <v>25</v>
      </c>
      <c r="P582" s="27">
        <v>0</v>
      </c>
      <c r="Q582" s="28"/>
      <c r="R582" s="28"/>
      <c r="S582" s="7" t="s">
        <v>145</v>
      </c>
      <c r="T582" s="7" t="s">
        <v>2006</v>
      </c>
      <c r="U582" s="7"/>
      <c r="V582" s="24" t="e">
        <f t="shared" ca="1" si="25"/>
        <v>#NAME?</v>
      </c>
      <c r="W582" s="7"/>
      <c r="X582" s="7"/>
      <c r="Y582" s="29"/>
      <c r="Z582" s="30"/>
      <c r="AA582" s="31">
        <v>45349</v>
      </c>
      <c r="AB582" s="32">
        <v>49075100013608</v>
      </c>
      <c r="AC582" s="30"/>
      <c r="AD582" s="30"/>
      <c r="AE582" s="30"/>
      <c r="AF582" s="30"/>
      <c r="AG582" s="30"/>
      <c r="AH582" s="30"/>
      <c r="AI582" s="30"/>
      <c r="AJ582" s="30"/>
      <c r="AK582" s="30"/>
      <c r="AL582" s="30"/>
      <c r="AM582" s="30"/>
      <c r="AN582" s="30"/>
      <c r="AO582" s="30"/>
      <c r="AP582" s="30"/>
      <c r="AQ582" s="30"/>
      <c r="AR582" s="30"/>
      <c r="AS582" s="30">
        <v>446964.19</v>
      </c>
      <c r="AT582" s="30">
        <v>450866.14</v>
      </c>
      <c r="AU582" s="30">
        <v>453991.84</v>
      </c>
      <c r="AV582" s="30">
        <v>457590.4</v>
      </c>
      <c r="AW582" s="30">
        <v>460874.1</v>
      </c>
      <c r="AX582" s="30">
        <v>0</v>
      </c>
      <c r="AY582" s="30">
        <v>0</v>
      </c>
      <c r="AZ582" s="30">
        <v>0</v>
      </c>
      <c r="BA582" s="30" t="e">
        <f t="array" aca="1" ref="BA582" ca="1">_xludf.XLOOKUP(C582,'PL TOTAL D0'!A:A,'PL TOTAL D0'!C:C,"")</f>
        <v>#NAME?</v>
      </c>
    </row>
    <row r="583" spans="1:53" ht="15" customHeight="1">
      <c r="A583" s="23" t="s">
        <v>29</v>
      </c>
      <c r="B583" s="40" t="s">
        <v>2007</v>
      </c>
      <c r="C583" s="41" t="s">
        <v>2008</v>
      </c>
      <c r="D583" s="7" t="s">
        <v>19</v>
      </c>
      <c r="E583" s="7" t="s">
        <v>34</v>
      </c>
      <c r="F583" s="7" t="s">
        <v>262</v>
      </c>
      <c r="G583" s="7" t="e">
        <f t="shared" ca="1" si="24"/>
        <v>#NAME?</v>
      </c>
      <c r="H583" s="24" t="s">
        <v>152</v>
      </c>
      <c r="I583" s="24" t="s">
        <v>25</v>
      </c>
      <c r="J583" s="7" t="str">
        <f t="shared" ref="J583:J595" si="28">IF(Q583=0,"Não","Sim")</f>
        <v>Sim</v>
      </c>
      <c r="K583" s="25">
        <v>45188</v>
      </c>
      <c r="L583" s="25"/>
      <c r="M583" s="7" t="s">
        <v>42</v>
      </c>
      <c r="N583" s="26">
        <v>1.2E-2</v>
      </c>
      <c r="O583" s="7" t="s">
        <v>25</v>
      </c>
      <c r="P583" s="27">
        <v>0</v>
      </c>
      <c r="Q583" s="28" t="s">
        <v>2009</v>
      </c>
      <c r="R583" s="90"/>
      <c r="S583" s="7" t="s">
        <v>145</v>
      </c>
      <c r="T583" s="7" t="s">
        <v>2010</v>
      </c>
      <c r="U583" s="7" t="s">
        <v>39</v>
      </c>
      <c r="V583" s="24" t="e">
        <f t="shared" ca="1" si="25"/>
        <v>#NAME?</v>
      </c>
      <c r="W583" s="7"/>
      <c r="X583" s="7"/>
      <c r="Y583" s="29" t="s">
        <v>147</v>
      </c>
      <c r="Z583" s="30"/>
      <c r="AA583" s="31">
        <v>45188</v>
      </c>
      <c r="AB583" s="32">
        <v>49075100011761</v>
      </c>
      <c r="AC583" s="30"/>
      <c r="AD583" s="30"/>
      <c r="AE583" s="30"/>
      <c r="AF583" s="30"/>
      <c r="AG583" s="30"/>
      <c r="AH583" s="30"/>
      <c r="AI583" s="30"/>
      <c r="AJ583" s="30"/>
      <c r="AK583" s="30"/>
      <c r="AL583" s="30"/>
      <c r="AM583" s="30"/>
      <c r="AN583" s="30">
        <v>0</v>
      </c>
      <c r="AO583" s="30">
        <v>0</v>
      </c>
      <c r="AP583" s="30">
        <v>51205.919999999998</v>
      </c>
      <c r="AQ583" s="30">
        <v>55414.38</v>
      </c>
      <c r="AR583" s="30">
        <v>55914.48</v>
      </c>
      <c r="AS583" s="30">
        <v>56330.84</v>
      </c>
      <c r="AT583" s="30">
        <v>56802</v>
      </c>
      <c r="AU583" s="30">
        <v>58242.94</v>
      </c>
      <c r="AV583" s="30">
        <v>59719.43</v>
      </c>
      <c r="AW583" s="30">
        <v>68125.42</v>
      </c>
      <c r="AX583" s="30">
        <v>123569</v>
      </c>
      <c r="AY583" s="30">
        <v>129444.74</v>
      </c>
      <c r="AZ583" s="30">
        <v>133897.38</v>
      </c>
      <c r="BA583" s="30" t="e">
        <f t="array" aca="1" ref="BA583" ca="1">_xludf.XLOOKUP(C583,'PL TOTAL D0'!A:A,'PL TOTAL D0'!C:C,"")</f>
        <v>#NAME?</v>
      </c>
    </row>
    <row r="584" spans="1:53" ht="15" customHeight="1">
      <c r="A584" s="23" t="s">
        <v>29</v>
      </c>
      <c r="B584" s="36" t="s">
        <v>2007</v>
      </c>
      <c r="C584" s="34" t="s">
        <v>2011</v>
      </c>
      <c r="D584" s="7" t="s">
        <v>19</v>
      </c>
      <c r="E584" s="7" t="s">
        <v>34</v>
      </c>
      <c r="F584" s="7" t="s">
        <v>262</v>
      </c>
      <c r="G584" s="7" t="e">
        <f t="shared" ca="1" si="24"/>
        <v>#NAME?</v>
      </c>
      <c r="H584" s="24" t="s">
        <v>152</v>
      </c>
      <c r="I584" s="24" t="s">
        <v>25</v>
      </c>
      <c r="J584" s="7" t="str">
        <f t="shared" si="28"/>
        <v>Sim</v>
      </c>
      <c r="K584" s="25">
        <v>45212</v>
      </c>
      <c r="L584" s="25"/>
      <c r="M584" s="7" t="s">
        <v>42</v>
      </c>
      <c r="N584" s="26">
        <v>1.2E-2</v>
      </c>
      <c r="O584" s="7" t="s">
        <v>25</v>
      </c>
      <c r="P584" s="27">
        <v>0</v>
      </c>
      <c r="Q584" s="28" t="s">
        <v>2009</v>
      </c>
      <c r="R584" s="90"/>
      <c r="S584" s="7" t="s">
        <v>145</v>
      </c>
      <c r="T584" s="7" t="s">
        <v>2010</v>
      </c>
      <c r="U584" s="7" t="s">
        <v>39</v>
      </c>
      <c r="V584" s="24" t="e">
        <f t="shared" ca="1" si="25"/>
        <v>#NAME?</v>
      </c>
      <c r="W584" s="7"/>
      <c r="X584" s="7"/>
      <c r="Y584" s="29" t="s">
        <v>147</v>
      </c>
      <c r="Z584" s="30"/>
      <c r="AA584" s="31">
        <v>45212</v>
      </c>
      <c r="AB584" s="32">
        <v>49075100012679</v>
      </c>
      <c r="AC584" s="30"/>
      <c r="AD584" s="30"/>
      <c r="AE584" s="30"/>
      <c r="AF584" s="30"/>
      <c r="AG584" s="30"/>
      <c r="AH584" s="30"/>
      <c r="AI584" s="30"/>
      <c r="AJ584" s="30"/>
      <c r="AK584" s="30"/>
      <c r="AL584" s="30"/>
      <c r="AM584" s="30"/>
      <c r="AN584" s="30"/>
      <c r="AO584" s="30">
        <v>0</v>
      </c>
      <c r="AP584" s="30">
        <v>54117.31</v>
      </c>
      <c r="AQ584" s="30">
        <v>54555.82</v>
      </c>
      <c r="AR584" s="30">
        <v>64099.99</v>
      </c>
      <c r="AS584" s="30">
        <v>143730.62</v>
      </c>
      <c r="AT584" s="30">
        <v>162158.76999999999</v>
      </c>
      <c r="AU584" s="30">
        <v>173441.07</v>
      </c>
      <c r="AV584" s="30">
        <v>181127.2</v>
      </c>
      <c r="AW584" s="30">
        <v>202441.3</v>
      </c>
      <c r="AX584" s="30">
        <v>206684.7</v>
      </c>
      <c r="AY584" s="30">
        <v>224889.24</v>
      </c>
      <c r="AZ584" s="30">
        <v>230075.41</v>
      </c>
      <c r="BA584" s="30" t="e">
        <f t="array" aca="1" ref="BA584" ca="1">_xludf.XLOOKUP(C584,'PL TOTAL D0'!A:A,'PL TOTAL D0'!C:C,"")</f>
        <v>#NAME?</v>
      </c>
    </row>
    <row r="585" spans="1:53" ht="15.75" customHeight="1">
      <c r="A585" s="23" t="s">
        <v>29</v>
      </c>
      <c r="B585" s="3" t="s">
        <v>2012</v>
      </c>
      <c r="C585" s="4" t="s">
        <v>2013</v>
      </c>
      <c r="D585" s="7" t="s">
        <v>19</v>
      </c>
      <c r="E585" s="7" t="s">
        <v>49</v>
      </c>
      <c r="F585" s="7" t="s">
        <v>277</v>
      </c>
      <c r="G585" s="7" t="e">
        <f t="shared" ca="1" si="24"/>
        <v>#NAME?</v>
      </c>
      <c r="H585" s="24" t="s">
        <v>161</v>
      </c>
      <c r="I585" s="24" t="s">
        <v>162</v>
      </c>
      <c r="J585" s="7" t="str">
        <f t="shared" si="28"/>
        <v>Não</v>
      </c>
      <c r="K585" s="25">
        <v>45356</v>
      </c>
      <c r="L585" s="25"/>
      <c r="M585" s="7" t="s">
        <v>42</v>
      </c>
      <c r="N585" s="26">
        <v>1.2E-2</v>
      </c>
      <c r="O585" s="7" t="s">
        <v>25</v>
      </c>
      <c r="P585" s="27">
        <v>0</v>
      </c>
      <c r="Q585" s="28"/>
      <c r="R585" s="28"/>
      <c r="S585" s="7" t="s">
        <v>145</v>
      </c>
      <c r="T585" s="6" t="s">
        <v>2014</v>
      </c>
      <c r="U585" s="7" t="s">
        <v>46</v>
      </c>
      <c r="V585" s="24" t="e">
        <f t="shared" ca="1" si="25"/>
        <v>#NAME?</v>
      </c>
      <c r="W585" s="7"/>
      <c r="X585" s="7"/>
      <c r="Y585" s="29" t="s">
        <v>147</v>
      </c>
      <c r="Z585" s="30"/>
      <c r="AA585" s="31">
        <v>45356</v>
      </c>
      <c r="AB585" s="32">
        <v>49075100013871</v>
      </c>
      <c r="AC585" s="30"/>
      <c r="AD585" s="30"/>
      <c r="AE585" s="30"/>
      <c r="AF585" s="30"/>
      <c r="AG585" s="30"/>
      <c r="AH585" s="30"/>
      <c r="AI585" s="30"/>
      <c r="AJ585" s="30"/>
      <c r="AK585" s="30"/>
      <c r="AL585" s="30"/>
      <c r="AM585" s="30"/>
      <c r="AN585" s="30"/>
      <c r="AO585" s="30"/>
      <c r="AP585" s="30"/>
      <c r="AQ585" s="30"/>
      <c r="AR585" s="30"/>
      <c r="AS585" s="30">
        <v>0</v>
      </c>
      <c r="AT585" s="30">
        <v>0</v>
      </c>
      <c r="AU585" s="30">
        <v>0</v>
      </c>
      <c r="AV585" s="30">
        <v>0</v>
      </c>
      <c r="AW585" s="30">
        <v>0</v>
      </c>
      <c r="AX585" s="30">
        <v>0</v>
      </c>
      <c r="AY585" s="30">
        <v>0</v>
      </c>
      <c r="AZ585" s="30">
        <v>0</v>
      </c>
      <c r="BA585" s="30" t="e">
        <f t="array" aca="1" ref="BA585" ca="1">_xludf.XLOOKUP(C585,'PL TOTAL D0'!A:A,'PL TOTAL D0'!C:C,"")</f>
        <v>#NAME?</v>
      </c>
    </row>
    <row r="586" spans="1:53" ht="15.75" customHeight="1">
      <c r="A586" s="23" t="s">
        <v>29</v>
      </c>
      <c r="B586" s="3" t="s">
        <v>2015</v>
      </c>
      <c r="C586" s="60" t="s">
        <v>2016</v>
      </c>
      <c r="D586" s="7" t="s">
        <v>19</v>
      </c>
      <c r="E586" s="7" t="s">
        <v>34</v>
      </c>
      <c r="F586" s="7" t="s">
        <v>616</v>
      </c>
      <c r="G586" s="7" t="e">
        <f t="shared" ca="1" si="24"/>
        <v>#NAME?</v>
      </c>
      <c r="H586" s="24" t="s">
        <v>161</v>
      </c>
      <c r="I586" s="24" t="s">
        <v>162</v>
      </c>
      <c r="J586" s="7" t="str">
        <f t="shared" si="28"/>
        <v>Não</v>
      </c>
      <c r="K586" s="25">
        <v>45163</v>
      </c>
      <c r="L586" s="25"/>
      <c r="M586" s="7" t="s">
        <v>42</v>
      </c>
      <c r="N586" s="26">
        <v>7.0000000000000001E-3</v>
      </c>
      <c r="O586" s="7" t="s">
        <v>25</v>
      </c>
      <c r="P586" s="27">
        <v>0</v>
      </c>
      <c r="Q586" s="90"/>
      <c r="R586" s="28" t="s">
        <v>1157</v>
      </c>
      <c r="S586" s="7" t="s">
        <v>145</v>
      </c>
      <c r="T586" s="7" t="s">
        <v>2017</v>
      </c>
      <c r="U586" s="7" t="s">
        <v>60</v>
      </c>
      <c r="V586" s="24" t="e">
        <f t="shared" ca="1" si="25"/>
        <v>#NAME?</v>
      </c>
      <c r="W586" s="7"/>
      <c r="X586" s="7"/>
      <c r="Y586" s="29" t="s">
        <v>147</v>
      </c>
      <c r="Z586" s="30"/>
      <c r="AA586" s="31">
        <v>45163</v>
      </c>
      <c r="AB586" s="32">
        <v>49075100011753</v>
      </c>
      <c r="AC586" s="30"/>
      <c r="AD586" s="30"/>
      <c r="AE586" s="30"/>
      <c r="AF586" s="30"/>
      <c r="AG586" s="30"/>
      <c r="AH586" s="30"/>
      <c r="AI586" s="30">
        <v>0</v>
      </c>
      <c r="AJ586" s="30">
        <v>0</v>
      </c>
      <c r="AK586" s="30">
        <v>0</v>
      </c>
      <c r="AL586" s="30">
        <v>0</v>
      </c>
      <c r="AM586" s="30">
        <v>0</v>
      </c>
      <c r="AN586" s="30">
        <v>0</v>
      </c>
      <c r="AO586" s="30">
        <v>0</v>
      </c>
      <c r="AP586" s="30">
        <v>0</v>
      </c>
      <c r="AQ586" s="30">
        <v>0</v>
      </c>
      <c r="AR586" s="30">
        <v>0</v>
      </c>
      <c r="AS586" s="30">
        <v>0</v>
      </c>
      <c r="AT586" s="30">
        <v>0</v>
      </c>
      <c r="AU586" s="30">
        <v>0</v>
      </c>
      <c r="AV586" s="30">
        <v>0</v>
      </c>
      <c r="AW586" s="30">
        <v>0</v>
      </c>
      <c r="AX586" s="30">
        <v>0</v>
      </c>
      <c r="AY586" s="30">
        <v>0</v>
      </c>
      <c r="AZ586" s="30">
        <v>0</v>
      </c>
      <c r="BA586" s="30" t="e">
        <f t="array" aca="1" ref="BA586" ca="1">_xludf.XLOOKUP(C586,'PL TOTAL D0'!A:A,'PL TOTAL D0'!C:C,"")</f>
        <v>#NAME?</v>
      </c>
    </row>
    <row r="587" spans="1:53" ht="15.75" customHeight="1">
      <c r="A587" s="23" t="s">
        <v>29</v>
      </c>
      <c r="B587" s="3" t="s">
        <v>2018</v>
      </c>
      <c r="C587" s="4" t="s">
        <v>2019</v>
      </c>
      <c r="D587" s="7" t="s">
        <v>19</v>
      </c>
      <c r="E587" s="7" t="s">
        <v>20</v>
      </c>
      <c r="F587" s="7" t="s">
        <v>199</v>
      </c>
      <c r="G587" s="7" t="e">
        <f t="shared" ca="1" si="24"/>
        <v>#NAME?</v>
      </c>
      <c r="H587" s="24" t="s">
        <v>152</v>
      </c>
      <c r="I587" s="24" t="s">
        <v>25</v>
      </c>
      <c r="J587" s="7" t="str">
        <f t="shared" si="28"/>
        <v>Não</v>
      </c>
      <c r="K587" s="25">
        <v>45162</v>
      </c>
      <c r="L587" s="25"/>
      <c r="M587" s="7" t="s">
        <v>42</v>
      </c>
      <c r="N587" s="26">
        <v>7.0000000000000001E-3</v>
      </c>
      <c r="O587" s="7" t="s">
        <v>25</v>
      </c>
      <c r="P587" s="27">
        <v>0</v>
      </c>
      <c r="Q587" s="90"/>
      <c r="R587" s="90"/>
      <c r="S587" s="7" t="s">
        <v>145</v>
      </c>
      <c r="T587" s="7" t="s">
        <v>2020</v>
      </c>
      <c r="U587" s="7" t="s">
        <v>49</v>
      </c>
      <c r="V587" s="24" t="e">
        <f t="shared" ca="1" si="25"/>
        <v>#NAME?</v>
      </c>
      <c r="W587" s="7"/>
      <c r="X587" s="7"/>
      <c r="Y587" s="29" t="s">
        <v>147</v>
      </c>
      <c r="Z587" s="30"/>
      <c r="AA587" s="31">
        <v>45162</v>
      </c>
      <c r="AB587" s="32">
        <v>49075100003211</v>
      </c>
      <c r="AC587" s="30"/>
      <c r="AD587" s="30"/>
      <c r="AE587" s="30"/>
      <c r="AF587" s="30"/>
      <c r="AG587" s="30"/>
      <c r="AH587" s="30"/>
      <c r="AI587" s="30"/>
      <c r="AJ587" s="30"/>
      <c r="AK587" s="30"/>
      <c r="AL587" s="30"/>
      <c r="AM587" s="30">
        <v>135422.26999999999</v>
      </c>
      <c r="AN587" s="30">
        <v>136497.06</v>
      </c>
      <c r="AO587" s="30">
        <v>137637.89000000001</v>
      </c>
      <c r="AP587" s="30">
        <v>138604.85999999999</v>
      </c>
      <c r="AQ587" s="30">
        <v>139642.28</v>
      </c>
      <c r="AR587" s="30">
        <v>140837.20000000001</v>
      </c>
      <c r="AS587" s="30">
        <v>141885.54999999999</v>
      </c>
      <c r="AT587" s="30">
        <v>142733.51999999999</v>
      </c>
      <c r="AU587" s="30">
        <v>143940.23000000001</v>
      </c>
      <c r="AV587" s="30">
        <v>145046.39999999999</v>
      </c>
      <c r="AW587" s="30">
        <v>146173.6</v>
      </c>
      <c r="AX587" s="30">
        <v>147414.1</v>
      </c>
      <c r="AY587" s="30">
        <v>148114.06</v>
      </c>
      <c r="AZ587" s="30">
        <v>149153.94</v>
      </c>
      <c r="BA587" s="30" t="e">
        <f t="array" aca="1" ref="BA587" ca="1">_xludf.XLOOKUP(C587,'PL TOTAL D0'!A:A,'PL TOTAL D0'!C:C,"")</f>
        <v>#NAME?</v>
      </c>
    </row>
    <row r="588" spans="1:53" ht="15.75" customHeight="1">
      <c r="A588" s="23" t="s">
        <v>29</v>
      </c>
      <c r="B588" s="3" t="s">
        <v>2021</v>
      </c>
      <c r="C588" s="4" t="s">
        <v>2022</v>
      </c>
      <c r="D588" s="7" t="s">
        <v>19</v>
      </c>
      <c r="E588" s="7" t="s">
        <v>49</v>
      </c>
      <c r="F588" s="7" t="s">
        <v>166</v>
      </c>
      <c r="G588" s="7" t="e">
        <f t="shared" ca="1" si="24"/>
        <v>#NAME?</v>
      </c>
      <c r="H588" s="24" t="s">
        <v>152</v>
      </c>
      <c r="I588" s="24" t="s">
        <v>25</v>
      </c>
      <c r="J588" s="7" t="str">
        <f t="shared" si="28"/>
        <v>Não</v>
      </c>
      <c r="K588" s="25">
        <v>45520</v>
      </c>
      <c r="L588" s="25"/>
      <c r="M588" s="7" t="s">
        <v>172</v>
      </c>
      <c r="N588" s="26">
        <v>0</v>
      </c>
      <c r="O588" s="7" t="s">
        <v>25</v>
      </c>
      <c r="P588" s="27">
        <v>0</v>
      </c>
      <c r="Q588" s="90"/>
      <c r="R588" s="90"/>
      <c r="S588" s="7" t="s">
        <v>145</v>
      </c>
      <c r="T588" s="7" t="s">
        <v>2023</v>
      </c>
      <c r="U588" s="7" t="s">
        <v>49</v>
      </c>
      <c r="V588" s="24" t="e">
        <f t="shared" ca="1" si="25"/>
        <v>#NAME?</v>
      </c>
      <c r="W588" s="7"/>
      <c r="X588" s="7" t="s">
        <v>40</v>
      </c>
      <c r="Y588" s="29" t="s">
        <v>253</v>
      </c>
      <c r="Z588" s="30"/>
      <c r="AA588" s="30"/>
      <c r="AB588" s="32"/>
      <c r="AC588" s="30"/>
      <c r="AD588" s="30"/>
      <c r="AE588" s="30"/>
      <c r="AF588" s="30"/>
      <c r="AG588" s="30"/>
      <c r="AH588" s="30"/>
      <c r="AI588" s="30"/>
      <c r="AJ588" s="30"/>
      <c r="AK588" s="30"/>
      <c r="AL588" s="30"/>
      <c r="AM588" s="30"/>
      <c r="AN588" s="30"/>
      <c r="AO588" s="30"/>
      <c r="AP588" s="30"/>
      <c r="AQ588" s="30"/>
      <c r="AR588" s="30"/>
      <c r="AS588" s="30"/>
      <c r="AT588" s="30"/>
      <c r="AU588" s="30"/>
      <c r="AV588" s="30"/>
      <c r="AW588" s="30"/>
      <c r="AX588" s="30"/>
      <c r="AY588" s="30">
        <v>26591.13</v>
      </c>
      <c r="AZ588" s="30">
        <v>27945.61</v>
      </c>
      <c r="BA588" s="30" t="e">
        <f t="array" aca="1" ref="BA588" ca="1">_xludf.XLOOKUP(C588,'PL TOTAL D0'!A:A,'PL TOTAL D0'!C:C,"")</f>
        <v>#NAME?</v>
      </c>
    </row>
    <row r="589" spans="1:53" ht="15.75" customHeight="1">
      <c r="A589" s="23" t="s">
        <v>29</v>
      </c>
      <c r="B589" s="3" t="s">
        <v>2024</v>
      </c>
      <c r="C589" s="4" t="s">
        <v>2025</v>
      </c>
      <c r="D589" s="7" t="s">
        <v>19</v>
      </c>
      <c r="E589" s="7" t="s">
        <v>49</v>
      </c>
      <c r="F589" s="7" t="s">
        <v>50</v>
      </c>
      <c r="G589" s="7" t="e">
        <f t="shared" ca="1" si="24"/>
        <v>#NAME?</v>
      </c>
      <c r="H589" s="24" t="s">
        <v>143</v>
      </c>
      <c r="I589" s="24" t="s">
        <v>25</v>
      </c>
      <c r="J589" s="7" t="str">
        <f t="shared" si="28"/>
        <v>Não</v>
      </c>
      <c r="K589" s="25">
        <v>44966</v>
      </c>
      <c r="L589" s="25">
        <v>45119</v>
      </c>
      <c r="M589" s="7" t="s">
        <v>58</v>
      </c>
      <c r="N589" s="26">
        <v>1.2E-2</v>
      </c>
      <c r="O589" s="7" t="s">
        <v>25</v>
      </c>
      <c r="P589" s="27">
        <v>0</v>
      </c>
      <c r="Q589" s="28"/>
      <c r="R589" s="90"/>
      <c r="S589" s="7" t="s">
        <v>145</v>
      </c>
      <c r="T589" s="119" t="s">
        <v>2026</v>
      </c>
      <c r="U589" s="7" t="s">
        <v>49</v>
      </c>
      <c r="V589" s="24" t="e">
        <f t="shared" ca="1" si="25"/>
        <v>#NAME?</v>
      </c>
      <c r="W589" s="7"/>
      <c r="X589" s="7"/>
      <c r="Y589" s="29"/>
      <c r="Z589" s="30"/>
      <c r="AA589" s="31">
        <v>44966</v>
      </c>
      <c r="AB589" s="32"/>
      <c r="AC589" s="30"/>
      <c r="AD589" s="30"/>
      <c r="AE589" s="30"/>
      <c r="AF589" s="30">
        <v>0</v>
      </c>
      <c r="AG589" s="30">
        <v>423818.64</v>
      </c>
      <c r="AH589" s="30">
        <v>428408.17</v>
      </c>
      <c r="AI589" s="30">
        <v>387469.55</v>
      </c>
      <c r="AJ589" s="30">
        <v>384253.18</v>
      </c>
      <c r="AK589" s="30">
        <v>389699.92</v>
      </c>
      <c r="AL589" s="30">
        <v>0</v>
      </c>
      <c r="AM589" s="30">
        <v>0</v>
      </c>
      <c r="AN589" s="30">
        <v>0</v>
      </c>
      <c r="AO589" s="30">
        <v>0</v>
      </c>
      <c r="AP589" s="30">
        <v>0</v>
      </c>
      <c r="AQ589" s="30">
        <v>0</v>
      </c>
      <c r="AR589" s="30">
        <v>0</v>
      </c>
      <c r="AS589" s="30">
        <v>0</v>
      </c>
      <c r="AT589" s="30">
        <v>0</v>
      </c>
      <c r="AU589" s="30">
        <v>0</v>
      </c>
      <c r="AV589" s="30">
        <v>0</v>
      </c>
      <c r="AW589" s="30">
        <v>0</v>
      </c>
      <c r="AX589" s="30">
        <v>0</v>
      </c>
      <c r="AY589" s="30">
        <v>0</v>
      </c>
      <c r="AZ589" s="30">
        <v>0</v>
      </c>
      <c r="BA589" s="30" t="e">
        <f t="array" aca="1" ref="BA589" ca="1">_xludf.XLOOKUP(C589,'PL TOTAL D0'!A:A,'PL TOTAL D0'!C:C,"")</f>
        <v>#NAME?</v>
      </c>
    </row>
    <row r="590" spans="1:53" ht="15.75" customHeight="1">
      <c r="A590" s="23" t="s">
        <v>29</v>
      </c>
      <c r="B590" s="3" t="s">
        <v>2027</v>
      </c>
      <c r="C590" s="4" t="s">
        <v>2028</v>
      </c>
      <c r="D590" s="7" t="s">
        <v>19</v>
      </c>
      <c r="E590" s="7" t="s">
        <v>49</v>
      </c>
      <c r="F590" s="7" t="s">
        <v>166</v>
      </c>
      <c r="G590" s="7" t="e">
        <f t="shared" ca="1" si="24"/>
        <v>#NAME?</v>
      </c>
      <c r="H590" s="24" t="s">
        <v>152</v>
      </c>
      <c r="I590" s="24" t="s">
        <v>25</v>
      </c>
      <c r="J590" s="7" t="str">
        <f t="shared" si="28"/>
        <v>Não</v>
      </c>
      <c r="K590" s="25">
        <v>45058</v>
      </c>
      <c r="L590" s="7"/>
      <c r="M590" s="7" t="s">
        <v>42</v>
      </c>
      <c r="N590" s="26">
        <v>1.2E-2</v>
      </c>
      <c r="O590" s="7" t="s">
        <v>25</v>
      </c>
      <c r="P590" s="27">
        <v>0</v>
      </c>
      <c r="Q590" s="90"/>
      <c r="R590" s="90"/>
      <c r="S590" s="7" t="s">
        <v>145</v>
      </c>
      <c r="T590" s="7" t="s">
        <v>2029</v>
      </c>
      <c r="U590" s="7" t="s">
        <v>49</v>
      </c>
      <c r="V590" s="24" t="e">
        <f t="shared" ca="1" si="25"/>
        <v>#NAME?</v>
      </c>
      <c r="W590" s="7"/>
      <c r="X590" s="7"/>
      <c r="Y590" s="29" t="s">
        <v>147</v>
      </c>
      <c r="Z590" s="30"/>
      <c r="AA590" s="31">
        <v>45058</v>
      </c>
      <c r="AB590" s="32">
        <v>49075100008965</v>
      </c>
      <c r="AC590" s="30"/>
      <c r="AD590" s="30"/>
      <c r="AE590" s="30"/>
      <c r="AF590" s="30"/>
      <c r="AG590" s="30"/>
      <c r="AH590" s="30"/>
      <c r="AI590" s="30">
        <v>0</v>
      </c>
      <c r="AJ590" s="30">
        <v>100648.86</v>
      </c>
      <c r="AK590" s="30">
        <v>128229.47</v>
      </c>
      <c r="AL590" s="30">
        <v>134443.75</v>
      </c>
      <c r="AM590" s="30">
        <v>135795.54</v>
      </c>
      <c r="AN590" s="30">
        <v>138609.76999999999</v>
      </c>
      <c r="AO590" s="30">
        <v>240098.9</v>
      </c>
      <c r="AP590" s="30">
        <v>241952.08</v>
      </c>
      <c r="AQ590" s="30">
        <v>256163.08</v>
      </c>
      <c r="AR590" s="30">
        <v>273358.25</v>
      </c>
      <c r="AS590" s="30">
        <v>275768.05</v>
      </c>
      <c r="AT590" s="30">
        <v>323405.42</v>
      </c>
      <c r="AU590" s="30">
        <v>326434.69</v>
      </c>
      <c r="AV590" s="30">
        <v>332681.5</v>
      </c>
      <c r="AW590" s="30">
        <v>335267.59999999998</v>
      </c>
      <c r="AX590" s="30">
        <v>338213.5</v>
      </c>
      <c r="AY590" s="30">
        <v>339974.39</v>
      </c>
      <c r="AZ590" s="30">
        <v>342390.64</v>
      </c>
      <c r="BA590" s="30" t="e">
        <f t="array" aca="1" ref="BA590" ca="1">_xludf.XLOOKUP(C590,'PL TOTAL D0'!A:A,'PL TOTAL D0'!C:C,"")</f>
        <v>#NAME?</v>
      </c>
    </row>
    <row r="591" spans="1:53" ht="15.75" customHeight="1">
      <c r="A591" s="23" t="s">
        <v>29</v>
      </c>
      <c r="B591" s="3" t="s">
        <v>2027</v>
      </c>
      <c r="C591" s="4" t="s">
        <v>2030</v>
      </c>
      <c r="D591" s="7" t="s">
        <v>19</v>
      </c>
      <c r="E591" s="7" t="s">
        <v>49</v>
      </c>
      <c r="F591" s="7" t="s">
        <v>166</v>
      </c>
      <c r="G591" s="7" t="e">
        <f t="shared" ca="1" si="24"/>
        <v>#NAME?</v>
      </c>
      <c r="H591" s="24" t="s">
        <v>152</v>
      </c>
      <c r="I591" s="24" t="s">
        <v>25</v>
      </c>
      <c r="J591" s="7" t="str">
        <f t="shared" si="28"/>
        <v>Não</v>
      </c>
      <c r="K591" s="25">
        <v>45092</v>
      </c>
      <c r="L591" s="7"/>
      <c r="M591" s="7" t="s">
        <v>42</v>
      </c>
      <c r="N591" s="26">
        <v>1.2E-2</v>
      </c>
      <c r="O591" s="7" t="s">
        <v>25</v>
      </c>
      <c r="P591" s="27">
        <v>0</v>
      </c>
      <c r="Q591" s="90"/>
      <c r="R591" s="90"/>
      <c r="S591" s="7" t="s">
        <v>145</v>
      </c>
      <c r="T591" s="7" t="s">
        <v>2029</v>
      </c>
      <c r="U591" s="7" t="s">
        <v>49</v>
      </c>
      <c r="V591" s="24" t="e">
        <f t="shared" ca="1" si="25"/>
        <v>#NAME?</v>
      </c>
      <c r="W591" s="7"/>
      <c r="X591" s="7"/>
      <c r="Y591" s="29" t="s">
        <v>147</v>
      </c>
      <c r="Z591" s="30"/>
      <c r="AA591" s="31">
        <v>45092</v>
      </c>
      <c r="AB591" s="32">
        <v>49075100008401</v>
      </c>
      <c r="AC591" s="30"/>
      <c r="AD591" s="30"/>
      <c r="AE591" s="30"/>
      <c r="AF591" s="30"/>
      <c r="AG591" s="30"/>
      <c r="AH591" s="30"/>
      <c r="AI591" s="30"/>
      <c r="AJ591" s="30"/>
      <c r="AK591" s="30">
        <v>28496.71</v>
      </c>
      <c r="AL591" s="30">
        <v>28441.96</v>
      </c>
      <c r="AM591" s="30">
        <v>28233.84</v>
      </c>
      <c r="AN591" s="30">
        <v>26446.26</v>
      </c>
      <c r="AO591" s="30">
        <v>26423.82</v>
      </c>
      <c r="AP591" s="30">
        <v>26662.78</v>
      </c>
      <c r="AQ591" s="30">
        <v>14483.77</v>
      </c>
      <c r="AR591" s="30">
        <v>14559.84</v>
      </c>
      <c r="AS591" s="30">
        <v>14628.68</v>
      </c>
      <c r="AT591" s="30">
        <v>14747.84</v>
      </c>
      <c r="AU591" s="30">
        <v>14871.88</v>
      </c>
      <c r="AV591" s="30">
        <v>14894.8</v>
      </c>
      <c r="AW591" s="30">
        <v>14906.08</v>
      </c>
      <c r="AX591" s="30">
        <v>14998.15</v>
      </c>
      <c r="AY591" s="30">
        <v>15053.01</v>
      </c>
      <c r="AZ591" s="30">
        <v>15114.97</v>
      </c>
      <c r="BA591" s="30" t="e">
        <f t="array" aca="1" ref="BA591" ca="1">_xludf.XLOOKUP(C591,'PL TOTAL D0'!A:A,'PL TOTAL D0'!C:C,"")</f>
        <v>#NAME?</v>
      </c>
    </row>
    <row r="592" spans="1:53" ht="15.75" customHeight="1">
      <c r="A592" s="23" t="s">
        <v>29</v>
      </c>
      <c r="B592" s="3" t="s">
        <v>2031</v>
      </c>
      <c r="C592" s="4" t="s">
        <v>2032</v>
      </c>
      <c r="D592" s="7" t="s">
        <v>19</v>
      </c>
      <c r="E592" s="7" t="s">
        <v>20</v>
      </c>
      <c r="F592" s="7" t="s">
        <v>199</v>
      </c>
      <c r="G592" s="7" t="e">
        <f t="shared" ca="1" si="24"/>
        <v>#NAME?</v>
      </c>
      <c r="H592" s="24" t="s">
        <v>152</v>
      </c>
      <c r="I592" s="24" t="s">
        <v>25</v>
      </c>
      <c r="J592" s="7" t="str">
        <f t="shared" si="28"/>
        <v>Não</v>
      </c>
      <c r="K592" s="25">
        <v>45576</v>
      </c>
      <c r="L592" s="7"/>
      <c r="M592" s="7" t="s">
        <v>172</v>
      </c>
      <c r="N592" s="26">
        <v>0</v>
      </c>
      <c r="O592" s="7" t="s">
        <v>25</v>
      </c>
      <c r="P592" s="27">
        <v>0</v>
      </c>
      <c r="Q592" s="90"/>
      <c r="R592" s="90"/>
      <c r="S592" s="7" t="s">
        <v>145</v>
      </c>
      <c r="T592" s="7" t="s">
        <v>2033</v>
      </c>
      <c r="U592" s="7" t="s">
        <v>20</v>
      </c>
      <c r="V592" s="24" t="e">
        <f t="shared" ca="1" si="25"/>
        <v>#NAME?</v>
      </c>
      <c r="W592" s="7"/>
      <c r="X592" s="7" t="s">
        <v>40</v>
      </c>
      <c r="Y592" s="29"/>
      <c r="Z592" s="30"/>
      <c r="AA592" s="31"/>
      <c r="AB592" s="32"/>
      <c r="AC592" s="30"/>
      <c r="AD592" s="30"/>
      <c r="AE592" s="30"/>
      <c r="AF592" s="30"/>
      <c r="AG592" s="30"/>
      <c r="AH592" s="30"/>
      <c r="AI592" s="30"/>
      <c r="AJ592" s="30"/>
      <c r="AK592" s="30"/>
      <c r="AL592" s="30"/>
      <c r="AM592" s="30"/>
      <c r="AN592" s="30"/>
      <c r="AO592" s="30"/>
      <c r="AP592" s="30"/>
      <c r="AQ592" s="30"/>
      <c r="AR592" s="30"/>
      <c r="AS592" s="30"/>
      <c r="AT592" s="30"/>
      <c r="AU592" s="30"/>
      <c r="AV592" s="30"/>
      <c r="AW592" s="30"/>
      <c r="AX592" s="30"/>
      <c r="AY592" s="30"/>
      <c r="AZ592" s="30"/>
      <c r="BA592" s="30" t="e">
        <f t="array" aca="1" ref="BA592" ca="1">_xludf.XLOOKUP(C592,'PL TOTAL D0'!A:A,'PL TOTAL D0'!C:C,"")</f>
        <v>#NAME?</v>
      </c>
    </row>
    <row r="593" spans="1:53" ht="15.75" customHeight="1">
      <c r="A593" s="23" t="s">
        <v>29</v>
      </c>
      <c r="B593" s="3" t="s">
        <v>2034</v>
      </c>
      <c r="C593" s="4" t="s">
        <v>2035</v>
      </c>
      <c r="D593" s="7" t="s">
        <v>19</v>
      </c>
      <c r="E593" s="7" t="s">
        <v>49</v>
      </c>
      <c r="F593" s="7" t="s">
        <v>2036</v>
      </c>
      <c r="G593" s="7" t="e">
        <f t="shared" ca="1" si="24"/>
        <v>#NAME?</v>
      </c>
      <c r="H593" s="24" t="s">
        <v>161</v>
      </c>
      <c r="I593" s="24" t="s">
        <v>162</v>
      </c>
      <c r="J593" s="7" t="str">
        <f t="shared" si="28"/>
        <v>Não</v>
      </c>
      <c r="K593" s="25">
        <v>45166</v>
      </c>
      <c r="L593" s="25"/>
      <c r="M593" s="7" t="s">
        <v>200</v>
      </c>
      <c r="N593" s="26">
        <v>1.4999999999999999E-2</v>
      </c>
      <c r="O593" s="7" t="s">
        <v>37</v>
      </c>
      <c r="P593" s="27">
        <v>0.1</v>
      </c>
      <c r="Q593" s="90"/>
      <c r="R593" s="28"/>
      <c r="S593" s="7" t="s">
        <v>145</v>
      </c>
      <c r="T593" s="7" t="s">
        <v>2037</v>
      </c>
      <c r="U593" s="7" t="s">
        <v>1245</v>
      </c>
      <c r="V593" s="24" t="e">
        <f t="shared" ca="1" si="25"/>
        <v>#NAME?</v>
      </c>
      <c r="W593" s="7"/>
      <c r="X593" s="7"/>
      <c r="Y593" s="29" t="s">
        <v>147</v>
      </c>
      <c r="Z593" s="30"/>
      <c r="AA593" s="31">
        <v>45166</v>
      </c>
      <c r="AB593" s="32">
        <v>49075100011771</v>
      </c>
      <c r="AC593" s="30"/>
      <c r="AD593" s="30"/>
      <c r="AE593" s="30"/>
      <c r="AF593" s="30"/>
      <c r="AG593" s="30">
        <v>0</v>
      </c>
      <c r="AH593" s="30">
        <v>0</v>
      </c>
      <c r="AI593" s="30">
        <v>0</v>
      </c>
      <c r="AJ593" s="30">
        <v>0</v>
      </c>
      <c r="AK593" s="30">
        <v>0</v>
      </c>
      <c r="AL593" s="30">
        <v>0</v>
      </c>
      <c r="AM593" s="30">
        <v>0</v>
      </c>
      <c r="AN593" s="30">
        <v>0</v>
      </c>
      <c r="AO593" s="30">
        <v>0</v>
      </c>
      <c r="AP593" s="30">
        <v>0</v>
      </c>
      <c r="AQ593" s="30">
        <v>0</v>
      </c>
      <c r="AR593" s="30">
        <v>0</v>
      </c>
      <c r="AS593" s="30">
        <v>0</v>
      </c>
      <c r="AT593" s="30">
        <v>0</v>
      </c>
      <c r="AU593" s="30">
        <v>0</v>
      </c>
      <c r="AV593" s="30">
        <v>0</v>
      </c>
      <c r="AW593" s="30">
        <v>0</v>
      </c>
      <c r="AX593" s="30">
        <v>0</v>
      </c>
      <c r="AY593" s="30">
        <v>0</v>
      </c>
      <c r="AZ593" s="30">
        <v>0</v>
      </c>
      <c r="BA593" s="30" t="e">
        <f t="array" aca="1" ref="BA593" ca="1">_xludf.XLOOKUP(C593,'PL TOTAL D0'!A:A,'PL TOTAL D0'!C:C,"")</f>
        <v>#NAME?</v>
      </c>
    </row>
    <row r="594" spans="1:53" ht="15.75" customHeight="1">
      <c r="A594" s="23" t="s">
        <v>29</v>
      </c>
      <c r="B594" s="3" t="s">
        <v>2038</v>
      </c>
      <c r="C594" s="4" t="s">
        <v>2039</v>
      </c>
      <c r="D594" s="7" t="s">
        <v>19</v>
      </c>
      <c r="E594" s="7" t="s">
        <v>20</v>
      </c>
      <c r="F594" s="7" t="s">
        <v>21</v>
      </c>
      <c r="G594" s="7" t="e">
        <f t="shared" ca="1" si="24"/>
        <v>#NAME?</v>
      </c>
      <c r="H594" s="24" t="s">
        <v>161</v>
      </c>
      <c r="I594" s="24" t="s">
        <v>162</v>
      </c>
      <c r="J594" s="7" t="str">
        <f t="shared" si="28"/>
        <v>Não</v>
      </c>
      <c r="K594" s="25">
        <v>45007</v>
      </c>
      <c r="L594" s="7"/>
      <c r="M594" s="7" t="s">
        <v>42</v>
      </c>
      <c r="N594" s="26">
        <v>1.2E-2</v>
      </c>
      <c r="O594" s="7" t="s">
        <v>25</v>
      </c>
      <c r="P594" s="27">
        <v>0</v>
      </c>
      <c r="Q594" s="90"/>
      <c r="R594" s="99" t="s">
        <v>2040</v>
      </c>
      <c r="S594" s="7" t="s">
        <v>145</v>
      </c>
      <c r="T594" s="7" t="s">
        <v>2041</v>
      </c>
      <c r="U594" s="7" t="s">
        <v>20</v>
      </c>
      <c r="V594" s="24" t="e">
        <f t="shared" ca="1" si="25"/>
        <v>#NAME?</v>
      </c>
      <c r="W594" s="7"/>
      <c r="X594" s="7"/>
      <c r="Y594" s="29" t="s">
        <v>147</v>
      </c>
      <c r="Z594" s="30"/>
      <c r="AA594" s="31">
        <v>45007</v>
      </c>
      <c r="AB594" s="32">
        <v>49075100004595</v>
      </c>
      <c r="AC594" s="30"/>
      <c r="AD594" s="30"/>
      <c r="AE594" s="30"/>
      <c r="AF594" s="30"/>
      <c r="AG594" s="30"/>
      <c r="AH594" s="30">
        <v>336439.07</v>
      </c>
      <c r="AI594" s="30">
        <v>338334.87</v>
      </c>
      <c r="AJ594" s="30">
        <v>341698.42</v>
      </c>
      <c r="AK594" s="30">
        <v>344838.06</v>
      </c>
      <c r="AL594" s="30">
        <v>347340.16</v>
      </c>
      <c r="AM594" s="30">
        <v>349927.23</v>
      </c>
      <c r="AN594" s="30">
        <v>348939.08</v>
      </c>
      <c r="AO594" s="30">
        <v>351187.59</v>
      </c>
      <c r="AP594" s="30">
        <v>354202.22</v>
      </c>
      <c r="AQ594" s="30">
        <v>357151.82</v>
      </c>
      <c r="AR594" s="30">
        <v>217220.42</v>
      </c>
      <c r="AS594" s="30">
        <v>191.05</v>
      </c>
      <c r="AT594" s="30">
        <v>73.59</v>
      </c>
      <c r="AU594" s="30">
        <v>93.87</v>
      </c>
      <c r="AV594" s="30">
        <v>93.87</v>
      </c>
      <c r="AW594" s="30">
        <v>94.24</v>
      </c>
      <c r="AX594" s="30">
        <v>94.24</v>
      </c>
      <c r="AY594" s="30">
        <v>94.24</v>
      </c>
      <c r="AZ594" s="30">
        <v>94.24</v>
      </c>
      <c r="BA594" s="30" t="e">
        <f t="array" aca="1" ref="BA594" ca="1">_xludf.XLOOKUP(C594,'PL TOTAL D0'!A:A,'PL TOTAL D0'!C:C,"")</f>
        <v>#NAME?</v>
      </c>
    </row>
    <row r="595" spans="1:53" ht="15.75" customHeight="1">
      <c r="A595" s="23" t="s">
        <v>29</v>
      </c>
      <c r="B595" s="3" t="s">
        <v>2038</v>
      </c>
      <c r="C595" s="4" t="s">
        <v>2042</v>
      </c>
      <c r="D595" s="7" t="s">
        <v>19</v>
      </c>
      <c r="E595" s="7" t="s">
        <v>20</v>
      </c>
      <c r="F595" s="7" t="s">
        <v>21</v>
      </c>
      <c r="G595" s="7" t="e">
        <f t="shared" ca="1" si="24"/>
        <v>#NAME?</v>
      </c>
      <c r="H595" s="24" t="s">
        <v>161</v>
      </c>
      <c r="I595" s="24" t="s">
        <v>162</v>
      </c>
      <c r="J595" s="7" t="str">
        <f t="shared" si="28"/>
        <v>Não</v>
      </c>
      <c r="K595" s="25">
        <v>45163</v>
      </c>
      <c r="L595" s="25"/>
      <c r="M595" s="7" t="s">
        <v>87</v>
      </c>
      <c r="N595" s="26">
        <v>2.5000000000000001E-2</v>
      </c>
      <c r="O595" s="7" t="s">
        <v>183</v>
      </c>
      <c r="P595" s="27">
        <v>0.2</v>
      </c>
      <c r="Q595" s="90"/>
      <c r="R595" s="28"/>
      <c r="S595" s="7" t="s">
        <v>145</v>
      </c>
      <c r="T595" s="7" t="s">
        <v>2041</v>
      </c>
      <c r="U595" s="7" t="s">
        <v>20</v>
      </c>
      <c r="V595" s="24" t="e">
        <f t="shared" ca="1" si="25"/>
        <v>#NAME?</v>
      </c>
      <c r="W595" s="7"/>
      <c r="X595" s="7"/>
      <c r="Y595" s="29" t="s">
        <v>147</v>
      </c>
      <c r="Z595" s="30"/>
      <c r="AA595" s="31">
        <v>45163</v>
      </c>
      <c r="AB595" s="32">
        <v>49075100011788</v>
      </c>
      <c r="AC595" s="30"/>
      <c r="AD595" s="30"/>
      <c r="AE595" s="30"/>
      <c r="AF595" s="30"/>
      <c r="AG595" s="30"/>
      <c r="AH595" s="30">
        <v>0</v>
      </c>
      <c r="AI595" s="30">
        <v>0</v>
      </c>
      <c r="AJ595" s="30">
        <v>0</v>
      </c>
      <c r="AK595" s="30">
        <v>0</v>
      </c>
      <c r="AL595" s="30">
        <v>0</v>
      </c>
      <c r="AM595" s="30">
        <v>0</v>
      </c>
      <c r="AN595" s="30">
        <v>0</v>
      </c>
      <c r="AO595" s="30">
        <v>0</v>
      </c>
      <c r="AP595" s="30">
        <v>0</v>
      </c>
      <c r="AQ595" s="30">
        <v>0</v>
      </c>
      <c r="AR595" s="30">
        <v>0</v>
      </c>
      <c r="AS595" s="30">
        <v>0</v>
      </c>
      <c r="AT595" s="30">
        <v>0</v>
      </c>
      <c r="AU595" s="30">
        <v>0</v>
      </c>
      <c r="AV595" s="30">
        <v>0</v>
      </c>
      <c r="AW595" s="30">
        <v>0</v>
      </c>
      <c r="AX595" s="30">
        <v>0</v>
      </c>
      <c r="AY595" s="30">
        <v>0</v>
      </c>
      <c r="AZ595" s="30">
        <v>0</v>
      </c>
      <c r="BA595" s="30" t="e">
        <f t="array" aca="1" ref="BA595" ca="1">_xludf.XLOOKUP(C595,'PL TOTAL D0'!A:A,'PL TOTAL D0'!C:C,"")</f>
        <v>#NAME?</v>
      </c>
    </row>
    <row r="596" spans="1:53" ht="15.75" customHeight="1">
      <c r="A596" s="23" t="s">
        <v>29</v>
      </c>
      <c r="B596" s="3" t="s">
        <v>2043</v>
      </c>
      <c r="C596" s="4" t="s">
        <v>2044</v>
      </c>
      <c r="D596" s="7" t="s">
        <v>64</v>
      </c>
      <c r="E596" s="7" t="s">
        <v>20</v>
      </c>
      <c r="F596" s="7" t="s">
        <v>142</v>
      </c>
      <c r="G596" s="7" t="e">
        <f t="shared" ca="1" si="24"/>
        <v>#NAME?</v>
      </c>
      <c r="H596" s="24" t="s">
        <v>143</v>
      </c>
      <c r="I596" s="24" t="s">
        <v>25</v>
      </c>
      <c r="J596" s="7" t="s">
        <v>1142</v>
      </c>
      <c r="K596" s="25">
        <v>45089</v>
      </c>
      <c r="L596" s="25">
        <v>45495</v>
      </c>
      <c r="M596" s="7" t="s">
        <v>2045</v>
      </c>
      <c r="N596" s="26">
        <v>0.01</v>
      </c>
      <c r="O596" s="7" t="s">
        <v>37</v>
      </c>
      <c r="P596" s="27">
        <v>0.1</v>
      </c>
      <c r="Q596" s="90"/>
      <c r="R596" s="28" t="s">
        <v>2046</v>
      </c>
      <c r="S596" s="7" t="s">
        <v>145</v>
      </c>
      <c r="T596" s="7" t="s">
        <v>2047</v>
      </c>
      <c r="U596" s="7"/>
      <c r="V596" s="24" t="e">
        <f t="shared" ca="1" si="25"/>
        <v>#NAME?</v>
      </c>
      <c r="W596" s="7"/>
      <c r="X596" s="7"/>
      <c r="Y596" s="29"/>
      <c r="Z596" s="30"/>
      <c r="AA596" s="31">
        <v>45089</v>
      </c>
      <c r="AB596" s="32">
        <v>49075100013616</v>
      </c>
      <c r="AC596" s="30"/>
      <c r="AD596" s="30"/>
      <c r="AE596" s="30"/>
      <c r="AF596" s="30"/>
      <c r="AG596" s="30"/>
      <c r="AH596" s="30"/>
      <c r="AI596" s="30"/>
      <c r="AJ596" s="30"/>
      <c r="AK596" s="30"/>
      <c r="AL596" s="30"/>
      <c r="AM596" s="30"/>
      <c r="AN596" s="30"/>
      <c r="AO596" s="30"/>
      <c r="AP596" s="30"/>
      <c r="AQ596" s="30"/>
      <c r="AR596" s="30">
        <v>1864495.37</v>
      </c>
      <c r="AS596" s="30">
        <v>1871711.17</v>
      </c>
      <c r="AT596" s="30">
        <v>1890115.85</v>
      </c>
      <c r="AU596" s="30">
        <v>1894486.54</v>
      </c>
      <c r="AV596" s="30">
        <v>1903769</v>
      </c>
      <c r="AW596" s="30">
        <v>1917923</v>
      </c>
      <c r="AX596" s="30">
        <v>0</v>
      </c>
      <c r="AY596" s="30">
        <v>0</v>
      </c>
      <c r="AZ596" s="30">
        <v>0</v>
      </c>
      <c r="BA596" s="30" t="e">
        <f t="array" aca="1" ref="BA596" ca="1">_xludf.XLOOKUP(C596,'PL TOTAL D0'!A:A,'PL TOTAL D0'!C:C,"")</f>
        <v>#NAME?</v>
      </c>
    </row>
    <row r="597" spans="1:53" ht="15.75" customHeight="1">
      <c r="A597" s="23" t="s">
        <v>29</v>
      </c>
      <c r="B597" s="3" t="s">
        <v>2048</v>
      </c>
      <c r="C597" s="4" t="s">
        <v>2049</v>
      </c>
      <c r="D597" s="7" t="s">
        <v>19</v>
      </c>
      <c r="E597" s="7" t="s">
        <v>20</v>
      </c>
      <c r="F597" s="7" t="s">
        <v>199</v>
      </c>
      <c r="G597" s="7" t="e">
        <f t="shared" ca="1" si="24"/>
        <v>#NAME?</v>
      </c>
      <c r="H597" s="24" t="s">
        <v>143</v>
      </c>
      <c r="I597" s="24" t="s">
        <v>25</v>
      </c>
      <c r="J597" s="7" t="str">
        <f t="shared" ref="J597:J658" si="29">IF(Q597=0,"Não","Sim")</f>
        <v>Não</v>
      </c>
      <c r="K597" s="25">
        <v>45029</v>
      </c>
      <c r="L597" s="79">
        <v>45250</v>
      </c>
      <c r="M597" s="7" t="s">
        <v>42</v>
      </c>
      <c r="N597" s="26">
        <v>0.01</v>
      </c>
      <c r="O597" s="7" t="s">
        <v>25</v>
      </c>
      <c r="P597" s="27">
        <v>0</v>
      </c>
      <c r="Q597" s="90"/>
      <c r="R597" s="90"/>
      <c r="S597" s="7" t="s">
        <v>145</v>
      </c>
      <c r="T597" s="7" t="s">
        <v>2050</v>
      </c>
      <c r="U597" s="7" t="s">
        <v>2051</v>
      </c>
      <c r="V597" s="24" t="e">
        <f t="shared" ca="1" si="25"/>
        <v>#NAME?</v>
      </c>
      <c r="W597" s="7"/>
      <c r="X597" s="7"/>
      <c r="Y597" s="29"/>
      <c r="Z597" s="30"/>
      <c r="AA597" s="31">
        <v>45029</v>
      </c>
      <c r="AB597" s="32"/>
      <c r="AC597" s="30"/>
      <c r="AD597" s="30"/>
      <c r="AE597" s="30"/>
      <c r="AF597" s="30"/>
      <c r="AG597" s="30">
        <v>0</v>
      </c>
      <c r="AH597" s="30">
        <v>0</v>
      </c>
      <c r="AI597" s="30">
        <v>5431.76</v>
      </c>
      <c r="AJ597" s="30">
        <v>0</v>
      </c>
      <c r="AK597" s="30">
        <v>0</v>
      </c>
      <c r="AL597" s="30">
        <v>0</v>
      </c>
      <c r="AM597" s="30">
        <v>0</v>
      </c>
      <c r="AN597" s="30">
        <v>0</v>
      </c>
      <c r="AO597" s="30">
        <v>0</v>
      </c>
      <c r="AP597" s="30">
        <v>0</v>
      </c>
      <c r="AQ597" s="30">
        <v>0</v>
      </c>
      <c r="AR597" s="30">
        <v>0</v>
      </c>
      <c r="AS597" s="30">
        <v>0</v>
      </c>
      <c r="AT597" s="30">
        <v>0</v>
      </c>
      <c r="AU597" s="30">
        <v>0</v>
      </c>
      <c r="AV597" s="30">
        <v>0</v>
      </c>
      <c r="AW597" s="30">
        <v>0</v>
      </c>
      <c r="AX597" s="30">
        <v>0</v>
      </c>
      <c r="AY597" s="30">
        <v>0</v>
      </c>
      <c r="AZ597" s="30">
        <v>0</v>
      </c>
      <c r="BA597" s="30" t="e">
        <f t="array" aca="1" ref="BA597" ca="1">_xludf.XLOOKUP(C597,'PL TOTAL D0'!A:A,'PL TOTAL D0'!C:C,"")</f>
        <v>#NAME?</v>
      </c>
    </row>
    <row r="598" spans="1:53" ht="15.75" customHeight="1">
      <c r="A598" s="23" t="s">
        <v>29</v>
      </c>
      <c r="B598" s="3" t="s">
        <v>2052</v>
      </c>
      <c r="C598" s="4" t="s">
        <v>2053</v>
      </c>
      <c r="D598" s="7" t="s">
        <v>19</v>
      </c>
      <c r="E598" s="7" t="s">
        <v>49</v>
      </c>
      <c r="F598" s="7" t="s">
        <v>50</v>
      </c>
      <c r="G598" s="7" t="e">
        <f t="shared" ca="1" si="24"/>
        <v>#NAME?</v>
      </c>
      <c r="H598" s="24" t="s">
        <v>152</v>
      </c>
      <c r="I598" s="24" t="s">
        <v>25</v>
      </c>
      <c r="J598" s="7" t="str">
        <f t="shared" si="29"/>
        <v>Sim</v>
      </c>
      <c r="K598" s="25">
        <v>45005</v>
      </c>
      <c r="L598" s="7"/>
      <c r="M598" s="7" t="s">
        <v>200</v>
      </c>
      <c r="N598" s="26">
        <v>1.4999999999999999E-2</v>
      </c>
      <c r="O598" s="7" t="s">
        <v>37</v>
      </c>
      <c r="P598" s="27">
        <v>0.1</v>
      </c>
      <c r="Q598" s="90" t="s">
        <v>2054</v>
      </c>
      <c r="R598" s="90"/>
      <c r="S598" s="7" t="s">
        <v>145</v>
      </c>
      <c r="T598" s="7" t="s">
        <v>2055</v>
      </c>
      <c r="U598" s="7" t="s">
        <v>49</v>
      </c>
      <c r="V598" s="24" t="e">
        <f t="shared" ca="1" si="25"/>
        <v>#NAME?</v>
      </c>
      <c r="W598" s="7"/>
      <c r="X598" s="7"/>
      <c r="Y598" s="29" t="s">
        <v>147</v>
      </c>
      <c r="Z598" s="30"/>
      <c r="AA598" s="31">
        <v>45005</v>
      </c>
      <c r="AB598" s="32">
        <v>49075100008264</v>
      </c>
      <c r="AC598" s="30"/>
      <c r="AD598" s="30"/>
      <c r="AE598" s="30"/>
      <c r="AF598" s="30"/>
      <c r="AG598" s="30"/>
      <c r="AH598" s="30">
        <v>108824.42</v>
      </c>
      <c r="AI598" s="30">
        <v>47556.19</v>
      </c>
      <c r="AJ598" s="30">
        <v>64503.79</v>
      </c>
      <c r="AK598" s="30">
        <v>66263.149999999994</v>
      </c>
      <c r="AL598" s="30">
        <v>76565.75</v>
      </c>
      <c r="AM598" s="30">
        <v>89589.62</v>
      </c>
      <c r="AN598" s="30">
        <v>103189.25</v>
      </c>
      <c r="AO598" s="30">
        <v>93072.73</v>
      </c>
      <c r="AP598" s="30">
        <v>389160.11</v>
      </c>
      <c r="AQ598" s="30">
        <v>342594.29</v>
      </c>
      <c r="AR598" s="30">
        <v>342970.85</v>
      </c>
      <c r="AS598" s="30">
        <v>324593.25</v>
      </c>
      <c r="AT598" s="30">
        <v>246738.52</v>
      </c>
      <c r="AU598" s="30">
        <v>141034.35</v>
      </c>
      <c r="AV598" s="30">
        <v>35966.39</v>
      </c>
      <c r="AW598" s="30">
        <v>36072.22</v>
      </c>
      <c r="AX598" s="30">
        <v>21213.19</v>
      </c>
      <c r="AY598" s="30">
        <v>13815.12</v>
      </c>
      <c r="AZ598" s="30">
        <v>13853.9</v>
      </c>
      <c r="BA598" s="30" t="e">
        <f t="array" aca="1" ref="BA598" ca="1">_xludf.XLOOKUP(C598,'PL TOTAL D0'!A:A,'PL TOTAL D0'!C:C,"")</f>
        <v>#NAME?</v>
      </c>
    </row>
    <row r="599" spans="1:53" ht="15.75" customHeight="1">
      <c r="A599" s="23" t="s">
        <v>29</v>
      </c>
      <c r="B599" s="3" t="s">
        <v>2056</v>
      </c>
      <c r="C599" s="4" t="s">
        <v>2057</v>
      </c>
      <c r="D599" s="7" t="s">
        <v>19</v>
      </c>
      <c r="E599" s="7" t="s">
        <v>49</v>
      </c>
      <c r="F599" s="7" t="s">
        <v>166</v>
      </c>
      <c r="G599" s="7" t="e">
        <f t="shared" ca="1" si="24"/>
        <v>#NAME?</v>
      </c>
      <c r="H599" s="24" t="s">
        <v>152</v>
      </c>
      <c r="I599" s="24" t="s">
        <v>25</v>
      </c>
      <c r="J599" s="7" t="str">
        <f t="shared" si="29"/>
        <v>Não</v>
      </c>
      <c r="K599" s="25">
        <v>45264</v>
      </c>
      <c r="L599" s="7"/>
      <c r="M599" s="9" t="s">
        <v>87</v>
      </c>
      <c r="N599" s="10">
        <v>2.5000000000000001E-2</v>
      </c>
      <c r="O599" s="7" t="s">
        <v>183</v>
      </c>
      <c r="P599" s="11">
        <v>0.2</v>
      </c>
      <c r="Q599" s="90"/>
      <c r="R599" s="90"/>
      <c r="S599" s="7" t="s">
        <v>145</v>
      </c>
      <c r="T599" s="7" t="s">
        <v>2058</v>
      </c>
      <c r="U599" s="7" t="s">
        <v>49</v>
      </c>
      <c r="V599" s="24" t="e">
        <f t="shared" ca="1" si="25"/>
        <v>#NAME?</v>
      </c>
      <c r="W599" s="7"/>
      <c r="X599" s="7"/>
      <c r="Y599" s="29" t="s">
        <v>147</v>
      </c>
      <c r="Z599" s="30"/>
      <c r="AA599" s="31">
        <v>45264</v>
      </c>
      <c r="AB599" s="32">
        <v>49075100013020</v>
      </c>
      <c r="AC599" s="30"/>
      <c r="AD599" s="30"/>
      <c r="AE599" s="30"/>
      <c r="AF599" s="30"/>
      <c r="AG599" s="30"/>
      <c r="AH599" s="30"/>
      <c r="AI599" s="30"/>
      <c r="AJ599" s="30"/>
      <c r="AK599" s="30"/>
      <c r="AL599" s="30"/>
      <c r="AM599" s="30"/>
      <c r="AN599" s="30"/>
      <c r="AO599" s="30"/>
      <c r="AP599" s="30">
        <v>0</v>
      </c>
      <c r="AQ599" s="30">
        <v>50262.05</v>
      </c>
      <c r="AR599" s="30">
        <v>46968.639999999999</v>
      </c>
      <c r="AS599" s="30">
        <v>47487.64</v>
      </c>
      <c r="AT599" s="30">
        <v>48297.43</v>
      </c>
      <c r="AU599" s="30">
        <v>46293.52</v>
      </c>
      <c r="AV599" s="30">
        <v>45353.05</v>
      </c>
      <c r="AW599" s="30">
        <v>45254.54</v>
      </c>
      <c r="AX599" s="30">
        <v>46308.2</v>
      </c>
      <c r="AY599" s="30">
        <v>46833.16</v>
      </c>
      <c r="AZ599" s="30">
        <v>46175.93</v>
      </c>
      <c r="BA599" s="30" t="e">
        <f t="array" aca="1" ref="BA599" ca="1">_xludf.XLOOKUP(C599,'PL TOTAL D0'!A:A,'PL TOTAL D0'!C:C,"")</f>
        <v>#NAME?</v>
      </c>
    </row>
    <row r="600" spans="1:53" ht="15.75" customHeight="1">
      <c r="A600" s="23" t="s">
        <v>29</v>
      </c>
      <c r="B600" s="3" t="s">
        <v>2056</v>
      </c>
      <c r="C600" s="4" t="s">
        <v>2059</v>
      </c>
      <c r="D600" s="7" t="s">
        <v>19</v>
      </c>
      <c r="E600" s="7" t="s">
        <v>49</v>
      </c>
      <c r="F600" s="7" t="s">
        <v>166</v>
      </c>
      <c r="G600" s="7" t="e">
        <f t="shared" ca="1" si="24"/>
        <v>#NAME?</v>
      </c>
      <c r="H600" s="24" t="s">
        <v>152</v>
      </c>
      <c r="I600" s="24" t="s">
        <v>25</v>
      </c>
      <c r="J600" s="7" t="str">
        <f t="shared" si="29"/>
        <v>Não</v>
      </c>
      <c r="K600" s="25">
        <v>45103</v>
      </c>
      <c r="L600" s="25"/>
      <c r="M600" s="7" t="s">
        <v>42</v>
      </c>
      <c r="N600" s="26">
        <v>1.2E-2</v>
      </c>
      <c r="O600" s="7" t="s">
        <v>25</v>
      </c>
      <c r="P600" s="27">
        <v>0</v>
      </c>
      <c r="Q600" s="90"/>
      <c r="R600" s="90"/>
      <c r="S600" s="7" t="s">
        <v>145</v>
      </c>
      <c r="T600" s="7" t="s">
        <v>2058</v>
      </c>
      <c r="U600" s="7" t="s">
        <v>49</v>
      </c>
      <c r="V600" s="24" t="e">
        <f t="shared" ca="1" si="25"/>
        <v>#NAME?</v>
      </c>
      <c r="W600" s="7"/>
      <c r="X600" s="7"/>
      <c r="Y600" s="29" t="s">
        <v>147</v>
      </c>
      <c r="Z600" s="30"/>
      <c r="AA600" s="31">
        <v>45103</v>
      </c>
      <c r="AB600" s="32">
        <v>49075100007357</v>
      </c>
      <c r="AC600" s="30"/>
      <c r="AD600" s="30"/>
      <c r="AE600" s="30"/>
      <c r="AF600" s="30"/>
      <c r="AG600" s="30"/>
      <c r="AH600" s="30"/>
      <c r="AI600" s="30"/>
      <c r="AJ600" s="30"/>
      <c r="AK600" s="30">
        <v>200323.08</v>
      </c>
      <c r="AL600" s="30">
        <v>202185.21</v>
      </c>
      <c r="AM600" s="30">
        <v>254401.12</v>
      </c>
      <c r="AN600" s="30">
        <v>256470.23</v>
      </c>
      <c r="AO600" s="30">
        <v>258614.98</v>
      </c>
      <c r="AP600" s="30">
        <v>310396.68</v>
      </c>
      <c r="AQ600" s="30">
        <v>312685.08</v>
      </c>
      <c r="AR600" s="30">
        <v>315303.3</v>
      </c>
      <c r="AS600" s="30">
        <v>342539.61</v>
      </c>
      <c r="AT600" s="30">
        <v>394597.36</v>
      </c>
      <c r="AU600" s="30">
        <v>396000.75</v>
      </c>
      <c r="AV600" s="30">
        <v>554884.69999999995</v>
      </c>
      <c r="AW600" s="30">
        <v>566615.4</v>
      </c>
      <c r="AX600" s="30">
        <v>571284.5</v>
      </c>
      <c r="AY600" s="30">
        <v>571108.5</v>
      </c>
      <c r="AZ600" s="30">
        <v>574691.35</v>
      </c>
      <c r="BA600" s="30" t="e">
        <f t="array" aca="1" ref="BA600" ca="1">_xludf.XLOOKUP(C600,'PL TOTAL D0'!A:A,'PL TOTAL D0'!C:C,"")</f>
        <v>#NAME?</v>
      </c>
    </row>
    <row r="601" spans="1:53" ht="15.75" customHeight="1">
      <c r="A601" s="23" t="s">
        <v>29</v>
      </c>
      <c r="B601" s="3" t="s">
        <v>2060</v>
      </c>
      <c r="C601" s="4" t="s">
        <v>2061</v>
      </c>
      <c r="D601" s="7" t="s">
        <v>19</v>
      </c>
      <c r="E601" s="7" t="s">
        <v>20</v>
      </c>
      <c r="F601" s="7" t="s">
        <v>989</v>
      </c>
      <c r="G601" s="7" t="e">
        <f t="shared" ca="1" si="24"/>
        <v>#NAME?</v>
      </c>
      <c r="H601" s="24" t="s">
        <v>152</v>
      </c>
      <c r="I601" s="24" t="s">
        <v>25</v>
      </c>
      <c r="J601" s="7" t="str">
        <f t="shared" si="29"/>
        <v>Não</v>
      </c>
      <c r="K601" s="25">
        <v>45448</v>
      </c>
      <c r="L601" s="25"/>
      <c r="M601" s="7" t="s">
        <v>357</v>
      </c>
      <c r="N601" s="26">
        <v>7.0000000000000001E-3</v>
      </c>
      <c r="O601" s="7" t="s">
        <v>25</v>
      </c>
      <c r="P601" s="27">
        <v>0</v>
      </c>
      <c r="Q601" s="90"/>
      <c r="R601" s="28"/>
      <c r="S601" s="7" t="s">
        <v>145</v>
      </c>
      <c r="T601" s="7" t="s">
        <v>2062</v>
      </c>
      <c r="U601" s="7" t="s">
        <v>20</v>
      </c>
      <c r="V601" s="24" t="e">
        <f t="shared" ca="1" si="25"/>
        <v>#NAME?</v>
      </c>
      <c r="W601" s="7"/>
      <c r="X601" s="7" t="s">
        <v>52</v>
      </c>
      <c r="Y601" s="29" t="s">
        <v>147</v>
      </c>
      <c r="Z601" s="30"/>
      <c r="AA601" s="31">
        <v>45448</v>
      </c>
      <c r="AB601" s="32">
        <v>49075100015041</v>
      </c>
      <c r="AC601" s="30"/>
      <c r="AD601" s="30"/>
      <c r="AE601" s="30"/>
      <c r="AF601" s="30"/>
      <c r="AG601" s="30"/>
      <c r="AH601" s="30"/>
      <c r="AI601" s="30"/>
      <c r="AJ601" s="30"/>
      <c r="AK601" s="30"/>
      <c r="AL601" s="30"/>
      <c r="AM601" s="30"/>
      <c r="AN601" s="30"/>
      <c r="AO601" s="30"/>
      <c r="AP601" s="30"/>
      <c r="AQ601" s="30"/>
      <c r="AR601" s="30"/>
      <c r="AS601" s="30"/>
      <c r="AT601" s="30"/>
      <c r="AU601" s="30"/>
      <c r="AV601" s="30"/>
      <c r="AW601" s="30">
        <v>11609.16</v>
      </c>
      <c r="AX601" s="30">
        <v>11725.87</v>
      </c>
      <c r="AY601" s="30">
        <v>0</v>
      </c>
      <c r="AZ601" s="30">
        <v>0</v>
      </c>
      <c r="BA601" s="30" t="e">
        <f t="array" aca="1" ref="BA601" ca="1">_xludf.XLOOKUP(C601,'PL TOTAL D0'!A:A,'PL TOTAL D0'!C:C,"")</f>
        <v>#NAME?</v>
      </c>
    </row>
    <row r="602" spans="1:53" ht="15.75" customHeight="1">
      <c r="A602" s="23" t="s">
        <v>29</v>
      </c>
      <c r="B602" s="3" t="s">
        <v>2063</v>
      </c>
      <c r="C602" s="4" t="s">
        <v>2064</v>
      </c>
      <c r="D602" s="7" t="s">
        <v>19</v>
      </c>
      <c r="E602" s="7" t="s">
        <v>49</v>
      </c>
      <c r="F602" s="7" t="s">
        <v>277</v>
      </c>
      <c r="G602" s="7" t="e">
        <f t="shared" ca="1" si="24"/>
        <v>#NAME?</v>
      </c>
      <c r="H602" s="24" t="s">
        <v>161</v>
      </c>
      <c r="I602" s="24" t="s">
        <v>162</v>
      </c>
      <c r="J602" s="7" t="str">
        <f t="shared" si="29"/>
        <v>Não</v>
      </c>
      <c r="K602" s="25">
        <v>45163</v>
      </c>
      <c r="L602" s="25"/>
      <c r="M602" s="7" t="s">
        <v>42</v>
      </c>
      <c r="N602" s="26">
        <v>0.01</v>
      </c>
      <c r="O602" s="7" t="s">
        <v>25</v>
      </c>
      <c r="P602" s="27">
        <v>0</v>
      </c>
      <c r="Q602" s="90"/>
      <c r="R602" s="90"/>
      <c r="S602" s="7" t="s">
        <v>145</v>
      </c>
      <c r="T602" s="7" t="s">
        <v>2065</v>
      </c>
      <c r="U602" s="7" t="s">
        <v>49</v>
      </c>
      <c r="V602" s="24" t="e">
        <f t="shared" ca="1" si="25"/>
        <v>#NAME?</v>
      </c>
      <c r="W602" s="7"/>
      <c r="X602" s="7"/>
      <c r="Y602" s="29" t="s">
        <v>253</v>
      </c>
      <c r="Z602" s="30"/>
      <c r="AA602" s="31">
        <v>45163</v>
      </c>
      <c r="AB602" s="32">
        <v>49075100011801</v>
      </c>
      <c r="AC602" s="30"/>
      <c r="AD602" s="30"/>
      <c r="AE602" s="30">
        <v>51295.86</v>
      </c>
      <c r="AF602" s="30">
        <v>0</v>
      </c>
      <c r="AG602" s="30">
        <v>0</v>
      </c>
      <c r="AH602" s="30">
        <v>0</v>
      </c>
      <c r="AI602" s="30">
        <v>0</v>
      </c>
      <c r="AJ602" s="30">
        <v>0</v>
      </c>
      <c r="AK602" s="30">
        <v>0</v>
      </c>
      <c r="AL602" s="30">
        <v>0</v>
      </c>
      <c r="AM602" s="30">
        <v>0</v>
      </c>
      <c r="AN602" s="30">
        <v>0</v>
      </c>
      <c r="AO602" s="30">
        <v>0</v>
      </c>
      <c r="AP602" s="30">
        <v>0</v>
      </c>
      <c r="AQ602" s="30">
        <v>0</v>
      </c>
      <c r="AR602" s="30">
        <v>0</v>
      </c>
      <c r="AS602" s="30">
        <v>0</v>
      </c>
      <c r="AT602" s="30">
        <v>0</v>
      </c>
      <c r="AU602" s="30">
        <v>0</v>
      </c>
      <c r="AV602" s="30">
        <v>0</v>
      </c>
      <c r="AW602" s="30">
        <v>0</v>
      </c>
      <c r="AX602" s="30">
        <v>0</v>
      </c>
      <c r="AY602" s="30">
        <v>0</v>
      </c>
      <c r="AZ602" s="30">
        <v>0</v>
      </c>
      <c r="BA602" s="30" t="e">
        <f t="array" aca="1" ref="BA602" ca="1">_xludf.XLOOKUP(C602,'PL TOTAL D0'!A:A,'PL TOTAL D0'!C:C,"")</f>
        <v>#NAME?</v>
      </c>
    </row>
    <row r="603" spans="1:53" ht="15.75" customHeight="1">
      <c r="A603" s="23" t="s">
        <v>29</v>
      </c>
      <c r="B603" s="3" t="s">
        <v>2066</v>
      </c>
      <c r="C603" s="49" t="s">
        <v>2067</v>
      </c>
      <c r="D603" s="7" t="s">
        <v>19</v>
      </c>
      <c r="E603" s="7" t="s">
        <v>49</v>
      </c>
      <c r="F603" s="7" t="s">
        <v>277</v>
      </c>
      <c r="G603" s="7" t="e">
        <f t="shared" ca="1" si="24"/>
        <v>#NAME?</v>
      </c>
      <c r="H603" s="24" t="s">
        <v>143</v>
      </c>
      <c r="I603" s="24" t="s">
        <v>25</v>
      </c>
      <c r="J603" s="7" t="str">
        <f t="shared" si="29"/>
        <v>Não</v>
      </c>
      <c r="K603" s="25">
        <v>44936</v>
      </c>
      <c r="L603" s="25">
        <v>45433</v>
      </c>
      <c r="M603" s="7" t="s">
        <v>42</v>
      </c>
      <c r="N603" s="26">
        <v>0.01</v>
      </c>
      <c r="O603" s="7" t="s">
        <v>25</v>
      </c>
      <c r="P603" s="27">
        <v>0</v>
      </c>
      <c r="Q603" s="28"/>
      <c r="R603" s="90"/>
      <c r="S603" s="7" t="s">
        <v>145</v>
      </c>
      <c r="T603" s="7" t="s">
        <v>2065</v>
      </c>
      <c r="U603" s="7" t="s">
        <v>49</v>
      </c>
      <c r="V603" s="24" t="e">
        <f t="shared" ca="1" si="25"/>
        <v>#NAME?</v>
      </c>
      <c r="W603" s="7"/>
      <c r="X603" s="7"/>
      <c r="Y603" s="29" t="s">
        <v>253</v>
      </c>
      <c r="Z603" s="30"/>
      <c r="AA603" s="31">
        <v>44936</v>
      </c>
      <c r="AB603" s="32">
        <v>49075100012687</v>
      </c>
      <c r="AC603" s="30"/>
      <c r="AD603" s="30"/>
      <c r="AE603" s="30"/>
      <c r="AF603" s="30">
        <v>172068.9</v>
      </c>
      <c r="AG603" s="30">
        <v>173538.72</v>
      </c>
      <c r="AH603" s="30">
        <v>120603.37</v>
      </c>
      <c r="AI603" s="30">
        <v>141559.66</v>
      </c>
      <c r="AJ603" s="30">
        <v>147998.45000000001</v>
      </c>
      <c r="AK603" s="30">
        <v>149308.13</v>
      </c>
      <c r="AL603" s="30">
        <v>150534.88</v>
      </c>
      <c r="AM603" s="30">
        <v>181945.64</v>
      </c>
      <c r="AN603" s="30">
        <v>77673.740000000005</v>
      </c>
      <c r="AO603" s="30">
        <v>78274.95</v>
      </c>
      <c r="AP603" s="30">
        <v>78830.87</v>
      </c>
      <c r="AQ603" s="30">
        <v>79432.929999999993</v>
      </c>
      <c r="AR603" s="30">
        <v>80159.88</v>
      </c>
      <c r="AS603" s="30">
        <v>29814.84</v>
      </c>
      <c r="AT603" s="30">
        <v>0</v>
      </c>
      <c r="AU603" s="30">
        <v>0</v>
      </c>
      <c r="AV603" s="30">
        <v>0</v>
      </c>
      <c r="AW603" s="30">
        <v>0</v>
      </c>
      <c r="AX603" s="30">
        <v>0</v>
      </c>
      <c r="AY603" s="30">
        <v>0</v>
      </c>
      <c r="AZ603" s="30">
        <v>0</v>
      </c>
      <c r="BA603" s="30" t="e">
        <f t="array" aca="1" ref="BA603" ca="1">_xludf.XLOOKUP(C603,'PL TOTAL D0'!A:A,'PL TOTAL D0'!C:C,"")</f>
        <v>#NAME?</v>
      </c>
    </row>
    <row r="604" spans="1:53" ht="15.75" customHeight="1">
      <c r="A604" s="23" t="s">
        <v>29</v>
      </c>
      <c r="B604" s="3" t="s">
        <v>2068</v>
      </c>
      <c r="C604" s="49" t="s">
        <v>2069</v>
      </c>
      <c r="D604" s="7" t="s">
        <v>19</v>
      </c>
      <c r="E604" s="7" t="s">
        <v>49</v>
      </c>
      <c r="F604" s="7" t="s">
        <v>166</v>
      </c>
      <c r="G604" s="7" t="e">
        <f t="shared" ca="1" si="24"/>
        <v>#NAME?</v>
      </c>
      <c r="H604" s="24" t="s">
        <v>152</v>
      </c>
      <c r="I604" s="24" t="s">
        <v>25</v>
      </c>
      <c r="J604" s="7" t="str">
        <f t="shared" si="29"/>
        <v>Sim</v>
      </c>
      <c r="K604" s="25">
        <v>45460</v>
      </c>
      <c r="L604" s="25"/>
      <c r="M604" s="7" t="s">
        <v>42</v>
      </c>
      <c r="N604" s="26">
        <v>1.2E-2</v>
      </c>
      <c r="O604" s="7" t="s">
        <v>25</v>
      </c>
      <c r="P604" s="27">
        <v>0</v>
      </c>
      <c r="Q604" s="28" t="s">
        <v>2070</v>
      </c>
      <c r="R604" s="90"/>
      <c r="S604" s="7" t="s">
        <v>145</v>
      </c>
      <c r="T604" s="7" t="s">
        <v>2071</v>
      </c>
      <c r="U604" s="7" t="s">
        <v>49</v>
      </c>
      <c r="V604" s="24" t="e">
        <f t="shared" ca="1" si="25"/>
        <v>#NAME?</v>
      </c>
      <c r="W604" s="7"/>
      <c r="X604" s="7" t="s">
        <v>52</v>
      </c>
      <c r="Y604" s="29" t="s">
        <v>147</v>
      </c>
      <c r="Z604" s="30"/>
      <c r="AA604" s="31">
        <v>45460</v>
      </c>
      <c r="AB604" s="32">
        <v>49075100015163</v>
      </c>
      <c r="AC604" s="30"/>
      <c r="AD604" s="30"/>
      <c r="AE604" s="30"/>
      <c r="AF604" s="30"/>
      <c r="AG604" s="30"/>
      <c r="AH604" s="30"/>
      <c r="AI604" s="30"/>
      <c r="AJ604" s="30"/>
      <c r="AK604" s="30"/>
      <c r="AL604" s="30"/>
      <c r="AM604" s="30"/>
      <c r="AN604" s="30"/>
      <c r="AO604" s="30"/>
      <c r="AP604" s="30"/>
      <c r="AQ604" s="30"/>
      <c r="AR604" s="30"/>
      <c r="AS604" s="30"/>
      <c r="AT604" s="30"/>
      <c r="AU604" s="30"/>
      <c r="AV604" s="30"/>
      <c r="AW604" s="30">
        <v>147978.20000000001</v>
      </c>
      <c r="AX604" s="30">
        <v>243732.3</v>
      </c>
      <c r="AY604" s="30">
        <v>245865.18</v>
      </c>
      <c r="AZ604" s="30">
        <v>247604.43</v>
      </c>
      <c r="BA604" s="30" t="e">
        <f t="array" aca="1" ref="BA604" ca="1">_xludf.XLOOKUP(C604,'PL TOTAL D0'!A:A,'PL TOTAL D0'!C:C,"")</f>
        <v>#NAME?</v>
      </c>
    </row>
    <row r="605" spans="1:53" ht="15.75" customHeight="1">
      <c r="A605" s="23" t="s">
        <v>29</v>
      </c>
      <c r="B605" s="168" t="s">
        <v>2072</v>
      </c>
      <c r="C605" s="141" t="s">
        <v>2073</v>
      </c>
      <c r="D605" s="7" t="s">
        <v>19</v>
      </c>
      <c r="E605" s="7" t="s">
        <v>49</v>
      </c>
      <c r="F605" s="7" t="s">
        <v>328</v>
      </c>
      <c r="G605" s="7" t="e">
        <f t="shared" ca="1" si="24"/>
        <v>#NAME?</v>
      </c>
      <c r="H605" s="24" t="s">
        <v>161</v>
      </c>
      <c r="I605" s="24" t="s">
        <v>222</v>
      </c>
      <c r="J605" s="7" t="str">
        <f t="shared" si="29"/>
        <v>Não</v>
      </c>
      <c r="K605" s="25">
        <v>45163</v>
      </c>
      <c r="L605" s="25"/>
      <c r="M605" s="7" t="s">
        <v>200</v>
      </c>
      <c r="N605" s="26">
        <v>1.4999999999999999E-2</v>
      </c>
      <c r="O605" s="7" t="s">
        <v>37</v>
      </c>
      <c r="P605" s="27">
        <v>0.1</v>
      </c>
      <c r="Q605" s="90"/>
      <c r="R605" s="90"/>
      <c r="S605" s="7" t="s">
        <v>145</v>
      </c>
      <c r="T605" s="7" t="s">
        <v>2074</v>
      </c>
      <c r="U605" s="7" t="s">
        <v>49</v>
      </c>
      <c r="V605" s="24" t="e">
        <f t="shared" ca="1" si="25"/>
        <v>#NAME?</v>
      </c>
      <c r="W605" s="7"/>
      <c r="X605" s="7"/>
      <c r="Y605" s="29" t="s">
        <v>147</v>
      </c>
      <c r="Z605" s="30"/>
      <c r="AA605" s="31">
        <v>45163</v>
      </c>
      <c r="AB605" s="32">
        <v>49075100011818</v>
      </c>
      <c r="AC605" s="30"/>
      <c r="AD605" s="30"/>
      <c r="AE605" s="30"/>
      <c r="AF605" s="30"/>
      <c r="AG605" s="30"/>
      <c r="AH605" s="30">
        <v>0</v>
      </c>
      <c r="AI605" s="30">
        <v>0</v>
      </c>
      <c r="AJ605" s="30">
        <v>0</v>
      </c>
      <c r="AK605" s="30">
        <v>0</v>
      </c>
      <c r="AL605" s="30">
        <v>0</v>
      </c>
      <c r="AM605" s="30">
        <v>0</v>
      </c>
      <c r="AN605" s="30">
        <v>0</v>
      </c>
      <c r="AO605" s="30">
        <v>0</v>
      </c>
      <c r="AP605" s="30">
        <v>0</v>
      </c>
      <c r="AQ605" s="30">
        <v>0</v>
      </c>
      <c r="AR605" s="30">
        <v>0</v>
      </c>
      <c r="AS605" s="30">
        <v>0</v>
      </c>
      <c r="AT605" s="30">
        <v>0</v>
      </c>
      <c r="AU605" s="30">
        <v>0</v>
      </c>
      <c r="AV605" s="30">
        <v>0</v>
      </c>
      <c r="AW605" s="30">
        <v>0</v>
      </c>
      <c r="AX605" s="30">
        <v>0</v>
      </c>
      <c r="AY605" s="30">
        <v>0</v>
      </c>
      <c r="AZ605" s="30">
        <v>0</v>
      </c>
      <c r="BA605" s="30" t="e">
        <f t="array" aca="1" ref="BA605" ca="1">_xludf.XLOOKUP(C605,'PL TOTAL D0'!A:A,'PL TOTAL D0'!C:C,"")</f>
        <v>#NAME?</v>
      </c>
    </row>
    <row r="606" spans="1:53" ht="15.75" customHeight="1">
      <c r="A606" s="23" t="s">
        <v>29</v>
      </c>
      <c r="B606" s="3" t="s">
        <v>2075</v>
      </c>
      <c r="C606" s="4" t="s">
        <v>2076</v>
      </c>
      <c r="D606" s="7" t="s">
        <v>19</v>
      </c>
      <c r="E606" s="7" t="s">
        <v>34</v>
      </c>
      <c r="F606" s="7" t="s">
        <v>262</v>
      </c>
      <c r="G606" s="7" t="e">
        <f t="shared" ca="1" si="24"/>
        <v>#NAME?</v>
      </c>
      <c r="H606" s="24" t="s">
        <v>152</v>
      </c>
      <c r="I606" s="24" t="s">
        <v>25</v>
      </c>
      <c r="J606" s="7" t="str">
        <f t="shared" si="29"/>
        <v>Não</v>
      </c>
      <c r="K606" s="25">
        <v>45075</v>
      </c>
      <c r="L606" s="7"/>
      <c r="M606" s="7" t="s">
        <v>87</v>
      </c>
      <c r="N606" s="26">
        <v>2.5000000000000001E-2</v>
      </c>
      <c r="O606" s="7" t="s">
        <v>183</v>
      </c>
      <c r="P606" s="27">
        <v>0.2</v>
      </c>
      <c r="Q606" s="90"/>
      <c r="R606" s="90"/>
      <c r="S606" s="7" t="s">
        <v>145</v>
      </c>
      <c r="T606" s="7" t="s">
        <v>2077</v>
      </c>
      <c r="U606" s="7" t="s">
        <v>39</v>
      </c>
      <c r="V606" s="24" t="e">
        <f t="shared" ca="1" si="25"/>
        <v>#NAME?</v>
      </c>
      <c r="W606" s="7"/>
      <c r="X606" s="7"/>
      <c r="Y606" s="29" t="s">
        <v>147</v>
      </c>
      <c r="Z606" s="30"/>
      <c r="AA606" s="31">
        <v>45075</v>
      </c>
      <c r="AB606" s="32">
        <v>49075100007373</v>
      </c>
      <c r="AC606" s="30"/>
      <c r="AD606" s="30"/>
      <c r="AE606" s="30"/>
      <c r="AF606" s="30"/>
      <c r="AG606" s="30"/>
      <c r="AH606" s="30">
        <v>0</v>
      </c>
      <c r="AI606" s="30">
        <v>0</v>
      </c>
      <c r="AJ606" s="30">
        <v>49931.15</v>
      </c>
      <c r="AK606" s="30">
        <v>51939.1</v>
      </c>
      <c r="AL606" s="30">
        <v>57669.29</v>
      </c>
      <c r="AM606" s="30">
        <v>66902.600000000006</v>
      </c>
      <c r="AN606" s="30">
        <v>66641.42</v>
      </c>
      <c r="AO606" s="30">
        <v>68617.759999999995</v>
      </c>
      <c r="AP606" s="30">
        <v>73801.62</v>
      </c>
      <c r="AQ606" s="30">
        <v>82681.06</v>
      </c>
      <c r="AR606" s="30">
        <v>81896.27</v>
      </c>
      <c r="AS606" s="30">
        <v>83029.070000000007</v>
      </c>
      <c r="AT606" s="30">
        <v>89381.9</v>
      </c>
      <c r="AU606" s="30">
        <v>90768.54</v>
      </c>
      <c r="AV606" s="30">
        <v>94097.87</v>
      </c>
      <c r="AW606" s="30">
        <v>94153.82</v>
      </c>
      <c r="AX606" s="30">
        <v>101207.6</v>
      </c>
      <c r="AY606" s="30">
        <v>102324.54</v>
      </c>
      <c r="AZ606" s="30">
        <v>101169.29</v>
      </c>
      <c r="BA606" s="30" t="e">
        <f t="array" aca="1" ref="BA606" ca="1">_xludf.XLOOKUP(C606,'PL TOTAL D0'!A:A,'PL TOTAL D0'!C:C,"")</f>
        <v>#NAME?</v>
      </c>
    </row>
    <row r="607" spans="1:53" ht="15.75" customHeight="1">
      <c r="A607" s="23" t="s">
        <v>29</v>
      </c>
      <c r="B607" s="3" t="s">
        <v>2078</v>
      </c>
      <c r="C607" s="4" t="s">
        <v>2079</v>
      </c>
      <c r="D607" s="7" t="s">
        <v>19</v>
      </c>
      <c r="E607" s="7" t="s">
        <v>20</v>
      </c>
      <c r="F607" s="7" t="s">
        <v>989</v>
      </c>
      <c r="G607" s="7" t="e">
        <f t="shared" ca="1" si="24"/>
        <v>#NAME?</v>
      </c>
      <c r="H607" s="24" t="s">
        <v>152</v>
      </c>
      <c r="I607" s="24" t="s">
        <v>25</v>
      </c>
      <c r="J607" s="7" t="str">
        <f t="shared" si="29"/>
        <v>Não</v>
      </c>
      <c r="K607" s="25">
        <v>45448</v>
      </c>
      <c r="L607" s="7"/>
      <c r="M607" s="7" t="s">
        <v>357</v>
      </c>
      <c r="N607" s="26">
        <v>7.0000000000000001E-3</v>
      </c>
      <c r="O607" s="7" t="s">
        <v>25</v>
      </c>
      <c r="P607" s="27">
        <v>0</v>
      </c>
      <c r="Q607" s="90"/>
      <c r="R607" s="90"/>
      <c r="S607" s="7" t="s">
        <v>145</v>
      </c>
      <c r="T607" s="7" t="s">
        <v>2080</v>
      </c>
      <c r="U607" s="7" t="s">
        <v>20</v>
      </c>
      <c r="V607" s="24" t="e">
        <f t="shared" ca="1" si="25"/>
        <v>#NAME?</v>
      </c>
      <c r="W607" s="7"/>
      <c r="X607" s="7" t="s">
        <v>52</v>
      </c>
      <c r="Y607" s="29" t="s">
        <v>147</v>
      </c>
      <c r="Z607" s="30"/>
      <c r="AA607" s="31">
        <v>45448</v>
      </c>
      <c r="AB607" s="32">
        <v>49075100015031</v>
      </c>
      <c r="AC607" s="30"/>
      <c r="AD607" s="30"/>
      <c r="AE607" s="30"/>
      <c r="AF607" s="30"/>
      <c r="AG607" s="30"/>
      <c r="AH607" s="30"/>
      <c r="AI607" s="30"/>
      <c r="AJ607" s="30"/>
      <c r="AK607" s="30"/>
      <c r="AL607" s="30"/>
      <c r="AM607" s="30"/>
      <c r="AN607" s="30"/>
      <c r="AO607" s="30"/>
      <c r="AP607" s="30"/>
      <c r="AQ607" s="30"/>
      <c r="AR607" s="30"/>
      <c r="AS607" s="30"/>
      <c r="AT607" s="30"/>
      <c r="AU607" s="30"/>
      <c r="AV607" s="30"/>
      <c r="AW607" s="30">
        <v>11609.16</v>
      </c>
      <c r="AX607" s="30">
        <v>11725.87</v>
      </c>
      <c r="AY607" s="30">
        <v>0</v>
      </c>
      <c r="AZ607" s="30">
        <v>0</v>
      </c>
      <c r="BA607" s="30" t="e">
        <f t="array" aca="1" ref="BA607" ca="1">_xludf.XLOOKUP(C607,'PL TOTAL D0'!A:A,'PL TOTAL D0'!C:C,"")</f>
        <v>#NAME?</v>
      </c>
    </row>
    <row r="608" spans="1:53" ht="15.75" customHeight="1">
      <c r="A608" s="23" t="s">
        <v>29</v>
      </c>
      <c r="B608" s="3" t="s">
        <v>2081</v>
      </c>
      <c r="C608" s="60" t="s">
        <v>2082</v>
      </c>
      <c r="D608" s="7" t="s">
        <v>19</v>
      </c>
      <c r="E608" s="7" t="s">
        <v>20</v>
      </c>
      <c r="F608" s="7" t="s">
        <v>199</v>
      </c>
      <c r="G608" s="7" t="e">
        <f t="shared" ca="1" si="24"/>
        <v>#NAME?</v>
      </c>
      <c r="H608" s="24" t="s">
        <v>152</v>
      </c>
      <c r="I608" s="24" t="s">
        <v>25</v>
      </c>
      <c r="J608" s="7" t="str">
        <f t="shared" si="29"/>
        <v>Não</v>
      </c>
      <c r="K608" s="25">
        <v>45568</v>
      </c>
      <c r="L608" s="7"/>
      <c r="M608" s="7" t="s">
        <v>42</v>
      </c>
      <c r="N608" s="26">
        <v>1.2E-2</v>
      </c>
      <c r="O608" s="7" t="s">
        <v>25</v>
      </c>
      <c r="P608" s="27">
        <v>0</v>
      </c>
      <c r="Q608" s="138"/>
      <c r="R608" s="90"/>
      <c r="S608" s="7" t="s">
        <v>145</v>
      </c>
      <c r="T608" s="7" t="s">
        <v>2083</v>
      </c>
      <c r="U608" s="7" t="s">
        <v>20</v>
      </c>
      <c r="V608" s="24" t="e">
        <f t="shared" ca="1" si="25"/>
        <v>#NAME?</v>
      </c>
      <c r="W608" s="7"/>
      <c r="X608" s="7" t="s">
        <v>52</v>
      </c>
      <c r="Y608" s="29"/>
      <c r="Z608" s="30"/>
      <c r="AA608" s="30"/>
      <c r="AB608" s="32"/>
      <c r="AC608" s="30"/>
      <c r="AD608" s="30"/>
      <c r="AE608" s="30"/>
      <c r="AF608" s="30"/>
      <c r="AG608" s="30"/>
      <c r="AH608" s="30"/>
      <c r="AI608" s="30"/>
      <c r="AJ608" s="30"/>
      <c r="AK608" s="30"/>
      <c r="AL608" s="30"/>
      <c r="AM608" s="30"/>
      <c r="AN608" s="30"/>
      <c r="AO608" s="30"/>
      <c r="AP608" s="30"/>
      <c r="AQ608" s="30"/>
      <c r="AR608" s="30"/>
      <c r="AS608" s="30"/>
      <c r="AT608" s="30"/>
      <c r="AU608" s="30"/>
      <c r="AV608" s="30"/>
      <c r="AW608" s="30"/>
      <c r="AX608" s="30"/>
      <c r="AY608" s="30"/>
      <c r="AZ608" s="30"/>
      <c r="BA608" s="30" t="e">
        <f t="array" aca="1" ref="BA608" ca="1">_xludf.XLOOKUP(C608,'PL TOTAL D0'!A:A,'PL TOTAL D0'!C:C,"")</f>
        <v>#NAME?</v>
      </c>
    </row>
    <row r="609" spans="1:53" ht="15.75" customHeight="1">
      <c r="A609" s="23" t="s">
        <v>29</v>
      </c>
      <c r="B609" s="38" t="s">
        <v>2084</v>
      </c>
      <c r="C609" s="39" t="s">
        <v>2085</v>
      </c>
      <c r="D609" s="7" t="s">
        <v>19</v>
      </c>
      <c r="E609" s="7" t="s">
        <v>49</v>
      </c>
      <c r="F609" s="7" t="s">
        <v>166</v>
      </c>
      <c r="G609" s="7" t="e">
        <f t="shared" ca="1" si="24"/>
        <v>#NAME?</v>
      </c>
      <c r="H609" s="24" t="s">
        <v>152</v>
      </c>
      <c r="I609" s="24" t="s">
        <v>25</v>
      </c>
      <c r="J609" s="7" t="str">
        <f t="shared" si="29"/>
        <v>Sim</v>
      </c>
      <c r="K609" s="25">
        <v>45495</v>
      </c>
      <c r="L609" s="7"/>
      <c r="M609" s="7" t="s">
        <v>42</v>
      </c>
      <c r="N609" s="26">
        <v>1.2E-2</v>
      </c>
      <c r="O609" s="7" t="s">
        <v>25</v>
      </c>
      <c r="P609" s="27">
        <v>0</v>
      </c>
      <c r="Q609" s="169" t="s">
        <v>2086</v>
      </c>
      <c r="R609" s="90"/>
      <c r="S609" s="7" t="s">
        <v>145</v>
      </c>
      <c r="T609" s="7" t="s">
        <v>2087</v>
      </c>
      <c r="U609" s="7" t="s">
        <v>49</v>
      </c>
      <c r="V609" s="24" t="e">
        <f t="shared" ca="1" si="25"/>
        <v>#NAME?</v>
      </c>
      <c r="W609" s="7"/>
      <c r="X609" s="7" t="s">
        <v>52</v>
      </c>
      <c r="Y609" s="29" t="s">
        <v>147</v>
      </c>
      <c r="Z609" s="30"/>
      <c r="AA609" s="31">
        <v>45495</v>
      </c>
      <c r="AB609" s="32">
        <v>49075100015481</v>
      </c>
      <c r="AC609" s="30"/>
      <c r="AD609" s="30"/>
      <c r="AE609" s="30"/>
      <c r="AF609" s="30"/>
      <c r="AG609" s="30"/>
      <c r="AH609" s="30"/>
      <c r="AI609" s="30"/>
      <c r="AJ609" s="30"/>
      <c r="AK609" s="30"/>
      <c r="AL609" s="30"/>
      <c r="AM609" s="30"/>
      <c r="AN609" s="30"/>
      <c r="AO609" s="30"/>
      <c r="AP609" s="30"/>
      <c r="AQ609" s="30"/>
      <c r="AR609" s="30"/>
      <c r="AS609" s="30"/>
      <c r="AT609" s="30"/>
      <c r="AU609" s="30"/>
      <c r="AV609" s="30"/>
      <c r="AW609" s="30"/>
      <c r="AX609" s="30">
        <v>73594.8</v>
      </c>
      <c r="AY609" s="30">
        <v>266372.96000000002</v>
      </c>
      <c r="AZ609" s="30">
        <v>268551.98</v>
      </c>
      <c r="BA609" s="30" t="e">
        <f t="array" aca="1" ref="BA609" ca="1">_xludf.XLOOKUP(C609,'PL TOTAL D0'!A:A,'PL TOTAL D0'!C:C,"")</f>
        <v>#NAME?</v>
      </c>
    </row>
    <row r="610" spans="1:53" ht="15.75" customHeight="1">
      <c r="A610" s="23" t="s">
        <v>29</v>
      </c>
      <c r="B610" s="38" t="s">
        <v>2088</v>
      </c>
      <c r="C610" s="39" t="s">
        <v>2089</v>
      </c>
      <c r="D610" s="7" t="s">
        <v>72</v>
      </c>
      <c r="E610" s="7" t="s">
        <v>20</v>
      </c>
      <c r="F610" s="7" t="s">
        <v>337</v>
      </c>
      <c r="G610" s="7" t="e">
        <f t="shared" ca="1" si="24"/>
        <v>#NAME?</v>
      </c>
      <c r="H610" s="24" t="s">
        <v>152</v>
      </c>
      <c r="I610" s="24" t="s">
        <v>25</v>
      </c>
      <c r="J610" s="7" t="str">
        <f t="shared" si="29"/>
        <v>Não</v>
      </c>
      <c r="K610" s="25">
        <v>45518</v>
      </c>
      <c r="L610" s="7"/>
      <c r="M610" s="7" t="s">
        <v>42</v>
      </c>
      <c r="N610" s="26">
        <v>1.2E-2</v>
      </c>
      <c r="O610" s="7" t="s">
        <v>25</v>
      </c>
      <c r="P610" s="27">
        <v>0</v>
      </c>
      <c r="Q610" s="169"/>
      <c r="R610" s="90"/>
      <c r="S610" s="7" t="s">
        <v>145</v>
      </c>
      <c r="T610" s="7" t="s">
        <v>2090</v>
      </c>
      <c r="U610" s="7" t="s">
        <v>20</v>
      </c>
      <c r="V610" s="24" t="e">
        <f t="shared" ca="1" si="25"/>
        <v>#NAME?</v>
      </c>
      <c r="W610" s="7"/>
      <c r="X610" s="7" t="s">
        <v>52</v>
      </c>
      <c r="Y610" s="29" t="s">
        <v>147</v>
      </c>
      <c r="Z610" s="30"/>
      <c r="AA610" s="30"/>
      <c r="AB610" s="32"/>
      <c r="AC610" s="30"/>
      <c r="AD610" s="30"/>
      <c r="AE610" s="30"/>
      <c r="AF610" s="30"/>
      <c r="AG610" s="30"/>
      <c r="AH610" s="30"/>
      <c r="AI610" s="30"/>
      <c r="AJ610" s="30"/>
      <c r="AK610" s="30"/>
      <c r="AL610" s="30"/>
      <c r="AM610" s="30"/>
      <c r="AN610" s="30"/>
      <c r="AO610" s="30"/>
      <c r="AP610" s="30"/>
      <c r="AQ610" s="30"/>
      <c r="AR610" s="30"/>
      <c r="AS610" s="30"/>
      <c r="AT610" s="30"/>
      <c r="AU610" s="30"/>
      <c r="AV610" s="30"/>
      <c r="AW610" s="30"/>
      <c r="AX610" s="30"/>
      <c r="AY610" s="30">
        <v>127511.46</v>
      </c>
      <c r="AZ610" s="30">
        <v>128338.66</v>
      </c>
      <c r="BA610" s="30" t="e">
        <f t="array" aca="1" ref="BA610" ca="1">_xludf.XLOOKUP(C610,'PL TOTAL D0'!A:A,'PL TOTAL D0'!C:C,"")</f>
        <v>#NAME?</v>
      </c>
    </row>
    <row r="611" spans="1:53" ht="15.75" customHeight="1">
      <c r="A611" s="23" t="s">
        <v>29</v>
      </c>
      <c r="B611" s="3" t="s">
        <v>2091</v>
      </c>
      <c r="C611" s="4" t="s">
        <v>2092</v>
      </c>
      <c r="D611" s="7" t="s">
        <v>19</v>
      </c>
      <c r="E611" s="7" t="s">
        <v>49</v>
      </c>
      <c r="F611" s="7" t="s">
        <v>277</v>
      </c>
      <c r="G611" s="7" t="e">
        <f t="shared" ca="1" si="24"/>
        <v>#NAME?</v>
      </c>
      <c r="H611" s="24" t="s">
        <v>152</v>
      </c>
      <c r="I611" s="24" t="s">
        <v>25</v>
      </c>
      <c r="J611" s="7" t="str">
        <f t="shared" si="29"/>
        <v>Não</v>
      </c>
      <c r="K611" s="25">
        <v>45028</v>
      </c>
      <c r="L611" s="7"/>
      <c r="M611" s="7" t="s">
        <v>42</v>
      </c>
      <c r="N611" s="26">
        <v>1.2E-2</v>
      </c>
      <c r="O611" s="7" t="s">
        <v>25</v>
      </c>
      <c r="P611" s="27">
        <v>0</v>
      </c>
      <c r="Q611" s="90"/>
      <c r="R611" s="90"/>
      <c r="S611" s="7" t="s">
        <v>145</v>
      </c>
      <c r="T611" s="7" t="s">
        <v>2093</v>
      </c>
      <c r="U611" s="7" t="s">
        <v>49</v>
      </c>
      <c r="V611" s="24" t="e">
        <f t="shared" ca="1" si="25"/>
        <v>#NAME?</v>
      </c>
      <c r="W611" s="7"/>
      <c r="X611" s="7"/>
      <c r="Y611" s="29" t="s">
        <v>253</v>
      </c>
      <c r="Z611" s="30"/>
      <c r="AA611" s="31">
        <v>45028</v>
      </c>
      <c r="AB611" s="32">
        <v>49075100010072</v>
      </c>
      <c r="AC611" s="30"/>
      <c r="AD611" s="30"/>
      <c r="AE611" s="30"/>
      <c r="AF611" s="30"/>
      <c r="AG611" s="30"/>
      <c r="AH611" s="30"/>
      <c r="AI611" s="30">
        <v>392253.97</v>
      </c>
      <c r="AJ611" s="30">
        <v>396340.75</v>
      </c>
      <c r="AK611" s="30">
        <v>400226.43</v>
      </c>
      <c r="AL611" s="30">
        <v>403716.37</v>
      </c>
      <c r="AM611" s="30">
        <v>407861.72</v>
      </c>
      <c r="AN611" s="30">
        <v>461695.5</v>
      </c>
      <c r="AO611" s="30">
        <v>566451.91</v>
      </c>
      <c r="AP611" s="30">
        <v>570890.03</v>
      </c>
      <c r="AQ611" s="30">
        <v>575596.87</v>
      </c>
      <c r="AR611" s="30">
        <v>578456.36</v>
      </c>
      <c r="AS611" s="30">
        <v>583073.19999999995</v>
      </c>
      <c r="AT611" s="30">
        <v>586787.5</v>
      </c>
      <c r="AU611" s="30">
        <v>591462.15</v>
      </c>
      <c r="AV611" s="30">
        <v>595896.69999999995</v>
      </c>
      <c r="AW611" s="30">
        <v>600624.9</v>
      </c>
      <c r="AX611" s="30">
        <v>605414.9</v>
      </c>
      <c r="AY611" s="30">
        <v>609530.74</v>
      </c>
      <c r="AZ611" s="30">
        <v>612660.23</v>
      </c>
      <c r="BA611" s="30" t="e">
        <f t="array" aca="1" ref="BA611" ca="1">_xludf.XLOOKUP(C611,'PL TOTAL D0'!A:A,'PL TOTAL D0'!C:C,"")</f>
        <v>#NAME?</v>
      </c>
    </row>
    <row r="612" spans="1:53" ht="15.75" customHeight="1">
      <c r="A612" s="23" t="s">
        <v>29</v>
      </c>
      <c r="B612" s="3" t="s">
        <v>2094</v>
      </c>
      <c r="C612" s="4" t="s">
        <v>2095</v>
      </c>
      <c r="D612" s="7" t="s">
        <v>19</v>
      </c>
      <c r="E612" s="7" t="s">
        <v>49</v>
      </c>
      <c r="F612" s="7" t="s">
        <v>277</v>
      </c>
      <c r="G612" s="7" t="e">
        <f t="shared" ca="1" si="24"/>
        <v>#NAME?</v>
      </c>
      <c r="H612" s="24" t="s">
        <v>167</v>
      </c>
      <c r="I612" s="24" t="s">
        <v>222</v>
      </c>
      <c r="J612" s="7" t="str">
        <f t="shared" si="29"/>
        <v>Não</v>
      </c>
      <c r="K612" s="25">
        <v>45566</v>
      </c>
      <c r="L612" s="7"/>
      <c r="M612" s="7" t="s">
        <v>42</v>
      </c>
      <c r="N612" s="26">
        <v>1.2E-2</v>
      </c>
      <c r="O612" s="7" t="s">
        <v>25</v>
      </c>
      <c r="P612" s="27">
        <v>0</v>
      </c>
      <c r="Q612" s="90"/>
      <c r="R612" s="90"/>
      <c r="S612" s="7" t="s">
        <v>187</v>
      </c>
      <c r="T612" s="7" t="s">
        <v>2096</v>
      </c>
      <c r="U612" s="7" t="s">
        <v>49</v>
      </c>
      <c r="V612" s="24" t="e">
        <f t="shared" ca="1" si="25"/>
        <v>#NAME?</v>
      </c>
      <c r="W612" s="7"/>
      <c r="X612" s="7" t="s">
        <v>52</v>
      </c>
      <c r="Y612" s="29"/>
      <c r="Z612" s="30"/>
      <c r="AA612" s="30"/>
      <c r="AB612" s="32"/>
      <c r="AC612" s="30"/>
      <c r="AD612" s="30"/>
      <c r="AE612" s="30"/>
      <c r="AF612" s="30"/>
      <c r="AG612" s="30"/>
      <c r="AH612" s="30"/>
      <c r="AI612" s="30"/>
      <c r="AJ612" s="30"/>
      <c r="AK612" s="30"/>
      <c r="AL612" s="30"/>
      <c r="AM612" s="30"/>
      <c r="AN612" s="30"/>
      <c r="AO612" s="30"/>
      <c r="AP612" s="30"/>
      <c r="AQ612" s="30"/>
      <c r="AR612" s="30"/>
      <c r="AS612" s="30"/>
      <c r="AT612" s="30"/>
      <c r="AU612" s="30"/>
      <c r="AV612" s="30"/>
      <c r="AW612" s="30"/>
      <c r="AX612" s="30"/>
      <c r="AY612" s="30"/>
      <c r="AZ612" s="30"/>
      <c r="BA612" s="30" t="e">
        <f t="array" aca="1" ref="BA612" ca="1">_xludf.XLOOKUP(C612,'PL TOTAL D0'!A:A,'PL TOTAL D0'!C:C,"")</f>
        <v>#NAME?</v>
      </c>
    </row>
    <row r="613" spans="1:53" ht="15.75" customHeight="1">
      <c r="A613" s="23" t="s">
        <v>29</v>
      </c>
      <c r="B613" s="75" t="s">
        <v>2097</v>
      </c>
      <c r="C613" s="44" t="s">
        <v>2098</v>
      </c>
      <c r="D613" s="7" t="s">
        <v>55</v>
      </c>
      <c r="E613" s="7" t="s">
        <v>34</v>
      </c>
      <c r="F613" s="7" t="s">
        <v>2099</v>
      </c>
      <c r="G613" s="7" t="e">
        <f t="shared" ca="1" si="24"/>
        <v>#NAME?</v>
      </c>
      <c r="H613" s="24" t="s">
        <v>152</v>
      </c>
      <c r="I613" s="24" t="s">
        <v>25</v>
      </c>
      <c r="J613" s="7" t="str">
        <f t="shared" si="29"/>
        <v>Não</v>
      </c>
      <c r="K613" s="25">
        <v>45513</v>
      </c>
      <c r="L613" s="7"/>
      <c r="M613" s="123" t="s">
        <v>200</v>
      </c>
      <c r="N613" s="124">
        <v>1.4999999999999999E-2</v>
      </c>
      <c r="O613" s="125" t="s">
        <v>37</v>
      </c>
      <c r="P613" s="126">
        <v>0.1</v>
      </c>
      <c r="Q613" s="90"/>
      <c r="R613" s="90"/>
      <c r="S613" s="7" t="s">
        <v>145</v>
      </c>
      <c r="T613" s="12" t="s">
        <v>2100</v>
      </c>
      <c r="U613" s="7" t="s">
        <v>60</v>
      </c>
      <c r="V613" s="24" t="e">
        <f t="shared" ca="1" si="25"/>
        <v>#NAME?</v>
      </c>
      <c r="W613" s="7"/>
      <c r="X613" s="7" t="s">
        <v>91</v>
      </c>
      <c r="Y613" s="29" t="s">
        <v>147</v>
      </c>
      <c r="Z613" s="30"/>
      <c r="AA613" s="30"/>
      <c r="AB613" s="32"/>
      <c r="AC613" s="30"/>
      <c r="AD613" s="30"/>
      <c r="AE613" s="30"/>
      <c r="AF613" s="30"/>
      <c r="AG613" s="30"/>
      <c r="AH613" s="30"/>
      <c r="AI613" s="30"/>
      <c r="AJ613" s="30"/>
      <c r="AK613" s="30"/>
      <c r="AL613" s="30"/>
      <c r="AM613" s="30"/>
      <c r="AN613" s="30"/>
      <c r="AO613" s="30"/>
      <c r="AP613" s="30"/>
      <c r="AQ613" s="30"/>
      <c r="AR613" s="30"/>
      <c r="AS613" s="30"/>
      <c r="AT613" s="30"/>
      <c r="AU613" s="30"/>
      <c r="AV613" s="30"/>
      <c r="AW613" s="30"/>
      <c r="AX613" s="30"/>
      <c r="AY613" s="30">
        <v>1796879.88</v>
      </c>
      <c r="AZ613" s="30">
        <v>1787625.67</v>
      </c>
      <c r="BA613" s="30" t="e">
        <f t="array" aca="1" ref="BA613" ca="1">_xludf.XLOOKUP(C613,'PL TOTAL D0'!A:A,'PL TOTAL D0'!C:C,"")</f>
        <v>#NAME?</v>
      </c>
    </row>
    <row r="614" spans="1:53" ht="15.75" customHeight="1">
      <c r="A614" s="23" t="s">
        <v>29</v>
      </c>
      <c r="B614" s="75" t="s">
        <v>2097</v>
      </c>
      <c r="C614" s="44" t="s">
        <v>2101</v>
      </c>
      <c r="D614" s="7" t="s">
        <v>55</v>
      </c>
      <c r="E614" s="7" t="s">
        <v>34</v>
      </c>
      <c r="F614" s="7" t="s">
        <v>2099</v>
      </c>
      <c r="G614" s="7" t="e">
        <f t="shared" ca="1" si="24"/>
        <v>#NAME?</v>
      </c>
      <c r="H614" s="24" t="s">
        <v>152</v>
      </c>
      <c r="I614" s="24" t="s">
        <v>25</v>
      </c>
      <c r="J614" s="7" t="str">
        <f t="shared" si="29"/>
        <v>Não</v>
      </c>
      <c r="K614" s="25">
        <v>45513</v>
      </c>
      <c r="L614" s="7"/>
      <c r="M614" s="123" t="s">
        <v>200</v>
      </c>
      <c r="N614" s="124">
        <v>1.4999999999999999E-2</v>
      </c>
      <c r="O614" s="125" t="s">
        <v>37</v>
      </c>
      <c r="P614" s="126">
        <v>0.1</v>
      </c>
      <c r="Q614" s="90"/>
      <c r="R614" s="90"/>
      <c r="S614" s="7" t="s">
        <v>145</v>
      </c>
      <c r="T614" s="12" t="s">
        <v>2100</v>
      </c>
      <c r="U614" s="7" t="s">
        <v>60</v>
      </c>
      <c r="V614" s="24" t="e">
        <f t="shared" ca="1" si="25"/>
        <v>#NAME?</v>
      </c>
      <c r="W614" s="7"/>
      <c r="X614" s="7" t="s">
        <v>91</v>
      </c>
      <c r="Y614" s="29" t="s">
        <v>147</v>
      </c>
      <c r="Z614" s="30"/>
      <c r="AA614" s="30"/>
      <c r="AB614" s="32"/>
      <c r="AC614" s="30"/>
      <c r="AD614" s="30"/>
      <c r="AE614" s="30"/>
      <c r="AF614" s="30"/>
      <c r="AG614" s="30"/>
      <c r="AH614" s="30"/>
      <c r="AI614" s="30"/>
      <c r="AJ614" s="30"/>
      <c r="AK614" s="30"/>
      <c r="AL614" s="30"/>
      <c r="AM614" s="30"/>
      <c r="AN614" s="30"/>
      <c r="AO614" s="30"/>
      <c r="AP614" s="30"/>
      <c r="AQ614" s="30"/>
      <c r="AR614" s="30"/>
      <c r="AS614" s="30"/>
      <c r="AT614" s="30"/>
      <c r="AU614" s="30"/>
      <c r="AV614" s="30"/>
      <c r="AW614" s="30"/>
      <c r="AX614" s="30"/>
      <c r="AY614" s="30">
        <v>1709655.37</v>
      </c>
      <c r="AZ614" s="30">
        <v>1695451.33</v>
      </c>
      <c r="BA614" s="30" t="e">
        <f t="array" aca="1" ref="BA614" ca="1">_xludf.XLOOKUP(C614,'PL TOTAL D0'!A:A,'PL TOTAL D0'!C:C,"")</f>
        <v>#NAME?</v>
      </c>
    </row>
    <row r="615" spans="1:53" ht="15.75" customHeight="1">
      <c r="A615" s="23" t="s">
        <v>29</v>
      </c>
      <c r="B615" s="75" t="s">
        <v>2102</v>
      </c>
      <c r="C615" s="44" t="s">
        <v>2103</v>
      </c>
      <c r="D615" s="7" t="s">
        <v>19</v>
      </c>
      <c r="E615" s="7" t="s">
        <v>34</v>
      </c>
      <c r="F615" s="7" t="s">
        <v>35</v>
      </c>
      <c r="G615" s="7" t="e">
        <f t="shared" ca="1" si="24"/>
        <v>#NAME?</v>
      </c>
      <c r="H615" s="24" t="s">
        <v>152</v>
      </c>
      <c r="I615" s="24" t="s">
        <v>25</v>
      </c>
      <c r="J615" s="7" t="str">
        <f t="shared" si="29"/>
        <v>Sim</v>
      </c>
      <c r="K615" s="25">
        <v>45519</v>
      </c>
      <c r="L615" s="7"/>
      <c r="M615" s="123" t="s">
        <v>58</v>
      </c>
      <c r="N615" s="170">
        <v>1.2E-2</v>
      </c>
      <c r="O615" s="171" t="s">
        <v>37</v>
      </c>
      <c r="P615" s="172">
        <v>0.1</v>
      </c>
      <c r="Q615" s="28" t="s">
        <v>2104</v>
      </c>
      <c r="R615" s="90"/>
      <c r="S615" s="7" t="s">
        <v>145</v>
      </c>
      <c r="T615" s="12" t="s">
        <v>2105</v>
      </c>
      <c r="U615" s="7" t="s">
        <v>39</v>
      </c>
      <c r="V615" s="24" t="e">
        <f t="shared" ca="1" si="25"/>
        <v>#NAME?</v>
      </c>
      <c r="W615" s="7"/>
      <c r="X615" s="7" t="s">
        <v>52</v>
      </c>
      <c r="Y615" s="29" t="s">
        <v>253</v>
      </c>
      <c r="Z615" s="30"/>
      <c r="AA615" s="30"/>
      <c r="AB615" s="32"/>
      <c r="AC615" s="30"/>
      <c r="AD615" s="30"/>
      <c r="AE615" s="30"/>
      <c r="AF615" s="30"/>
      <c r="AG615" s="30"/>
      <c r="AH615" s="30"/>
      <c r="AI615" s="30"/>
      <c r="AJ615" s="30"/>
      <c r="AK615" s="30"/>
      <c r="AL615" s="30"/>
      <c r="AM615" s="30"/>
      <c r="AN615" s="30"/>
      <c r="AO615" s="30"/>
      <c r="AP615" s="30"/>
      <c r="AQ615" s="30"/>
      <c r="AR615" s="30"/>
      <c r="AS615" s="30"/>
      <c r="AT615" s="30"/>
      <c r="AU615" s="30"/>
      <c r="AV615" s="30"/>
      <c r="AW615" s="30"/>
      <c r="AX615" s="30"/>
      <c r="AY615" s="30">
        <v>1212106.44</v>
      </c>
      <c r="AZ615" s="30">
        <v>1216330.95</v>
      </c>
      <c r="BA615" s="30" t="e">
        <f t="array" aca="1" ref="BA615" ca="1">_xludf.XLOOKUP(C615,'PL TOTAL D0'!A:A,'PL TOTAL D0'!C:C,"")</f>
        <v>#NAME?</v>
      </c>
    </row>
    <row r="616" spans="1:53" ht="15.75" customHeight="1">
      <c r="A616" s="23" t="s">
        <v>29</v>
      </c>
      <c r="B616" s="75" t="s">
        <v>2106</v>
      </c>
      <c r="C616" s="44" t="s">
        <v>2107</v>
      </c>
      <c r="D616" s="7" t="s">
        <v>19</v>
      </c>
      <c r="E616" s="7" t="s">
        <v>20</v>
      </c>
      <c r="F616" s="7" t="s">
        <v>199</v>
      </c>
      <c r="G616" s="7" t="e">
        <f t="shared" ca="1" si="24"/>
        <v>#NAME?</v>
      </c>
      <c r="H616" s="24" t="s">
        <v>152</v>
      </c>
      <c r="I616" s="24" t="s">
        <v>25</v>
      </c>
      <c r="J616" s="7" t="str">
        <f t="shared" si="29"/>
        <v>Não</v>
      </c>
      <c r="K616" s="25">
        <v>45572</v>
      </c>
      <c r="L616" s="7"/>
      <c r="M616" s="173" t="s">
        <v>466</v>
      </c>
      <c r="N616" s="174">
        <v>8.0000000000000002E-3</v>
      </c>
      <c r="O616" s="175" t="s">
        <v>25</v>
      </c>
      <c r="P616" s="176">
        <v>0</v>
      </c>
      <c r="Q616" s="28"/>
      <c r="R616" s="90"/>
      <c r="S616" s="7" t="s">
        <v>187</v>
      </c>
      <c r="T616" s="12" t="s">
        <v>2108</v>
      </c>
      <c r="U616" s="7" t="s">
        <v>20</v>
      </c>
      <c r="V616" s="24" t="e">
        <f t="shared" ca="1" si="25"/>
        <v>#NAME?</v>
      </c>
      <c r="W616" s="7"/>
      <c r="X616" s="7" t="s">
        <v>40</v>
      </c>
      <c r="Y616" s="29"/>
      <c r="Z616" s="30"/>
      <c r="AA616" s="30"/>
      <c r="AB616" s="32"/>
      <c r="AC616" s="30"/>
      <c r="AD616" s="30"/>
      <c r="AE616" s="30"/>
      <c r="AF616" s="30"/>
      <c r="AG616" s="30"/>
      <c r="AH616" s="30"/>
      <c r="AI616" s="30"/>
      <c r="AJ616" s="30"/>
      <c r="AK616" s="30"/>
      <c r="AL616" s="30"/>
      <c r="AM616" s="30"/>
      <c r="AN616" s="30"/>
      <c r="AO616" s="30"/>
      <c r="AP616" s="30"/>
      <c r="AQ616" s="30"/>
      <c r="AR616" s="30"/>
      <c r="AS616" s="30"/>
      <c r="AT616" s="30"/>
      <c r="AU616" s="30"/>
      <c r="AV616" s="30"/>
      <c r="AW616" s="30"/>
      <c r="AX616" s="30"/>
      <c r="AY616" s="30"/>
      <c r="AZ616" s="30"/>
      <c r="BA616" s="30" t="e">
        <f t="array" aca="1" ref="BA616" ca="1">_xludf.XLOOKUP(C616,'PL TOTAL D0'!A:A,'PL TOTAL D0'!C:C,"")</f>
        <v>#NAME?</v>
      </c>
    </row>
    <row r="617" spans="1:53" ht="15.75" customHeight="1">
      <c r="A617" s="23" t="s">
        <v>29</v>
      </c>
      <c r="B617" s="3" t="s">
        <v>2109</v>
      </c>
      <c r="C617" s="4" t="s">
        <v>2110</v>
      </c>
      <c r="D617" s="7" t="s">
        <v>19</v>
      </c>
      <c r="E617" s="7" t="s">
        <v>20</v>
      </c>
      <c r="F617" s="7" t="s">
        <v>199</v>
      </c>
      <c r="G617" s="7" t="e">
        <f t="shared" ca="1" si="24"/>
        <v>#NAME?</v>
      </c>
      <c r="H617" s="24" t="s">
        <v>152</v>
      </c>
      <c r="I617" s="24" t="s">
        <v>25</v>
      </c>
      <c r="J617" s="7" t="str">
        <f t="shared" si="29"/>
        <v>Não</v>
      </c>
      <c r="K617" s="25">
        <v>45281</v>
      </c>
      <c r="L617" s="7"/>
      <c r="M617" s="85" t="s">
        <v>200</v>
      </c>
      <c r="N617" s="56">
        <v>0</v>
      </c>
      <c r="O617" s="57" t="s">
        <v>25</v>
      </c>
      <c r="P617" s="58">
        <v>0</v>
      </c>
      <c r="Q617" s="28"/>
      <c r="R617" s="90"/>
      <c r="S617" s="7" t="s">
        <v>145</v>
      </c>
      <c r="T617" s="7" t="s">
        <v>2111</v>
      </c>
      <c r="U617" s="7" t="s">
        <v>20</v>
      </c>
      <c r="V617" s="24" t="e">
        <f t="shared" ca="1" si="25"/>
        <v>#NAME?</v>
      </c>
      <c r="W617" s="7"/>
      <c r="X617" s="7"/>
      <c r="Y617" s="29" t="s">
        <v>147</v>
      </c>
      <c r="Z617" s="30"/>
      <c r="AA617" s="31">
        <v>45281</v>
      </c>
      <c r="AB617" s="32">
        <v>49075100013039</v>
      </c>
      <c r="AC617" s="30"/>
      <c r="AD617" s="30"/>
      <c r="AE617" s="30"/>
      <c r="AF617" s="30"/>
      <c r="AG617" s="30"/>
      <c r="AH617" s="30"/>
      <c r="AI617" s="30"/>
      <c r="AJ617" s="30"/>
      <c r="AK617" s="30"/>
      <c r="AL617" s="30"/>
      <c r="AM617" s="30"/>
      <c r="AN617" s="30"/>
      <c r="AO617" s="30"/>
      <c r="AP617" s="30"/>
      <c r="AQ617" s="30">
        <v>85000</v>
      </c>
      <c r="AR617" s="30">
        <v>87237.52</v>
      </c>
      <c r="AS617" s="30">
        <v>99231.47</v>
      </c>
      <c r="AT617" s="30">
        <v>102513.19</v>
      </c>
      <c r="AU617" s="30">
        <v>102228.44</v>
      </c>
      <c r="AV617" s="30">
        <v>102910.3</v>
      </c>
      <c r="AW617" s="30">
        <v>104683.1</v>
      </c>
      <c r="AX617" s="30">
        <v>106018.6</v>
      </c>
      <c r="AY617" s="30">
        <v>129320.46</v>
      </c>
      <c r="AZ617" s="30">
        <v>129403.07</v>
      </c>
      <c r="BA617" s="30" t="e">
        <f t="array" aca="1" ref="BA617" ca="1">_xludf.XLOOKUP(C617,'PL TOTAL D0'!A:A,'PL TOTAL D0'!C:C,"")</f>
        <v>#NAME?</v>
      </c>
    </row>
    <row r="618" spans="1:53" ht="15.75" customHeight="1">
      <c r="A618" s="23" t="s">
        <v>29</v>
      </c>
      <c r="B618" s="3" t="s">
        <v>2112</v>
      </c>
      <c r="C618" s="4" t="s">
        <v>2113</v>
      </c>
      <c r="D618" s="7" t="s">
        <v>19</v>
      </c>
      <c r="E618" s="7" t="s">
        <v>20</v>
      </c>
      <c r="F618" s="7" t="s">
        <v>21</v>
      </c>
      <c r="G618" s="7" t="e">
        <f t="shared" ca="1" si="24"/>
        <v>#NAME?</v>
      </c>
      <c r="H618" s="24" t="s">
        <v>152</v>
      </c>
      <c r="I618" s="24" t="s">
        <v>25</v>
      </c>
      <c r="J618" s="7" t="str">
        <f t="shared" si="29"/>
        <v>Não</v>
      </c>
      <c r="K618" s="25">
        <v>45148</v>
      </c>
      <c r="L618" s="7"/>
      <c r="M618" s="7" t="s">
        <v>87</v>
      </c>
      <c r="N618" s="26">
        <v>2.5000000000000001E-2</v>
      </c>
      <c r="O618" s="7" t="s">
        <v>183</v>
      </c>
      <c r="P618" s="27">
        <v>0.2</v>
      </c>
      <c r="Q618" s="28"/>
      <c r="R618" s="28"/>
      <c r="S618" s="7" t="s">
        <v>145</v>
      </c>
      <c r="T618" s="7" t="s">
        <v>2114</v>
      </c>
      <c r="U618" s="7" t="s">
        <v>20</v>
      </c>
      <c r="V618" s="24" t="e">
        <f t="shared" ca="1" si="25"/>
        <v>#NAME?</v>
      </c>
      <c r="W618" s="7"/>
      <c r="X618" s="7"/>
      <c r="Y618" s="29" t="s">
        <v>147</v>
      </c>
      <c r="Z618" s="30"/>
      <c r="AA618" s="31">
        <v>45148</v>
      </c>
      <c r="AB618" s="32">
        <v>49075100012695</v>
      </c>
      <c r="AC618" s="30"/>
      <c r="AD618" s="30"/>
      <c r="AE618" s="30"/>
      <c r="AF618" s="30"/>
      <c r="AG618" s="30"/>
      <c r="AH618" s="30"/>
      <c r="AI618" s="30"/>
      <c r="AJ618" s="30"/>
      <c r="AK618" s="30">
        <v>0</v>
      </c>
      <c r="AL618" s="30">
        <v>0</v>
      </c>
      <c r="AM618" s="30">
        <v>318190.88</v>
      </c>
      <c r="AN618" s="30">
        <v>310054.34999999998</v>
      </c>
      <c r="AO618" s="30">
        <v>297092.46000000002</v>
      </c>
      <c r="AP618" s="30">
        <v>318723.48</v>
      </c>
      <c r="AQ618" s="30">
        <v>334082.15999999997</v>
      </c>
      <c r="AR618" s="30">
        <v>310728.58</v>
      </c>
      <c r="AS618" s="30">
        <v>314827.38</v>
      </c>
      <c r="AT618" s="30">
        <v>320036.63</v>
      </c>
      <c r="AU618" s="30">
        <v>306215.55</v>
      </c>
      <c r="AV618" s="30">
        <v>295815.90000000002</v>
      </c>
      <c r="AW618" s="30">
        <v>296249.8</v>
      </c>
      <c r="AX618" s="30">
        <v>304374.7</v>
      </c>
      <c r="AY618" s="30">
        <v>310682.96000000002</v>
      </c>
      <c r="AZ618" s="30">
        <v>304457.21999999997</v>
      </c>
      <c r="BA618" s="30" t="e">
        <f t="array" aca="1" ref="BA618" ca="1">_xludf.XLOOKUP(C618,'PL TOTAL D0'!A:A,'PL TOTAL D0'!C:C,"")</f>
        <v>#NAME?</v>
      </c>
    </row>
    <row r="619" spans="1:53" ht="15.75" customHeight="1">
      <c r="A619" s="23" t="s">
        <v>29</v>
      </c>
      <c r="B619" s="3" t="s">
        <v>2115</v>
      </c>
      <c r="C619" s="4" t="s">
        <v>2116</v>
      </c>
      <c r="D619" s="7" t="s">
        <v>19</v>
      </c>
      <c r="E619" s="7" t="s">
        <v>20</v>
      </c>
      <c r="F619" s="7" t="s">
        <v>21</v>
      </c>
      <c r="G619" s="7" t="e">
        <f t="shared" ca="1" si="24"/>
        <v>#NAME?</v>
      </c>
      <c r="H619" s="24" t="s">
        <v>152</v>
      </c>
      <c r="I619" s="24" t="s">
        <v>25</v>
      </c>
      <c r="J619" s="7" t="str">
        <f t="shared" si="29"/>
        <v>Sim</v>
      </c>
      <c r="K619" s="25">
        <v>44986</v>
      </c>
      <c r="L619" s="7"/>
      <c r="M619" s="7" t="s">
        <v>42</v>
      </c>
      <c r="N619" s="26">
        <v>1.2E-2</v>
      </c>
      <c r="O619" s="7" t="s">
        <v>25</v>
      </c>
      <c r="P619" s="27">
        <v>0</v>
      </c>
      <c r="Q619" s="28" t="s">
        <v>2117</v>
      </c>
      <c r="R619" s="28"/>
      <c r="S619" s="7" t="s">
        <v>145</v>
      </c>
      <c r="T619" s="7" t="s">
        <v>2114</v>
      </c>
      <c r="U619" s="7" t="s">
        <v>20</v>
      </c>
      <c r="V619" s="24" t="e">
        <f t="shared" ca="1" si="25"/>
        <v>#NAME?</v>
      </c>
      <c r="W619" s="7"/>
      <c r="X619" s="7"/>
      <c r="Y619" s="29" t="s">
        <v>147</v>
      </c>
      <c r="Z619" s="30"/>
      <c r="AA619" s="31">
        <v>44986</v>
      </c>
      <c r="AB619" s="32">
        <v>49075100010201</v>
      </c>
      <c r="AC619" s="30"/>
      <c r="AD619" s="30"/>
      <c r="AE619" s="30"/>
      <c r="AF619" s="30"/>
      <c r="AG619" s="30">
        <v>0</v>
      </c>
      <c r="AH619" s="30">
        <v>1309680.3400000001</v>
      </c>
      <c r="AI619" s="30">
        <v>1304279.67</v>
      </c>
      <c r="AJ619" s="30">
        <v>1297521.3</v>
      </c>
      <c r="AK619" s="30">
        <v>1306782.92</v>
      </c>
      <c r="AL619" s="30">
        <v>1317426.1499999999</v>
      </c>
      <c r="AM619" s="30">
        <v>1278216.1100000001</v>
      </c>
      <c r="AN619" s="30">
        <v>1271481.07</v>
      </c>
      <c r="AO619" s="30">
        <v>1265269.8799999999</v>
      </c>
      <c r="AP619" s="30">
        <v>1268143.8700000001</v>
      </c>
      <c r="AQ619" s="30">
        <v>1279049.4099999999</v>
      </c>
      <c r="AR619" s="30">
        <v>1280757.5</v>
      </c>
      <c r="AS619" s="30">
        <v>1285143.8</v>
      </c>
      <c r="AT619" s="30">
        <v>1289543.74</v>
      </c>
      <c r="AU619" s="30">
        <v>1297114.6299999999</v>
      </c>
      <c r="AV619" s="30">
        <v>1293053</v>
      </c>
      <c r="AW619" s="30">
        <v>1301626</v>
      </c>
      <c r="AX619" s="30">
        <v>1310951</v>
      </c>
      <c r="AY619" s="30">
        <v>1312404.8</v>
      </c>
      <c r="AZ619" s="30">
        <v>1476230.75</v>
      </c>
      <c r="BA619" s="30" t="e">
        <f t="array" aca="1" ref="BA619" ca="1">_xludf.XLOOKUP(C619,'PL TOTAL D0'!A:A,'PL TOTAL D0'!C:C,"")</f>
        <v>#NAME?</v>
      </c>
    </row>
    <row r="620" spans="1:53" ht="15.75" customHeight="1">
      <c r="A620" s="23" t="s">
        <v>29</v>
      </c>
      <c r="B620" s="37" t="s">
        <v>2118</v>
      </c>
      <c r="C620" s="4" t="s">
        <v>2119</v>
      </c>
      <c r="D620" s="7" t="s">
        <v>19</v>
      </c>
      <c r="E620" s="7" t="s">
        <v>49</v>
      </c>
      <c r="F620" s="7" t="s">
        <v>328</v>
      </c>
      <c r="G620" s="7" t="e">
        <f t="shared" ca="1" si="24"/>
        <v>#NAME?</v>
      </c>
      <c r="H620" s="24" t="s">
        <v>152</v>
      </c>
      <c r="I620" s="24" t="s">
        <v>25</v>
      </c>
      <c r="J620" s="7" t="str">
        <f t="shared" si="29"/>
        <v>Sim</v>
      </c>
      <c r="K620" s="25">
        <v>45058</v>
      </c>
      <c r="L620" s="7"/>
      <c r="M620" s="7" t="s">
        <v>42</v>
      </c>
      <c r="N620" s="26">
        <v>8.0000000000000002E-3</v>
      </c>
      <c r="O620" s="7" t="s">
        <v>25</v>
      </c>
      <c r="P620" s="27">
        <v>0</v>
      </c>
      <c r="Q620" s="28" t="s">
        <v>2120</v>
      </c>
      <c r="R620" s="90"/>
      <c r="S620" s="7" t="s">
        <v>187</v>
      </c>
      <c r="T620" s="7" t="s">
        <v>2121</v>
      </c>
      <c r="U620" s="7" t="s">
        <v>49</v>
      </c>
      <c r="V620" s="24" t="e">
        <f t="shared" ca="1" si="25"/>
        <v>#NAME?</v>
      </c>
      <c r="W620" s="7"/>
      <c r="X620" s="7"/>
      <c r="Y620" s="29" t="s">
        <v>253</v>
      </c>
      <c r="Z620" s="30"/>
      <c r="AA620" s="31">
        <v>45058</v>
      </c>
      <c r="AB620" s="32">
        <v>49075100009066</v>
      </c>
      <c r="AC620" s="30"/>
      <c r="AD620" s="30"/>
      <c r="AE620" s="30"/>
      <c r="AF620" s="30"/>
      <c r="AG620" s="30"/>
      <c r="AH620" s="30"/>
      <c r="AI620" s="30">
        <v>0</v>
      </c>
      <c r="AJ620" s="30">
        <v>917050.58</v>
      </c>
      <c r="AK620" s="30">
        <v>921849.32</v>
      </c>
      <c r="AL620" s="30">
        <v>925915.22</v>
      </c>
      <c r="AM620" s="30">
        <v>932372.26</v>
      </c>
      <c r="AN620" s="30">
        <v>938332.24</v>
      </c>
      <c r="AO620" s="30">
        <v>946137.88</v>
      </c>
      <c r="AP620" s="30">
        <v>951998.3</v>
      </c>
      <c r="AQ620" s="30">
        <v>959427.1</v>
      </c>
      <c r="AR620" s="30">
        <v>966990.1</v>
      </c>
      <c r="AS620" s="30">
        <v>973392.74</v>
      </c>
      <c r="AT620" s="30">
        <v>977995.99</v>
      </c>
      <c r="AU620" s="30">
        <v>985720.73</v>
      </c>
      <c r="AV620" s="30">
        <v>993183.8</v>
      </c>
      <c r="AW620" s="30">
        <v>997112.5</v>
      </c>
      <c r="AX620" s="30">
        <v>1102114</v>
      </c>
      <c r="AY620" s="30">
        <v>1519351.89</v>
      </c>
      <c r="AZ620" s="30">
        <v>1707715.02</v>
      </c>
      <c r="BA620" s="30" t="e">
        <f t="array" aca="1" ref="BA620" ca="1">_xludf.XLOOKUP(C620,'PL TOTAL D0'!A:A,'PL TOTAL D0'!C:C,"")</f>
        <v>#NAME?</v>
      </c>
    </row>
    <row r="621" spans="1:53" ht="15.75" customHeight="1">
      <c r="A621" s="23" t="s">
        <v>29</v>
      </c>
      <c r="B621" s="3" t="s">
        <v>2122</v>
      </c>
      <c r="C621" s="4" t="s">
        <v>2123</v>
      </c>
      <c r="D621" s="7" t="s">
        <v>19</v>
      </c>
      <c r="E621" s="7" t="s">
        <v>49</v>
      </c>
      <c r="F621" s="7" t="s">
        <v>50</v>
      </c>
      <c r="G621" s="7" t="e">
        <f t="shared" ca="1" si="24"/>
        <v>#NAME?</v>
      </c>
      <c r="H621" s="24" t="s">
        <v>161</v>
      </c>
      <c r="I621" s="24" t="s">
        <v>162</v>
      </c>
      <c r="J621" s="7" t="str">
        <f t="shared" si="29"/>
        <v>Não</v>
      </c>
      <c r="K621" s="25">
        <v>44973</v>
      </c>
      <c r="L621" s="7"/>
      <c r="M621" s="7" t="s">
        <v>42</v>
      </c>
      <c r="N621" s="26">
        <v>0.01</v>
      </c>
      <c r="O621" s="7" t="s">
        <v>25</v>
      </c>
      <c r="P621" s="27">
        <v>0</v>
      </c>
      <c r="Q621" s="28"/>
      <c r="R621" s="28"/>
      <c r="S621" s="7" t="s">
        <v>145</v>
      </c>
      <c r="T621" s="7" t="s">
        <v>2124</v>
      </c>
      <c r="U621" s="7" t="s">
        <v>49</v>
      </c>
      <c r="V621" s="24" t="e">
        <f t="shared" ca="1" si="25"/>
        <v>#NAME?</v>
      </c>
      <c r="W621" s="7"/>
      <c r="X621" s="7"/>
      <c r="Y621" s="29" t="s">
        <v>147</v>
      </c>
      <c r="Z621" s="30"/>
      <c r="AA621" s="31">
        <v>44973</v>
      </c>
      <c r="AB621" s="32">
        <v>49075100006229</v>
      </c>
      <c r="AC621" s="30"/>
      <c r="AD621" s="30"/>
      <c r="AE621" s="30"/>
      <c r="AF621" s="30"/>
      <c r="AG621" s="30">
        <v>134565.57999999999</v>
      </c>
      <c r="AH621" s="30">
        <v>131030.57</v>
      </c>
      <c r="AI621" s="30">
        <v>131907.25</v>
      </c>
      <c r="AJ621" s="30">
        <v>119165.24</v>
      </c>
      <c r="AK621" s="30">
        <v>121226.11</v>
      </c>
      <c r="AL621" s="30">
        <v>117331.38</v>
      </c>
      <c r="AM621" s="30">
        <v>118898.37</v>
      </c>
      <c r="AN621" s="30">
        <v>119904.59</v>
      </c>
      <c r="AO621" s="30">
        <v>80094.84</v>
      </c>
      <c r="AP621" s="30">
        <v>82181.14</v>
      </c>
      <c r="AQ621" s="30">
        <v>100558.79</v>
      </c>
      <c r="AR621" s="30">
        <v>91388.44</v>
      </c>
      <c r="AS621" s="30">
        <v>87542.720000000001</v>
      </c>
      <c r="AT621" s="30">
        <v>83186.649999999994</v>
      </c>
      <c r="AU621" s="30">
        <v>75175.92</v>
      </c>
      <c r="AV621" s="30">
        <v>69892.570000000007</v>
      </c>
      <c r="AW621" s="30">
        <v>63886.49</v>
      </c>
      <c r="AX621" s="30">
        <v>62723.23</v>
      </c>
      <c r="AY621" s="30">
        <v>6148.7</v>
      </c>
      <c r="AZ621" s="30">
        <v>0</v>
      </c>
      <c r="BA621" s="30" t="e">
        <f t="array" aca="1" ref="BA621" ca="1">_xludf.XLOOKUP(C621,'PL TOTAL D0'!A:A,'PL TOTAL D0'!C:C,"")</f>
        <v>#NAME?</v>
      </c>
    </row>
    <row r="622" spans="1:53" ht="15.75" customHeight="1">
      <c r="A622" s="23" t="s">
        <v>29</v>
      </c>
      <c r="B622" s="36" t="s">
        <v>2125</v>
      </c>
      <c r="C622" s="44" t="s">
        <v>2126</v>
      </c>
      <c r="D622" s="7" t="s">
        <v>80</v>
      </c>
      <c r="E622" s="7" t="s">
        <v>49</v>
      </c>
      <c r="F622" s="7" t="s">
        <v>81</v>
      </c>
      <c r="G622" s="7" t="e">
        <f t="shared" ca="1" si="24"/>
        <v>#NAME?</v>
      </c>
      <c r="H622" s="24" t="s">
        <v>152</v>
      </c>
      <c r="I622" s="24" t="s">
        <v>25</v>
      </c>
      <c r="J622" s="7" t="str">
        <f t="shared" si="29"/>
        <v>Sim</v>
      </c>
      <c r="K622" s="25">
        <v>45337</v>
      </c>
      <c r="L622" s="7"/>
      <c r="M622" s="7" t="s">
        <v>42</v>
      </c>
      <c r="N622" s="26">
        <v>1.2E-2</v>
      </c>
      <c r="O622" s="7" t="s">
        <v>25</v>
      </c>
      <c r="P622" s="27">
        <v>0</v>
      </c>
      <c r="Q622" s="28" t="s">
        <v>2127</v>
      </c>
      <c r="R622" s="28"/>
      <c r="S622" s="7" t="s">
        <v>187</v>
      </c>
      <c r="T622" s="6" t="s">
        <v>2128</v>
      </c>
      <c r="U622" s="7" t="s">
        <v>49</v>
      </c>
      <c r="V622" s="24" t="e">
        <f t="shared" ca="1" si="25"/>
        <v>#NAME?</v>
      </c>
      <c r="W622" s="7"/>
      <c r="X622" s="7"/>
      <c r="Y622" s="29" t="s">
        <v>147</v>
      </c>
      <c r="Z622" s="30"/>
      <c r="AA622" s="31">
        <v>45337</v>
      </c>
      <c r="AB622" s="32">
        <v>49075100013421</v>
      </c>
      <c r="AC622" s="30"/>
      <c r="AD622" s="30"/>
      <c r="AE622" s="30"/>
      <c r="AF622" s="30"/>
      <c r="AG622" s="30"/>
      <c r="AH622" s="30"/>
      <c r="AI622" s="30"/>
      <c r="AJ622" s="30"/>
      <c r="AK622" s="30"/>
      <c r="AL622" s="30"/>
      <c r="AM622" s="30"/>
      <c r="AN622" s="30"/>
      <c r="AO622" s="30"/>
      <c r="AP622" s="30"/>
      <c r="AQ622" s="30"/>
      <c r="AR622" s="30"/>
      <c r="AS622" s="30">
        <v>0</v>
      </c>
      <c r="AT622" s="30">
        <v>663216.71</v>
      </c>
      <c r="AU622" s="30">
        <v>1510011.53</v>
      </c>
      <c r="AV622" s="30">
        <v>1369361</v>
      </c>
      <c r="AW622" s="30">
        <v>1127466</v>
      </c>
      <c r="AX622" s="30">
        <v>1137459</v>
      </c>
      <c r="AY622" s="30">
        <v>1145593.93</v>
      </c>
      <c r="AZ622" s="30">
        <v>744346.61</v>
      </c>
      <c r="BA622" s="30" t="e">
        <f t="array" aca="1" ref="BA622" ca="1">_xludf.XLOOKUP(C622,'PL TOTAL D0'!A:A,'PL TOTAL D0'!C:C,"")</f>
        <v>#NAME?</v>
      </c>
    </row>
    <row r="623" spans="1:53" ht="15.75" customHeight="1">
      <c r="A623" s="23" t="s">
        <v>29</v>
      </c>
      <c r="B623" s="3" t="s">
        <v>2129</v>
      </c>
      <c r="C623" s="4" t="s">
        <v>2130</v>
      </c>
      <c r="D623" s="7" t="s">
        <v>19</v>
      </c>
      <c r="E623" s="7" t="s">
        <v>34</v>
      </c>
      <c r="F623" s="7" t="s">
        <v>35</v>
      </c>
      <c r="G623" s="7" t="e">
        <f t="shared" ca="1" si="24"/>
        <v>#NAME?</v>
      </c>
      <c r="H623" s="24" t="s">
        <v>152</v>
      </c>
      <c r="I623" s="24" t="s">
        <v>25</v>
      </c>
      <c r="J623" s="7" t="str">
        <f t="shared" si="29"/>
        <v>Não</v>
      </c>
      <c r="K623" s="25">
        <v>45163</v>
      </c>
      <c r="L623" s="25"/>
      <c r="M623" s="7" t="s">
        <v>58</v>
      </c>
      <c r="N623" s="26">
        <v>1.2E-2</v>
      </c>
      <c r="O623" s="7" t="s">
        <v>37</v>
      </c>
      <c r="P623" s="27">
        <v>0.1</v>
      </c>
      <c r="Q623" s="90"/>
      <c r="R623" s="28" t="s">
        <v>2131</v>
      </c>
      <c r="S623" s="7" t="s">
        <v>145</v>
      </c>
      <c r="T623" s="7" t="s">
        <v>2132</v>
      </c>
      <c r="U623" s="7" t="s">
        <v>39</v>
      </c>
      <c r="V623" s="24" t="e">
        <f t="shared" ca="1" si="25"/>
        <v>#NAME?</v>
      </c>
      <c r="W623" s="7"/>
      <c r="X623" s="7"/>
      <c r="Y623" s="29" t="s">
        <v>147</v>
      </c>
      <c r="Z623" s="30"/>
      <c r="AA623" s="31">
        <v>45163</v>
      </c>
      <c r="AB623" s="32">
        <v>49075100011826</v>
      </c>
      <c r="AC623" s="30"/>
      <c r="AD623" s="30"/>
      <c r="AE623" s="30"/>
      <c r="AF623" s="30"/>
      <c r="AG623" s="30"/>
      <c r="AH623" s="30"/>
      <c r="AI623" s="30">
        <v>0</v>
      </c>
      <c r="AJ623" s="30">
        <v>0</v>
      </c>
      <c r="AK623" s="30">
        <v>0</v>
      </c>
      <c r="AL623" s="30">
        <v>0</v>
      </c>
      <c r="AM623" s="30">
        <v>0</v>
      </c>
      <c r="AN623" s="30">
        <v>0</v>
      </c>
      <c r="AO623" s="30">
        <v>0</v>
      </c>
      <c r="AP623" s="30">
        <v>0</v>
      </c>
      <c r="AQ623" s="30">
        <v>495723.2</v>
      </c>
      <c r="AR623" s="30">
        <v>489036.95</v>
      </c>
      <c r="AS623" s="30">
        <v>492682.44</v>
      </c>
      <c r="AT623" s="30">
        <v>492167.63</v>
      </c>
      <c r="AU623" s="30">
        <v>491926.14</v>
      </c>
      <c r="AV623" s="30">
        <v>491737.7</v>
      </c>
      <c r="AW623" s="30">
        <v>495131.8</v>
      </c>
      <c r="AX623" s="30">
        <v>500785.7</v>
      </c>
      <c r="AY623" s="30">
        <v>505984.56</v>
      </c>
      <c r="AZ623" s="30">
        <v>507348.98</v>
      </c>
      <c r="BA623" s="30" t="e">
        <f t="array" aca="1" ref="BA623" ca="1">_xludf.XLOOKUP(C623,'PL TOTAL D0'!A:A,'PL TOTAL D0'!C:C,"")</f>
        <v>#NAME?</v>
      </c>
    </row>
    <row r="624" spans="1:53" ht="15.75" customHeight="1">
      <c r="A624" s="23" t="s">
        <v>29</v>
      </c>
      <c r="B624" s="3" t="s">
        <v>2133</v>
      </c>
      <c r="C624" s="4" t="s">
        <v>2134</v>
      </c>
      <c r="D624" s="7" t="s">
        <v>19</v>
      </c>
      <c r="E624" s="7" t="s">
        <v>34</v>
      </c>
      <c r="F624" s="7" t="s">
        <v>35</v>
      </c>
      <c r="G624" s="7" t="e">
        <f t="shared" ca="1" si="24"/>
        <v>#NAME?</v>
      </c>
      <c r="H624" s="24" t="s">
        <v>161</v>
      </c>
      <c r="I624" s="24" t="s">
        <v>162</v>
      </c>
      <c r="J624" s="7" t="str">
        <f t="shared" si="29"/>
        <v>Não</v>
      </c>
      <c r="K624" s="25">
        <v>45127</v>
      </c>
      <c r="L624" s="25"/>
      <c r="M624" s="7" t="s">
        <v>87</v>
      </c>
      <c r="N624" s="26">
        <v>2.5000000000000001E-2</v>
      </c>
      <c r="O624" s="7" t="s">
        <v>183</v>
      </c>
      <c r="P624" s="27">
        <v>0.2</v>
      </c>
      <c r="Q624" s="28"/>
      <c r="R624" s="90"/>
      <c r="S624" s="7" t="s">
        <v>145</v>
      </c>
      <c r="T624" s="7" t="s">
        <v>2135</v>
      </c>
      <c r="U624" s="7" t="s">
        <v>39</v>
      </c>
      <c r="V624" s="24" t="e">
        <f t="shared" ca="1" si="25"/>
        <v>#NAME?</v>
      </c>
      <c r="W624" s="7"/>
      <c r="X624" s="7"/>
      <c r="Y624" s="29" t="s">
        <v>147</v>
      </c>
      <c r="Z624" s="30"/>
      <c r="AA624" s="31">
        <v>45127</v>
      </c>
      <c r="AB624" s="32">
        <v>49075100008434</v>
      </c>
      <c r="AC624" s="30"/>
      <c r="AD624" s="30"/>
      <c r="AE624" s="30"/>
      <c r="AF624" s="30"/>
      <c r="AG624" s="30"/>
      <c r="AH624" s="30"/>
      <c r="AI624" s="30"/>
      <c r="AJ624" s="30"/>
      <c r="AK624" s="30">
        <v>0</v>
      </c>
      <c r="AL624" s="30">
        <v>50378.93</v>
      </c>
      <c r="AM624" s="30">
        <v>50509.51</v>
      </c>
      <c r="AN624" s="30">
        <v>49400.81</v>
      </c>
      <c r="AO624" s="30">
        <v>47181.15</v>
      </c>
      <c r="AP624" s="30">
        <v>50692.58</v>
      </c>
      <c r="AQ624" s="30">
        <v>53112.44</v>
      </c>
      <c r="AR624" s="30">
        <v>49430.06</v>
      </c>
      <c r="AS624" s="30">
        <v>50112.37</v>
      </c>
      <c r="AT624" s="30">
        <v>50930.79</v>
      </c>
      <c r="AU624" s="30">
        <v>48747.29</v>
      </c>
      <c r="AV624" s="30">
        <v>47179.05</v>
      </c>
      <c r="AW624" s="30">
        <v>5077.9399999999996</v>
      </c>
      <c r="AX624" s="30">
        <v>271.23</v>
      </c>
      <c r="AY624" s="30">
        <v>273.07</v>
      </c>
      <c r="AZ624" s="30">
        <v>273.07</v>
      </c>
      <c r="BA624" s="30" t="e">
        <f t="array" aca="1" ref="BA624" ca="1">_xludf.XLOOKUP(C624,'PL TOTAL D0'!A:A,'PL TOTAL D0'!C:C,"")</f>
        <v>#NAME?</v>
      </c>
    </row>
    <row r="625" spans="1:53" ht="15.75" customHeight="1">
      <c r="A625" s="23" t="s">
        <v>29</v>
      </c>
      <c r="B625" s="3" t="s">
        <v>2133</v>
      </c>
      <c r="C625" s="4" t="s">
        <v>2136</v>
      </c>
      <c r="D625" s="7" t="s">
        <v>19</v>
      </c>
      <c r="E625" s="7" t="s">
        <v>34</v>
      </c>
      <c r="F625" s="7" t="s">
        <v>35</v>
      </c>
      <c r="G625" s="7" t="e">
        <f t="shared" ca="1" si="24"/>
        <v>#NAME?</v>
      </c>
      <c r="H625" s="24" t="s">
        <v>152</v>
      </c>
      <c r="I625" s="24" t="s">
        <v>25</v>
      </c>
      <c r="J625" s="7" t="str">
        <f t="shared" si="29"/>
        <v>Não</v>
      </c>
      <c r="K625" s="25">
        <v>45021</v>
      </c>
      <c r="L625" s="7"/>
      <c r="M625" s="7" t="s">
        <v>58</v>
      </c>
      <c r="N625" s="26">
        <v>1.2E-2</v>
      </c>
      <c r="O625" s="7" t="s">
        <v>25</v>
      </c>
      <c r="P625" s="27">
        <v>0</v>
      </c>
      <c r="Q625" s="28"/>
      <c r="R625" s="90"/>
      <c r="S625" s="7" t="s">
        <v>145</v>
      </c>
      <c r="T625" s="7" t="s">
        <v>2135</v>
      </c>
      <c r="U625" s="7" t="s">
        <v>39</v>
      </c>
      <c r="V625" s="24" t="e">
        <f t="shared" ca="1" si="25"/>
        <v>#NAME?</v>
      </c>
      <c r="W625" s="7"/>
      <c r="X625" s="7"/>
      <c r="Y625" s="29" t="s">
        <v>147</v>
      </c>
      <c r="Z625" s="30"/>
      <c r="AA625" s="31">
        <v>45021</v>
      </c>
      <c r="AB625" s="32">
        <v>49075100009929</v>
      </c>
      <c r="AC625" s="30"/>
      <c r="AD625" s="30"/>
      <c r="AE625" s="30"/>
      <c r="AF625" s="30"/>
      <c r="AG625" s="30"/>
      <c r="AH625" s="30">
        <v>0</v>
      </c>
      <c r="AI625" s="30">
        <v>177876.97</v>
      </c>
      <c r="AJ625" s="30">
        <v>179377.58</v>
      </c>
      <c r="AK625" s="30">
        <v>181097.77</v>
      </c>
      <c r="AL625" s="30">
        <v>131177.81</v>
      </c>
      <c r="AM625" s="30">
        <v>132234.70000000001</v>
      </c>
      <c r="AN625" s="30">
        <v>132752.76</v>
      </c>
      <c r="AO625" s="30">
        <v>132974.39000000001</v>
      </c>
      <c r="AP625" s="30">
        <v>135260.13</v>
      </c>
      <c r="AQ625" s="30">
        <v>137192.65</v>
      </c>
      <c r="AR625" s="30">
        <v>135840.04999999999</v>
      </c>
      <c r="AS625" s="30">
        <v>136829.17000000001</v>
      </c>
      <c r="AT625" s="30">
        <v>137673.4</v>
      </c>
      <c r="AU625" s="30">
        <v>137534.93</v>
      </c>
      <c r="AV625" s="30">
        <v>137446.5</v>
      </c>
      <c r="AW625" s="30">
        <v>180587.8</v>
      </c>
      <c r="AX625" s="30">
        <v>188128.3</v>
      </c>
      <c r="AY625" s="30">
        <v>190549.05</v>
      </c>
      <c r="AZ625" s="30">
        <v>190000.1</v>
      </c>
      <c r="BA625" s="30" t="e">
        <f t="array" aca="1" ref="BA625" ca="1">_xludf.XLOOKUP(C625,'PL TOTAL D0'!A:A,'PL TOTAL D0'!C:C,"")</f>
        <v>#NAME?</v>
      </c>
    </row>
    <row r="626" spans="1:53" ht="15.75" customHeight="1">
      <c r="A626" s="23" t="s">
        <v>29</v>
      </c>
      <c r="B626" s="3" t="s">
        <v>2137</v>
      </c>
      <c r="C626" s="4" t="s">
        <v>2138</v>
      </c>
      <c r="D626" s="7" t="s">
        <v>19</v>
      </c>
      <c r="E626" s="7" t="s">
        <v>20</v>
      </c>
      <c r="F626" s="7" t="s">
        <v>372</v>
      </c>
      <c r="G626" s="7" t="e">
        <f t="shared" ca="1" si="24"/>
        <v>#NAME?</v>
      </c>
      <c r="H626" s="24" t="s">
        <v>161</v>
      </c>
      <c r="I626" s="24" t="s">
        <v>211</v>
      </c>
      <c r="J626" s="7" t="str">
        <f t="shared" si="29"/>
        <v>Não</v>
      </c>
      <c r="K626" s="25">
        <v>45449</v>
      </c>
      <c r="L626" s="7"/>
      <c r="M626" s="127" t="s">
        <v>2139</v>
      </c>
      <c r="N626" s="128">
        <v>1.0999999999999999E-2</v>
      </c>
      <c r="O626" s="129" t="s">
        <v>37</v>
      </c>
      <c r="P626" s="130">
        <v>0.1</v>
      </c>
      <c r="Q626" s="28"/>
      <c r="R626" s="90"/>
      <c r="S626" s="7" t="s">
        <v>145</v>
      </c>
      <c r="T626" s="7" t="s">
        <v>2140</v>
      </c>
      <c r="U626" s="7" t="s">
        <v>20</v>
      </c>
      <c r="V626" s="24" t="e">
        <f t="shared" ca="1" si="25"/>
        <v>#NAME?</v>
      </c>
      <c r="W626" s="7"/>
      <c r="X626" s="7" t="s">
        <v>52</v>
      </c>
      <c r="Y626" s="29" t="s">
        <v>147</v>
      </c>
      <c r="Z626" s="30"/>
      <c r="AA626" s="31">
        <v>45449</v>
      </c>
      <c r="AB626" s="32">
        <v>49075100015082</v>
      </c>
      <c r="AC626" s="30"/>
      <c r="AD626" s="30"/>
      <c r="AE626" s="30"/>
      <c r="AF626" s="30"/>
      <c r="AG626" s="30"/>
      <c r="AH626" s="30"/>
      <c r="AI626" s="30"/>
      <c r="AJ626" s="30"/>
      <c r="AK626" s="30"/>
      <c r="AL626" s="30"/>
      <c r="AM626" s="30"/>
      <c r="AN626" s="30"/>
      <c r="AO626" s="30"/>
      <c r="AP626" s="30"/>
      <c r="AQ626" s="30"/>
      <c r="AR626" s="30"/>
      <c r="AS626" s="30"/>
      <c r="AT626" s="30"/>
      <c r="AU626" s="30"/>
      <c r="AV626" s="30"/>
      <c r="AW626" s="30">
        <v>279722.5</v>
      </c>
      <c r="AX626" s="30">
        <v>287488</v>
      </c>
      <c r="AY626" s="30">
        <v>295455.35999999999</v>
      </c>
      <c r="AZ626" s="30">
        <v>306779.82</v>
      </c>
      <c r="BA626" s="30" t="e">
        <f t="array" aca="1" ref="BA626" ca="1">_xludf.XLOOKUP(C626,'PL TOTAL D0'!A:A,'PL TOTAL D0'!C:C,"")</f>
        <v>#NAME?</v>
      </c>
    </row>
    <row r="627" spans="1:53" ht="15.75" customHeight="1">
      <c r="A627" s="23" t="s">
        <v>29</v>
      </c>
      <c r="B627" s="37" t="s">
        <v>2141</v>
      </c>
      <c r="C627" s="4" t="s">
        <v>2142</v>
      </c>
      <c r="D627" s="7" t="s">
        <v>19</v>
      </c>
      <c r="E627" s="7" t="s">
        <v>49</v>
      </c>
      <c r="F627" s="7" t="s">
        <v>50</v>
      </c>
      <c r="G627" s="7" t="e">
        <f t="shared" ca="1" si="24"/>
        <v>#NAME?</v>
      </c>
      <c r="H627" s="24" t="s">
        <v>152</v>
      </c>
      <c r="I627" s="24" t="s">
        <v>25</v>
      </c>
      <c r="J627" s="7" t="str">
        <f t="shared" si="29"/>
        <v>Sim</v>
      </c>
      <c r="K627" s="25">
        <v>45022</v>
      </c>
      <c r="L627" s="7"/>
      <c r="M627" s="7" t="s">
        <v>36</v>
      </c>
      <c r="N627" s="26">
        <v>1.2E-2</v>
      </c>
      <c r="O627" s="7" t="s">
        <v>37</v>
      </c>
      <c r="P627" s="27">
        <v>0.1</v>
      </c>
      <c r="Q627" s="28" t="s">
        <v>2143</v>
      </c>
      <c r="R627" s="177" t="s">
        <v>2144</v>
      </c>
      <c r="S627" s="7" t="s">
        <v>145</v>
      </c>
      <c r="T627" s="7" t="s">
        <v>2145</v>
      </c>
      <c r="U627" s="7" t="s">
        <v>49</v>
      </c>
      <c r="V627" s="24" t="e">
        <f t="shared" ca="1" si="25"/>
        <v>#NAME?</v>
      </c>
      <c r="W627" s="7"/>
      <c r="X627" s="7"/>
      <c r="Y627" s="29" t="s">
        <v>147</v>
      </c>
      <c r="Z627" s="30"/>
      <c r="AA627" s="31">
        <v>45022</v>
      </c>
      <c r="AB627" s="32">
        <v>49075100011834</v>
      </c>
      <c r="AC627" s="30"/>
      <c r="AD627" s="30"/>
      <c r="AE627" s="30"/>
      <c r="AF627" s="30"/>
      <c r="AG627" s="30"/>
      <c r="AH627" s="30">
        <v>601591.75</v>
      </c>
      <c r="AI627" s="30">
        <v>717386.93</v>
      </c>
      <c r="AJ627" s="30">
        <v>1048743.06</v>
      </c>
      <c r="AK627" s="30">
        <v>1063288.17</v>
      </c>
      <c r="AL627" s="30">
        <v>1073945.3600000001</v>
      </c>
      <c r="AM627" s="30">
        <v>1083419.33</v>
      </c>
      <c r="AN627" s="30">
        <v>1082641.95</v>
      </c>
      <c r="AO627" s="30">
        <v>1087386.42</v>
      </c>
      <c r="AP627" s="30">
        <v>1097502.53</v>
      </c>
      <c r="AQ627" s="30">
        <v>1194938.98</v>
      </c>
      <c r="AR627" s="30">
        <v>1223884.1299999999</v>
      </c>
      <c r="AS627" s="30">
        <v>1236519.3500000001</v>
      </c>
      <c r="AT627" s="30">
        <v>1242953.3600000001</v>
      </c>
      <c r="AU627" s="30">
        <v>1240124.8500000001</v>
      </c>
      <c r="AV627" s="30">
        <v>1250545</v>
      </c>
      <c r="AW627" s="30">
        <v>1252316</v>
      </c>
      <c r="AX627" s="30">
        <v>1267267</v>
      </c>
      <c r="AY627" s="30">
        <v>1309542.6200000001</v>
      </c>
      <c r="AZ627" s="30">
        <v>1664497.45</v>
      </c>
      <c r="BA627" s="30" t="e">
        <f t="array" aca="1" ref="BA627" ca="1">_xludf.XLOOKUP(C627,'PL TOTAL D0'!A:A,'PL TOTAL D0'!C:C,"")</f>
        <v>#NAME?</v>
      </c>
    </row>
    <row r="628" spans="1:53" ht="15.75" customHeight="1">
      <c r="A628" s="23" t="s">
        <v>29</v>
      </c>
      <c r="B628" s="3" t="s">
        <v>2146</v>
      </c>
      <c r="C628" s="4" t="s">
        <v>2147</v>
      </c>
      <c r="D628" s="7" t="s">
        <v>19</v>
      </c>
      <c r="E628" s="7" t="s">
        <v>20</v>
      </c>
      <c r="F628" s="7" t="s">
        <v>199</v>
      </c>
      <c r="G628" s="7" t="e">
        <f t="shared" ca="1" si="24"/>
        <v>#NAME?</v>
      </c>
      <c r="H628" s="24" t="s">
        <v>152</v>
      </c>
      <c r="I628" s="24" t="s">
        <v>25</v>
      </c>
      <c r="J628" s="7" t="str">
        <f t="shared" si="29"/>
        <v>Não</v>
      </c>
      <c r="K628" s="25">
        <v>45013</v>
      </c>
      <c r="L628" s="7"/>
      <c r="M628" s="7" t="s">
        <v>58</v>
      </c>
      <c r="N628" s="26">
        <v>1.2E-2</v>
      </c>
      <c r="O628" s="7" t="s">
        <v>25</v>
      </c>
      <c r="P628" s="27">
        <v>0</v>
      </c>
      <c r="Q628" s="28"/>
      <c r="R628" s="90"/>
      <c r="S628" s="7" t="s">
        <v>145</v>
      </c>
      <c r="T628" s="7" t="s">
        <v>2148</v>
      </c>
      <c r="U628" s="7" t="s">
        <v>20</v>
      </c>
      <c r="V628" s="24" t="e">
        <f t="shared" ca="1" si="25"/>
        <v>#NAME?</v>
      </c>
      <c r="W628" s="7"/>
      <c r="X628" s="7"/>
      <c r="Y628" s="29" t="s">
        <v>147</v>
      </c>
      <c r="Z628" s="30"/>
      <c r="AA628" s="31">
        <v>45013</v>
      </c>
      <c r="AB628" s="32">
        <v>49075100009988</v>
      </c>
      <c r="AC628" s="30"/>
      <c r="AD628" s="30"/>
      <c r="AE628" s="30"/>
      <c r="AF628" s="30"/>
      <c r="AG628" s="30"/>
      <c r="AH628" s="30">
        <v>155704.76</v>
      </c>
      <c r="AI628" s="30">
        <v>156998.82999999999</v>
      </c>
      <c r="AJ628" s="30">
        <v>158275.19</v>
      </c>
      <c r="AK628" s="30">
        <v>139442.51999999999</v>
      </c>
      <c r="AL628" s="30">
        <v>120267.44</v>
      </c>
      <c r="AM628" s="30">
        <v>120707.61</v>
      </c>
      <c r="AN628" s="30">
        <v>100215.5</v>
      </c>
      <c r="AO628" s="30">
        <v>100240.88</v>
      </c>
      <c r="AP628" s="30">
        <v>81936.87</v>
      </c>
      <c r="AQ628" s="30">
        <v>108427.76</v>
      </c>
      <c r="AR628" s="30">
        <v>97226.03</v>
      </c>
      <c r="AS628" s="30">
        <v>97848.960000000006</v>
      </c>
      <c r="AT628" s="30">
        <v>77652.460000000006</v>
      </c>
      <c r="AU628" s="30">
        <v>56959.33</v>
      </c>
      <c r="AV628" s="30">
        <v>46980.76</v>
      </c>
      <c r="AW628" s="30">
        <v>47248.75</v>
      </c>
      <c r="AX628" s="30">
        <v>47875.74</v>
      </c>
      <c r="AY628" s="30">
        <v>48304.49</v>
      </c>
      <c r="AZ628" s="30">
        <v>27944.2</v>
      </c>
      <c r="BA628" s="30" t="e">
        <f t="array" aca="1" ref="BA628" ca="1">_xludf.XLOOKUP(C628,'PL TOTAL D0'!A:A,'PL TOTAL D0'!C:C,"")</f>
        <v>#NAME?</v>
      </c>
    </row>
    <row r="629" spans="1:53" ht="15.75" customHeight="1">
      <c r="A629" s="23" t="s">
        <v>29</v>
      </c>
      <c r="B629" s="3" t="s">
        <v>2149</v>
      </c>
      <c r="C629" s="4" t="s">
        <v>2150</v>
      </c>
      <c r="D629" s="7" t="s">
        <v>19</v>
      </c>
      <c r="E629" s="7" t="s">
        <v>49</v>
      </c>
      <c r="F629" s="7" t="s">
        <v>277</v>
      </c>
      <c r="G629" s="7" t="e">
        <f t="shared" ca="1" si="24"/>
        <v>#NAME?</v>
      </c>
      <c r="H629" s="24" t="s">
        <v>161</v>
      </c>
      <c r="I629" s="24" t="s">
        <v>162</v>
      </c>
      <c r="J629" s="7" t="str">
        <f t="shared" si="29"/>
        <v>Não</v>
      </c>
      <c r="K629" s="25">
        <v>44943</v>
      </c>
      <c r="L629" s="7"/>
      <c r="M629" s="7" t="s">
        <v>42</v>
      </c>
      <c r="N629" s="26">
        <v>1.2E-2</v>
      </c>
      <c r="O629" s="7" t="s">
        <v>25</v>
      </c>
      <c r="P629" s="27">
        <v>0</v>
      </c>
      <c r="Q629" s="28"/>
      <c r="R629" s="90"/>
      <c r="S629" s="7" t="s">
        <v>145</v>
      </c>
      <c r="T629" s="7" t="s">
        <v>2151</v>
      </c>
      <c r="U629" s="7" t="s">
        <v>49</v>
      </c>
      <c r="V629" s="24" t="e">
        <f t="shared" ca="1" si="25"/>
        <v>#NAME?</v>
      </c>
      <c r="W629" s="7"/>
      <c r="X629" s="7"/>
      <c r="Y629" s="29" t="s">
        <v>147</v>
      </c>
      <c r="Z629" s="30"/>
      <c r="AA629" s="31">
        <v>44943</v>
      </c>
      <c r="AB629" s="32">
        <v>49075100006237</v>
      </c>
      <c r="AC629" s="30"/>
      <c r="AD629" s="30"/>
      <c r="AE629" s="30"/>
      <c r="AF629" s="30">
        <v>501159.49</v>
      </c>
      <c r="AG629" s="30">
        <v>288794.28000000003</v>
      </c>
      <c r="AH629" s="30">
        <v>285585.78999999998</v>
      </c>
      <c r="AI629" s="30">
        <v>242066.06</v>
      </c>
      <c r="AJ629" s="30">
        <v>233418.45</v>
      </c>
      <c r="AK629" s="30">
        <v>221274.76</v>
      </c>
      <c r="AL629" s="30">
        <v>211013.95</v>
      </c>
      <c r="AM629" s="30">
        <v>202631.36</v>
      </c>
      <c r="AN629" s="30">
        <v>199838.3</v>
      </c>
      <c r="AO629" s="30">
        <v>0</v>
      </c>
      <c r="AP629" s="30">
        <v>0</v>
      </c>
      <c r="AQ629" s="30">
        <v>0</v>
      </c>
      <c r="AR629" s="30">
        <v>0</v>
      </c>
      <c r="AS629" s="30">
        <v>0.14000000000000001</v>
      </c>
      <c r="AT629" s="30">
        <v>0.14000000000000001</v>
      </c>
      <c r="AU629" s="30">
        <v>0.14000000000000001</v>
      </c>
      <c r="AV629" s="30">
        <v>0.14000000000000001</v>
      </c>
      <c r="AW629" s="30">
        <v>0.14000000000000001</v>
      </c>
      <c r="AX629" s="30">
        <v>0.14000000000000001</v>
      </c>
      <c r="AY629" s="30">
        <v>0.14000000000000001</v>
      </c>
      <c r="AZ629" s="30">
        <v>0.14000000000000001</v>
      </c>
      <c r="BA629" s="30" t="e">
        <f t="array" aca="1" ref="BA629" ca="1">_xludf.XLOOKUP(C629,'PL TOTAL D0'!A:A,'PL TOTAL D0'!C:C,"")</f>
        <v>#NAME?</v>
      </c>
    </row>
    <row r="630" spans="1:53" ht="15.75" customHeight="1">
      <c r="A630" s="23" t="s">
        <v>29</v>
      </c>
      <c r="B630" s="3" t="s">
        <v>2149</v>
      </c>
      <c r="C630" s="4" t="s">
        <v>2152</v>
      </c>
      <c r="D630" s="7" t="s">
        <v>19</v>
      </c>
      <c r="E630" s="7" t="s">
        <v>49</v>
      </c>
      <c r="F630" s="7" t="s">
        <v>277</v>
      </c>
      <c r="G630" s="7" t="e">
        <f t="shared" ca="1" si="24"/>
        <v>#NAME?</v>
      </c>
      <c r="H630" s="24" t="s">
        <v>161</v>
      </c>
      <c r="I630" s="24" t="s">
        <v>162</v>
      </c>
      <c r="J630" s="7" t="str">
        <f t="shared" si="29"/>
        <v>Não</v>
      </c>
      <c r="K630" s="25">
        <v>45163</v>
      </c>
      <c r="L630" s="25"/>
      <c r="M630" s="7" t="s">
        <v>200</v>
      </c>
      <c r="N630" s="26">
        <v>1.4999999999999999E-2</v>
      </c>
      <c r="O630" s="7" t="s">
        <v>37</v>
      </c>
      <c r="P630" s="27">
        <v>0.1</v>
      </c>
      <c r="Q630" s="90"/>
      <c r="R630" s="90"/>
      <c r="S630" s="7" t="s">
        <v>145</v>
      </c>
      <c r="T630" s="7" t="s">
        <v>2151</v>
      </c>
      <c r="U630" s="7" t="s">
        <v>49</v>
      </c>
      <c r="V630" s="24" t="e">
        <f t="shared" ca="1" si="25"/>
        <v>#NAME?</v>
      </c>
      <c r="W630" s="7"/>
      <c r="X630" s="7"/>
      <c r="Y630" s="29" t="s">
        <v>147</v>
      </c>
      <c r="Z630" s="30"/>
      <c r="AA630" s="31">
        <v>45163</v>
      </c>
      <c r="AB630" s="32">
        <v>49075100011842</v>
      </c>
      <c r="AC630" s="30"/>
      <c r="AD630" s="30"/>
      <c r="AE630" s="30"/>
      <c r="AF630" s="30">
        <v>0</v>
      </c>
      <c r="AG630" s="30">
        <v>0</v>
      </c>
      <c r="AH630" s="30">
        <v>0</v>
      </c>
      <c r="AI630" s="30">
        <v>0</v>
      </c>
      <c r="AJ630" s="30">
        <v>0</v>
      </c>
      <c r="AK630" s="30">
        <v>0</v>
      </c>
      <c r="AL630" s="30">
        <v>0</v>
      </c>
      <c r="AM630" s="30">
        <v>0</v>
      </c>
      <c r="AN630" s="30">
        <v>0</v>
      </c>
      <c r="AO630" s="30">
        <v>0</v>
      </c>
      <c r="AP630" s="30">
        <v>0</v>
      </c>
      <c r="AQ630" s="30">
        <v>0</v>
      </c>
      <c r="AR630" s="30">
        <v>0</v>
      </c>
      <c r="AS630" s="30">
        <v>0</v>
      </c>
      <c r="AT630" s="30">
        <v>0</v>
      </c>
      <c r="AU630" s="30">
        <v>0</v>
      </c>
      <c r="AV630" s="30">
        <v>0</v>
      </c>
      <c r="AW630" s="30">
        <v>0</v>
      </c>
      <c r="AX630" s="30">
        <v>0</v>
      </c>
      <c r="AY630" s="30">
        <v>0</v>
      </c>
      <c r="AZ630" s="30">
        <v>0</v>
      </c>
      <c r="BA630" s="30" t="e">
        <f t="array" aca="1" ref="BA630" ca="1">_xludf.XLOOKUP(C630,'PL TOTAL D0'!A:A,'PL TOTAL D0'!C:C,"")</f>
        <v>#NAME?</v>
      </c>
    </row>
    <row r="631" spans="1:53" ht="15.75" customHeight="1">
      <c r="A631" s="23" t="s">
        <v>29</v>
      </c>
      <c r="B631" s="3" t="s">
        <v>2153</v>
      </c>
      <c r="C631" s="4" t="s">
        <v>2154</v>
      </c>
      <c r="D631" s="7" t="s">
        <v>19</v>
      </c>
      <c r="E631" s="7" t="s">
        <v>34</v>
      </c>
      <c r="F631" s="7" t="s">
        <v>35</v>
      </c>
      <c r="G631" s="7" t="e">
        <f t="shared" ca="1" si="24"/>
        <v>#NAME?</v>
      </c>
      <c r="H631" s="24" t="s">
        <v>152</v>
      </c>
      <c r="I631" s="24" t="s">
        <v>25</v>
      </c>
      <c r="J631" s="7" t="str">
        <f t="shared" si="29"/>
        <v>Não</v>
      </c>
      <c r="K631" s="25">
        <v>45163</v>
      </c>
      <c r="L631" s="25"/>
      <c r="M631" s="7" t="s">
        <v>200</v>
      </c>
      <c r="N631" s="26">
        <v>1.4999999999999999E-2</v>
      </c>
      <c r="O631" s="7" t="s">
        <v>37</v>
      </c>
      <c r="P631" s="27">
        <v>0.1</v>
      </c>
      <c r="Q631" s="23"/>
      <c r="R631" s="28" t="s">
        <v>2155</v>
      </c>
      <c r="S631" s="7" t="s">
        <v>145</v>
      </c>
      <c r="T631" s="7" t="s">
        <v>2156</v>
      </c>
      <c r="U631" s="7" t="s">
        <v>39</v>
      </c>
      <c r="V631" s="24" t="e">
        <f t="shared" ca="1" si="25"/>
        <v>#NAME?</v>
      </c>
      <c r="W631" s="7"/>
      <c r="X631" s="7"/>
      <c r="Y631" s="29" t="s">
        <v>147</v>
      </c>
      <c r="Z631" s="30"/>
      <c r="AA631" s="31">
        <v>45163</v>
      </c>
      <c r="AB631" s="32">
        <v>49075100011850</v>
      </c>
      <c r="AC631" s="30"/>
      <c r="AD631" s="30"/>
      <c r="AE631" s="30"/>
      <c r="AF631" s="30"/>
      <c r="AG631" s="30"/>
      <c r="AH631" s="30">
        <v>0</v>
      </c>
      <c r="AI631" s="30">
        <v>0</v>
      </c>
      <c r="AJ631" s="30">
        <v>0</v>
      </c>
      <c r="AK631" s="30">
        <v>0</v>
      </c>
      <c r="AL631" s="30">
        <v>0</v>
      </c>
      <c r="AM631" s="30">
        <v>0</v>
      </c>
      <c r="AN631" s="30">
        <v>0</v>
      </c>
      <c r="AO631" s="30">
        <v>0</v>
      </c>
      <c r="AP631" s="30">
        <v>0</v>
      </c>
      <c r="AQ631" s="30">
        <v>708572.32</v>
      </c>
      <c r="AR631" s="30">
        <v>750481.26</v>
      </c>
      <c r="AS631" s="30">
        <v>759696.99</v>
      </c>
      <c r="AT631" s="30">
        <v>830733.73</v>
      </c>
      <c r="AU631" s="30">
        <v>834273.8</v>
      </c>
      <c r="AV631" s="30">
        <v>912080.2</v>
      </c>
      <c r="AW631" s="30">
        <v>924384.9</v>
      </c>
      <c r="AX631" s="30">
        <v>943396.3</v>
      </c>
      <c r="AY631" s="30">
        <v>957719.25</v>
      </c>
      <c r="AZ631" s="30">
        <v>971265.4</v>
      </c>
      <c r="BA631" s="30" t="e">
        <f t="array" aca="1" ref="BA631" ca="1">_xludf.XLOOKUP(C631,'PL TOTAL D0'!A:A,'PL TOTAL D0'!C:C,"")</f>
        <v>#NAME?</v>
      </c>
    </row>
    <row r="632" spans="1:53" ht="15.75" customHeight="1">
      <c r="A632" s="23" t="s">
        <v>29</v>
      </c>
      <c r="B632" s="37" t="s">
        <v>2157</v>
      </c>
      <c r="C632" s="4" t="s">
        <v>2158</v>
      </c>
      <c r="D632" s="7" t="s">
        <v>19</v>
      </c>
      <c r="E632" s="7" t="s">
        <v>34</v>
      </c>
      <c r="F632" s="7" t="s">
        <v>35</v>
      </c>
      <c r="G632" s="7" t="e">
        <f t="shared" ca="1" si="24"/>
        <v>#NAME?</v>
      </c>
      <c r="H632" s="24" t="s">
        <v>143</v>
      </c>
      <c r="I632" s="24" t="s">
        <v>25</v>
      </c>
      <c r="J632" s="7" t="str">
        <f t="shared" si="29"/>
        <v>Não</v>
      </c>
      <c r="K632" s="25">
        <v>45035</v>
      </c>
      <c r="L632" s="79">
        <v>45274</v>
      </c>
      <c r="M632" s="7" t="s">
        <v>42</v>
      </c>
      <c r="N632" s="26">
        <v>1.2E-2</v>
      </c>
      <c r="O632" s="7" t="s">
        <v>25</v>
      </c>
      <c r="P632" s="27">
        <v>0</v>
      </c>
      <c r="Q632" s="28"/>
      <c r="R632" s="28"/>
      <c r="S632" s="7" t="s">
        <v>145</v>
      </c>
      <c r="T632" s="7" t="s">
        <v>2156</v>
      </c>
      <c r="U632" s="7" t="s">
        <v>39</v>
      </c>
      <c r="V632" s="24" t="e">
        <f t="shared" ca="1" si="25"/>
        <v>#NAME?</v>
      </c>
      <c r="W632" s="7"/>
      <c r="X632" s="7"/>
      <c r="Y632" s="29"/>
      <c r="Z632" s="30"/>
      <c r="AA632" s="31">
        <v>45035</v>
      </c>
      <c r="AB632" s="32"/>
      <c r="AC632" s="30"/>
      <c r="AD632" s="30"/>
      <c r="AE632" s="30"/>
      <c r="AF632" s="30"/>
      <c r="AG632" s="30"/>
      <c r="AH632" s="30">
        <v>0</v>
      </c>
      <c r="AI632" s="30">
        <v>701658.56</v>
      </c>
      <c r="AJ632" s="30">
        <v>709432.98</v>
      </c>
      <c r="AK632" s="30">
        <v>311014.03000000003</v>
      </c>
      <c r="AL632" s="30">
        <v>312644.15999999997</v>
      </c>
      <c r="AM632" s="30">
        <v>315352.28000000003</v>
      </c>
      <c r="AN632" s="30">
        <v>317999.63</v>
      </c>
      <c r="AO632" s="30">
        <v>0</v>
      </c>
      <c r="AP632" s="30">
        <v>0</v>
      </c>
      <c r="AQ632" s="30">
        <v>0</v>
      </c>
      <c r="AR632" s="30">
        <v>0</v>
      </c>
      <c r="AS632" s="30">
        <v>0</v>
      </c>
      <c r="AT632" s="30">
        <v>0</v>
      </c>
      <c r="AU632" s="30">
        <v>0</v>
      </c>
      <c r="AV632" s="30">
        <v>0</v>
      </c>
      <c r="AW632" s="30">
        <v>0</v>
      </c>
      <c r="AX632" s="30">
        <v>0</v>
      </c>
      <c r="AY632" s="30">
        <v>0</v>
      </c>
      <c r="AZ632" s="30">
        <v>0</v>
      </c>
      <c r="BA632" s="30" t="e">
        <f t="array" aca="1" ref="BA632" ca="1">_xludf.XLOOKUP(C632,'PL TOTAL D0'!A:A,'PL TOTAL D0'!C:C,"")</f>
        <v>#NAME?</v>
      </c>
    </row>
    <row r="633" spans="1:53" ht="15.75" customHeight="1">
      <c r="A633" s="23" t="s">
        <v>29</v>
      </c>
      <c r="B633" s="40" t="s">
        <v>2159</v>
      </c>
      <c r="C633" s="44" t="s">
        <v>2160</v>
      </c>
      <c r="D633" s="7" t="s">
        <v>64</v>
      </c>
      <c r="E633" s="7" t="s">
        <v>20</v>
      </c>
      <c r="F633" s="7" t="s">
        <v>142</v>
      </c>
      <c r="G633" s="7" t="e">
        <f t="shared" ca="1" si="24"/>
        <v>#NAME?</v>
      </c>
      <c r="H633" s="24" t="s">
        <v>143</v>
      </c>
      <c r="I633" s="24" t="s">
        <v>25</v>
      </c>
      <c r="J633" s="7" t="str">
        <f t="shared" si="29"/>
        <v>Não</v>
      </c>
      <c r="K633" s="25">
        <v>45230</v>
      </c>
      <c r="L633" s="25">
        <v>45527</v>
      </c>
      <c r="M633" s="7" t="s">
        <v>58</v>
      </c>
      <c r="N633" s="26">
        <v>1.2E-2</v>
      </c>
      <c r="O633" s="7" t="s">
        <v>37</v>
      </c>
      <c r="P633" s="27">
        <v>0.1</v>
      </c>
      <c r="Q633" s="28"/>
      <c r="R633" s="28"/>
      <c r="S633" s="7" t="s">
        <v>145</v>
      </c>
      <c r="T633" s="7" t="s">
        <v>2161</v>
      </c>
      <c r="U633" s="7" t="s">
        <v>20</v>
      </c>
      <c r="V633" s="24" t="e">
        <f t="shared" ca="1" si="25"/>
        <v>#NAME?</v>
      </c>
      <c r="W633" s="7"/>
      <c r="X633" s="7"/>
      <c r="Y633" s="29" t="s">
        <v>253</v>
      </c>
      <c r="Z633" s="30"/>
      <c r="AA633" s="31">
        <v>45230</v>
      </c>
      <c r="AB633" s="32">
        <v>49075100012709</v>
      </c>
      <c r="AC633" s="30"/>
      <c r="AD633" s="30"/>
      <c r="AE633" s="30"/>
      <c r="AF633" s="30"/>
      <c r="AG633" s="30"/>
      <c r="AH633" s="30"/>
      <c r="AI633" s="30"/>
      <c r="AJ633" s="30"/>
      <c r="AK633" s="30"/>
      <c r="AL633" s="30"/>
      <c r="AM633" s="30"/>
      <c r="AN633" s="30"/>
      <c r="AO633" s="30">
        <v>0</v>
      </c>
      <c r="AP633" s="30">
        <v>95859.72</v>
      </c>
      <c r="AQ633" s="30">
        <v>129859.35</v>
      </c>
      <c r="AR633" s="30">
        <v>129787.32</v>
      </c>
      <c r="AS633" s="30">
        <v>130948.12</v>
      </c>
      <c r="AT633" s="30">
        <v>132130.09</v>
      </c>
      <c r="AU633" s="30">
        <v>136774.62</v>
      </c>
      <c r="AV633" s="30">
        <v>137070.5</v>
      </c>
      <c r="AW633" s="30">
        <v>140396.4</v>
      </c>
      <c r="AX633" s="30">
        <v>147482.79999999999</v>
      </c>
      <c r="AY633" s="30">
        <v>0</v>
      </c>
      <c r="AZ633" s="30">
        <v>0</v>
      </c>
      <c r="BA633" s="30" t="e">
        <f t="array" aca="1" ref="BA633" ca="1">_xludf.XLOOKUP(C633,'PL TOTAL D0'!A:A,'PL TOTAL D0'!C:C,"")</f>
        <v>#NAME?</v>
      </c>
    </row>
    <row r="634" spans="1:53" ht="15.75" customHeight="1">
      <c r="A634" s="23" t="s">
        <v>29</v>
      </c>
      <c r="B634" s="38" t="s">
        <v>2162</v>
      </c>
      <c r="C634" s="39" t="s">
        <v>2163</v>
      </c>
      <c r="D634" s="7" t="s">
        <v>19</v>
      </c>
      <c r="E634" s="7" t="s">
        <v>20</v>
      </c>
      <c r="F634" s="7" t="s">
        <v>199</v>
      </c>
      <c r="G634" s="7" t="e">
        <f t="shared" ca="1" si="24"/>
        <v>#NAME?</v>
      </c>
      <c r="H634" s="24" t="s">
        <v>152</v>
      </c>
      <c r="I634" s="24" t="s">
        <v>25</v>
      </c>
      <c r="J634" s="7" t="str">
        <f t="shared" si="29"/>
        <v>Não</v>
      </c>
      <c r="K634" s="25">
        <v>45407</v>
      </c>
      <c r="L634" s="7"/>
      <c r="M634" s="7" t="s">
        <v>42</v>
      </c>
      <c r="N634" s="26">
        <v>0.01</v>
      </c>
      <c r="O634" s="7" t="s">
        <v>25</v>
      </c>
      <c r="P634" s="27">
        <v>0</v>
      </c>
      <c r="Q634" s="28"/>
      <c r="R634" s="28"/>
      <c r="S634" s="7" t="s">
        <v>145</v>
      </c>
      <c r="T634" s="7" t="s">
        <v>2164</v>
      </c>
      <c r="U634" s="7" t="s">
        <v>20</v>
      </c>
      <c r="V634" s="24" t="e">
        <f t="shared" ca="1" si="25"/>
        <v>#NAME?</v>
      </c>
      <c r="W634" s="7"/>
      <c r="X634" s="7" t="s">
        <v>91</v>
      </c>
      <c r="Y634" s="29" t="s">
        <v>147</v>
      </c>
      <c r="Z634" s="30"/>
      <c r="AA634" s="31">
        <v>45407</v>
      </c>
      <c r="AB634" s="32">
        <v>49075100014124</v>
      </c>
      <c r="AC634" s="30"/>
      <c r="AD634" s="30"/>
      <c r="AE634" s="30"/>
      <c r="AF634" s="30"/>
      <c r="AG634" s="30"/>
      <c r="AH634" s="30"/>
      <c r="AI634" s="30"/>
      <c r="AJ634" s="30"/>
      <c r="AK634" s="30"/>
      <c r="AL634" s="30"/>
      <c r="AM634" s="30"/>
      <c r="AN634" s="30"/>
      <c r="AO634" s="30"/>
      <c r="AP634" s="30"/>
      <c r="AQ634" s="30"/>
      <c r="AR634" s="30"/>
      <c r="AS634" s="30"/>
      <c r="AT634" s="30"/>
      <c r="AU634" s="30">
        <v>0</v>
      </c>
      <c r="AV634" s="30">
        <v>571964.69999999995</v>
      </c>
      <c r="AW634" s="30">
        <v>577020.30000000005</v>
      </c>
      <c r="AX634" s="30">
        <v>583391.9</v>
      </c>
      <c r="AY634" s="30">
        <v>589373.24</v>
      </c>
      <c r="AZ634" s="30">
        <v>594320.29</v>
      </c>
      <c r="BA634" s="30" t="e">
        <f t="array" aca="1" ref="BA634" ca="1">_xludf.XLOOKUP(C634,'PL TOTAL D0'!A:A,'PL TOTAL D0'!C:C,"")</f>
        <v>#NAME?</v>
      </c>
    </row>
    <row r="635" spans="1:53" ht="15.75" customHeight="1">
      <c r="A635" s="23" t="s">
        <v>29</v>
      </c>
      <c r="B635" s="36" t="s">
        <v>2165</v>
      </c>
      <c r="C635" s="44" t="s">
        <v>2166</v>
      </c>
      <c r="D635" s="7" t="s">
        <v>19</v>
      </c>
      <c r="E635" s="7" t="s">
        <v>20</v>
      </c>
      <c r="F635" s="7" t="s">
        <v>171</v>
      </c>
      <c r="G635" s="7" t="e">
        <f t="shared" ca="1" si="24"/>
        <v>#NAME?</v>
      </c>
      <c r="H635" s="24" t="s">
        <v>152</v>
      </c>
      <c r="I635" s="24" t="s">
        <v>25</v>
      </c>
      <c r="J635" s="7" t="str">
        <f t="shared" si="29"/>
        <v>Não</v>
      </c>
      <c r="K635" s="25">
        <v>45240</v>
      </c>
      <c r="L635" s="7"/>
      <c r="M635" s="9" t="s">
        <v>172</v>
      </c>
      <c r="N635" s="10">
        <v>0</v>
      </c>
      <c r="O635" s="6" t="s">
        <v>25</v>
      </c>
      <c r="P635" s="11">
        <v>0</v>
      </c>
      <c r="Q635" s="28"/>
      <c r="R635" s="28"/>
      <c r="S635" s="7" t="s">
        <v>145</v>
      </c>
      <c r="T635" s="7" t="s">
        <v>2167</v>
      </c>
      <c r="U635" s="7" t="s">
        <v>20</v>
      </c>
      <c r="V635" s="24" t="e">
        <f t="shared" ca="1" si="25"/>
        <v>#NAME?</v>
      </c>
      <c r="W635" s="7"/>
      <c r="X635" s="7"/>
      <c r="Y635" s="29" t="s">
        <v>147</v>
      </c>
      <c r="Z635" s="30"/>
      <c r="AA635" s="31">
        <v>45240</v>
      </c>
      <c r="AB635" s="32">
        <v>49075100012717</v>
      </c>
      <c r="AC635" s="30"/>
      <c r="AD635" s="30"/>
      <c r="AE635" s="30"/>
      <c r="AF635" s="30"/>
      <c r="AG635" s="30"/>
      <c r="AH635" s="30"/>
      <c r="AI635" s="30"/>
      <c r="AJ635" s="30"/>
      <c r="AK635" s="30"/>
      <c r="AL635" s="30"/>
      <c r="AM635" s="30"/>
      <c r="AN635" s="30"/>
      <c r="AO635" s="30"/>
      <c r="AP635" s="30">
        <v>502.99</v>
      </c>
      <c r="AQ635" s="30">
        <v>1010.44</v>
      </c>
      <c r="AR635" s="30">
        <v>1523.78</v>
      </c>
      <c r="AS635" s="30">
        <v>2030.61</v>
      </c>
      <c r="AT635" s="30">
        <v>2546.54</v>
      </c>
      <c r="AU635" s="30">
        <v>3065.41</v>
      </c>
      <c r="AV635" s="30">
        <v>3084.3</v>
      </c>
      <c r="AW635" s="30">
        <v>3103.8</v>
      </c>
      <c r="AX635" s="30">
        <v>3736.33</v>
      </c>
      <c r="AY635" s="30">
        <v>3768.48</v>
      </c>
      <c r="AZ635" s="30">
        <v>4299.05</v>
      </c>
      <c r="BA635" s="30" t="e">
        <f t="array" aca="1" ref="BA635" ca="1">_xludf.XLOOKUP(C635,'PL TOTAL D0'!A:A,'PL TOTAL D0'!C:C,"")</f>
        <v>#NAME?</v>
      </c>
    </row>
    <row r="636" spans="1:53" ht="15.75" customHeight="1">
      <c r="A636" s="23" t="s">
        <v>29</v>
      </c>
      <c r="B636" s="3" t="s">
        <v>2168</v>
      </c>
      <c r="C636" s="4" t="s">
        <v>2169</v>
      </c>
      <c r="D636" s="7" t="s">
        <v>19</v>
      </c>
      <c r="E636" s="7" t="s">
        <v>49</v>
      </c>
      <c r="F636" s="7" t="s">
        <v>166</v>
      </c>
      <c r="G636" s="7" t="e">
        <f t="shared" ca="1" si="24"/>
        <v>#NAME?</v>
      </c>
      <c r="H636" s="24" t="s">
        <v>161</v>
      </c>
      <c r="I636" s="24" t="s">
        <v>162</v>
      </c>
      <c r="J636" s="7" t="str">
        <f t="shared" si="29"/>
        <v>Não</v>
      </c>
      <c r="K636" s="25">
        <v>44960</v>
      </c>
      <c r="L636" s="7"/>
      <c r="M636" s="7" t="s">
        <v>42</v>
      </c>
      <c r="N636" s="26">
        <v>1.2E-2</v>
      </c>
      <c r="O636" s="7" t="s">
        <v>25</v>
      </c>
      <c r="P636" s="27">
        <v>0</v>
      </c>
      <c r="Q636" s="90"/>
      <c r="R636" s="90"/>
      <c r="S636" s="7" t="s">
        <v>145</v>
      </c>
      <c r="T636" s="7" t="s">
        <v>2170</v>
      </c>
      <c r="U636" s="7" t="s">
        <v>49</v>
      </c>
      <c r="V636" s="24" t="e">
        <f t="shared" ca="1" si="25"/>
        <v>#NAME?</v>
      </c>
      <c r="W636" s="7"/>
      <c r="X636" s="7"/>
      <c r="Y636" s="29" t="s">
        <v>147</v>
      </c>
      <c r="Z636" s="30"/>
      <c r="AA636" s="31">
        <v>44960</v>
      </c>
      <c r="AB636" s="32">
        <v>49075100010285</v>
      </c>
      <c r="AC636" s="30"/>
      <c r="AD636" s="30"/>
      <c r="AE636" s="30"/>
      <c r="AF636" s="30">
        <v>0</v>
      </c>
      <c r="AG636" s="30">
        <v>50312.02</v>
      </c>
      <c r="AH636" s="30">
        <v>50841.72</v>
      </c>
      <c r="AI636" s="30">
        <v>1017.37</v>
      </c>
      <c r="AJ636" s="30">
        <v>1027.31</v>
      </c>
      <c r="AK636" s="30">
        <v>1031.5899999999999</v>
      </c>
      <c r="AL636" s="30">
        <v>1042.93</v>
      </c>
      <c r="AM636" s="30">
        <v>1055.1099999999999</v>
      </c>
      <c r="AN636" s="30">
        <v>1065.68</v>
      </c>
      <c r="AO636" s="30">
        <v>1077.0999999999999</v>
      </c>
      <c r="AP636" s="30">
        <v>1086.71</v>
      </c>
      <c r="AQ636" s="30">
        <v>1096.69</v>
      </c>
      <c r="AR636" s="30">
        <v>1107.56</v>
      </c>
      <c r="AS636" s="30">
        <v>1116.81</v>
      </c>
      <c r="AT636" s="30">
        <v>1126.3499999999999</v>
      </c>
      <c r="AU636" s="30">
        <v>1136.5999999999999</v>
      </c>
      <c r="AV636" s="30">
        <v>1146.31</v>
      </c>
      <c r="AW636" s="30">
        <v>1130.99</v>
      </c>
      <c r="AX636" s="30">
        <v>1130.99</v>
      </c>
      <c r="AY636" s="30">
        <v>21.52</v>
      </c>
      <c r="AZ636" s="30">
        <v>21.52</v>
      </c>
      <c r="BA636" s="30" t="e">
        <f t="array" aca="1" ref="BA636" ca="1">_xludf.XLOOKUP(C636,'PL TOTAL D0'!A:A,'PL TOTAL D0'!C:C,"")</f>
        <v>#NAME?</v>
      </c>
    </row>
    <row r="637" spans="1:53" ht="15.75" customHeight="1">
      <c r="A637" s="23" t="s">
        <v>29</v>
      </c>
      <c r="B637" s="3" t="s">
        <v>2171</v>
      </c>
      <c r="C637" s="4" t="s">
        <v>2172</v>
      </c>
      <c r="D637" s="7" t="s">
        <v>80</v>
      </c>
      <c r="E637" s="7" t="s">
        <v>49</v>
      </c>
      <c r="F637" s="7" t="s">
        <v>81</v>
      </c>
      <c r="G637" s="7" t="e">
        <f t="shared" ca="1" si="24"/>
        <v>#NAME?</v>
      </c>
      <c r="H637" s="24" t="s">
        <v>152</v>
      </c>
      <c r="I637" s="24" t="s">
        <v>25</v>
      </c>
      <c r="J637" s="7" t="str">
        <f t="shared" si="29"/>
        <v>Não</v>
      </c>
      <c r="K637" s="25">
        <v>45516</v>
      </c>
      <c r="L637" s="7"/>
      <c r="M637" s="7" t="s">
        <v>42</v>
      </c>
      <c r="N637" s="26">
        <v>1.2E-2</v>
      </c>
      <c r="O637" s="7" t="s">
        <v>25</v>
      </c>
      <c r="P637" s="27">
        <v>0</v>
      </c>
      <c r="Q637" s="90"/>
      <c r="R637" s="90"/>
      <c r="S637" s="7" t="s">
        <v>145</v>
      </c>
      <c r="T637" s="7" t="s">
        <v>2173</v>
      </c>
      <c r="U637" s="7" t="s">
        <v>49</v>
      </c>
      <c r="V637" s="24" t="e">
        <f t="shared" ca="1" si="25"/>
        <v>#NAME?</v>
      </c>
      <c r="W637" s="7"/>
      <c r="X637" s="7" t="s">
        <v>52</v>
      </c>
      <c r="Y637" s="29" t="s">
        <v>147</v>
      </c>
      <c r="Z637" s="30"/>
      <c r="AA637" s="30"/>
      <c r="AB637" s="32"/>
      <c r="AC637" s="30"/>
      <c r="AD637" s="30"/>
      <c r="AE637" s="30"/>
      <c r="AF637" s="30"/>
      <c r="AG637" s="30"/>
      <c r="AH637" s="30"/>
      <c r="AI637" s="30"/>
      <c r="AJ637" s="30"/>
      <c r="AK637" s="30"/>
      <c r="AL637" s="30"/>
      <c r="AM637" s="30"/>
      <c r="AN637" s="30"/>
      <c r="AO637" s="30"/>
      <c r="AP637" s="30"/>
      <c r="AQ637" s="30"/>
      <c r="AR637" s="30"/>
      <c r="AS637" s="30"/>
      <c r="AT637" s="30"/>
      <c r="AU637" s="30"/>
      <c r="AV637" s="30"/>
      <c r="AW637" s="30"/>
      <c r="AX637" s="30"/>
      <c r="AY637" s="30">
        <v>312485.98</v>
      </c>
      <c r="AZ637" s="30">
        <v>312363.08</v>
      </c>
      <c r="BA637" s="30" t="e">
        <f t="array" aca="1" ref="BA637" ca="1">_xludf.XLOOKUP(C637,'PL TOTAL D0'!A:A,'PL TOTAL D0'!C:C,"")</f>
        <v>#NAME?</v>
      </c>
    </row>
    <row r="638" spans="1:53" ht="15.75" customHeight="1">
      <c r="A638" s="23" t="s">
        <v>29</v>
      </c>
      <c r="B638" s="3" t="s">
        <v>2174</v>
      </c>
      <c r="C638" s="4" t="s">
        <v>2175</v>
      </c>
      <c r="D638" s="7" t="s">
        <v>64</v>
      </c>
      <c r="E638" s="7" t="s">
        <v>20</v>
      </c>
      <c r="F638" s="7" t="s">
        <v>142</v>
      </c>
      <c r="G638" s="7" t="e">
        <f t="shared" ca="1" si="24"/>
        <v>#NAME?</v>
      </c>
      <c r="H638" s="24" t="s">
        <v>161</v>
      </c>
      <c r="I638" s="24" t="s">
        <v>211</v>
      </c>
      <c r="J638" s="7" t="str">
        <f t="shared" si="29"/>
        <v>Não</v>
      </c>
      <c r="K638" s="25">
        <v>45117</v>
      </c>
      <c r="L638" s="7"/>
      <c r="M638" s="7" t="s">
        <v>357</v>
      </c>
      <c r="N638" s="26">
        <v>7.0000000000000001E-3</v>
      </c>
      <c r="O638" s="7" t="s">
        <v>25</v>
      </c>
      <c r="P638" s="27">
        <v>0</v>
      </c>
      <c r="Q638" s="28"/>
      <c r="R638" s="90"/>
      <c r="S638" s="7" t="s">
        <v>145</v>
      </c>
      <c r="T638" s="7" t="s">
        <v>2176</v>
      </c>
      <c r="U638" s="7" t="s">
        <v>886</v>
      </c>
      <c r="V638" s="24" t="e">
        <f t="shared" ca="1" si="25"/>
        <v>#NAME?</v>
      </c>
      <c r="W638" s="7"/>
      <c r="X638" s="7"/>
      <c r="Y638" s="29" t="s">
        <v>253</v>
      </c>
      <c r="Z638" s="30"/>
      <c r="AA638" s="31">
        <v>45117</v>
      </c>
      <c r="AB638" s="32">
        <v>49075100006768</v>
      </c>
      <c r="AC638" s="30"/>
      <c r="AD638" s="30"/>
      <c r="AE638" s="30"/>
      <c r="AF638" s="30"/>
      <c r="AG638" s="30"/>
      <c r="AH638" s="30"/>
      <c r="AI638" s="30"/>
      <c r="AJ638" s="30"/>
      <c r="AK638" s="30">
        <v>0</v>
      </c>
      <c r="AL638" s="30">
        <v>1504511.49</v>
      </c>
      <c r="AM638" s="30">
        <v>1521108.44</v>
      </c>
      <c r="AN638" s="30">
        <v>1534401.71</v>
      </c>
      <c r="AO638" s="30">
        <v>1549643.83</v>
      </c>
      <c r="AP638" s="30">
        <v>1562135.99</v>
      </c>
      <c r="AQ638" s="30">
        <v>1575438.26</v>
      </c>
      <c r="AR638" s="30">
        <v>1624131.61</v>
      </c>
      <c r="AS638" s="30">
        <v>1636332.85</v>
      </c>
      <c r="AT638" s="30">
        <v>1650026.08</v>
      </c>
      <c r="AU638" s="30">
        <v>1663929.51</v>
      </c>
      <c r="AV638" s="30">
        <v>1676632</v>
      </c>
      <c r="AW638" s="30">
        <v>1689203</v>
      </c>
      <c r="AX638" s="30">
        <v>1703125</v>
      </c>
      <c r="AY638" s="30">
        <v>0</v>
      </c>
      <c r="AZ638" s="30">
        <v>0</v>
      </c>
      <c r="BA638" s="30" t="e">
        <f t="array" aca="1" ref="BA638" ca="1">_xludf.XLOOKUP(C638,'PL TOTAL D0'!A:A,'PL TOTAL D0'!C:C,"")</f>
        <v>#NAME?</v>
      </c>
    </row>
    <row r="639" spans="1:53" ht="15.75" customHeight="1">
      <c r="A639" s="23" t="s">
        <v>29</v>
      </c>
      <c r="B639" s="40" t="s">
        <v>2177</v>
      </c>
      <c r="C639" s="41" t="s">
        <v>2178</v>
      </c>
      <c r="D639" s="7" t="s">
        <v>19</v>
      </c>
      <c r="E639" s="7" t="s">
        <v>34</v>
      </c>
      <c r="F639" s="7" t="s">
        <v>262</v>
      </c>
      <c r="G639" s="7" t="e">
        <f t="shared" ca="1" si="24"/>
        <v>#NAME?</v>
      </c>
      <c r="H639" s="24" t="s">
        <v>152</v>
      </c>
      <c r="I639" s="24" t="s">
        <v>25</v>
      </c>
      <c r="J639" s="7" t="str">
        <f t="shared" si="29"/>
        <v>Não</v>
      </c>
      <c r="K639" s="25">
        <v>45226</v>
      </c>
      <c r="L639" s="7"/>
      <c r="M639" s="7" t="s">
        <v>42</v>
      </c>
      <c r="N639" s="26">
        <v>1.2E-2</v>
      </c>
      <c r="O639" s="7" t="s">
        <v>25</v>
      </c>
      <c r="P639" s="27">
        <v>0</v>
      </c>
      <c r="Q639" s="28"/>
      <c r="R639" s="28" t="s">
        <v>2179</v>
      </c>
      <c r="S639" s="7" t="s">
        <v>187</v>
      </c>
      <c r="T639" s="7" t="s">
        <v>2180</v>
      </c>
      <c r="U639" s="7" t="s">
        <v>39</v>
      </c>
      <c r="V639" s="24" t="e">
        <f t="shared" ca="1" si="25"/>
        <v>#NAME?</v>
      </c>
      <c r="W639" s="7"/>
      <c r="X639" s="7"/>
      <c r="Y639" s="29" t="s">
        <v>147</v>
      </c>
      <c r="Z639" s="30"/>
      <c r="AA639" s="31">
        <v>45226</v>
      </c>
      <c r="AB639" s="32">
        <v>49075100012725</v>
      </c>
      <c r="AC639" s="30"/>
      <c r="AD639" s="30"/>
      <c r="AE639" s="30"/>
      <c r="AF639" s="30"/>
      <c r="AG639" s="30"/>
      <c r="AH639" s="30"/>
      <c r="AI639" s="30"/>
      <c r="AJ639" s="30"/>
      <c r="AK639" s="30"/>
      <c r="AL639" s="30"/>
      <c r="AM639" s="30"/>
      <c r="AN639" s="30"/>
      <c r="AO639" s="30">
        <v>0</v>
      </c>
      <c r="AP639" s="30">
        <v>0</v>
      </c>
      <c r="AQ639" s="30">
        <v>218731.4</v>
      </c>
      <c r="AR639" s="30">
        <v>219765.25</v>
      </c>
      <c r="AS639" s="30">
        <v>250522.33</v>
      </c>
      <c r="AT639" s="30">
        <v>252690.67</v>
      </c>
      <c r="AU639" s="30">
        <v>254558.91</v>
      </c>
      <c r="AV639" s="30">
        <v>255256.6</v>
      </c>
      <c r="AW639" s="30">
        <v>236586</v>
      </c>
      <c r="AX639" s="30">
        <v>258790.9</v>
      </c>
      <c r="AY639" s="30">
        <v>158321.78</v>
      </c>
      <c r="AZ639" s="30">
        <v>158753.38</v>
      </c>
      <c r="BA639" s="30" t="e">
        <f t="array" aca="1" ref="BA639" ca="1">_xludf.XLOOKUP(C639,'PL TOTAL D0'!A:A,'PL TOTAL D0'!C:C,"")</f>
        <v>#NAME?</v>
      </c>
    </row>
    <row r="640" spans="1:53" ht="15.75" customHeight="1">
      <c r="A640" s="23" t="s">
        <v>29</v>
      </c>
      <c r="B640" s="3" t="s">
        <v>2181</v>
      </c>
      <c r="C640" s="4" t="s">
        <v>2182</v>
      </c>
      <c r="D640" s="7" t="s">
        <v>19</v>
      </c>
      <c r="E640" s="7" t="s">
        <v>49</v>
      </c>
      <c r="F640" s="7" t="s">
        <v>166</v>
      </c>
      <c r="G640" s="7" t="e">
        <f t="shared" ca="1" si="24"/>
        <v>#NAME?</v>
      </c>
      <c r="H640" s="24" t="s">
        <v>152</v>
      </c>
      <c r="I640" s="24" t="s">
        <v>25</v>
      </c>
      <c r="J640" s="7" t="str">
        <f t="shared" si="29"/>
        <v>Sim</v>
      </c>
      <c r="K640" s="25">
        <v>44973</v>
      </c>
      <c r="L640" s="7"/>
      <c r="M640" s="7" t="s">
        <v>58</v>
      </c>
      <c r="N640" s="26">
        <v>1.2E-2</v>
      </c>
      <c r="O640" s="7" t="s">
        <v>25</v>
      </c>
      <c r="P640" s="27">
        <v>0</v>
      </c>
      <c r="Q640" s="28" t="s">
        <v>2183</v>
      </c>
      <c r="R640" s="90"/>
      <c r="S640" s="7" t="s">
        <v>145</v>
      </c>
      <c r="T640" s="7" t="s">
        <v>2184</v>
      </c>
      <c r="U640" s="7" t="s">
        <v>49</v>
      </c>
      <c r="V640" s="24" t="e">
        <f t="shared" ca="1" si="25"/>
        <v>#NAME?</v>
      </c>
      <c r="W640" s="7"/>
      <c r="X640" s="7"/>
      <c r="Y640" s="29" t="s">
        <v>253</v>
      </c>
      <c r="Z640" s="30"/>
      <c r="AA640" s="31">
        <v>44973</v>
      </c>
      <c r="AB640" s="32">
        <v>49075100006253</v>
      </c>
      <c r="AC640" s="30"/>
      <c r="AD640" s="30"/>
      <c r="AE640" s="30"/>
      <c r="AF640" s="30">
        <v>253551.03</v>
      </c>
      <c r="AG640" s="30">
        <v>302011.96999999997</v>
      </c>
      <c r="AH640" s="30">
        <v>305056.61</v>
      </c>
      <c r="AI640" s="30">
        <v>307539.42</v>
      </c>
      <c r="AJ640" s="30">
        <v>310265.38</v>
      </c>
      <c r="AK640" s="30">
        <v>311135.49</v>
      </c>
      <c r="AL640" s="30">
        <v>313732.45</v>
      </c>
      <c r="AM640" s="30">
        <v>316128</v>
      </c>
      <c r="AN640" s="30">
        <v>317485.3</v>
      </c>
      <c r="AO640" s="30">
        <v>318618.01</v>
      </c>
      <c r="AP640" s="30">
        <v>320679.52</v>
      </c>
      <c r="AQ640" s="30">
        <v>323091.99</v>
      </c>
      <c r="AR640" s="30">
        <v>424507.21</v>
      </c>
      <c r="AS640" s="30">
        <v>427282.64</v>
      </c>
      <c r="AT640" s="30">
        <v>430912.15</v>
      </c>
      <c r="AU640" s="30">
        <v>434152.22</v>
      </c>
      <c r="AV640" s="30">
        <v>436724</v>
      </c>
      <c r="AW640" s="30">
        <v>440013.5</v>
      </c>
      <c r="AX640" s="30">
        <v>448539.1</v>
      </c>
      <c r="AY640" s="30">
        <v>451953.35</v>
      </c>
      <c r="AZ640" s="30">
        <v>454846.19</v>
      </c>
      <c r="BA640" s="30" t="e">
        <f t="array" aca="1" ref="BA640" ca="1">_xludf.XLOOKUP(C640,'PL TOTAL D0'!A:A,'PL TOTAL D0'!C:C,"")</f>
        <v>#NAME?</v>
      </c>
    </row>
    <row r="641" spans="1:53" ht="15.75" customHeight="1">
      <c r="A641" s="23" t="s">
        <v>29</v>
      </c>
      <c r="B641" s="3" t="s">
        <v>2185</v>
      </c>
      <c r="C641" s="44" t="s">
        <v>2186</v>
      </c>
      <c r="D641" s="7" t="s">
        <v>80</v>
      </c>
      <c r="E641" s="7" t="s">
        <v>49</v>
      </c>
      <c r="F641" s="7" t="s">
        <v>81</v>
      </c>
      <c r="G641" s="7" t="e">
        <f t="shared" ca="1" si="24"/>
        <v>#NAME?</v>
      </c>
      <c r="H641" s="24" t="s">
        <v>152</v>
      </c>
      <c r="I641" s="24" t="s">
        <v>25</v>
      </c>
      <c r="J641" s="7" t="str">
        <f t="shared" si="29"/>
        <v>Não</v>
      </c>
      <c r="K641" s="25">
        <v>45344</v>
      </c>
      <c r="L641" s="7"/>
      <c r="M641" s="7" t="s">
        <v>42</v>
      </c>
      <c r="N641" s="26">
        <v>1.2E-2</v>
      </c>
      <c r="O641" s="7" t="s">
        <v>25</v>
      </c>
      <c r="P641" s="27">
        <v>0</v>
      </c>
      <c r="Q641" s="28"/>
      <c r="R641" s="90"/>
      <c r="S641" s="7" t="s">
        <v>145</v>
      </c>
      <c r="T641" s="12" t="s">
        <v>2187</v>
      </c>
      <c r="U641" s="7" t="s">
        <v>49</v>
      </c>
      <c r="V641" s="24" t="e">
        <f t="shared" ca="1" si="25"/>
        <v>#NAME?</v>
      </c>
      <c r="W641" s="7"/>
      <c r="X641" s="7"/>
      <c r="Y641" s="29" t="s">
        <v>147</v>
      </c>
      <c r="Z641" s="30"/>
      <c r="AA641" s="31">
        <v>45344</v>
      </c>
      <c r="AB641" s="32">
        <v>49075100013438</v>
      </c>
      <c r="AC641" s="30"/>
      <c r="AD641" s="30"/>
      <c r="AE641" s="30"/>
      <c r="AF641" s="30"/>
      <c r="AG641" s="30"/>
      <c r="AH641" s="30"/>
      <c r="AI641" s="30"/>
      <c r="AJ641" s="30"/>
      <c r="AK641" s="30"/>
      <c r="AL641" s="30"/>
      <c r="AM641" s="30"/>
      <c r="AN641" s="30"/>
      <c r="AO641" s="30"/>
      <c r="AP641" s="30"/>
      <c r="AQ641" s="30"/>
      <c r="AR641" s="30"/>
      <c r="AS641" s="30">
        <v>1353336.36</v>
      </c>
      <c r="AT641" s="30">
        <v>1431243.69</v>
      </c>
      <c r="AU641" s="30">
        <v>1448256.37</v>
      </c>
      <c r="AV641" s="30">
        <v>1488093</v>
      </c>
      <c r="AW641" s="30">
        <v>1489166</v>
      </c>
      <c r="AX641" s="30">
        <v>1499859</v>
      </c>
      <c r="AY641" s="30">
        <v>1557119.93</v>
      </c>
      <c r="AZ641" s="30">
        <v>1610999.32</v>
      </c>
      <c r="BA641" s="30" t="e">
        <f t="array" aca="1" ref="BA641" ca="1">_xludf.XLOOKUP(C641,'PL TOTAL D0'!A:A,'PL TOTAL D0'!C:C,"")</f>
        <v>#NAME?</v>
      </c>
    </row>
    <row r="642" spans="1:53" ht="15.75" customHeight="1">
      <c r="A642" s="23" t="s">
        <v>29</v>
      </c>
      <c r="B642" s="83" t="s">
        <v>2188</v>
      </c>
      <c r="C642" s="91" t="s">
        <v>2189</v>
      </c>
      <c r="D642" s="7" t="s">
        <v>19</v>
      </c>
      <c r="E642" s="7" t="s">
        <v>34</v>
      </c>
      <c r="F642" s="7" t="s">
        <v>262</v>
      </c>
      <c r="G642" s="7" t="e">
        <f t="shared" ca="1" si="24"/>
        <v>#NAME?</v>
      </c>
      <c r="H642" s="24" t="s">
        <v>152</v>
      </c>
      <c r="I642" s="24" t="s">
        <v>25</v>
      </c>
      <c r="J642" s="7" t="str">
        <f t="shared" si="29"/>
        <v>Não</v>
      </c>
      <c r="K642" s="25">
        <v>45217</v>
      </c>
      <c r="L642" s="7"/>
      <c r="M642" s="7" t="s">
        <v>200</v>
      </c>
      <c r="N642" s="26">
        <v>1.4999999999999999E-2</v>
      </c>
      <c r="O642" s="7" t="s">
        <v>37</v>
      </c>
      <c r="P642" s="27">
        <v>0.1</v>
      </c>
      <c r="Q642" s="90"/>
      <c r="R642" s="90"/>
      <c r="S642" s="7" t="s">
        <v>145</v>
      </c>
      <c r="T642" s="7" t="s">
        <v>2190</v>
      </c>
      <c r="U642" s="7" t="s">
        <v>39</v>
      </c>
      <c r="V642" s="24" t="e">
        <f t="shared" ca="1" si="25"/>
        <v>#NAME?</v>
      </c>
      <c r="W642" s="7"/>
      <c r="X642" s="7"/>
      <c r="Y642" s="29" t="s">
        <v>147</v>
      </c>
      <c r="Z642" s="30"/>
      <c r="AA642" s="31">
        <v>45217</v>
      </c>
      <c r="AB642" s="32">
        <v>49075100012733</v>
      </c>
      <c r="AC642" s="30"/>
      <c r="AD642" s="30"/>
      <c r="AE642" s="30"/>
      <c r="AF642" s="30"/>
      <c r="AG642" s="30"/>
      <c r="AH642" s="30"/>
      <c r="AI642" s="30"/>
      <c r="AJ642" s="30"/>
      <c r="AK642" s="30"/>
      <c r="AL642" s="30"/>
      <c r="AM642" s="30"/>
      <c r="AN642" s="30"/>
      <c r="AO642" s="30">
        <v>0</v>
      </c>
      <c r="AP642" s="30">
        <v>0</v>
      </c>
      <c r="AQ642" s="30">
        <v>0</v>
      </c>
      <c r="AR642" s="30">
        <v>0</v>
      </c>
      <c r="AS642" s="30">
        <v>0</v>
      </c>
      <c r="AT642" s="30">
        <v>50269.97</v>
      </c>
      <c r="AU642" s="30">
        <v>50015.82</v>
      </c>
      <c r="AV642" s="30">
        <v>49967.44</v>
      </c>
      <c r="AW642" s="30">
        <v>50246.400000000001</v>
      </c>
      <c r="AX642" s="30">
        <v>50895.81</v>
      </c>
      <c r="AY642" s="30">
        <v>51384.35</v>
      </c>
      <c r="AZ642" s="30">
        <v>51429.81</v>
      </c>
      <c r="BA642" s="30" t="e">
        <f t="array" aca="1" ref="BA642" ca="1">_xludf.XLOOKUP(C642,'PL TOTAL D0'!A:A,'PL TOTAL D0'!C:C,"")</f>
        <v>#NAME?</v>
      </c>
    </row>
    <row r="643" spans="1:53" ht="15.75" customHeight="1">
      <c r="A643" s="23" t="s">
        <v>29</v>
      </c>
      <c r="B643" s="37" t="s">
        <v>2191</v>
      </c>
      <c r="C643" s="4" t="s">
        <v>2192</v>
      </c>
      <c r="D643" s="7" t="s">
        <v>19</v>
      </c>
      <c r="E643" s="7" t="s">
        <v>34</v>
      </c>
      <c r="F643" s="7" t="s">
        <v>35</v>
      </c>
      <c r="G643" s="7" t="e">
        <f t="shared" ca="1" si="24"/>
        <v>#NAME?</v>
      </c>
      <c r="H643" s="24" t="s">
        <v>152</v>
      </c>
      <c r="I643" s="24" t="s">
        <v>25</v>
      </c>
      <c r="J643" s="7" t="str">
        <f t="shared" si="29"/>
        <v>Sim</v>
      </c>
      <c r="K643" s="25">
        <v>45155</v>
      </c>
      <c r="L643" s="7"/>
      <c r="M643" s="7" t="s">
        <v>58</v>
      </c>
      <c r="N643" s="26">
        <v>1.2E-2</v>
      </c>
      <c r="O643" s="7" t="s">
        <v>25</v>
      </c>
      <c r="P643" s="27">
        <v>0</v>
      </c>
      <c r="Q643" s="28" t="s">
        <v>2193</v>
      </c>
      <c r="R643" s="45"/>
      <c r="S643" s="7" t="s">
        <v>145</v>
      </c>
      <c r="T643" s="7" t="s">
        <v>2194</v>
      </c>
      <c r="U643" s="7" t="s">
        <v>39</v>
      </c>
      <c r="V643" s="24" t="e">
        <f t="shared" ca="1" si="25"/>
        <v>#NAME?</v>
      </c>
      <c r="W643" s="7"/>
      <c r="X643" s="7"/>
      <c r="Y643" s="29" t="s">
        <v>147</v>
      </c>
      <c r="Z643" s="30"/>
      <c r="AA643" s="31">
        <v>45155</v>
      </c>
      <c r="AB643" s="32">
        <v>49075100008566</v>
      </c>
      <c r="AC643" s="30"/>
      <c r="AD643" s="30"/>
      <c r="AE643" s="30"/>
      <c r="AF643" s="30"/>
      <c r="AG643" s="30"/>
      <c r="AH643" s="30"/>
      <c r="AI643" s="30"/>
      <c r="AJ643" s="30"/>
      <c r="AK643" s="30"/>
      <c r="AL643" s="30"/>
      <c r="AM643" s="30">
        <v>254727.21</v>
      </c>
      <c r="AN643" s="30">
        <v>276438.52</v>
      </c>
      <c r="AO643" s="30">
        <v>331459.89</v>
      </c>
      <c r="AP643" s="30">
        <v>336584.66</v>
      </c>
      <c r="AQ643" s="30">
        <v>341095.63</v>
      </c>
      <c r="AR643" s="30">
        <v>589795.71</v>
      </c>
      <c r="AS643" s="30">
        <v>634652.05000000005</v>
      </c>
      <c r="AT643" s="30">
        <v>1042902.05</v>
      </c>
      <c r="AU643" s="30">
        <v>1040002.94</v>
      </c>
      <c r="AV643" s="30">
        <v>1043852</v>
      </c>
      <c r="AW643" s="30">
        <v>1050678</v>
      </c>
      <c r="AX643" s="30">
        <v>1062019</v>
      </c>
      <c r="AY643" s="30">
        <v>1072411.73</v>
      </c>
      <c r="AZ643" s="30">
        <v>1076620.77</v>
      </c>
      <c r="BA643" s="30" t="e">
        <f t="array" aca="1" ref="BA643" ca="1">_xludf.XLOOKUP(C643,'PL TOTAL D0'!A:A,'PL TOTAL D0'!C:C,"")</f>
        <v>#NAME?</v>
      </c>
    </row>
    <row r="644" spans="1:53" ht="15.75" customHeight="1">
      <c r="A644" s="23" t="s">
        <v>29</v>
      </c>
      <c r="B644" s="37" t="s">
        <v>2195</v>
      </c>
      <c r="C644" s="4" t="s">
        <v>2196</v>
      </c>
      <c r="D644" s="7" t="s">
        <v>19</v>
      </c>
      <c r="E644" s="7" t="s">
        <v>20</v>
      </c>
      <c r="F644" s="7" t="s">
        <v>800</v>
      </c>
      <c r="G644" s="7" t="e">
        <f t="shared" ca="1" si="24"/>
        <v>#NAME?</v>
      </c>
      <c r="H644" s="24" t="s">
        <v>152</v>
      </c>
      <c r="I644" s="24" t="s">
        <v>25</v>
      </c>
      <c r="J644" s="7" t="str">
        <f t="shared" si="29"/>
        <v>Não</v>
      </c>
      <c r="K644" s="25">
        <v>45548</v>
      </c>
      <c r="L644" s="7"/>
      <c r="M644" s="7" t="s">
        <v>42</v>
      </c>
      <c r="N644" s="26">
        <v>1.2E-2</v>
      </c>
      <c r="O644" s="7" t="s">
        <v>25</v>
      </c>
      <c r="P644" s="27">
        <v>0</v>
      </c>
      <c r="Q644" s="28"/>
      <c r="R644" s="45"/>
      <c r="S644" s="7" t="s">
        <v>145</v>
      </c>
      <c r="T644" s="7" t="s">
        <v>2197</v>
      </c>
      <c r="U644" s="7" t="s">
        <v>20</v>
      </c>
      <c r="V644" s="24" t="e">
        <f t="shared" ca="1" si="25"/>
        <v>#NAME?</v>
      </c>
      <c r="W644" s="7"/>
      <c r="X644" s="7" t="s">
        <v>40</v>
      </c>
      <c r="Y644" s="29"/>
      <c r="Z644" s="30"/>
      <c r="AA644" s="30"/>
      <c r="AB644" s="32"/>
      <c r="AC644" s="30"/>
      <c r="AD644" s="30"/>
      <c r="AE644" s="30"/>
      <c r="AF644" s="30"/>
      <c r="AG644" s="30"/>
      <c r="AH644" s="30"/>
      <c r="AI644" s="30"/>
      <c r="AJ644" s="30"/>
      <c r="AK644" s="30"/>
      <c r="AL644" s="30"/>
      <c r="AM644" s="30"/>
      <c r="AN644" s="30"/>
      <c r="AO644" s="30"/>
      <c r="AP644" s="30"/>
      <c r="AQ644" s="30"/>
      <c r="AR644" s="30"/>
      <c r="AS644" s="30"/>
      <c r="AT644" s="30"/>
      <c r="AU644" s="30"/>
      <c r="AV644" s="30"/>
      <c r="AW644" s="30"/>
      <c r="AX644" s="30"/>
      <c r="AY644" s="30"/>
      <c r="AZ644" s="30">
        <v>380610.47</v>
      </c>
      <c r="BA644" s="30" t="e">
        <f t="array" aca="1" ref="BA644" ca="1">_xludf.XLOOKUP(C644,'PL TOTAL D0'!A:A,'PL TOTAL D0'!C:C,"")</f>
        <v>#NAME?</v>
      </c>
    </row>
    <row r="645" spans="1:53" ht="15.75" customHeight="1">
      <c r="A645" s="23" t="s">
        <v>29</v>
      </c>
      <c r="B645" s="3" t="s">
        <v>2198</v>
      </c>
      <c r="C645" s="4" t="s">
        <v>2199</v>
      </c>
      <c r="D645" s="7" t="s">
        <v>19</v>
      </c>
      <c r="E645" s="7" t="s">
        <v>49</v>
      </c>
      <c r="F645" s="7" t="s">
        <v>50</v>
      </c>
      <c r="G645" s="7" t="e">
        <f t="shared" ca="1" si="24"/>
        <v>#NAME?</v>
      </c>
      <c r="H645" s="24" t="s">
        <v>161</v>
      </c>
      <c r="I645" s="24" t="s">
        <v>162</v>
      </c>
      <c r="J645" s="7" t="str">
        <f t="shared" si="29"/>
        <v>Não</v>
      </c>
      <c r="K645" s="25">
        <v>45163</v>
      </c>
      <c r="L645" s="25"/>
      <c r="M645" s="7" t="s">
        <v>42</v>
      </c>
      <c r="N645" s="26">
        <v>0.01</v>
      </c>
      <c r="O645" s="7" t="s">
        <v>25</v>
      </c>
      <c r="P645" s="27">
        <v>0</v>
      </c>
      <c r="Q645" s="90"/>
      <c r="R645" s="90"/>
      <c r="S645" s="7" t="s">
        <v>187</v>
      </c>
      <c r="T645" s="7" t="s">
        <v>2200</v>
      </c>
      <c r="U645" s="7" t="s">
        <v>49</v>
      </c>
      <c r="V645" s="24" t="e">
        <f t="shared" ca="1" si="25"/>
        <v>#NAME?</v>
      </c>
      <c r="W645" s="7"/>
      <c r="X645" s="7"/>
      <c r="Y645" s="29" t="s">
        <v>147</v>
      </c>
      <c r="Z645" s="30"/>
      <c r="AA645" s="31">
        <v>45163</v>
      </c>
      <c r="AB645" s="32">
        <v>49075100011869</v>
      </c>
      <c r="AC645" s="30"/>
      <c r="AD645" s="30"/>
      <c r="AE645" s="30"/>
      <c r="AF645" s="30"/>
      <c r="AG645" s="30"/>
      <c r="AH645" s="30">
        <v>0</v>
      </c>
      <c r="AI645" s="30">
        <v>0</v>
      </c>
      <c r="AJ645" s="30">
        <v>0</v>
      </c>
      <c r="AK645" s="30">
        <v>0</v>
      </c>
      <c r="AL645" s="30">
        <v>0</v>
      </c>
      <c r="AM645" s="30">
        <v>0</v>
      </c>
      <c r="AN645" s="30">
        <v>0</v>
      </c>
      <c r="AO645" s="30">
        <v>0</v>
      </c>
      <c r="AP645" s="30">
        <v>0</v>
      </c>
      <c r="AQ645" s="30">
        <v>0</v>
      </c>
      <c r="AR645" s="30">
        <v>0</v>
      </c>
      <c r="AS645" s="30">
        <v>0</v>
      </c>
      <c r="AT645" s="30">
        <v>0</v>
      </c>
      <c r="AU645" s="30">
        <v>0</v>
      </c>
      <c r="AV645" s="30">
        <v>0</v>
      </c>
      <c r="AW645" s="30">
        <v>0</v>
      </c>
      <c r="AX645" s="30">
        <v>0</v>
      </c>
      <c r="AY645" s="30">
        <v>0</v>
      </c>
      <c r="AZ645" s="30">
        <v>0</v>
      </c>
      <c r="BA645" s="30" t="e">
        <f t="array" aca="1" ref="BA645" ca="1">_xludf.XLOOKUP(C645,'PL TOTAL D0'!A:A,'PL TOTAL D0'!C:C,"")</f>
        <v>#NAME?</v>
      </c>
    </row>
    <row r="646" spans="1:53" ht="15.75" customHeight="1">
      <c r="A646" s="23" t="s">
        <v>29</v>
      </c>
      <c r="B646" s="3" t="s">
        <v>2201</v>
      </c>
      <c r="C646" s="4" t="s">
        <v>2202</v>
      </c>
      <c r="D646" s="7" t="s">
        <v>19</v>
      </c>
      <c r="E646" s="7" t="s">
        <v>49</v>
      </c>
      <c r="F646" s="7" t="s">
        <v>328</v>
      </c>
      <c r="G646" s="7" t="e">
        <f t="shared" ca="1" si="24"/>
        <v>#NAME?</v>
      </c>
      <c r="H646" s="24" t="s">
        <v>161</v>
      </c>
      <c r="I646" s="24" t="s">
        <v>25</v>
      </c>
      <c r="J646" s="7" t="str">
        <f t="shared" si="29"/>
        <v>Sim</v>
      </c>
      <c r="K646" s="25">
        <v>44958</v>
      </c>
      <c r="L646" s="7"/>
      <c r="M646" s="7" t="s">
        <v>42</v>
      </c>
      <c r="N646" s="26">
        <v>7.0000000000000001E-3</v>
      </c>
      <c r="O646" s="7" t="s">
        <v>25</v>
      </c>
      <c r="P646" s="27">
        <v>0</v>
      </c>
      <c r="Q646" s="90" t="s">
        <v>2203</v>
      </c>
      <c r="R646" s="90"/>
      <c r="S646" s="7" t="s">
        <v>187</v>
      </c>
      <c r="T646" s="7" t="s">
        <v>2204</v>
      </c>
      <c r="U646" s="7" t="s">
        <v>49</v>
      </c>
      <c r="V646" s="24" t="e">
        <f t="shared" ca="1" si="25"/>
        <v>#NAME?</v>
      </c>
      <c r="W646" s="7"/>
      <c r="X646" s="7"/>
      <c r="Y646" s="29" t="s">
        <v>433</v>
      </c>
      <c r="Z646" s="30"/>
      <c r="AA646" s="31">
        <v>44958</v>
      </c>
      <c r="AB646" s="32">
        <v>49075100006628</v>
      </c>
      <c r="AC646" s="30"/>
      <c r="AD646" s="30"/>
      <c r="AE646" s="30"/>
      <c r="AF646" s="30">
        <v>0</v>
      </c>
      <c r="AG646" s="30">
        <v>2977311.65</v>
      </c>
      <c r="AH646" s="30">
        <v>1365838.92</v>
      </c>
      <c r="AI646" s="30">
        <v>1374697.27</v>
      </c>
      <c r="AJ646" s="30">
        <v>1389671.12</v>
      </c>
      <c r="AK646" s="30">
        <v>1402232.72</v>
      </c>
      <c r="AL646" s="30">
        <v>1409788.24</v>
      </c>
      <c r="AM646" s="30">
        <v>1422979.54</v>
      </c>
      <c r="AN646" s="30">
        <v>1434733.03</v>
      </c>
      <c r="AO646" s="30">
        <v>1447073.51</v>
      </c>
      <c r="AP646" s="30">
        <v>1458586.15</v>
      </c>
      <c r="AQ646" s="30">
        <v>1470626.55</v>
      </c>
      <c r="AR646" s="30">
        <v>1483501.85</v>
      </c>
      <c r="AS646" s="30">
        <v>1790089.98</v>
      </c>
      <c r="AT646" s="30">
        <v>1806232.88</v>
      </c>
      <c r="AU646" s="30">
        <v>1805004.82</v>
      </c>
      <c r="AV646" s="30">
        <v>1819494</v>
      </c>
      <c r="AW646" s="30">
        <v>1834511</v>
      </c>
      <c r="AX646" s="30">
        <v>1849257</v>
      </c>
      <c r="AY646" s="30">
        <v>1864967.12</v>
      </c>
      <c r="AZ646" s="30">
        <v>1724552.06</v>
      </c>
      <c r="BA646" s="30" t="e">
        <f t="array" aca="1" ref="BA646" ca="1">_xludf.XLOOKUP(C646,'PL TOTAL D0'!A:A,'PL TOTAL D0'!C:C,"")</f>
        <v>#NAME?</v>
      </c>
    </row>
    <row r="647" spans="1:53" ht="15.75" customHeight="1">
      <c r="A647" s="23" t="s">
        <v>29</v>
      </c>
      <c r="B647" s="3" t="s">
        <v>2201</v>
      </c>
      <c r="C647" s="4" t="s">
        <v>2205</v>
      </c>
      <c r="D647" s="7" t="s">
        <v>19</v>
      </c>
      <c r="E647" s="7" t="s">
        <v>49</v>
      </c>
      <c r="F647" s="7" t="s">
        <v>328</v>
      </c>
      <c r="G647" s="7" t="e">
        <f t="shared" ca="1" si="24"/>
        <v>#NAME?</v>
      </c>
      <c r="H647" s="24" t="s">
        <v>161</v>
      </c>
      <c r="I647" s="24" t="s">
        <v>25</v>
      </c>
      <c r="J647" s="7" t="str">
        <f t="shared" si="29"/>
        <v>Sim</v>
      </c>
      <c r="K647" s="25">
        <v>44998</v>
      </c>
      <c r="L647" s="7"/>
      <c r="M647" s="7" t="s">
        <v>42</v>
      </c>
      <c r="N647" s="26">
        <v>7.0000000000000001E-3</v>
      </c>
      <c r="O647" s="7" t="s">
        <v>25</v>
      </c>
      <c r="P647" s="27">
        <v>0</v>
      </c>
      <c r="Q647" s="90" t="s">
        <v>2203</v>
      </c>
      <c r="R647" s="90"/>
      <c r="S647" s="7" t="s">
        <v>187</v>
      </c>
      <c r="T647" s="7" t="s">
        <v>2204</v>
      </c>
      <c r="U647" s="7" t="s">
        <v>49</v>
      </c>
      <c r="V647" s="24" t="e">
        <f t="shared" ca="1" si="25"/>
        <v>#NAME?</v>
      </c>
      <c r="W647" s="7"/>
      <c r="X647" s="7"/>
      <c r="Y647" s="29" t="s">
        <v>433</v>
      </c>
      <c r="Z647" s="30"/>
      <c r="AA647" s="31">
        <v>44998</v>
      </c>
      <c r="AB647" s="32">
        <v>49075100008851</v>
      </c>
      <c r="AC647" s="30"/>
      <c r="AD647" s="30"/>
      <c r="AE647" s="30"/>
      <c r="AF647" s="30">
        <v>0</v>
      </c>
      <c r="AG647" s="30">
        <v>0</v>
      </c>
      <c r="AH647" s="30">
        <v>1643644.34</v>
      </c>
      <c r="AI647" s="30">
        <v>1653139.89</v>
      </c>
      <c r="AJ647" s="30">
        <v>1667434.67</v>
      </c>
      <c r="AK647" s="30">
        <v>1683033.97</v>
      </c>
      <c r="AL647" s="30">
        <v>1694859.99</v>
      </c>
      <c r="AM647" s="30">
        <v>1710534.55</v>
      </c>
      <c r="AN647" s="30">
        <v>1716725.01</v>
      </c>
      <c r="AO647" s="30">
        <v>1732559.45</v>
      </c>
      <c r="AP647" s="30">
        <v>1744628.66</v>
      </c>
      <c r="AQ647" s="30">
        <v>1759607.04</v>
      </c>
      <c r="AR647" s="30">
        <v>1772542.69</v>
      </c>
      <c r="AS647" s="30">
        <v>1786002.2</v>
      </c>
      <c r="AT647" s="30">
        <v>1609197.92</v>
      </c>
      <c r="AU647" s="30">
        <v>1392126.01</v>
      </c>
      <c r="AV647" s="30">
        <v>1397344</v>
      </c>
      <c r="AW647" s="30">
        <v>1409133</v>
      </c>
      <c r="AX647" s="30">
        <v>1421580</v>
      </c>
      <c r="AY647" s="30">
        <v>1431504.89</v>
      </c>
      <c r="AZ647" s="30">
        <v>1442077.92</v>
      </c>
      <c r="BA647" s="30" t="e">
        <f t="array" aca="1" ref="BA647" ca="1">_xludf.XLOOKUP(C647,'PL TOTAL D0'!A:A,'PL TOTAL D0'!C:C,"")</f>
        <v>#NAME?</v>
      </c>
    </row>
    <row r="648" spans="1:53" ht="15.75" customHeight="1">
      <c r="A648" s="23" t="s">
        <v>29</v>
      </c>
      <c r="B648" s="3" t="s">
        <v>2206</v>
      </c>
      <c r="C648" s="4" t="s">
        <v>2207</v>
      </c>
      <c r="D648" s="7" t="s">
        <v>64</v>
      </c>
      <c r="E648" s="7" t="s">
        <v>20</v>
      </c>
      <c r="F648" s="7" t="s">
        <v>489</v>
      </c>
      <c r="G648" s="7" t="e">
        <f t="shared" ca="1" si="24"/>
        <v>#NAME?</v>
      </c>
      <c r="H648" s="24" t="s">
        <v>143</v>
      </c>
      <c r="I648" s="24" t="s">
        <v>25</v>
      </c>
      <c r="J648" s="7" t="str">
        <f t="shared" si="29"/>
        <v>Não</v>
      </c>
      <c r="K648" s="25">
        <v>45097</v>
      </c>
      <c r="L648" s="25">
        <v>45513</v>
      </c>
      <c r="M648" s="7" t="s">
        <v>2208</v>
      </c>
      <c r="N648" s="26">
        <v>0.01</v>
      </c>
      <c r="O648" s="7" t="s">
        <v>25</v>
      </c>
      <c r="P648" s="27">
        <v>0</v>
      </c>
      <c r="Q648" s="82"/>
      <c r="R648" s="45" t="s">
        <v>702</v>
      </c>
      <c r="S648" s="7" t="s">
        <v>145</v>
      </c>
      <c r="T648" s="7" t="s">
        <v>2209</v>
      </c>
      <c r="U648" s="7" t="s">
        <v>60</v>
      </c>
      <c r="V648" s="24" t="e">
        <f t="shared" ca="1" si="25"/>
        <v>#NAME?</v>
      </c>
      <c r="W648" s="7"/>
      <c r="X648" s="7"/>
      <c r="Y648" s="29" t="s">
        <v>147</v>
      </c>
      <c r="Z648" s="30"/>
      <c r="AA648" s="31">
        <v>45097</v>
      </c>
      <c r="AB648" s="32">
        <v>49075100008213</v>
      </c>
      <c r="AC648" s="30"/>
      <c r="AD648" s="30"/>
      <c r="AE648" s="30"/>
      <c r="AF648" s="30"/>
      <c r="AG648" s="30"/>
      <c r="AH648" s="30"/>
      <c r="AI648" s="30"/>
      <c r="AJ648" s="30"/>
      <c r="AK648" s="30"/>
      <c r="AL648" s="30">
        <v>1162232.1200000001</v>
      </c>
      <c r="AM648" s="30">
        <v>1174050.43</v>
      </c>
      <c r="AN648" s="30">
        <v>1240505.75</v>
      </c>
      <c r="AO648" s="30">
        <v>1249250.74</v>
      </c>
      <c r="AP648" s="30">
        <v>2179804.13</v>
      </c>
      <c r="AQ648" s="30">
        <v>2195792.98</v>
      </c>
      <c r="AR648" s="30">
        <v>2213575.4500000002</v>
      </c>
      <c r="AS648" s="30">
        <v>2229283.4900000002</v>
      </c>
      <c r="AT648" s="30">
        <v>2244094.9500000002</v>
      </c>
      <c r="AU648" s="30">
        <v>2307551.7599999998</v>
      </c>
      <c r="AV648" s="30">
        <v>2323267</v>
      </c>
      <c r="AW648" s="30">
        <v>2337371</v>
      </c>
      <c r="AX648" s="30">
        <v>0</v>
      </c>
      <c r="AY648" s="30">
        <v>0</v>
      </c>
      <c r="AZ648" s="30">
        <v>0</v>
      </c>
      <c r="BA648" s="30" t="e">
        <f t="array" aca="1" ref="BA648" ca="1">_xludf.XLOOKUP(C648,'PL TOTAL D0'!A:A,'PL TOTAL D0'!C:C,"")</f>
        <v>#NAME?</v>
      </c>
    </row>
    <row r="649" spans="1:53" ht="15.75" customHeight="1">
      <c r="A649" s="23" t="s">
        <v>29</v>
      </c>
      <c r="B649" s="3" t="s">
        <v>2210</v>
      </c>
      <c r="C649" s="4" t="s">
        <v>2211</v>
      </c>
      <c r="D649" s="7" t="s">
        <v>19</v>
      </c>
      <c r="E649" s="7" t="s">
        <v>34</v>
      </c>
      <c r="F649" s="7" t="s">
        <v>35</v>
      </c>
      <c r="G649" s="7" t="e">
        <f t="shared" ca="1" si="24"/>
        <v>#NAME?</v>
      </c>
      <c r="H649" s="24" t="s">
        <v>152</v>
      </c>
      <c r="I649" s="24" t="s">
        <v>25</v>
      </c>
      <c r="J649" s="7" t="str">
        <f t="shared" si="29"/>
        <v>Não</v>
      </c>
      <c r="K649" s="25">
        <v>45029</v>
      </c>
      <c r="L649" s="7"/>
      <c r="M649" s="7" t="s">
        <v>200</v>
      </c>
      <c r="N649" s="26">
        <v>1.4999999999999999E-2</v>
      </c>
      <c r="O649" s="7" t="s">
        <v>37</v>
      </c>
      <c r="P649" s="27">
        <v>0.1</v>
      </c>
      <c r="Q649" s="90"/>
      <c r="R649" s="90"/>
      <c r="S649" s="7" t="s">
        <v>145</v>
      </c>
      <c r="T649" s="7" t="s">
        <v>2212</v>
      </c>
      <c r="U649" s="7" t="s">
        <v>39</v>
      </c>
      <c r="V649" s="24" t="e">
        <f t="shared" ca="1" si="25"/>
        <v>#NAME?</v>
      </c>
      <c r="W649" s="7"/>
      <c r="X649" s="7"/>
      <c r="Y649" s="29" t="s">
        <v>147</v>
      </c>
      <c r="Z649" s="30"/>
      <c r="AA649" s="31">
        <v>45029</v>
      </c>
      <c r="AB649" s="32">
        <v>49075100004226</v>
      </c>
      <c r="AC649" s="30"/>
      <c r="AD649" s="30"/>
      <c r="AE649" s="30"/>
      <c r="AF649" s="30"/>
      <c r="AG649" s="30"/>
      <c r="AH649" s="30">
        <v>0</v>
      </c>
      <c r="AI649" s="30">
        <v>40121.160000000003</v>
      </c>
      <c r="AJ649" s="30">
        <v>40564.959999999999</v>
      </c>
      <c r="AK649" s="30">
        <v>44081.08</v>
      </c>
      <c r="AL649" s="30">
        <v>50609.72</v>
      </c>
      <c r="AM649" s="30">
        <v>54230.36</v>
      </c>
      <c r="AN649" s="30">
        <v>57397.440000000002</v>
      </c>
      <c r="AO649" s="30">
        <v>60377.08</v>
      </c>
      <c r="AP649" s="30">
        <v>64473.13</v>
      </c>
      <c r="AQ649" s="30">
        <v>68654.73</v>
      </c>
      <c r="AR649" s="30">
        <v>69784.91</v>
      </c>
      <c r="AS649" s="30">
        <v>70378.039999999994</v>
      </c>
      <c r="AT649" s="30">
        <v>75125.820000000007</v>
      </c>
      <c r="AU649" s="30">
        <v>112362.01</v>
      </c>
      <c r="AV649" s="30">
        <v>113909</v>
      </c>
      <c r="AW649" s="30">
        <v>117569</v>
      </c>
      <c r="AX649" s="30">
        <v>123139.2</v>
      </c>
      <c r="AY649" s="30">
        <v>126611.17</v>
      </c>
      <c r="AZ649" s="30">
        <v>129629.34</v>
      </c>
      <c r="BA649" s="30" t="e">
        <f t="array" aca="1" ref="BA649" ca="1">_xludf.XLOOKUP(C649,'PL TOTAL D0'!A:A,'PL TOTAL D0'!C:C,"")</f>
        <v>#NAME?</v>
      </c>
    </row>
    <row r="650" spans="1:53" ht="15.75" customHeight="1">
      <c r="A650" s="23" t="s">
        <v>29</v>
      </c>
      <c r="B650" s="37" t="s">
        <v>2213</v>
      </c>
      <c r="C650" s="4" t="s">
        <v>2214</v>
      </c>
      <c r="D650" s="7" t="s">
        <v>19</v>
      </c>
      <c r="E650" s="7" t="s">
        <v>20</v>
      </c>
      <c r="F650" s="7" t="s">
        <v>372</v>
      </c>
      <c r="G650" s="7" t="e">
        <f t="shared" ca="1" si="24"/>
        <v>#NAME?</v>
      </c>
      <c r="H650" s="24" t="s">
        <v>161</v>
      </c>
      <c r="I650" s="24" t="s">
        <v>211</v>
      </c>
      <c r="J650" s="7" t="str">
        <f t="shared" si="29"/>
        <v>Não</v>
      </c>
      <c r="K650" s="25">
        <v>45001</v>
      </c>
      <c r="L650" s="7"/>
      <c r="M650" s="7" t="s">
        <v>172</v>
      </c>
      <c r="N650" s="26">
        <v>0</v>
      </c>
      <c r="O650" s="7" t="s">
        <v>25</v>
      </c>
      <c r="P650" s="27">
        <v>0</v>
      </c>
      <c r="Q650" s="45"/>
      <c r="R650" s="28"/>
      <c r="S650" s="7" t="s">
        <v>145</v>
      </c>
      <c r="T650" s="7" t="s">
        <v>2215</v>
      </c>
      <c r="U650" s="7" t="s">
        <v>20</v>
      </c>
      <c r="V650" s="24" t="e">
        <f t="shared" ca="1" si="25"/>
        <v>#NAME?</v>
      </c>
      <c r="W650" s="7"/>
      <c r="X650" s="7"/>
      <c r="Y650" s="29" t="s">
        <v>147</v>
      </c>
      <c r="Z650" s="30"/>
      <c r="AA650" s="31">
        <v>45001</v>
      </c>
      <c r="AB650" s="32">
        <v>49075100008612</v>
      </c>
      <c r="AC650" s="30"/>
      <c r="AD650" s="30"/>
      <c r="AE650" s="30"/>
      <c r="AF650" s="30"/>
      <c r="AG650" s="30"/>
      <c r="AH650" s="30">
        <v>240699.04</v>
      </c>
      <c r="AI650" s="30">
        <v>242683.04</v>
      </c>
      <c r="AJ650" s="30">
        <v>245715.26</v>
      </c>
      <c r="AK650" s="30">
        <v>255492.88</v>
      </c>
      <c r="AL650" s="30">
        <v>258221.49</v>
      </c>
      <c r="AM650" s="30">
        <v>261151.03</v>
      </c>
      <c r="AN650" s="30">
        <v>213028.8</v>
      </c>
      <c r="AO650" s="30">
        <v>215140.58</v>
      </c>
      <c r="AP650" s="30">
        <v>161000.5</v>
      </c>
      <c r="AQ650" s="30">
        <v>160132.44</v>
      </c>
      <c r="AR650" s="30">
        <v>71056.31</v>
      </c>
      <c r="AS650" s="30">
        <v>0</v>
      </c>
      <c r="AT650" s="30">
        <v>0</v>
      </c>
      <c r="AU650" s="30">
        <v>0</v>
      </c>
      <c r="AV650" s="30">
        <v>0</v>
      </c>
      <c r="AW650" s="30">
        <v>0</v>
      </c>
      <c r="AX650" s="30">
        <v>0</v>
      </c>
      <c r="AY650" s="30">
        <v>0</v>
      </c>
      <c r="AZ650" s="30">
        <v>0</v>
      </c>
      <c r="BA650" s="30" t="e">
        <f t="array" aca="1" ref="BA650" ca="1">_xludf.XLOOKUP(C650,'PL TOTAL D0'!A:A,'PL TOTAL D0'!C:C,"")</f>
        <v>#NAME?</v>
      </c>
    </row>
    <row r="651" spans="1:53" ht="15.75" customHeight="1">
      <c r="A651" s="23" t="s">
        <v>29</v>
      </c>
      <c r="B651" s="3" t="s">
        <v>2216</v>
      </c>
      <c r="C651" s="4" t="s">
        <v>2217</v>
      </c>
      <c r="D651" s="7" t="s">
        <v>72</v>
      </c>
      <c r="E651" s="7" t="s">
        <v>20</v>
      </c>
      <c r="F651" s="7" t="s">
        <v>2218</v>
      </c>
      <c r="G651" s="7" t="e">
        <f t="shared" ca="1" si="24"/>
        <v>#NAME?</v>
      </c>
      <c r="H651" s="24" t="s">
        <v>152</v>
      </c>
      <c r="I651" s="24" t="s">
        <v>25</v>
      </c>
      <c r="J651" s="7" t="str">
        <f t="shared" si="29"/>
        <v>Não</v>
      </c>
      <c r="K651" s="25">
        <v>44929</v>
      </c>
      <c r="L651" s="7"/>
      <c r="M651" s="7" t="s">
        <v>42</v>
      </c>
      <c r="N651" s="26">
        <v>1.2E-2</v>
      </c>
      <c r="O651" s="7" t="s">
        <v>25</v>
      </c>
      <c r="P651" s="27">
        <v>0</v>
      </c>
      <c r="Q651" s="90"/>
      <c r="R651" s="90"/>
      <c r="S651" s="7" t="s">
        <v>145</v>
      </c>
      <c r="T651" s="7" t="s">
        <v>2219</v>
      </c>
      <c r="U651" s="7" t="s">
        <v>49</v>
      </c>
      <c r="V651" s="24" t="e">
        <f t="shared" ca="1" si="25"/>
        <v>#NAME?</v>
      </c>
      <c r="W651" s="7"/>
      <c r="X651" s="7"/>
      <c r="Y651" s="29" t="s">
        <v>147</v>
      </c>
      <c r="Z651" s="30"/>
      <c r="AA651" s="31">
        <v>44929</v>
      </c>
      <c r="AB651" s="32">
        <v>49075100010110</v>
      </c>
      <c r="AC651" s="30"/>
      <c r="AD651" s="30"/>
      <c r="AE651" s="30"/>
      <c r="AF651" s="30">
        <v>295761.96999999997</v>
      </c>
      <c r="AG651" s="30">
        <v>297479.42</v>
      </c>
      <c r="AH651" s="30">
        <v>336452.8</v>
      </c>
      <c r="AI651" s="30">
        <v>338756.18</v>
      </c>
      <c r="AJ651" s="30">
        <v>342130.28</v>
      </c>
      <c r="AK651" s="30">
        <v>344541.66</v>
      </c>
      <c r="AL651" s="30">
        <v>346952.7</v>
      </c>
      <c r="AM651" s="30">
        <v>349411.89</v>
      </c>
      <c r="AN651" s="30">
        <v>350929.21</v>
      </c>
      <c r="AO651" s="30">
        <v>353700.83</v>
      </c>
      <c r="AP651" s="30">
        <v>355768.52</v>
      </c>
      <c r="AQ651" s="30">
        <v>358487.89</v>
      </c>
      <c r="AR651" s="30">
        <v>361575.81</v>
      </c>
      <c r="AS651" s="30">
        <v>363485.83</v>
      </c>
      <c r="AT651" s="30">
        <v>365697.18</v>
      </c>
      <c r="AU651" s="30">
        <v>368502.72</v>
      </c>
      <c r="AV651" s="30">
        <v>371274.4</v>
      </c>
      <c r="AW651" s="30">
        <v>373992.1</v>
      </c>
      <c r="AX651" s="30">
        <v>376120</v>
      </c>
      <c r="AY651" s="30">
        <v>376766.89</v>
      </c>
      <c r="AZ651" s="30">
        <v>378011.47</v>
      </c>
      <c r="BA651" s="30" t="e">
        <f t="array" aca="1" ref="BA651" ca="1">_xludf.XLOOKUP(C651,'PL TOTAL D0'!A:A,'PL TOTAL D0'!C:C,"")</f>
        <v>#NAME?</v>
      </c>
    </row>
    <row r="652" spans="1:53" ht="15.75" customHeight="1">
      <c r="A652" s="23" t="s">
        <v>29</v>
      </c>
      <c r="B652" s="3" t="s">
        <v>2220</v>
      </c>
      <c r="C652" s="35" t="s">
        <v>2221</v>
      </c>
      <c r="D652" s="7" t="s">
        <v>19</v>
      </c>
      <c r="E652" s="7" t="s">
        <v>20</v>
      </c>
      <c r="F652" s="7" t="s">
        <v>372</v>
      </c>
      <c r="G652" s="7" t="e">
        <f t="shared" ca="1" si="24"/>
        <v>#NAME?</v>
      </c>
      <c r="H652" s="24" t="s">
        <v>152</v>
      </c>
      <c r="I652" s="24" t="s">
        <v>25</v>
      </c>
      <c r="J652" s="7" t="str">
        <f t="shared" si="29"/>
        <v>Sim</v>
      </c>
      <c r="K652" s="25">
        <v>45338</v>
      </c>
      <c r="L652" s="7"/>
      <c r="M652" s="7" t="s">
        <v>42</v>
      </c>
      <c r="N652" s="26">
        <v>1.2E-2</v>
      </c>
      <c r="O652" s="7" t="s">
        <v>25</v>
      </c>
      <c r="P652" s="27">
        <v>0</v>
      </c>
      <c r="Q652" s="36" t="s">
        <v>2222</v>
      </c>
      <c r="R652" s="90"/>
      <c r="S652" s="7" t="s">
        <v>145</v>
      </c>
      <c r="T652" s="6" t="s">
        <v>2223</v>
      </c>
      <c r="U652" s="7" t="s">
        <v>20</v>
      </c>
      <c r="V652" s="24" t="e">
        <f t="shared" ca="1" si="25"/>
        <v>#NAME?</v>
      </c>
      <c r="W652" s="7"/>
      <c r="X652" s="7"/>
      <c r="Y652" s="29" t="s">
        <v>147</v>
      </c>
      <c r="Z652" s="30"/>
      <c r="AA652" s="31">
        <v>45338</v>
      </c>
      <c r="AB652" s="32">
        <v>49075100013446</v>
      </c>
      <c r="AC652" s="30"/>
      <c r="AD652" s="30"/>
      <c r="AE652" s="30"/>
      <c r="AF652" s="30"/>
      <c r="AG652" s="30"/>
      <c r="AH652" s="30"/>
      <c r="AI652" s="30"/>
      <c r="AJ652" s="30"/>
      <c r="AK652" s="30"/>
      <c r="AL652" s="30"/>
      <c r="AM652" s="30"/>
      <c r="AN652" s="30"/>
      <c r="AO652" s="30"/>
      <c r="AP652" s="30"/>
      <c r="AQ652" s="30"/>
      <c r="AR652" s="30"/>
      <c r="AS652" s="30">
        <v>422677.5</v>
      </c>
      <c r="AT652" s="30">
        <v>256538.48</v>
      </c>
      <c r="AU652" s="30">
        <v>258707.65</v>
      </c>
      <c r="AV652" s="30">
        <v>248937.5</v>
      </c>
      <c r="AW652" s="30">
        <v>250924.6</v>
      </c>
      <c r="AX652" s="30">
        <v>242979.20000000001</v>
      </c>
      <c r="AY652" s="30">
        <v>244950.13</v>
      </c>
      <c r="AZ652" s="30">
        <v>246250.52</v>
      </c>
      <c r="BA652" s="30" t="e">
        <f t="array" aca="1" ref="BA652" ca="1">_xludf.XLOOKUP(C652,'PL TOTAL D0'!A:A,'PL TOTAL D0'!C:C,"")</f>
        <v>#NAME?</v>
      </c>
    </row>
    <row r="653" spans="1:53" ht="15.75" customHeight="1">
      <c r="A653" s="23" t="s">
        <v>29</v>
      </c>
      <c r="B653" s="3" t="s">
        <v>2224</v>
      </c>
      <c r="C653" s="4" t="s">
        <v>2225</v>
      </c>
      <c r="D653" s="7" t="s">
        <v>19</v>
      </c>
      <c r="E653" s="7" t="s">
        <v>20</v>
      </c>
      <c r="F653" s="7" t="s">
        <v>2226</v>
      </c>
      <c r="G653" s="7" t="e">
        <f t="shared" ca="1" si="24"/>
        <v>#NAME?</v>
      </c>
      <c r="H653" s="24" t="s">
        <v>152</v>
      </c>
      <c r="I653" s="24" t="s">
        <v>25</v>
      </c>
      <c r="J653" s="7" t="str">
        <f t="shared" si="29"/>
        <v>Não</v>
      </c>
      <c r="K653" s="25">
        <v>44994</v>
      </c>
      <c r="L653" s="7"/>
      <c r="M653" s="7" t="s">
        <v>42</v>
      </c>
      <c r="N653" s="26">
        <v>1.2E-2</v>
      </c>
      <c r="O653" s="7" t="s">
        <v>25</v>
      </c>
      <c r="P653" s="27">
        <v>0</v>
      </c>
      <c r="Q653" s="90"/>
      <c r="R653" s="90"/>
      <c r="S653" s="7" t="s">
        <v>145</v>
      </c>
      <c r="T653" s="7" t="s">
        <v>2227</v>
      </c>
      <c r="U653" s="7" t="s">
        <v>20</v>
      </c>
      <c r="V653" s="24" t="e">
        <f t="shared" ca="1" si="25"/>
        <v>#NAME?</v>
      </c>
      <c r="W653" s="7"/>
      <c r="X653" s="7"/>
      <c r="Y653" s="29" t="s">
        <v>147</v>
      </c>
      <c r="Z653" s="30"/>
      <c r="AA653" s="31">
        <v>44994</v>
      </c>
      <c r="AB653" s="32">
        <v>49075100009368</v>
      </c>
      <c r="AC653" s="30"/>
      <c r="AD653" s="30"/>
      <c r="AE653" s="30"/>
      <c r="AF653" s="30"/>
      <c r="AG653" s="30">
        <v>0</v>
      </c>
      <c r="AH653" s="30">
        <v>165623.1</v>
      </c>
      <c r="AI653" s="30">
        <v>167201.9</v>
      </c>
      <c r="AJ653" s="30">
        <v>168860.19</v>
      </c>
      <c r="AK653" s="30">
        <v>170307.91</v>
      </c>
      <c r="AL653" s="30">
        <v>171767.27</v>
      </c>
      <c r="AM653" s="30">
        <v>152684.85999999999</v>
      </c>
      <c r="AN653" s="30">
        <v>153125.67000000001</v>
      </c>
      <c r="AO653" s="30">
        <v>153582.35</v>
      </c>
      <c r="AP653" s="30">
        <v>155453.48000000001</v>
      </c>
      <c r="AQ653" s="30">
        <v>157002.03</v>
      </c>
      <c r="AR653" s="30">
        <v>158147.74</v>
      </c>
      <c r="AS653" s="30">
        <v>159045.38</v>
      </c>
      <c r="AT653" s="30">
        <v>160214.99</v>
      </c>
      <c r="AU653" s="30">
        <v>160971.10999999999</v>
      </c>
      <c r="AV653" s="30">
        <v>161089.9</v>
      </c>
      <c r="AW653" s="30">
        <v>162047.9</v>
      </c>
      <c r="AX653" s="30">
        <v>162685.9</v>
      </c>
      <c r="AY653" s="30">
        <v>163341.10999999999</v>
      </c>
      <c r="AZ653" s="30">
        <v>164479.69</v>
      </c>
      <c r="BA653" s="30" t="e">
        <f t="array" aca="1" ref="BA653" ca="1">_xludf.XLOOKUP(C653,'PL TOTAL D0'!A:A,'PL TOTAL D0'!C:C,"")</f>
        <v>#NAME?</v>
      </c>
    </row>
    <row r="654" spans="1:53" ht="15.75" customHeight="1">
      <c r="A654" s="23" t="s">
        <v>29</v>
      </c>
      <c r="B654" s="3" t="s">
        <v>2228</v>
      </c>
      <c r="C654" s="4" t="s">
        <v>2229</v>
      </c>
      <c r="D654" s="7" t="s">
        <v>80</v>
      </c>
      <c r="E654" s="7" t="s">
        <v>49</v>
      </c>
      <c r="F654" s="7" t="s">
        <v>81</v>
      </c>
      <c r="G654" s="7" t="e">
        <f t="shared" ca="1" si="24"/>
        <v>#NAME?</v>
      </c>
      <c r="H654" s="24" t="s">
        <v>152</v>
      </c>
      <c r="I654" s="24" t="s">
        <v>25</v>
      </c>
      <c r="J654" s="7" t="str">
        <f t="shared" si="29"/>
        <v>Não</v>
      </c>
      <c r="K654" s="25">
        <v>45327</v>
      </c>
      <c r="L654" s="7"/>
      <c r="M654" s="9" t="s">
        <v>42</v>
      </c>
      <c r="N654" s="10">
        <v>1.2E-2</v>
      </c>
      <c r="O654" s="6" t="s">
        <v>25</v>
      </c>
      <c r="P654" s="11">
        <v>0</v>
      </c>
      <c r="Q654" s="90"/>
      <c r="R654" s="45" t="s">
        <v>911</v>
      </c>
      <c r="S654" s="7" t="s">
        <v>145</v>
      </c>
      <c r="T654" s="7" t="s">
        <v>2230</v>
      </c>
      <c r="U654" s="7" t="s">
        <v>20</v>
      </c>
      <c r="V654" s="24" t="e">
        <f t="shared" ca="1" si="25"/>
        <v>#NAME?</v>
      </c>
      <c r="W654" s="7"/>
      <c r="X654" s="7" t="s">
        <v>52</v>
      </c>
      <c r="Y654" s="29" t="s">
        <v>147</v>
      </c>
      <c r="Z654" s="30"/>
      <c r="AA654" s="31">
        <v>45327</v>
      </c>
      <c r="AB654" s="32">
        <v>49075100013454</v>
      </c>
      <c r="AC654" s="30"/>
      <c r="AD654" s="30"/>
      <c r="AE654" s="30"/>
      <c r="AF654" s="30"/>
      <c r="AG654" s="30"/>
      <c r="AH654" s="30"/>
      <c r="AI654" s="30"/>
      <c r="AJ654" s="30"/>
      <c r="AK654" s="30"/>
      <c r="AL654" s="30"/>
      <c r="AM654" s="30"/>
      <c r="AN654" s="30"/>
      <c r="AO654" s="30"/>
      <c r="AP654" s="30"/>
      <c r="AQ654" s="30"/>
      <c r="AR654" s="30">
        <v>0</v>
      </c>
      <c r="AS654" s="30">
        <v>600257.93999999994</v>
      </c>
      <c r="AT654" s="30">
        <v>603404.56999999995</v>
      </c>
      <c r="AU654" s="30">
        <v>681852.95</v>
      </c>
      <c r="AV654" s="30">
        <v>681714.3</v>
      </c>
      <c r="AW654" s="30">
        <v>705913.4</v>
      </c>
      <c r="AX654" s="30">
        <v>713578.3</v>
      </c>
      <c r="AY654" s="30">
        <v>721358.79</v>
      </c>
      <c r="AZ654" s="30">
        <v>721303.04000000004</v>
      </c>
      <c r="BA654" s="30" t="e">
        <f t="array" aca="1" ref="BA654" ca="1">_xludf.XLOOKUP(C654,'PL TOTAL D0'!A:A,'PL TOTAL D0'!C:C,"")</f>
        <v>#NAME?</v>
      </c>
    </row>
    <row r="655" spans="1:53" ht="15.75" customHeight="1">
      <c r="A655" s="23" t="s">
        <v>29</v>
      </c>
      <c r="B655" s="3" t="s">
        <v>2231</v>
      </c>
      <c r="C655" s="4" t="s">
        <v>2232</v>
      </c>
      <c r="D655" s="7" t="s">
        <v>19</v>
      </c>
      <c r="E655" s="7" t="s">
        <v>49</v>
      </c>
      <c r="F655" s="7" t="s">
        <v>50</v>
      </c>
      <c r="G655" s="7" t="e">
        <f t="shared" ca="1" si="24"/>
        <v>#NAME?</v>
      </c>
      <c r="H655" s="24" t="s">
        <v>161</v>
      </c>
      <c r="I655" s="24" t="s">
        <v>928</v>
      </c>
      <c r="J655" s="7" t="str">
        <f t="shared" si="29"/>
        <v>Não</v>
      </c>
      <c r="K655" s="25">
        <v>45098</v>
      </c>
      <c r="L655" s="25"/>
      <c r="M655" s="7" t="s">
        <v>42</v>
      </c>
      <c r="N655" s="26">
        <v>1.2E-2</v>
      </c>
      <c r="O655" s="7" t="s">
        <v>25</v>
      </c>
      <c r="P655" s="27">
        <v>0</v>
      </c>
      <c r="Q655" s="71"/>
      <c r="R655" s="28"/>
      <c r="S655" s="7" t="s">
        <v>145</v>
      </c>
      <c r="T655" s="7" t="s">
        <v>2233</v>
      </c>
      <c r="U655" s="7" t="s">
        <v>49</v>
      </c>
      <c r="V655" s="24" t="e">
        <f t="shared" ca="1" si="25"/>
        <v>#NAME?</v>
      </c>
      <c r="W655" s="7"/>
      <c r="X655" s="7"/>
      <c r="Y655" s="29" t="s">
        <v>147</v>
      </c>
      <c r="Z655" s="30"/>
      <c r="AA655" s="31">
        <v>45098</v>
      </c>
      <c r="AB655" s="32">
        <v>49075100008140</v>
      </c>
      <c r="AC655" s="30"/>
      <c r="AD655" s="30"/>
      <c r="AE655" s="30"/>
      <c r="AF655" s="30"/>
      <c r="AG655" s="30"/>
      <c r="AH655" s="30"/>
      <c r="AI655" s="30"/>
      <c r="AJ655" s="30"/>
      <c r="AK655" s="30">
        <v>28087.71</v>
      </c>
      <c r="AL655" s="30">
        <v>353259.52000000002</v>
      </c>
      <c r="AM655" s="30">
        <v>356967.54</v>
      </c>
      <c r="AN655" s="30">
        <v>359380.24</v>
      </c>
      <c r="AO655" s="30">
        <v>362555.21</v>
      </c>
      <c r="AP655" s="30">
        <v>365243.39</v>
      </c>
      <c r="AQ655" s="30">
        <v>367695.2</v>
      </c>
      <c r="AR655" s="30">
        <v>370412.66</v>
      </c>
      <c r="AS655" s="30">
        <v>372718.31</v>
      </c>
      <c r="AT655" s="30">
        <v>125398.61</v>
      </c>
      <c r="AU655" s="30">
        <v>126260.57</v>
      </c>
      <c r="AV655" s="30">
        <v>94273.79</v>
      </c>
      <c r="AW655" s="30">
        <v>95027.58</v>
      </c>
      <c r="AX655" s="30">
        <v>95803.97</v>
      </c>
      <c r="AY655" s="30">
        <v>76251.91</v>
      </c>
      <c r="AZ655" s="30">
        <v>45870.21</v>
      </c>
      <c r="BA655" s="30" t="e">
        <f t="array" aca="1" ref="BA655" ca="1">_xludf.XLOOKUP(C655,'PL TOTAL D0'!A:A,'PL TOTAL D0'!C:C,"")</f>
        <v>#NAME?</v>
      </c>
    </row>
    <row r="656" spans="1:53" ht="15.75" customHeight="1">
      <c r="A656" s="23" t="s">
        <v>29</v>
      </c>
      <c r="B656" s="3" t="s">
        <v>2234</v>
      </c>
      <c r="C656" s="4" t="s">
        <v>2235</v>
      </c>
      <c r="D656" s="7" t="s">
        <v>19</v>
      </c>
      <c r="E656" s="7" t="s">
        <v>20</v>
      </c>
      <c r="F656" s="7" t="s">
        <v>199</v>
      </c>
      <c r="G656" s="7" t="e">
        <f t="shared" ca="1" si="24"/>
        <v>#NAME?</v>
      </c>
      <c r="H656" s="24" t="s">
        <v>152</v>
      </c>
      <c r="I656" s="24" t="s">
        <v>25</v>
      </c>
      <c r="J656" s="7" t="str">
        <f t="shared" si="29"/>
        <v>Não</v>
      </c>
      <c r="K656" s="25">
        <v>44928</v>
      </c>
      <c r="L656" s="7"/>
      <c r="M656" s="7" t="s">
        <v>58</v>
      </c>
      <c r="N656" s="26">
        <v>0</v>
      </c>
      <c r="O656" s="7" t="s">
        <v>25</v>
      </c>
      <c r="P656" s="27">
        <v>0</v>
      </c>
      <c r="Q656" s="90"/>
      <c r="R656" s="90"/>
      <c r="S656" s="7" t="s">
        <v>145</v>
      </c>
      <c r="T656" s="7" t="s">
        <v>2236</v>
      </c>
      <c r="U656" s="7" t="s">
        <v>20</v>
      </c>
      <c r="V656" s="24" t="e">
        <f t="shared" ca="1" si="25"/>
        <v>#NAME?</v>
      </c>
      <c r="W656" s="7"/>
      <c r="X656" s="7"/>
      <c r="Y656" s="29" t="s">
        <v>253</v>
      </c>
      <c r="Z656" s="30"/>
      <c r="AA656" s="31">
        <v>44928</v>
      </c>
      <c r="AB656" s="32">
        <v>49075100006288</v>
      </c>
      <c r="AC656" s="30"/>
      <c r="AD656" s="30"/>
      <c r="AE656" s="30">
        <v>64015.93</v>
      </c>
      <c r="AF656" s="30">
        <v>59888.92</v>
      </c>
      <c r="AG656" s="30">
        <v>44917.04</v>
      </c>
      <c r="AH656" s="30">
        <v>46776.24</v>
      </c>
      <c r="AI656" s="30">
        <v>51910.5</v>
      </c>
      <c r="AJ656" s="30">
        <v>56248.95</v>
      </c>
      <c r="AK656" s="30">
        <v>56870.02</v>
      </c>
      <c r="AL656" s="30">
        <v>41471.870000000003</v>
      </c>
      <c r="AM656" s="30">
        <v>46115.8</v>
      </c>
      <c r="AN656" s="30">
        <v>42232.68</v>
      </c>
      <c r="AO656" s="30">
        <v>39568.06</v>
      </c>
      <c r="AP656" s="30">
        <v>43508.72</v>
      </c>
      <c r="AQ656" s="30">
        <v>64045.57</v>
      </c>
      <c r="AR656" s="30">
        <v>66948.91</v>
      </c>
      <c r="AS656" s="30">
        <v>67122.48</v>
      </c>
      <c r="AT656" s="30">
        <v>68171.38</v>
      </c>
      <c r="AU656" s="30">
        <v>68787.960000000006</v>
      </c>
      <c r="AV656" s="30">
        <v>69355.69</v>
      </c>
      <c r="AW656" s="30">
        <v>65966.850000000006</v>
      </c>
      <c r="AX656" s="30">
        <v>65270.720000000001</v>
      </c>
      <c r="AY656" s="30">
        <v>73265.899999999994</v>
      </c>
      <c r="AZ656" s="30">
        <v>73975.41</v>
      </c>
      <c r="BA656" s="30" t="e">
        <f t="array" aca="1" ref="BA656" ca="1">_xludf.XLOOKUP(C656,'PL TOTAL D0'!A:A,'PL TOTAL D0'!C:C,"")</f>
        <v>#NAME?</v>
      </c>
    </row>
    <row r="657" spans="1:53" ht="15.75" customHeight="1">
      <c r="A657" s="23" t="s">
        <v>29</v>
      </c>
      <c r="B657" s="3" t="s">
        <v>2237</v>
      </c>
      <c r="C657" s="4" t="s">
        <v>2238</v>
      </c>
      <c r="D657" s="7" t="s">
        <v>19</v>
      </c>
      <c r="E657" s="7" t="s">
        <v>34</v>
      </c>
      <c r="F657" s="7" t="s">
        <v>35</v>
      </c>
      <c r="G657" s="7" t="e">
        <f t="shared" ca="1" si="24"/>
        <v>#NAME?</v>
      </c>
      <c r="H657" s="24" t="s">
        <v>152</v>
      </c>
      <c r="I657" s="24" t="s">
        <v>25</v>
      </c>
      <c r="J657" s="7" t="str">
        <f t="shared" si="29"/>
        <v>Não</v>
      </c>
      <c r="K657" s="25">
        <v>45163</v>
      </c>
      <c r="L657" s="25"/>
      <c r="M657" s="7" t="s">
        <v>200</v>
      </c>
      <c r="N657" s="26">
        <v>1.4999999999999999E-2</v>
      </c>
      <c r="O657" s="7" t="s">
        <v>37</v>
      </c>
      <c r="P657" s="27">
        <v>0.1</v>
      </c>
      <c r="Q657" s="23"/>
      <c r="R657" s="28" t="s">
        <v>2239</v>
      </c>
      <c r="S657" s="7" t="s">
        <v>145</v>
      </c>
      <c r="T657" s="7" t="s">
        <v>2240</v>
      </c>
      <c r="U657" s="7" t="s">
        <v>39</v>
      </c>
      <c r="V657" s="24" t="e">
        <f t="shared" ca="1" si="25"/>
        <v>#NAME?</v>
      </c>
      <c r="W657" s="7"/>
      <c r="X657" s="7"/>
      <c r="Y657" s="29" t="s">
        <v>147</v>
      </c>
      <c r="Z657" s="30"/>
      <c r="AA657" s="31">
        <v>45163</v>
      </c>
      <c r="AB657" s="32">
        <v>49075100011877</v>
      </c>
      <c r="AC657" s="30"/>
      <c r="AD657" s="30"/>
      <c r="AE657" s="30"/>
      <c r="AF657" s="30"/>
      <c r="AG657" s="30"/>
      <c r="AH657" s="30">
        <v>0</v>
      </c>
      <c r="AI657" s="30">
        <v>0</v>
      </c>
      <c r="AJ657" s="30">
        <v>0</v>
      </c>
      <c r="AK657" s="30">
        <v>0</v>
      </c>
      <c r="AL657" s="30">
        <v>0</v>
      </c>
      <c r="AM657" s="30">
        <v>0</v>
      </c>
      <c r="AN657" s="30">
        <v>0</v>
      </c>
      <c r="AO657" s="30">
        <v>0</v>
      </c>
      <c r="AP657" s="30">
        <v>0</v>
      </c>
      <c r="AQ657" s="30">
        <v>0</v>
      </c>
      <c r="AR657" s="30">
        <v>138546.57999999999</v>
      </c>
      <c r="AS657" s="30">
        <v>139562.43</v>
      </c>
      <c r="AT657" s="30">
        <v>140246.64000000001</v>
      </c>
      <c r="AU657" s="30">
        <v>139258.12</v>
      </c>
      <c r="AV657" s="30">
        <v>138801.29999999999</v>
      </c>
      <c r="AW657" s="30">
        <v>139604.79999999999</v>
      </c>
      <c r="AX657" s="30">
        <v>141253.9</v>
      </c>
      <c r="AY657" s="30">
        <v>142854.74</v>
      </c>
      <c r="AZ657" s="30">
        <v>142692.35999999999</v>
      </c>
      <c r="BA657" s="30" t="e">
        <f t="array" aca="1" ref="BA657" ca="1">_xludf.XLOOKUP(C657,'PL TOTAL D0'!A:A,'PL TOTAL D0'!C:C,"")</f>
        <v>#NAME?</v>
      </c>
    </row>
    <row r="658" spans="1:53" ht="15.75" customHeight="1">
      <c r="A658" s="23" t="s">
        <v>29</v>
      </c>
      <c r="B658" s="37" t="s">
        <v>2241</v>
      </c>
      <c r="C658" s="4" t="s">
        <v>2242</v>
      </c>
      <c r="D658" s="7" t="s">
        <v>19</v>
      </c>
      <c r="E658" s="7" t="s">
        <v>34</v>
      </c>
      <c r="F658" s="7" t="s">
        <v>35</v>
      </c>
      <c r="G658" s="7" t="e">
        <f t="shared" ca="1" si="24"/>
        <v>#NAME?</v>
      </c>
      <c r="H658" s="24" t="s">
        <v>143</v>
      </c>
      <c r="I658" s="24" t="s">
        <v>25</v>
      </c>
      <c r="J658" s="7" t="str">
        <f t="shared" si="29"/>
        <v>Não</v>
      </c>
      <c r="K658" s="25">
        <v>45035</v>
      </c>
      <c r="L658" s="79">
        <v>45273</v>
      </c>
      <c r="M658" s="7" t="s">
        <v>42</v>
      </c>
      <c r="N658" s="26">
        <v>1.2E-2</v>
      </c>
      <c r="O658" s="7" t="s">
        <v>25</v>
      </c>
      <c r="P658" s="27">
        <v>0</v>
      </c>
      <c r="Q658" s="28"/>
      <c r="R658" s="28"/>
      <c r="S658" s="7" t="s">
        <v>145</v>
      </c>
      <c r="T658" s="7" t="s">
        <v>2240</v>
      </c>
      <c r="U658" s="7" t="s">
        <v>39</v>
      </c>
      <c r="V658" s="24" t="e">
        <f t="shared" ca="1" si="25"/>
        <v>#NAME?</v>
      </c>
      <c r="W658" s="7"/>
      <c r="X658" s="7"/>
      <c r="Y658" s="29"/>
      <c r="Z658" s="30"/>
      <c r="AA658" s="31">
        <v>45035</v>
      </c>
      <c r="AB658" s="32"/>
      <c r="AC658" s="30"/>
      <c r="AD658" s="30"/>
      <c r="AE658" s="30"/>
      <c r="AF658" s="30"/>
      <c r="AG658" s="30"/>
      <c r="AH658" s="30">
        <v>0</v>
      </c>
      <c r="AI658" s="30">
        <v>701737.29</v>
      </c>
      <c r="AJ658" s="30">
        <v>709516.96</v>
      </c>
      <c r="AK658" s="30">
        <v>311081.44</v>
      </c>
      <c r="AL658" s="30">
        <v>313149.40000000002</v>
      </c>
      <c r="AM658" s="30">
        <v>313634.65999999997</v>
      </c>
      <c r="AN658" s="30">
        <v>3.86</v>
      </c>
      <c r="AO658" s="30">
        <v>3.86</v>
      </c>
      <c r="AP658" s="30">
        <v>3.86</v>
      </c>
      <c r="AQ658" s="30">
        <v>0</v>
      </c>
      <c r="AR658" s="30">
        <v>0</v>
      </c>
      <c r="AS658" s="30">
        <v>0</v>
      </c>
      <c r="AT658" s="30">
        <v>0</v>
      </c>
      <c r="AU658" s="30">
        <v>0</v>
      </c>
      <c r="AV658" s="30">
        <v>0</v>
      </c>
      <c r="AW658" s="30">
        <v>0</v>
      </c>
      <c r="AX658" s="30">
        <v>0</v>
      </c>
      <c r="AY658" s="30">
        <v>0</v>
      </c>
      <c r="AZ658" s="30">
        <v>0</v>
      </c>
      <c r="BA658" s="30" t="e">
        <f t="array" aca="1" ref="BA658" ca="1">_xludf.XLOOKUP(C658,'PL TOTAL D0'!A:A,'PL TOTAL D0'!C:C,"")</f>
        <v>#NAME?</v>
      </c>
    </row>
    <row r="659" spans="1:53" ht="15.75" customHeight="1">
      <c r="A659" s="23" t="s">
        <v>29</v>
      </c>
      <c r="B659" s="37" t="s">
        <v>2243</v>
      </c>
      <c r="C659" s="4" t="s">
        <v>2244</v>
      </c>
      <c r="D659" s="7" t="s">
        <v>19</v>
      </c>
      <c r="E659" s="7" t="s">
        <v>49</v>
      </c>
      <c r="F659" s="7" t="s">
        <v>328</v>
      </c>
      <c r="G659" s="7" t="e">
        <f t="shared" ca="1" si="24"/>
        <v>#NAME?</v>
      </c>
      <c r="H659" s="24" t="s">
        <v>161</v>
      </c>
      <c r="I659" s="24" t="s">
        <v>205</v>
      </c>
      <c r="J659" s="7" t="s">
        <v>181</v>
      </c>
      <c r="K659" s="25">
        <v>45393</v>
      </c>
      <c r="L659" s="79"/>
      <c r="M659" s="7" t="s">
        <v>597</v>
      </c>
      <c r="N659" s="26">
        <v>0</v>
      </c>
      <c r="O659" s="7" t="s">
        <v>25</v>
      </c>
      <c r="P659" s="27">
        <v>0</v>
      </c>
      <c r="Q659" s="28"/>
      <c r="R659" s="28"/>
      <c r="S659" s="7" t="s">
        <v>145</v>
      </c>
      <c r="T659" s="7" t="s">
        <v>2245</v>
      </c>
      <c r="U659" s="7" t="s">
        <v>49</v>
      </c>
      <c r="V659" s="24" t="e">
        <f t="shared" ca="1" si="25"/>
        <v>#NAME?</v>
      </c>
      <c r="W659" s="7"/>
      <c r="X659" s="7"/>
      <c r="Y659" s="29" t="s">
        <v>147</v>
      </c>
      <c r="Z659" s="30"/>
      <c r="AA659" s="31">
        <v>45393</v>
      </c>
      <c r="AB659" s="32">
        <v>49075100014388</v>
      </c>
      <c r="AC659" s="30"/>
      <c r="AD659" s="30"/>
      <c r="AE659" s="30"/>
      <c r="AF659" s="30"/>
      <c r="AG659" s="30"/>
      <c r="AH659" s="30"/>
      <c r="AI659" s="30"/>
      <c r="AJ659" s="30"/>
      <c r="AK659" s="30"/>
      <c r="AL659" s="30"/>
      <c r="AM659" s="30"/>
      <c r="AN659" s="30"/>
      <c r="AO659" s="30"/>
      <c r="AP659" s="30"/>
      <c r="AQ659" s="30"/>
      <c r="AR659" s="30"/>
      <c r="AS659" s="30"/>
      <c r="AT659" s="30"/>
      <c r="AU659" s="30">
        <v>3570485.61</v>
      </c>
      <c r="AV659" s="30">
        <v>3592455</v>
      </c>
      <c r="AW659" s="30">
        <v>2607409</v>
      </c>
      <c r="AX659" s="30">
        <v>2403584</v>
      </c>
      <c r="AY659" s="30">
        <v>2421880.7000000002</v>
      </c>
      <c r="AZ659" s="30">
        <v>2403452.77</v>
      </c>
      <c r="BA659" s="30" t="e">
        <f t="array" aca="1" ref="BA659" ca="1">_xludf.XLOOKUP(C659,'PL TOTAL D0'!A:A,'PL TOTAL D0'!C:C,"")</f>
        <v>#NAME?</v>
      </c>
    </row>
    <row r="660" spans="1:53" ht="15.75" customHeight="1">
      <c r="A660" s="23" t="s">
        <v>29</v>
      </c>
      <c r="B660" s="37" t="s">
        <v>2243</v>
      </c>
      <c r="C660" s="4" t="s">
        <v>2246</v>
      </c>
      <c r="D660" s="7" t="s">
        <v>19</v>
      </c>
      <c r="E660" s="7" t="s">
        <v>49</v>
      </c>
      <c r="F660" s="7" t="s">
        <v>328</v>
      </c>
      <c r="G660" s="7" t="e">
        <f t="shared" ca="1" si="24"/>
        <v>#NAME?</v>
      </c>
      <c r="H660" s="24" t="s">
        <v>152</v>
      </c>
      <c r="I660" s="24" t="s">
        <v>25</v>
      </c>
      <c r="J660" s="7" t="s">
        <v>181</v>
      </c>
      <c r="K660" s="25">
        <v>45427</v>
      </c>
      <c r="L660" s="79"/>
      <c r="M660" s="7" t="s">
        <v>284</v>
      </c>
      <c r="N660" s="26">
        <v>0.01</v>
      </c>
      <c r="O660" s="7" t="s">
        <v>37</v>
      </c>
      <c r="P660" s="27">
        <v>0.1</v>
      </c>
      <c r="Q660" s="28"/>
      <c r="R660" s="28"/>
      <c r="S660" s="7" t="s">
        <v>145</v>
      </c>
      <c r="T660" s="7" t="s">
        <v>2245</v>
      </c>
      <c r="U660" s="7" t="s">
        <v>49</v>
      </c>
      <c r="V660" s="24" t="e">
        <f t="shared" ca="1" si="25"/>
        <v>#NAME?</v>
      </c>
      <c r="W660" s="7"/>
      <c r="X660" s="7"/>
      <c r="Y660" s="29" t="s">
        <v>147</v>
      </c>
      <c r="Z660" s="30"/>
      <c r="AA660" s="31">
        <v>45427</v>
      </c>
      <c r="AB660" s="32">
        <v>49075100014681</v>
      </c>
      <c r="AC660" s="30"/>
      <c r="AD660" s="30"/>
      <c r="AE660" s="30"/>
      <c r="AF660" s="30"/>
      <c r="AG660" s="30"/>
      <c r="AH660" s="30"/>
      <c r="AI660" s="30"/>
      <c r="AJ660" s="30"/>
      <c r="AK660" s="30"/>
      <c r="AL660" s="30"/>
      <c r="AM660" s="30"/>
      <c r="AN660" s="30"/>
      <c r="AO660" s="30"/>
      <c r="AP660" s="30"/>
      <c r="AQ660" s="30"/>
      <c r="AR660" s="30"/>
      <c r="AS660" s="30"/>
      <c r="AT660" s="30"/>
      <c r="AU660" s="30"/>
      <c r="AV660" s="30">
        <v>0</v>
      </c>
      <c r="AW660" s="30">
        <v>727143.8</v>
      </c>
      <c r="AX660" s="30">
        <v>1242904</v>
      </c>
      <c r="AY660" s="30">
        <v>1252702.46</v>
      </c>
      <c r="AZ660" s="30">
        <v>1262225.32</v>
      </c>
      <c r="BA660" s="30" t="e">
        <f t="array" aca="1" ref="BA660" ca="1">_xludf.XLOOKUP(C660,'PL TOTAL D0'!A:A,'PL TOTAL D0'!C:C,"")</f>
        <v>#NAME?</v>
      </c>
    </row>
    <row r="661" spans="1:53" ht="15.75" customHeight="1">
      <c r="A661" s="23" t="s">
        <v>29</v>
      </c>
      <c r="B661" s="3" t="s">
        <v>2247</v>
      </c>
      <c r="C661" s="4" t="s">
        <v>2248</v>
      </c>
      <c r="D661" s="7" t="s">
        <v>19</v>
      </c>
      <c r="E661" s="7" t="s">
        <v>34</v>
      </c>
      <c r="F661" s="7" t="s">
        <v>616</v>
      </c>
      <c r="G661" s="7" t="e">
        <f t="shared" ca="1" si="24"/>
        <v>#NAME?</v>
      </c>
      <c r="H661" s="24" t="s">
        <v>161</v>
      </c>
      <c r="I661" s="24" t="s">
        <v>162</v>
      </c>
      <c r="J661" s="7" t="str">
        <f t="shared" ref="J661:J704" si="30">IF(Q661=0,"Não","Sim")</f>
        <v>Não</v>
      </c>
      <c r="K661" s="25">
        <v>45163</v>
      </c>
      <c r="L661" s="25"/>
      <c r="M661" s="7" t="s">
        <v>42</v>
      </c>
      <c r="N661" s="26">
        <v>7.0000000000000001E-3</v>
      </c>
      <c r="O661" s="7" t="s">
        <v>25</v>
      </c>
      <c r="P661" s="27">
        <v>0</v>
      </c>
      <c r="Q661" s="90"/>
      <c r="R661" s="28" t="s">
        <v>1157</v>
      </c>
      <c r="S661" s="7" t="s">
        <v>145</v>
      </c>
      <c r="T661" s="7" t="s">
        <v>2249</v>
      </c>
      <c r="U661" s="7" t="s">
        <v>60</v>
      </c>
      <c r="V661" s="24" t="e">
        <f t="shared" ca="1" si="25"/>
        <v>#NAME?</v>
      </c>
      <c r="W661" s="7"/>
      <c r="X661" s="7"/>
      <c r="Y661" s="29" t="s">
        <v>147</v>
      </c>
      <c r="Z661" s="30"/>
      <c r="AA661" s="31">
        <v>45163</v>
      </c>
      <c r="AB661" s="32">
        <v>49075100011885</v>
      </c>
      <c r="AC661" s="30"/>
      <c r="AD661" s="30"/>
      <c r="AE661" s="30"/>
      <c r="AF661" s="30"/>
      <c r="AG661" s="30"/>
      <c r="AH661" s="30"/>
      <c r="AI661" s="30">
        <v>0</v>
      </c>
      <c r="AJ661" s="30">
        <v>0</v>
      </c>
      <c r="AK661" s="30">
        <v>0</v>
      </c>
      <c r="AL661" s="30">
        <v>0</v>
      </c>
      <c r="AM661" s="30">
        <v>0</v>
      </c>
      <c r="AN661" s="30">
        <v>0</v>
      </c>
      <c r="AO661" s="30">
        <v>0</v>
      </c>
      <c r="AP661" s="30">
        <v>0</v>
      </c>
      <c r="AQ661" s="30">
        <v>0</v>
      </c>
      <c r="AR661" s="30">
        <v>0</v>
      </c>
      <c r="AS661" s="30">
        <v>0</v>
      </c>
      <c r="AT661" s="30">
        <v>0</v>
      </c>
      <c r="AU661" s="30">
        <v>0</v>
      </c>
      <c r="AV661" s="30">
        <v>0</v>
      </c>
      <c r="AW661" s="30">
        <v>0</v>
      </c>
      <c r="AX661" s="30">
        <v>0</v>
      </c>
      <c r="AY661" s="30">
        <v>0</v>
      </c>
      <c r="AZ661" s="30">
        <v>0</v>
      </c>
      <c r="BA661" s="30" t="e">
        <f t="array" aca="1" ref="BA661" ca="1">_xludf.XLOOKUP(C661,'PL TOTAL D0'!A:A,'PL TOTAL D0'!C:C,"")</f>
        <v>#NAME?</v>
      </c>
    </row>
    <row r="662" spans="1:53" ht="15.75" customHeight="1">
      <c r="A662" s="23" t="s">
        <v>29</v>
      </c>
      <c r="B662" s="3" t="s">
        <v>2250</v>
      </c>
      <c r="C662" s="4" t="s">
        <v>2251</v>
      </c>
      <c r="D662" s="7" t="s">
        <v>194</v>
      </c>
      <c r="E662" s="7" t="s">
        <v>20</v>
      </c>
      <c r="F662" s="7" t="s">
        <v>195</v>
      </c>
      <c r="G662" s="7" t="e">
        <f t="shared" ca="1" si="24"/>
        <v>#NAME?</v>
      </c>
      <c r="H662" s="24" t="s">
        <v>152</v>
      </c>
      <c r="I662" s="24" t="s">
        <v>25</v>
      </c>
      <c r="J662" s="7" t="str">
        <f t="shared" si="30"/>
        <v>Sim</v>
      </c>
      <c r="K662" s="25">
        <v>45518</v>
      </c>
      <c r="L662" s="25"/>
      <c r="M662" s="7" t="s">
        <v>58</v>
      </c>
      <c r="N662" s="26">
        <v>1.2E-2</v>
      </c>
      <c r="O662" s="7" t="s">
        <v>37</v>
      </c>
      <c r="P662" s="27">
        <v>0.1</v>
      </c>
      <c r="Q662" s="28" t="s">
        <v>2252</v>
      </c>
      <c r="R662" s="28"/>
      <c r="S662" s="7" t="s">
        <v>145</v>
      </c>
      <c r="T662" s="7" t="s">
        <v>2253</v>
      </c>
      <c r="U662" s="7" t="s">
        <v>1656</v>
      </c>
      <c r="V662" s="24" t="e">
        <f t="shared" ca="1" si="25"/>
        <v>#NAME?</v>
      </c>
      <c r="W662" s="7"/>
      <c r="X662" s="7" t="s">
        <v>91</v>
      </c>
      <c r="Y662" s="29" t="s">
        <v>253</v>
      </c>
      <c r="Z662" s="30"/>
      <c r="AA662" s="30"/>
      <c r="AB662" s="32"/>
      <c r="AC662" s="30"/>
      <c r="AD662" s="30"/>
      <c r="AE662" s="30"/>
      <c r="AF662" s="30"/>
      <c r="AG662" s="30"/>
      <c r="AH662" s="30"/>
      <c r="AI662" s="30"/>
      <c r="AJ662" s="30"/>
      <c r="AK662" s="30"/>
      <c r="AL662" s="30"/>
      <c r="AM662" s="30"/>
      <c r="AN662" s="30"/>
      <c r="AO662" s="30"/>
      <c r="AP662" s="30"/>
      <c r="AQ662" s="30"/>
      <c r="AR662" s="30"/>
      <c r="AS662" s="30"/>
      <c r="AT662" s="30"/>
      <c r="AU662" s="30"/>
      <c r="AV662" s="30"/>
      <c r="AW662" s="30"/>
      <c r="AX662" s="30"/>
      <c r="AY662" s="30">
        <v>312460.33</v>
      </c>
      <c r="AZ662" s="30">
        <v>258221.5</v>
      </c>
      <c r="BA662" s="30" t="e">
        <f t="array" aca="1" ref="BA662" ca="1">_xludf.XLOOKUP(C662,'PL TOTAL D0'!A:A,'PL TOTAL D0'!C:C,"")</f>
        <v>#NAME?</v>
      </c>
    </row>
    <row r="663" spans="1:53" ht="15.75" customHeight="1">
      <c r="A663" s="23" t="s">
        <v>29</v>
      </c>
      <c r="B663" s="3" t="s">
        <v>2254</v>
      </c>
      <c r="C663" s="4" t="s">
        <v>2255</v>
      </c>
      <c r="D663" s="7" t="s">
        <v>19</v>
      </c>
      <c r="E663" s="7" t="s">
        <v>34</v>
      </c>
      <c r="F663" s="7" t="s">
        <v>35</v>
      </c>
      <c r="G663" s="7" t="e">
        <f t="shared" ca="1" si="24"/>
        <v>#NAME?</v>
      </c>
      <c r="H663" s="24" t="s">
        <v>161</v>
      </c>
      <c r="I663" s="24" t="s">
        <v>162</v>
      </c>
      <c r="J663" s="7" t="str">
        <f t="shared" si="30"/>
        <v>Não</v>
      </c>
      <c r="K663" s="25">
        <v>45163</v>
      </c>
      <c r="L663" s="25"/>
      <c r="M663" s="7" t="s">
        <v>42</v>
      </c>
      <c r="N663" s="26">
        <v>1.2E-2</v>
      </c>
      <c r="O663" s="7" t="s">
        <v>25</v>
      </c>
      <c r="P663" s="27">
        <v>0</v>
      </c>
      <c r="Q663" s="90"/>
      <c r="R663" s="178" t="s">
        <v>2256</v>
      </c>
      <c r="S663" s="7" t="s">
        <v>145</v>
      </c>
      <c r="T663" s="7" t="s">
        <v>2257</v>
      </c>
      <c r="U663" s="7" t="s">
        <v>39</v>
      </c>
      <c r="V663" s="24" t="e">
        <f t="shared" ca="1" si="25"/>
        <v>#NAME?</v>
      </c>
      <c r="W663" s="7"/>
      <c r="X663" s="7"/>
      <c r="Y663" s="29" t="s">
        <v>147</v>
      </c>
      <c r="Z663" s="30"/>
      <c r="AA663" s="31">
        <v>45163</v>
      </c>
      <c r="AB663" s="32">
        <v>49075100011893</v>
      </c>
      <c r="AC663" s="30"/>
      <c r="AD663" s="30"/>
      <c r="AE663" s="30"/>
      <c r="AF663" s="30"/>
      <c r="AG663" s="30"/>
      <c r="AH663" s="30">
        <v>0</v>
      </c>
      <c r="AI663" s="30">
        <v>0</v>
      </c>
      <c r="AJ663" s="30">
        <v>0</v>
      </c>
      <c r="AK663" s="30">
        <v>0</v>
      </c>
      <c r="AL663" s="30">
        <v>0</v>
      </c>
      <c r="AM663" s="30">
        <v>0</v>
      </c>
      <c r="AN663" s="30">
        <v>0</v>
      </c>
      <c r="AO663" s="30">
        <v>0</v>
      </c>
      <c r="AP663" s="30">
        <v>0</v>
      </c>
      <c r="AQ663" s="30">
        <v>0</v>
      </c>
      <c r="AR663" s="30">
        <v>0</v>
      </c>
      <c r="AS663" s="30">
        <v>0</v>
      </c>
      <c r="AT663" s="30">
        <v>0</v>
      </c>
      <c r="AU663" s="30">
        <v>0</v>
      </c>
      <c r="AV663" s="30">
        <v>0</v>
      </c>
      <c r="AW663" s="30">
        <v>0</v>
      </c>
      <c r="AX663" s="30">
        <v>0</v>
      </c>
      <c r="AY663" s="30">
        <v>0</v>
      </c>
      <c r="AZ663" s="30">
        <v>0</v>
      </c>
      <c r="BA663" s="30" t="e">
        <f t="array" aca="1" ref="BA663" ca="1">_xludf.XLOOKUP(C663,'PL TOTAL D0'!A:A,'PL TOTAL D0'!C:C,"")</f>
        <v>#NAME?</v>
      </c>
    </row>
    <row r="664" spans="1:53" ht="15.75" customHeight="1">
      <c r="A664" s="23" t="s">
        <v>29</v>
      </c>
      <c r="B664" s="3" t="s">
        <v>2258</v>
      </c>
      <c r="C664" s="4" t="s">
        <v>2259</v>
      </c>
      <c r="D664" s="7" t="s">
        <v>64</v>
      </c>
      <c r="E664" s="7" t="s">
        <v>20</v>
      </c>
      <c r="F664" s="7" t="s">
        <v>142</v>
      </c>
      <c r="G664" s="7" t="e">
        <f t="shared" ca="1" si="24"/>
        <v>#NAME?</v>
      </c>
      <c r="H664" s="24" t="s">
        <v>143</v>
      </c>
      <c r="I664" s="24" t="s">
        <v>25</v>
      </c>
      <c r="J664" s="7" t="str">
        <f t="shared" si="30"/>
        <v>Não</v>
      </c>
      <c r="K664" s="25">
        <v>45082</v>
      </c>
      <c r="L664" s="25">
        <v>45525</v>
      </c>
      <c r="M664" s="7" t="s">
        <v>345</v>
      </c>
      <c r="N664" s="26">
        <v>1.7999999999999999E-2</v>
      </c>
      <c r="O664" s="7" t="s">
        <v>37</v>
      </c>
      <c r="P664" s="27">
        <v>0.2</v>
      </c>
      <c r="Q664" s="45"/>
      <c r="R664" s="45"/>
      <c r="S664" s="7" t="s">
        <v>145</v>
      </c>
      <c r="T664" s="7" t="s">
        <v>2260</v>
      </c>
      <c r="U664" s="7" t="s">
        <v>20</v>
      </c>
      <c r="V664" s="24" t="e">
        <f t="shared" ca="1" si="25"/>
        <v>#NAME?</v>
      </c>
      <c r="W664" s="7"/>
      <c r="X664" s="7"/>
      <c r="Y664" s="29" t="s">
        <v>147</v>
      </c>
      <c r="Z664" s="30"/>
      <c r="AA664" s="31">
        <v>45082</v>
      </c>
      <c r="AB664" s="32">
        <v>49075100009279</v>
      </c>
      <c r="AC664" s="30"/>
      <c r="AD664" s="30"/>
      <c r="AE664" s="30"/>
      <c r="AF664" s="30"/>
      <c r="AG664" s="30"/>
      <c r="AH664" s="30"/>
      <c r="AI664" s="30">
        <v>0</v>
      </c>
      <c r="AJ664" s="30">
        <v>0</v>
      </c>
      <c r="AK664" s="30">
        <v>623400.99</v>
      </c>
      <c r="AL664" s="30">
        <v>681159.69</v>
      </c>
      <c r="AM664" s="30">
        <v>701601.4</v>
      </c>
      <c r="AN664" s="30">
        <v>692743.23</v>
      </c>
      <c r="AO664" s="30">
        <v>688107.42</v>
      </c>
      <c r="AP664" s="30">
        <v>701645.17</v>
      </c>
      <c r="AQ664" s="30">
        <v>721860.49</v>
      </c>
      <c r="AR664" s="30">
        <v>688520.55</v>
      </c>
      <c r="AS664" s="30">
        <v>695565.07</v>
      </c>
      <c r="AT664" s="30">
        <v>703252.34</v>
      </c>
      <c r="AU664" s="30">
        <v>688431.26</v>
      </c>
      <c r="AV664" s="30">
        <v>680296</v>
      </c>
      <c r="AW664" s="30">
        <v>681713.6</v>
      </c>
      <c r="AX664" s="30">
        <v>694626.5</v>
      </c>
      <c r="AY664" s="30">
        <v>0</v>
      </c>
      <c r="AZ664" s="30">
        <v>0</v>
      </c>
      <c r="BA664" s="30" t="e">
        <f t="array" aca="1" ref="BA664" ca="1">_xludf.XLOOKUP(C664,'PL TOTAL D0'!A:A,'PL TOTAL D0'!C:C,"")</f>
        <v>#NAME?</v>
      </c>
    </row>
    <row r="665" spans="1:53" ht="15.75" customHeight="1">
      <c r="A665" s="23" t="s">
        <v>29</v>
      </c>
      <c r="B665" s="3" t="s">
        <v>2261</v>
      </c>
      <c r="C665" s="4" t="s">
        <v>2262</v>
      </c>
      <c r="D665" s="7" t="s">
        <v>19</v>
      </c>
      <c r="E665" s="7" t="s">
        <v>49</v>
      </c>
      <c r="F665" s="7" t="s">
        <v>50</v>
      </c>
      <c r="G665" s="7" t="e">
        <f t="shared" ca="1" si="24"/>
        <v>#NAME?</v>
      </c>
      <c r="H665" s="24" t="s">
        <v>161</v>
      </c>
      <c r="I665" s="24" t="s">
        <v>162</v>
      </c>
      <c r="J665" s="7" t="str">
        <f t="shared" si="30"/>
        <v>Não</v>
      </c>
      <c r="K665" s="25">
        <v>44994</v>
      </c>
      <c r="L665" s="7"/>
      <c r="M665" s="7" t="s">
        <v>42</v>
      </c>
      <c r="N665" s="26">
        <v>1.2E-2</v>
      </c>
      <c r="O665" s="7" t="s">
        <v>25</v>
      </c>
      <c r="P665" s="27">
        <v>0</v>
      </c>
      <c r="Q665" s="45"/>
      <c r="R665" s="45" t="s">
        <v>681</v>
      </c>
      <c r="S665" s="7" t="s">
        <v>145</v>
      </c>
      <c r="T665" s="7" t="s">
        <v>2263</v>
      </c>
      <c r="U665" s="7" t="s">
        <v>49</v>
      </c>
      <c r="V665" s="24" t="e">
        <f t="shared" ca="1" si="25"/>
        <v>#NAME?</v>
      </c>
      <c r="W665" s="7"/>
      <c r="X665" s="7"/>
      <c r="Y665" s="29" t="s">
        <v>147</v>
      </c>
      <c r="Z665" s="30"/>
      <c r="AA665" s="31">
        <v>44994</v>
      </c>
      <c r="AB665" s="32">
        <v>49075100009376</v>
      </c>
      <c r="AC665" s="30"/>
      <c r="AD665" s="30"/>
      <c r="AE665" s="30"/>
      <c r="AF665" s="30"/>
      <c r="AG665" s="30">
        <v>0</v>
      </c>
      <c r="AH665" s="30">
        <v>104644.9</v>
      </c>
      <c r="AI665" s="30">
        <v>104992.36</v>
      </c>
      <c r="AJ665" s="30">
        <v>106366.95</v>
      </c>
      <c r="AK665" s="30">
        <v>107455.17</v>
      </c>
      <c r="AL665" s="30">
        <v>108307.08</v>
      </c>
      <c r="AM665" s="30">
        <v>109381.01</v>
      </c>
      <c r="AN665" s="30">
        <v>110181.84</v>
      </c>
      <c r="AO665" s="30">
        <v>110541.69</v>
      </c>
      <c r="AP665" s="30">
        <v>111342.3</v>
      </c>
      <c r="AQ665" s="30">
        <v>112177.45</v>
      </c>
      <c r="AR665" s="30">
        <v>113123.62</v>
      </c>
      <c r="AS665" s="30">
        <v>113982.99</v>
      </c>
      <c r="AT665" s="30">
        <v>114402.67</v>
      </c>
      <c r="AU665" s="30">
        <v>115227.91</v>
      </c>
      <c r="AV665" s="30">
        <v>115999.5</v>
      </c>
      <c r="AW665" s="30">
        <v>116865.8</v>
      </c>
      <c r="AX665" s="30">
        <v>116679.1</v>
      </c>
      <c r="AY665" s="30">
        <v>117643.65</v>
      </c>
      <c r="AZ665" s="30">
        <v>118132.82</v>
      </c>
      <c r="BA665" s="30" t="e">
        <f t="array" aca="1" ref="BA665" ca="1">_xludf.XLOOKUP(C665,'PL TOTAL D0'!A:A,'PL TOTAL D0'!C:C,"")</f>
        <v>#NAME?</v>
      </c>
    </row>
    <row r="666" spans="1:53" ht="15.75" customHeight="1">
      <c r="A666" s="23" t="s">
        <v>29</v>
      </c>
      <c r="B666" s="38" t="s">
        <v>2264</v>
      </c>
      <c r="C666" s="39" t="s">
        <v>2265</v>
      </c>
      <c r="D666" s="7" t="s">
        <v>19</v>
      </c>
      <c r="E666" s="7" t="s">
        <v>20</v>
      </c>
      <c r="F666" s="7" t="s">
        <v>989</v>
      </c>
      <c r="G666" s="7" t="e">
        <f t="shared" ca="1" si="24"/>
        <v>#NAME?</v>
      </c>
      <c r="H666" s="24" t="s">
        <v>161</v>
      </c>
      <c r="I666" s="24" t="s">
        <v>211</v>
      </c>
      <c r="J666" s="7" t="str">
        <f t="shared" si="30"/>
        <v>Não</v>
      </c>
      <c r="K666" s="25">
        <v>45408</v>
      </c>
      <c r="L666" s="7"/>
      <c r="M666" s="7" t="s">
        <v>42</v>
      </c>
      <c r="N666" s="26">
        <v>1.2E-2</v>
      </c>
      <c r="O666" s="7" t="s">
        <v>25</v>
      </c>
      <c r="P666" s="27">
        <v>0</v>
      </c>
      <c r="Q666" s="45"/>
      <c r="R666" s="45"/>
      <c r="S666" s="7" t="s">
        <v>145</v>
      </c>
      <c r="T666" s="7" t="s">
        <v>2266</v>
      </c>
      <c r="U666" s="7" t="s">
        <v>20</v>
      </c>
      <c r="V666" s="24" t="e">
        <f t="shared" ca="1" si="25"/>
        <v>#NAME?</v>
      </c>
      <c r="W666" s="7"/>
      <c r="X666" s="7" t="s">
        <v>52</v>
      </c>
      <c r="Y666" s="29" t="s">
        <v>147</v>
      </c>
      <c r="Z666" s="30"/>
      <c r="AA666" s="31">
        <v>45408</v>
      </c>
      <c r="AB666" s="32">
        <v>49075100014132</v>
      </c>
      <c r="AC666" s="30"/>
      <c r="AD666" s="30"/>
      <c r="AE666" s="30"/>
      <c r="AF666" s="30"/>
      <c r="AG666" s="30"/>
      <c r="AH666" s="30"/>
      <c r="AI666" s="30"/>
      <c r="AJ666" s="30"/>
      <c r="AK666" s="30"/>
      <c r="AL666" s="30"/>
      <c r="AM666" s="30"/>
      <c r="AN666" s="30"/>
      <c r="AO666" s="30"/>
      <c r="AP666" s="30"/>
      <c r="AQ666" s="30"/>
      <c r="AR666" s="30"/>
      <c r="AS666" s="30"/>
      <c r="AT666" s="30"/>
      <c r="AU666" s="30">
        <v>0</v>
      </c>
      <c r="AV666" s="30">
        <v>469224.4</v>
      </c>
      <c r="AW666" s="30">
        <v>472897.3</v>
      </c>
      <c r="AX666" s="30">
        <v>477131.2</v>
      </c>
      <c r="AY666" s="30">
        <v>490578.08</v>
      </c>
      <c r="AZ666" s="30">
        <v>492874.05</v>
      </c>
      <c r="BA666" s="30" t="e">
        <f t="array" aca="1" ref="BA666" ca="1">_xludf.XLOOKUP(C666,'PL TOTAL D0'!A:A,'PL TOTAL D0'!C:C,"")</f>
        <v>#NAME?</v>
      </c>
    </row>
    <row r="667" spans="1:53" ht="15.75" customHeight="1">
      <c r="A667" s="23" t="s">
        <v>29</v>
      </c>
      <c r="B667" s="38" t="s">
        <v>2267</v>
      </c>
      <c r="C667" s="39" t="s">
        <v>2268</v>
      </c>
      <c r="D667" s="7" t="s">
        <v>19</v>
      </c>
      <c r="E667" s="7" t="s">
        <v>20</v>
      </c>
      <c r="F667" s="7" t="s">
        <v>989</v>
      </c>
      <c r="G667" s="7" t="e">
        <f t="shared" ca="1" si="24"/>
        <v>#NAME?</v>
      </c>
      <c r="H667" s="24" t="s">
        <v>161</v>
      </c>
      <c r="I667" s="24" t="s">
        <v>211</v>
      </c>
      <c r="J667" s="7" t="str">
        <f t="shared" si="30"/>
        <v>Não</v>
      </c>
      <c r="K667" s="25">
        <v>45461</v>
      </c>
      <c r="L667" s="7"/>
      <c r="M667" s="7" t="s">
        <v>42</v>
      </c>
      <c r="N667" s="26">
        <v>1.2E-2</v>
      </c>
      <c r="O667" s="7" t="s">
        <v>25</v>
      </c>
      <c r="P667" s="27">
        <v>0</v>
      </c>
      <c r="Q667" s="45"/>
      <c r="R667" s="45"/>
      <c r="S667" s="7" t="s">
        <v>145</v>
      </c>
      <c r="T667" s="7" t="s">
        <v>2269</v>
      </c>
      <c r="U667" s="7" t="s">
        <v>60</v>
      </c>
      <c r="V667" s="24" t="e">
        <f t="shared" ca="1" si="25"/>
        <v>#NAME?</v>
      </c>
      <c r="W667" s="7"/>
      <c r="X667" s="7" t="s">
        <v>52</v>
      </c>
      <c r="Y667" s="29" t="s">
        <v>147</v>
      </c>
      <c r="Z667" s="30"/>
      <c r="AA667" s="31">
        <v>45461</v>
      </c>
      <c r="AB667" s="32">
        <v>49075100014884</v>
      </c>
      <c r="AC667" s="30"/>
      <c r="AD667" s="30"/>
      <c r="AE667" s="30"/>
      <c r="AF667" s="30"/>
      <c r="AG667" s="30"/>
      <c r="AH667" s="30"/>
      <c r="AI667" s="30"/>
      <c r="AJ667" s="30"/>
      <c r="AK667" s="30"/>
      <c r="AL667" s="30"/>
      <c r="AM667" s="30"/>
      <c r="AN667" s="30"/>
      <c r="AO667" s="30"/>
      <c r="AP667" s="30"/>
      <c r="AQ667" s="30"/>
      <c r="AR667" s="30"/>
      <c r="AS667" s="30"/>
      <c r="AT667" s="30"/>
      <c r="AU667" s="30"/>
      <c r="AV667" s="30"/>
      <c r="AW667" s="30">
        <v>0</v>
      </c>
      <c r="AX667" s="30">
        <v>38275.94</v>
      </c>
      <c r="AY667" s="30">
        <v>106857.76</v>
      </c>
      <c r="AZ667" s="30">
        <v>107707.12</v>
      </c>
      <c r="BA667" s="30" t="e">
        <f t="array" aca="1" ref="BA667" ca="1">_xludf.XLOOKUP(C667,'PL TOTAL D0'!A:A,'PL TOTAL D0'!C:C,"")</f>
        <v>#NAME?</v>
      </c>
    </row>
    <row r="668" spans="1:53" ht="15.75" customHeight="1">
      <c r="A668" s="23" t="s">
        <v>29</v>
      </c>
      <c r="B668" s="3" t="s">
        <v>2270</v>
      </c>
      <c r="C668" s="4" t="s">
        <v>2271</v>
      </c>
      <c r="D668" s="7" t="s">
        <v>64</v>
      </c>
      <c r="E668" s="7" t="s">
        <v>20</v>
      </c>
      <c r="F668" s="7" t="s">
        <v>142</v>
      </c>
      <c r="G668" s="7" t="e">
        <f t="shared" ca="1" si="24"/>
        <v>#NAME?</v>
      </c>
      <c r="H668" s="24" t="s">
        <v>143</v>
      </c>
      <c r="I668" s="24" t="s">
        <v>25</v>
      </c>
      <c r="J668" s="7" t="str">
        <f t="shared" si="30"/>
        <v>Não</v>
      </c>
      <c r="K668" s="25">
        <v>45089</v>
      </c>
      <c r="L668" s="25">
        <v>45490</v>
      </c>
      <c r="M668" s="7" t="s">
        <v>706</v>
      </c>
      <c r="N668" s="26">
        <v>8.0000000000000002E-3</v>
      </c>
      <c r="O668" s="7" t="s">
        <v>25</v>
      </c>
      <c r="P668" s="27">
        <v>0</v>
      </c>
      <c r="Q668" s="86"/>
      <c r="R668" s="28"/>
      <c r="S668" s="7" t="s">
        <v>145</v>
      </c>
      <c r="T668" s="7" t="s">
        <v>2272</v>
      </c>
      <c r="U668" s="7" t="s">
        <v>20</v>
      </c>
      <c r="V668" s="24" t="e">
        <f t="shared" ca="1" si="25"/>
        <v>#NAME?</v>
      </c>
      <c r="W668" s="7"/>
      <c r="X668" s="7"/>
      <c r="Y668" s="29" t="s">
        <v>253</v>
      </c>
      <c r="Z668" s="30"/>
      <c r="AA668" s="31">
        <v>45089</v>
      </c>
      <c r="AB668" s="32">
        <v>49075100008949</v>
      </c>
      <c r="AC668" s="30"/>
      <c r="AD668" s="30"/>
      <c r="AE668" s="30"/>
      <c r="AF668" s="30"/>
      <c r="AG668" s="30"/>
      <c r="AH668" s="30"/>
      <c r="AI668" s="30">
        <v>0</v>
      </c>
      <c r="AJ668" s="30">
        <v>0</v>
      </c>
      <c r="AK668" s="30">
        <v>844672.09</v>
      </c>
      <c r="AL668" s="30">
        <v>1470305.87</v>
      </c>
      <c r="AM668" s="30">
        <v>1550885.26</v>
      </c>
      <c r="AN668" s="30">
        <v>1818215.96</v>
      </c>
      <c r="AO668" s="30">
        <v>1901777.71</v>
      </c>
      <c r="AP668" s="30">
        <v>1783134.08</v>
      </c>
      <c r="AQ668" s="30">
        <v>2044607.24</v>
      </c>
      <c r="AR668" s="30">
        <v>2055002.86</v>
      </c>
      <c r="AS668" s="30">
        <v>2110226.61</v>
      </c>
      <c r="AT668" s="30">
        <v>2137864.2599999998</v>
      </c>
      <c r="AU668" s="30">
        <v>2137697.5499999998</v>
      </c>
      <c r="AV668" s="30">
        <v>2147145</v>
      </c>
      <c r="AW668" s="30">
        <v>2223661</v>
      </c>
      <c r="AX668" s="30">
        <v>0</v>
      </c>
      <c r="AY668" s="30">
        <v>0</v>
      </c>
      <c r="AZ668" s="30">
        <v>0</v>
      </c>
      <c r="BA668" s="30" t="e">
        <f t="array" aca="1" ref="BA668" ca="1">_xludf.XLOOKUP(C668,'PL TOTAL D0'!A:A,'PL TOTAL D0'!C:C,"")</f>
        <v>#NAME?</v>
      </c>
    </row>
    <row r="669" spans="1:53" ht="15.75" customHeight="1">
      <c r="A669" s="23" t="s">
        <v>29</v>
      </c>
      <c r="B669" s="3" t="s">
        <v>2273</v>
      </c>
      <c r="C669" s="4" t="s">
        <v>2274</v>
      </c>
      <c r="D669" s="7" t="s">
        <v>19</v>
      </c>
      <c r="E669" s="7" t="s">
        <v>20</v>
      </c>
      <c r="F669" s="7" t="s">
        <v>21</v>
      </c>
      <c r="G669" s="7" t="e">
        <f t="shared" ca="1" si="24"/>
        <v>#NAME?</v>
      </c>
      <c r="H669" s="24" t="s">
        <v>152</v>
      </c>
      <c r="I669" s="24" t="s">
        <v>25</v>
      </c>
      <c r="J669" s="7" t="str">
        <f t="shared" si="30"/>
        <v>Não</v>
      </c>
      <c r="K669" s="25">
        <v>44986</v>
      </c>
      <c r="L669" s="7"/>
      <c r="M669" s="7" t="s">
        <v>42</v>
      </c>
      <c r="N669" s="26">
        <v>1.2E-2</v>
      </c>
      <c r="O669" s="7" t="s">
        <v>25</v>
      </c>
      <c r="P669" s="27">
        <v>0</v>
      </c>
      <c r="Q669" s="90"/>
      <c r="R669" s="90"/>
      <c r="S669" s="7" t="s">
        <v>145</v>
      </c>
      <c r="T669" s="7" t="s">
        <v>2275</v>
      </c>
      <c r="U669" s="7" t="s">
        <v>20</v>
      </c>
      <c r="V669" s="24" t="e">
        <f t="shared" ca="1" si="25"/>
        <v>#NAME?</v>
      </c>
      <c r="W669" s="7"/>
      <c r="X669" s="7"/>
      <c r="Y669" s="29" t="s">
        <v>147</v>
      </c>
      <c r="Z669" s="30"/>
      <c r="AA669" s="31">
        <v>44986</v>
      </c>
      <c r="AB669" s="32">
        <v>49075100004110</v>
      </c>
      <c r="AC669" s="30"/>
      <c r="AD669" s="30"/>
      <c r="AE669" s="30"/>
      <c r="AF669" s="30"/>
      <c r="AG669" s="30">
        <v>0</v>
      </c>
      <c r="AH669" s="30">
        <v>397131.76</v>
      </c>
      <c r="AI669" s="30">
        <v>400319.23</v>
      </c>
      <c r="AJ669" s="30">
        <v>403819.67</v>
      </c>
      <c r="AK669" s="30">
        <v>407595.85</v>
      </c>
      <c r="AL669" s="30">
        <v>410402.21</v>
      </c>
      <c r="AM669" s="30">
        <v>413976.63</v>
      </c>
      <c r="AN669" s="30">
        <v>416683.62</v>
      </c>
      <c r="AO669" s="30">
        <v>420357.87</v>
      </c>
      <c r="AP669" s="30">
        <v>423410.5</v>
      </c>
      <c r="AQ669" s="30">
        <v>426737.93</v>
      </c>
      <c r="AR669" s="30">
        <v>429986.35</v>
      </c>
      <c r="AS669" s="30">
        <v>433344.55</v>
      </c>
      <c r="AT669" s="30">
        <v>436678.49</v>
      </c>
      <c r="AU669" s="30">
        <v>437700.48</v>
      </c>
      <c r="AV669" s="30">
        <v>439555.1</v>
      </c>
      <c r="AW669" s="30">
        <v>443043.9</v>
      </c>
      <c r="AX669" s="30">
        <v>446410.6</v>
      </c>
      <c r="AY669" s="30">
        <v>448415.14</v>
      </c>
      <c r="AZ669" s="30">
        <v>451102.54</v>
      </c>
      <c r="BA669" s="30" t="e">
        <f t="array" aca="1" ref="BA669" ca="1">_xludf.XLOOKUP(C669,'PL TOTAL D0'!A:A,'PL TOTAL D0'!C:C,"")</f>
        <v>#NAME?</v>
      </c>
    </row>
    <row r="670" spans="1:53" ht="17.25" customHeight="1">
      <c r="A670" s="23" t="s">
        <v>29</v>
      </c>
      <c r="B670" s="3" t="s">
        <v>2276</v>
      </c>
      <c r="C670" s="4" t="s">
        <v>2277</v>
      </c>
      <c r="D670" s="7" t="s">
        <v>19</v>
      </c>
      <c r="E670" s="7" t="s">
        <v>20</v>
      </c>
      <c r="F670" s="7" t="s">
        <v>21</v>
      </c>
      <c r="G670" s="7" t="e">
        <f t="shared" ca="1" si="24"/>
        <v>#NAME?</v>
      </c>
      <c r="H670" s="24" t="s">
        <v>152</v>
      </c>
      <c r="I670" s="24" t="s">
        <v>25</v>
      </c>
      <c r="J670" s="7" t="str">
        <f t="shared" si="30"/>
        <v>Não</v>
      </c>
      <c r="K670" s="25">
        <v>44973</v>
      </c>
      <c r="L670" s="7"/>
      <c r="M670" s="7" t="s">
        <v>42</v>
      </c>
      <c r="N670" s="26">
        <v>1.2E-2</v>
      </c>
      <c r="O670" s="7" t="s">
        <v>25</v>
      </c>
      <c r="P670" s="27">
        <v>0</v>
      </c>
      <c r="Q670" s="90"/>
      <c r="R670" s="90"/>
      <c r="S670" s="7" t="s">
        <v>145</v>
      </c>
      <c r="T670" s="7" t="s">
        <v>2278</v>
      </c>
      <c r="U670" s="7" t="s">
        <v>20</v>
      </c>
      <c r="V670" s="24" t="e">
        <f t="shared" ca="1" si="25"/>
        <v>#NAME?</v>
      </c>
      <c r="W670" s="7"/>
      <c r="X670" s="7"/>
      <c r="Y670" s="29" t="s">
        <v>147</v>
      </c>
      <c r="Z670" s="30"/>
      <c r="AA670" s="31">
        <v>44973</v>
      </c>
      <c r="AB670" s="32">
        <v>49075100006296</v>
      </c>
      <c r="AC670" s="30"/>
      <c r="AD670" s="30"/>
      <c r="AE670" s="30"/>
      <c r="AF670" s="30">
        <v>0</v>
      </c>
      <c r="AG670" s="30">
        <v>22406.26</v>
      </c>
      <c r="AH670" s="30">
        <v>123178.45</v>
      </c>
      <c r="AI670" s="30">
        <v>125221.88</v>
      </c>
      <c r="AJ670" s="30">
        <v>127766.28</v>
      </c>
      <c r="AK670" s="30">
        <v>128997.24</v>
      </c>
      <c r="AL670" s="30">
        <v>129836.83</v>
      </c>
      <c r="AM670" s="30">
        <v>135579.88</v>
      </c>
      <c r="AN670" s="30">
        <v>135977.64000000001</v>
      </c>
      <c r="AO670" s="30">
        <v>136319.07999999999</v>
      </c>
      <c r="AP670" s="30">
        <v>142388.81</v>
      </c>
      <c r="AQ670" s="30">
        <v>143984.23000000001</v>
      </c>
      <c r="AR670" s="30">
        <v>144825.19</v>
      </c>
      <c r="AS670" s="30">
        <v>145769.92000000001</v>
      </c>
      <c r="AT670" s="30">
        <v>146841.97</v>
      </c>
      <c r="AU670" s="30">
        <v>147818.6</v>
      </c>
      <c r="AV670" s="30">
        <v>147654.39999999999</v>
      </c>
      <c r="AW670" s="30">
        <v>127532.7</v>
      </c>
      <c r="AX670" s="30">
        <v>128224.1</v>
      </c>
      <c r="AY670" s="30">
        <v>129015.2</v>
      </c>
      <c r="AZ670" s="30">
        <v>129950.27</v>
      </c>
      <c r="BA670" s="30" t="e">
        <f t="array" aca="1" ref="BA670" ca="1">_xludf.XLOOKUP(C670,'PL TOTAL D0'!A:A,'PL TOTAL D0'!C:C,"")</f>
        <v>#NAME?</v>
      </c>
    </row>
    <row r="671" spans="1:53" ht="17.25" customHeight="1">
      <c r="A671" s="23" t="s">
        <v>29</v>
      </c>
      <c r="B671" s="36" t="s">
        <v>2279</v>
      </c>
      <c r="C671" s="64" t="s">
        <v>2280</v>
      </c>
      <c r="D671" s="7" t="s">
        <v>19</v>
      </c>
      <c r="E671" s="7" t="s">
        <v>20</v>
      </c>
      <c r="F671" s="7" t="s">
        <v>171</v>
      </c>
      <c r="G671" s="7" t="e">
        <f t="shared" ca="1" si="24"/>
        <v>#NAME?</v>
      </c>
      <c r="H671" s="24" t="s">
        <v>152</v>
      </c>
      <c r="I671" s="24" t="s">
        <v>25</v>
      </c>
      <c r="J671" s="7" t="str">
        <f t="shared" si="30"/>
        <v>Não</v>
      </c>
      <c r="K671" s="25">
        <v>45259</v>
      </c>
      <c r="L671" s="7"/>
      <c r="M671" s="7" t="s">
        <v>42</v>
      </c>
      <c r="N671" s="10">
        <v>1.2E-2</v>
      </c>
      <c r="O671" s="6" t="s">
        <v>25</v>
      </c>
      <c r="P671" s="11">
        <v>0</v>
      </c>
      <c r="Q671" s="90"/>
      <c r="R671" s="90"/>
      <c r="S671" s="7" t="s">
        <v>145</v>
      </c>
      <c r="T671" s="7" t="s">
        <v>2281</v>
      </c>
      <c r="U671" s="7" t="s">
        <v>20</v>
      </c>
      <c r="V671" s="24" t="e">
        <f t="shared" ca="1" si="25"/>
        <v>#NAME?</v>
      </c>
      <c r="W671" s="7"/>
      <c r="X671" s="7"/>
      <c r="Y671" s="29" t="s">
        <v>147</v>
      </c>
      <c r="Z671" s="30"/>
      <c r="AA671" s="31">
        <v>45259</v>
      </c>
      <c r="AB671" s="32">
        <v>49075100012741</v>
      </c>
      <c r="AC671" s="30"/>
      <c r="AD671" s="30"/>
      <c r="AE671" s="30"/>
      <c r="AF671" s="30"/>
      <c r="AG671" s="30"/>
      <c r="AH671" s="30"/>
      <c r="AI671" s="30"/>
      <c r="AJ671" s="30"/>
      <c r="AK671" s="30"/>
      <c r="AL671" s="30"/>
      <c r="AM671" s="30"/>
      <c r="AN671" s="30"/>
      <c r="AO671" s="30"/>
      <c r="AP671" s="30">
        <v>20010</v>
      </c>
      <c r="AQ671" s="30">
        <v>40308.46</v>
      </c>
      <c r="AR671" s="30">
        <v>40674.870000000003</v>
      </c>
      <c r="AS671" s="30">
        <v>61072.639999999999</v>
      </c>
      <c r="AT671" s="30">
        <v>71720.31</v>
      </c>
      <c r="AU671" s="30">
        <v>72330.27</v>
      </c>
      <c r="AV671" s="30">
        <v>93021.66</v>
      </c>
      <c r="AW671" s="30">
        <v>93785.62</v>
      </c>
      <c r="AX671" s="30">
        <v>114756.1</v>
      </c>
      <c r="AY671" s="30">
        <v>130934.69</v>
      </c>
      <c r="AZ671" s="30">
        <v>152089.18</v>
      </c>
      <c r="BA671" s="30" t="e">
        <f t="array" aca="1" ref="BA671" ca="1">_xludf.XLOOKUP(C671,'PL TOTAL D0'!A:A,'PL TOTAL D0'!C:C,"")</f>
        <v>#NAME?</v>
      </c>
    </row>
    <row r="672" spans="1:53" ht="15.75" customHeight="1">
      <c r="A672" s="23" t="s">
        <v>29</v>
      </c>
      <c r="B672" s="3" t="s">
        <v>2282</v>
      </c>
      <c r="C672" s="49" t="s">
        <v>2283</v>
      </c>
      <c r="D672" s="7" t="s">
        <v>19</v>
      </c>
      <c r="E672" s="7" t="s">
        <v>34</v>
      </c>
      <c r="F672" s="7" t="s">
        <v>35</v>
      </c>
      <c r="G672" s="7" t="e">
        <f t="shared" ca="1" si="24"/>
        <v>#NAME?</v>
      </c>
      <c r="H672" s="24" t="s">
        <v>143</v>
      </c>
      <c r="I672" s="24" t="s">
        <v>25</v>
      </c>
      <c r="J672" s="7" t="str">
        <f t="shared" si="30"/>
        <v>Não</v>
      </c>
      <c r="K672" s="25">
        <v>45111</v>
      </c>
      <c r="L672" s="25">
        <v>45433</v>
      </c>
      <c r="M672" s="7" t="s">
        <v>345</v>
      </c>
      <c r="N672" s="26">
        <v>0.02</v>
      </c>
      <c r="O672" s="7" t="s">
        <v>37</v>
      </c>
      <c r="P672" s="27">
        <v>0.2</v>
      </c>
      <c r="Q672" s="28"/>
      <c r="R672" s="90"/>
      <c r="S672" s="7" t="s">
        <v>145</v>
      </c>
      <c r="T672" s="7" t="s">
        <v>2284</v>
      </c>
      <c r="U672" s="7" t="s">
        <v>39</v>
      </c>
      <c r="V672" s="24" t="e">
        <f t="shared" ca="1" si="25"/>
        <v>#NAME?</v>
      </c>
      <c r="W672" s="7"/>
      <c r="X672" s="7"/>
      <c r="Y672" s="29" t="s">
        <v>147</v>
      </c>
      <c r="Z672" s="30"/>
      <c r="AA672" s="31">
        <v>45111</v>
      </c>
      <c r="AB672" s="32">
        <v>49075100004358</v>
      </c>
      <c r="AC672" s="30"/>
      <c r="AD672" s="30"/>
      <c r="AE672" s="30"/>
      <c r="AF672" s="30"/>
      <c r="AG672" s="30"/>
      <c r="AH672" s="30">
        <v>0</v>
      </c>
      <c r="AI672" s="30">
        <v>0</v>
      </c>
      <c r="AJ672" s="30">
        <v>0</v>
      </c>
      <c r="AK672" s="30">
        <v>0</v>
      </c>
      <c r="AL672" s="30">
        <v>650405.77</v>
      </c>
      <c r="AM672" s="30">
        <v>679714.54</v>
      </c>
      <c r="AN672" s="30">
        <v>776296.78</v>
      </c>
      <c r="AO672" s="30">
        <v>796616.21</v>
      </c>
      <c r="AP672" s="30">
        <v>823802.9</v>
      </c>
      <c r="AQ672" s="30">
        <v>945272.34</v>
      </c>
      <c r="AR672" s="30">
        <v>972610.18</v>
      </c>
      <c r="AS672" s="30">
        <v>981430.06</v>
      </c>
      <c r="AT672" s="30">
        <v>0</v>
      </c>
      <c r="AU672" s="30">
        <v>0</v>
      </c>
      <c r="AV672" s="30">
        <v>0</v>
      </c>
      <c r="AW672" s="30">
        <v>0</v>
      </c>
      <c r="AX672" s="30">
        <v>0</v>
      </c>
      <c r="AY672" s="30">
        <v>0</v>
      </c>
      <c r="AZ672" s="30">
        <v>0</v>
      </c>
      <c r="BA672" s="30" t="e">
        <f t="array" aca="1" ref="BA672" ca="1">_xludf.XLOOKUP(C672,'PL TOTAL D0'!A:A,'PL TOTAL D0'!C:C,"")</f>
        <v>#NAME?</v>
      </c>
    </row>
    <row r="673" spans="1:53" ht="15.75" customHeight="1">
      <c r="A673" s="23" t="s">
        <v>29</v>
      </c>
      <c r="B673" s="3" t="s">
        <v>2282</v>
      </c>
      <c r="C673" s="49" t="s">
        <v>2285</v>
      </c>
      <c r="D673" s="7" t="s">
        <v>19</v>
      </c>
      <c r="E673" s="7" t="s">
        <v>34</v>
      </c>
      <c r="F673" s="7" t="s">
        <v>35</v>
      </c>
      <c r="G673" s="7" t="e">
        <f t="shared" ca="1" si="24"/>
        <v>#NAME?</v>
      </c>
      <c r="H673" s="24" t="s">
        <v>143</v>
      </c>
      <c r="I673" s="24" t="s">
        <v>25</v>
      </c>
      <c r="J673" s="7" t="str">
        <f t="shared" si="30"/>
        <v>Não</v>
      </c>
      <c r="K673" s="25">
        <v>45035</v>
      </c>
      <c r="L673" s="25">
        <v>45433</v>
      </c>
      <c r="M673" s="7" t="s">
        <v>42</v>
      </c>
      <c r="N673" s="26">
        <v>1.2E-2</v>
      </c>
      <c r="O673" s="7" t="s">
        <v>25</v>
      </c>
      <c r="P673" s="27">
        <v>0</v>
      </c>
      <c r="Q673" s="28"/>
      <c r="R673" s="90"/>
      <c r="S673" s="7" t="s">
        <v>145</v>
      </c>
      <c r="T673" s="7" t="s">
        <v>2284</v>
      </c>
      <c r="U673" s="7" t="s">
        <v>39</v>
      </c>
      <c r="V673" s="24" t="e">
        <f t="shared" ca="1" si="25"/>
        <v>#NAME?</v>
      </c>
      <c r="W673" s="7"/>
      <c r="X673" s="7"/>
      <c r="Y673" s="29" t="s">
        <v>147</v>
      </c>
      <c r="Z673" s="30"/>
      <c r="AA673" s="31">
        <v>45035</v>
      </c>
      <c r="AB673" s="32">
        <v>49075100008396</v>
      </c>
      <c r="AC673" s="30"/>
      <c r="AD673" s="30"/>
      <c r="AE673" s="30"/>
      <c r="AF673" s="30"/>
      <c r="AG673" s="30"/>
      <c r="AH673" s="30">
        <v>0</v>
      </c>
      <c r="AI673" s="30">
        <v>3193690.29</v>
      </c>
      <c r="AJ673" s="30">
        <v>3353269.63</v>
      </c>
      <c r="AK673" s="30">
        <v>3483183.91</v>
      </c>
      <c r="AL673" s="30">
        <v>2892594.6</v>
      </c>
      <c r="AM673" s="30">
        <v>2920496.59</v>
      </c>
      <c r="AN673" s="30">
        <v>2943857.57</v>
      </c>
      <c r="AO673" s="30">
        <v>2969879.49</v>
      </c>
      <c r="AP673" s="30">
        <v>2991246.35</v>
      </c>
      <c r="AQ673" s="30">
        <v>3010215.04</v>
      </c>
      <c r="AR673" s="30">
        <v>3038251.64</v>
      </c>
      <c r="AS673" s="30">
        <v>3063154.49</v>
      </c>
      <c r="AT673" s="30">
        <v>0</v>
      </c>
      <c r="AU673" s="30">
        <v>0</v>
      </c>
      <c r="AV673" s="30">
        <v>0</v>
      </c>
      <c r="AW673" s="30">
        <v>0</v>
      </c>
      <c r="AX673" s="30">
        <v>0</v>
      </c>
      <c r="AY673" s="30">
        <v>0</v>
      </c>
      <c r="AZ673" s="30">
        <v>0</v>
      </c>
      <c r="BA673" s="30" t="e">
        <f t="array" aca="1" ref="BA673" ca="1">_xludf.XLOOKUP(C673,'PL TOTAL D0'!A:A,'PL TOTAL D0'!C:C,"")</f>
        <v>#NAME?</v>
      </c>
    </row>
    <row r="674" spans="1:53" ht="15.75" customHeight="1">
      <c r="A674" s="23" t="s">
        <v>29</v>
      </c>
      <c r="B674" s="3" t="s">
        <v>2286</v>
      </c>
      <c r="C674" s="49" t="s">
        <v>2287</v>
      </c>
      <c r="D674" s="7" t="s">
        <v>194</v>
      </c>
      <c r="E674" s="7" t="s">
        <v>20</v>
      </c>
      <c r="F674" s="7" t="s">
        <v>195</v>
      </c>
      <c r="G674" s="7" t="e">
        <f t="shared" ca="1" si="24"/>
        <v>#NAME?</v>
      </c>
      <c r="H674" s="24" t="s">
        <v>152</v>
      </c>
      <c r="I674" s="24" t="s">
        <v>25</v>
      </c>
      <c r="J674" s="7" t="str">
        <f t="shared" si="30"/>
        <v>Sim</v>
      </c>
      <c r="K674" s="25">
        <v>45506</v>
      </c>
      <c r="L674" s="25"/>
      <c r="M674" s="7" t="s">
        <v>42</v>
      </c>
      <c r="N674" s="26">
        <v>1.2E-2</v>
      </c>
      <c r="O674" s="7" t="s">
        <v>25</v>
      </c>
      <c r="P674" s="27">
        <v>0</v>
      </c>
      <c r="Q674" s="28" t="s">
        <v>2288</v>
      </c>
      <c r="R674" s="90"/>
      <c r="S674" s="7" t="s">
        <v>145</v>
      </c>
      <c r="T674" s="7" t="s">
        <v>2289</v>
      </c>
      <c r="U674" s="7" t="s">
        <v>886</v>
      </c>
      <c r="V674" s="24" t="e">
        <f t="shared" ca="1" si="25"/>
        <v>#NAME?</v>
      </c>
      <c r="W674" s="7"/>
      <c r="X674" s="7" t="s">
        <v>52</v>
      </c>
      <c r="Y674" s="29" t="s">
        <v>147</v>
      </c>
      <c r="Z674" s="30"/>
      <c r="AA674" s="30"/>
      <c r="AB674" s="32"/>
      <c r="AC674" s="30"/>
      <c r="AD674" s="30"/>
      <c r="AE674" s="30"/>
      <c r="AF674" s="30"/>
      <c r="AG674" s="30"/>
      <c r="AH674" s="30"/>
      <c r="AI674" s="30"/>
      <c r="AJ674" s="30"/>
      <c r="AK674" s="30"/>
      <c r="AL674" s="30"/>
      <c r="AM674" s="30"/>
      <c r="AN674" s="30"/>
      <c r="AO674" s="30"/>
      <c r="AP674" s="30"/>
      <c r="AQ674" s="30"/>
      <c r="AR674" s="30"/>
      <c r="AS674" s="30"/>
      <c r="AT674" s="30"/>
      <c r="AU674" s="30"/>
      <c r="AV674" s="30"/>
      <c r="AW674" s="30"/>
      <c r="AX674" s="30"/>
      <c r="AY674" s="30">
        <v>392888.74</v>
      </c>
      <c r="AZ674" s="30">
        <v>364910.2</v>
      </c>
      <c r="BA674" s="30" t="e">
        <f t="array" aca="1" ref="BA674" ca="1">_xludf.XLOOKUP(C674,'PL TOTAL D0'!A:A,'PL TOTAL D0'!C:C,"")</f>
        <v>#NAME?</v>
      </c>
    </row>
    <row r="675" spans="1:53" ht="15.75" customHeight="1">
      <c r="A675" s="23" t="s">
        <v>29</v>
      </c>
      <c r="B675" s="3" t="s">
        <v>2290</v>
      </c>
      <c r="C675" s="4" t="s">
        <v>2291</v>
      </c>
      <c r="D675" s="7" t="s">
        <v>19</v>
      </c>
      <c r="E675" s="7" t="s">
        <v>49</v>
      </c>
      <c r="F675" s="7" t="s">
        <v>50</v>
      </c>
      <c r="G675" s="7" t="e">
        <f t="shared" ca="1" si="24"/>
        <v>#NAME?</v>
      </c>
      <c r="H675" s="24" t="s">
        <v>161</v>
      </c>
      <c r="I675" s="24" t="s">
        <v>162</v>
      </c>
      <c r="J675" s="7" t="str">
        <f t="shared" si="30"/>
        <v>Não</v>
      </c>
      <c r="K675" s="25">
        <v>45100</v>
      </c>
      <c r="L675" s="25"/>
      <c r="M675" s="7" t="s">
        <v>36</v>
      </c>
      <c r="N675" s="26">
        <v>1.2E-2</v>
      </c>
      <c r="O675" s="7" t="s">
        <v>37</v>
      </c>
      <c r="P675" s="27">
        <v>0.1</v>
      </c>
      <c r="Q675" s="90"/>
      <c r="R675" s="90"/>
      <c r="S675" s="7" t="s">
        <v>145</v>
      </c>
      <c r="T675" s="7" t="s">
        <v>2292</v>
      </c>
      <c r="U675" s="7" t="s">
        <v>585</v>
      </c>
      <c r="V675" s="24" t="e">
        <f t="shared" ca="1" si="25"/>
        <v>#NAME?</v>
      </c>
      <c r="W675" s="7"/>
      <c r="X675" s="7"/>
      <c r="Y675" s="29" t="s">
        <v>147</v>
      </c>
      <c r="Z675" s="30"/>
      <c r="AA675" s="31">
        <v>45100</v>
      </c>
      <c r="AB675" s="32">
        <v>49075100007985</v>
      </c>
      <c r="AC675" s="30"/>
      <c r="AD675" s="30"/>
      <c r="AE675" s="30"/>
      <c r="AF675" s="30"/>
      <c r="AG675" s="30"/>
      <c r="AH675" s="30"/>
      <c r="AI675" s="30"/>
      <c r="AJ675" s="30"/>
      <c r="AK675" s="30">
        <v>30059.16</v>
      </c>
      <c r="AL675" s="30">
        <v>30326.11</v>
      </c>
      <c r="AM675" s="30">
        <v>30619.31</v>
      </c>
      <c r="AN675" s="30">
        <v>30857.14</v>
      </c>
      <c r="AO675" s="30">
        <v>31138.01</v>
      </c>
      <c r="AP675" s="30">
        <v>31371.26</v>
      </c>
      <c r="AQ675" s="30">
        <v>31623.21</v>
      </c>
      <c r="AR675" s="30">
        <v>31807.61</v>
      </c>
      <c r="AS675" s="30">
        <v>32038.04</v>
      </c>
      <c r="AT675" s="30">
        <v>32287.35</v>
      </c>
      <c r="AU675" s="30">
        <v>32413.05</v>
      </c>
      <c r="AV675" s="30">
        <v>32572.880000000001</v>
      </c>
      <c r="AW675" s="30">
        <v>32652.240000000002</v>
      </c>
      <c r="AX675" s="30">
        <v>32949.25</v>
      </c>
      <c r="AY675" s="30">
        <v>33004.699999999997</v>
      </c>
      <c r="AZ675" s="30">
        <v>85.9</v>
      </c>
      <c r="BA675" s="30" t="e">
        <f t="array" aca="1" ref="BA675" ca="1">_xludf.XLOOKUP(C675,'PL TOTAL D0'!A:A,'PL TOTAL D0'!C:C,"")</f>
        <v>#NAME?</v>
      </c>
    </row>
    <row r="676" spans="1:53" ht="15.75" customHeight="1">
      <c r="A676" s="23" t="s">
        <v>29</v>
      </c>
      <c r="B676" s="3" t="s">
        <v>2293</v>
      </c>
      <c r="C676" s="4" t="s">
        <v>2294</v>
      </c>
      <c r="D676" s="7" t="s">
        <v>19</v>
      </c>
      <c r="E676" s="7" t="s">
        <v>20</v>
      </c>
      <c r="F676" s="7" t="s">
        <v>199</v>
      </c>
      <c r="G676" s="7" t="e">
        <f t="shared" ca="1" si="24"/>
        <v>#NAME?</v>
      </c>
      <c r="H676" s="24" t="s">
        <v>152</v>
      </c>
      <c r="I676" s="24" t="s">
        <v>25</v>
      </c>
      <c r="J676" s="7" t="str">
        <f t="shared" si="30"/>
        <v>Não</v>
      </c>
      <c r="K676" s="25">
        <v>45315</v>
      </c>
      <c r="L676" s="25"/>
      <c r="M676" s="7" t="s">
        <v>172</v>
      </c>
      <c r="N676" s="26">
        <v>0</v>
      </c>
      <c r="O676" s="7" t="s">
        <v>25</v>
      </c>
      <c r="P676" s="27">
        <v>0</v>
      </c>
      <c r="Q676" s="90"/>
      <c r="R676" s="90"/>
      <c r="S676" s="7" t="s">
        <v>145</v>
      </c>
      <c r="T676" s="7" t="s">
        <v>2295</v>
      </c>
      <c r="U676" s="7" t="s">
        <v>49</v>
      </c>
      <c r="V676" s="24" t="e">
        <f t="shared" ca="1" si="25"/>
        <v>#NAME?</v>
      </c>
      <c r="W676" s="7"/>
      <c r="X676" s="7"/>
      <c r="Y676" s="29" t="s">
        <v>147</v>
      </c>
      <c r="Z676" s="30"/>
      <c r="AA676" s="31">
        <v>45315</v>
      </c>
      <c r="AB676" s="32">
        <v>49075100013225</v>
      </c>
      <c r="AC676" s="30"/>
      <c r="AD676" s="30"/>
      <c r="AE676" s="30"/>
      <c r="AF676" s="30"/>
      <c r="AG676" s="30"/>
      <c r="AH676" s="30"/>
      <c r="AI676" s="30"/>
      <c r="AJ676" s="30"/>
      <c r="AK676" s="30"/>
      <c r="AL676" s="30"/>
      <c r="AM676" s="30"/>
      <c r="AN676" s="30"/>
      <c r="AO676" s="30"/>
      <c r="AP676" s="30"/>
      <c r="AQ676" s="30"/>
      <c r="AR676" s="30">
        <v>0</v>
      </c>
      <c r="AS676" s="30">
        <v>0</v>
      </c>
      <c r="AT676" s="30">
        <v>5028.95</v>
      </c>
      <c r="AU676" s="30">
        <v>6584.48</v>
      </c>
      <c r="AV676" s="30">
        <v>8630.2999999999993</v>
      </c>
      <c r="AW676" s="30">
        <v>10708.81</v>
      </c>
      <c r="AX676" s="30">
        <v>15844.41</v>
      </c>
      <c r="AY676" s="30">
        <v>17992.759999999998</v>
      </c>
      <c r="AZ676" s="30">
        <v>21154.02</v>
      </c>
      <c r="BA676" s="30" t="e">
        <f t="array" aca="1" ref="BA676" ca="1">_xludf.XLOOKUP(C676,'PL TOTAL D0'!A:A,'PL TOTAL D0'!C:C,"")</f>
        <v>#NAME?</v>
      </c>
    </row>
    <row r="677" spans="1:53" ht="15.75" customHeight="1">
      <c r="A677" s="23" t="s">
        <v>29</v>
      </c>
      <c r="B677" s="36" t="s">
        <v>2296</v>
      </c>
      <c r="C677" s="44" t="s">
        <v>2297</v>
      </c>
      <c r="D677" s="7" t="s">
        <v>19</v>
      </c>
      <c r="E677" s="7" t="s">
        <v>49</v>
      </c>
      <c r="F677" s="7" t="s">
        <v>50</v>
      </c>
      <c r="G677" s="7" t="e">
        <f t="shared" ca="1" si="24"/>
        <v>#NAME?</v>
      </c>
      <c r="H677" s="24" t="s">
        <v>161</v>
      </c>
      <c r="I677" s="24" t="s">
        <v>25</v>
      </c>
      <c r="J677" s="7" t="str">
        <f t="shared" si="30"/>
        <v>Sim</v>
      </c>
      <c r="K677" s="25">
        <v>45233</v>
      </c>
      <c r="L677" s="25"/>
      <c r="M677" s="7" t="s">
        <v>58</v>
      </c>
      <c r="N677" s="26">
        <v>1.2E-2</v>
      </c>
      <c r="O677" s="7" t="s">
        <v>37</v>
      </c>
      <c r="P677" s="27">
        <v>0.1</v>
      </c>
      <c r="Q677" s="71" t="s">
        <v>2298</v>
      </c>
      <c r="R677" s="93" t="s">
        <v>2299</v>
      </c>
      <c r="S677" s="7" t="s">
        <v>145</v>
      </c>
      <c r="T677" s="7" t="s">
        <v>2300</v>
      </c>
      <c r="U677" s="7" t="s">
        <v>49</v>
      </c>
      <c r="V677" s="24" t="e">
        <f t="shared" ca="1" si="25"/>
        <v>#NAME?</v>
      </c>
      <c r="W677" s="7"/>
      <c r="X677" s="7"/>
      <c r="Y677" s="29" t="s">
        <v>147</v>
      </c>
      <c r="Z677" s="30"/>
      <c r="AA677" s="31">
        <v>45233</v>
      </c>
      <c r="AB677" s="32">
        <v>49075100012751</v>
      </c>
      <c r="AC677" s="30"/>
      <c r="AD677" s="30"/>
      <c r="AE677" s="30"/>
      <c r="AF677" s="30"/>
      <c r="AG677" s="30"/>
      <c r="AH677" s="30"/>
      <c r="AI677" s="30"/>
      <c r="AJ677" s="30"/>
      <c r="AK677" s="30"/>
      <c r="AL677" s="30"/>
      <c r="AM677" s="30"/>
      <c r="AN677" s="30"/>
      <c r="AO677" s="30">
        <v>2000000</v>
      </c>
      <c r="AP677" s="30">
        <v>2015353.51</v>
      </c>
      <c r="AQ677" s="30">
        <v>2034452.33</v>
      </c>
      <c r="AR677" s="30">
        <v>2047708.22</v>
      </c>
      <c r="AS677" s="30">
        <v>1556016.05</v>
      </c>
      <c r="AT677" s="30">
        <v>1063307.9099999999</v>
      </c>
      <c r="AU677" s="30">
        <v>755626.29</v>
      </c>
      <c r="AV677" s="30">
        <v>549567.6</v>
      </c>
      <c r="AW677" s="30">
        <v>452228.3</v>
      </c>
      <c r="AX677" s="30">
        <v>406233.59999999998</v>
      </c>
      <c r="AY677" s="30">
        <v>329185.58</v>
      </c>
      <c r="AZ677" s="30">
        <v>278975.59000000003</v>
      </c>
      <c r="BA677" s="30" t="e">
        <f t="array" aca="1" ref="BA677" ca="1">_xludf.XLOOKUP(C677,'PL TOTAL D0'!A:A,'PL TOTAL D0'!C:C,"")</f>
        <v>#NAME?</v>
      </c>
    </row>
    <row r="678" spans="1:53" ht="15.75" customHeight="1">
      <c r="A678" s="23" t="s">
        <v>29</v>
      </c>
      <c r="B678" s="37" t="s">
        <v>2301</v>
      </c>
      <c r="C678" s="4" t="s">
        <v>2302</v>
      </c>
      <c r="D678" s="7" t="s">
        <v>19</v>
      </c>
      <c r="E678" s="7" t="s">
        <v>34</v>
      </c>
      <c r="F678" s="7" t="s">
        <v>35</v>
      </c>
      <c r="G678" s="7" t="e">
        <f t="shared" ca="1" si="24"/>
        <v>#NAME?</v>
      </c>
      <c r="H678" s="24" t="s">
        <v>152</v>
      </c>
      <c r="I678" s="24" t="s">
        <v>25</v>
      </c>
      <c r="J678" s="7" t="str">
        <f t="shared" si="30"/>
        <v>Não</v>
      </c>
      <c r="K678" s="25">
        <v>45056</v>
      </c>
      <c r="L678" s="25"/>
      <c r="M678" s="7" t="s">
        <v>42</v>
      </c>
      <c r="N678" s="26">
        <v>1.2E-2</v>
      </c>
      <c r="O678" s="7" t="s">
        <v>25</v>
      </c>
      <c r="P678" s="27">
        <v>0</v>
      </c>
      <c r="Q678" s="90"/>
      <c r="R678" s="28" t="s">
        <v>2303</v>
      </c>
      <c r="S678" s="7" t="s">
        <v>145</v>
      </c>
      <c r="T678" s="7" t="s">
        <v>2304</v>
      </c>
      <c r="U678" s="7" t="s">
        <v>46</v>
      </c>
      <c r="V678" s="24" t="e">
        <f t="shared" ca="1" si="25"/>
        <v>#NAME?</v>
      </c>
      <c r="W678" s="7"/>
      <c r="X678" s="7"/>
      <c r="Y678" s="29" t="s">
        <v>147</v>
      </c>
      <c r="Z678" s="30"/>
      <c r="AA678" s="31">
        <v>45056</v>
      </c>
      <c r="AB678" s="32">
        <v>49075100012768</v>
      </c>
      <c r="AC678" s="30"/>
      <c r="AD678" s="30"/>
      <c r="AE678" s="30"/>
      <c r="AF678" s="30"/>
      <c r="AG678" s="30"/>
      <c r="AH678" s="30">
        <v>0</v>
      </c>
      <c r="AI678" s="30">
        <v>0</v>
      </c>
      <c r="AJ678" s="30">
        <v>0</v>
      </c>
      <c r="AK678" s="30">
        <v>341945.34</v>
      </c>
      <c r="AL678" s="30">
        <v>345033.68</v>
      </c>
      <c r="AM678" s="30">
        <v>348396.55</v>
      </c>
      <c r="AN678" s="30">
        <v>351124.95</v>
      </c>
      <c r="AO678" s="30">
        <v>354086.89</v>
      </c>
      <c r="AP678" s="30">
        <v>356598.26</v>
      </c>
      <c r="AQ678" s="30">
        <v>359308.27</v>
      </c>
      <c r="AR678" s="30">
        <v>362599.84</v>
      </c>
      <c r="AS678" s="30">
        <v>365566.08</v>
      </c>
      <c r="AT678" s="30">
        <v>337962.6</v>
      </c>
      <c r="AU678" s="30">
        <v>340466.57</v>
      </c>
      <c r="AV678" s="30">
        <v>326997.2</v>
      </c>
      <c r="AW678" s="30">
        <v>313661.8</v>
      </c>
      <c r="AX678" s="30">
        <v>302197.3</v>
      </c>
      <c r="AY678" s="30">
        <v>187273.32</v>
      </c>
      <c r="AZ678" s="30">
        <v>0</v>
      </c>
      <c r="BA678" s="30" t="e">
        <f t="array" aca="1" ref="BA678" ca="1">_xludf.XLOOKUP(C678,'PL TOTAL D0'!A:A,'PL TOTAL D0'!C:C,"")</f>
        <v>#NAME?</v>
      </c>
    </row>
    <row r="679" spans="1:53" ht="15.75" customHeight="1">
      <c r="A679" s="23" t="s">
        <v>29</v>
      </c>
      <c r="B679" s="37" t="s">
        <v>2301</v>
      </c>
      <c r="C679" s="4" t="s">
        <v>2305</v>
      </c>
      <c r="D679" s="7" t="s">
        <v>19</v>
      </c>
      <c r="E679" s="7" t="s">
        <v>34</v>
      </c>
      <c r="F679" s="7" t="s">
        <v>35</v>
      </c>
      <c r="G679" s="7" t="e">
        <f t="shared" ca="1" si="24"/>
        <v>#NAME?</v>
      </c>
      <c r="H679" s="24" t="s">
        <v>161</v>
      </c>
      <c r="I679" s="24" t="s">
        <v>162</v>
      </c>
      <c r="J679" s="7" t="str">
        <f t="shared" si="30"/>
        <v>Não</v>
      </c>
      <c r="K679" s="25">
        <v>45034</v>
      </c>
      <c r="L679" s="7"/>
      <c r="M679" s="7" t="s">
        <v>257</v>
      </c>
      <c r="N679" s="26">
        <v>8.0000000000000002E-3</v>
      </c>
      <c r="O679" s="7" t="s">
        <v>258</v>
      </c>
      <c r="P679" s="27">
        <v>0.1</v>
      </c>
      <c r="Q679" s="90"/>
      <c r="R679" s="90"/>
      <c r="S679" s="7" t="s">
        <v>145</v>
      </c>
      <c r="T679" s="7" t="s">
        <v>2304</v>
      </c>
      <c r="U679" s="7" t="s">
        <v>46</v>
      </c>
      <c r="V679" s="24" t="e">
        <f t="shared" ca="1" si="25"/>
        <v>#NAME?</v>
      </c>
      <c r="W679" s="7"/>
      <c r="X679" s="7"/>
      <c r="Y679" s="29" t="s">
        <v>147</v>
      </c>
      <c r="Z679" s="30"/>
      <c r="AA679" s="31">
        <v>45034</v>
      </c>
      <c r="AB679" s="32">
        <v>49075100008531</v>
      </c>
      <c r="AC679" s="30"/>
      <c r="AD679" s="30"/>
      <c r="AE679" s="30"/>
      <c r="AF679" s="30"/>
      <c r="AG679" s="30"/>
      <c r="AH679" s="30">
        <v>0</v>
      </c>
      <c r="AI679" s="30">
        <v>545084.31000000006</v>
      </c>
      <c r="AJ679" s="30">
        <v>579285.01</v>
      </c>
      <c r="AK679" s="30">
        <v>604195.66</v>
      </c>
      <c r="AL679" s="30">
        <v>619206.81999999995</v>
      </c>
      <c r="AM679" s="30">
        <v>624915.15</v>
      </c>
      <c r="AN679" s="30">
        <v>629675.93999999994</v>
      </c>
      <c r="AO679" s="30">
        <v>618554.43999999994</v>
      </c>
      <c r="AP679" s="30">
        <v>629953.34</v>
      </c>
      <c r="AQ679" s="30">
        <v>645323.53</v>
      </c>
      <c r="AR679" s="30">
        <v>645658.4</v>
      </c>
      <c r="AS679" s="30">
        <v>658727.99</v>
      </c>
      <c r="AT679" s="30">
        <v>663847.98</v>
      </c>
      <c r="AU679" s="30">
        <v>654171.76</v>
      </c>
      <c r="AV679" s="30">
        <v>651639.80000000005</v>
      </c>
      <c r="AW679" s="30">
        <v>647001.19999999995</v>
      </c>
      <c r="AX679" s="30">
        <v>654507.80000000005</v>
      </c>
      <c r="AY679" s="30">
        <v>663136.71</v>
      </c>
      <c r="AZ679" s="30">
        <v>650887.59</v>
      </c>
      <c r="BA679" s="30" t="e">
        <f t="array" aca="1" ref="BA679" ca="1">_xludf.XLOOKUP(C679,'PL TOTAL D0'!A:A,'PL TOTAL D0'!C:C,"")</f>
        <v>#NAME?</v>
      </c>
    </row>
    <row r="680" spans="1:53" ht="15.75" customHeight="1">
      <c r="A680" s="23" t="s">
        <v>29</v>
      </c>
      <c r="B680" s="37" t="s">
        <v>2301</v>
      </c>
      <c r="C680" s="4" t="s">
        <v>2306</v>
      </c>
      <c r="D680" s="7" t="s">
        <v>19</v>
      </c>
      <c r="E680" s="7" t="s">
        <v>34</v>
      </c>
      <c r="F680" s="7" t="s">
        <v>35</v>
      </c>
      <c r="G680" s="7" t="e">
        <f t="shared" ca="1" si="24"/>
        <v>#NAME?</v>
      </c>
      <c r="H680" s="24" t="s">
        <v>152</v>
      </c>
      <c r="I680" s="24" t="s">
        <v>25</v>
      </c>
      <c r="J680" s="7" t="str">
        <f t="shared" si="30"/>
        <v>Sim</v>
      </c>
      <c r="K680" s="25">
        <v>45034</v>
      </c>
      <c r="L680" s="7"/>
      <c r="M680" s="7" t="s">
        <v>36</v>
      </c>
      <c r="N680" s="26">
        <v>1.2E-2</v>
      </c>
      <c r="O680" s="7" t="s">
        <v>37</v>
      </c>
      <c r="P680" s="27">
        <v>0.1</v>
      </c>
      <c r="Q680" s="45" t="s">
        <v>2307</v>
      </c>
      <c r="R680" s="45" t="s">
        <v>911</v>
      </c>
      <c r="S680" s="7" t="s">
        <v>145</v>
      </c>
      <c r="T680" s="7" t="s">
        <v>2304</v>
      </c>
      <c r="U680" s="7" t="s">
        <v>46</v>
      </c>
      <c r="V680" s="24" t="e">
        <f t="shared" ca="1" si="25"/>
        <v>#NAME?</v>
      </c>
      <c r="W680" s="7"/>
      <c r="X680" s="7" t="s">
        <v>52</v>
      </c>
      <c r="Y680" s="29" t="s">
        <v>147</v>
      </c>
      <c r="Z680" s="30"/>
      <c r="AA680" s="31">
        <v>45034</v>
      </c>
      <c r="AB680" s="32">
        <v>49075100008541</v>
      </c>
      <c r="AC680" s="30"/>
      <c r="AD680" s="30"/>
      <c r="AE680" s="30"/>
      <c r="AF680" s="30"/>
      <c r="AG680" s="30"/>
      <c r="AH680" s="30">
        <v>0</v>
      </c>
      <c r="AI680" s="30">
        <v>773689.8</v>
      </c>
      <c r="AJ680" s="30">
        <v>959768.12</v>
      </c>
      <c r="AK680" s="30">
        <v>621659.37</v>
      </c>
      <c r="AL680" s="30">
        <v>564875.41</v>
      </c>
      <c r="AM680" s="30">
        <v>570213.31999999995</v>
      </c>
      <c r="AN680" s="30">
        <v>566734.94999999995</v>
      </c>
      <c r="AO680" s="30">
        <v>559509.81000000006</v>
      </c>
      <c r="AP680" s="30">
        <v>563466.37</v>
      </c>
      <c r="AQ680" s="30">
        <v>567959.81999999995</v>
      </c>
      <c r="AR680" s="30">
        <v>572510.06000000006</v>
      </c>
      <c r="AS680" s="30">
        <v>566750.13</v>
      </c>
      <c r="AT680" s="30">
        <v>554805.92000000004</v>
      </c>
      <c r="AU680" s="30">
        <v>546484.35</v>
      </c>
      <c r="AV680" s="30">
        <v>550537.5</v>
      </c>
      <c r="AW680" s="30">
        <v>553943.69999999995</v>
      </c>
      <c r="AX680" s="30">
        <v>558752.4</v>
      </c>
      <c r="AY680" s="30">
        <v>551289.35</v>
      </c>
      <c r="AZ680" s="30">
        <v>552446.92000000004</v>
      </c>
      <c r="BA680" s="30" t="e">
        <f t="array" aca="1" ref="BA680" ca="1">_xludf.XLOOKUP(C680,'PL TOTAL D0'!A:A,'PL TOTAL D0'!C:C,"")</f>
        <v>#NAME?</v>
      </c>
    </row>
    <row r="681" spans="1:53" ht="15.75" customHeight="1">
      <c r="A681" s="23" t="s">
        <v>29</v>
      </c>
      <c r="B681" s="3" t="s">
        <v>2308</v>
      </c>
      <c r="C681" s="4" t="s">
        <v>2309</v>
      </c>
      <c r="D681" s="7" t="s">
        <v>19</v>
      </c>
      <c r="E681" s="7" t="s">
        <v>34</v>
      </c>
      <c r="F681" s="7" t="s">
        <v>262</v>
      </c>
      <c r="G681" s="7" t="e">
        <f t="shared" ca="1" si="24"/>
        <v>#NAME?</v>
      </c>
      <c r="H681" s="24" t="s">
        <v>152</v>
      </c>
      <c r="I681" s="24" t="s">
        <v>25</v>
      </c>
      <c r="J681" s="7" t="str">
        <f t="shared" si="30"/>
        <v>Não</v>
      </c>
      <c r="K681" s="25">
        <v>45159</v>
      </c>
      <c r="L681" s="25"/>
      <c r="M681" s="7" t="s">
        <v>200</v>
      </c>
      <c r="N681" s="26">
        <v>1.4999999999999999E-2</v>
      </c>
      <c r="O681" s="7" t="s">
        <v>37</v>
      </c>
      <c r="P681" s="27">
        <v>0.1</v>
      </c>
      <c r="Q681" s="45"/>
      <c r="R681" s="28" t="s">
        <v>2310</v>
      </c>
      <c r="S681" s="7" t="s">
        <v>145</v>
      </c>
      <c r="T681" s="7" t="s">
        <v>2311</v>
      </c>
      <c r="U681" s="7" t="s">
        <v>886</v>
      </c>
      <c r="V681" s="24" t="e">
        <f t="shared" ca="1" si="25"/>
        <v>#NAME?</v>
      </c>
      <c r="W681" s="7"/>
      <c r="X681" s="7"/>
      <c r="Y681" s="29" t="s">
        <v>147</v>
      </c>
      <c r="Z681" s="30"/>
      <c r="AA681" s="31">
        <v>45159</v>
      </c>
      <c r="AB681" s="32">
        <v>49075100008681</v>
      </c>
      <c r="AC681" s="30"/>
      <c r="AD681" s="30"/>
      <c r="AE681" s="30"/>
      <c r="AF681" s="30">
        <v>0</v>
      </c>
      <c r="AG681" s="30">
        <v>0</v>
      </c>
      <c r="AH681" s="30">
        <v>0</v>
      </c>
      <c r="AI681" s="30">
        <v>0</v>
      </c>
      <c r="AJ681" s="30">
        <v>0</v>
      </c>
      <c r="AK681" s="30">
        <v>0</v>
      </c>
      <c r="AL681" s="30">
        <v>0</v>
      </c>
      <c r="AM681" s="30">
        <v>169304</v>
      </c>
      <c r="AN681" s="30">
        <v>178411.71</v>
      </c>
      <c r="AO681" s="30">
        <v>178119.97</v>
      </c>
      <c r="AP681" s="30">
        <v>182529.06</v>
      </c>
      <c r="AQ681" s="30">
        <v>186264.3</v>
      </c>
      <c r="AR681" s="30">
        <v>183385.5</v>
      </c>
      <c r="AS681" s="30">
        <v>184894.13</v>
      </c>
      <c r="AT681" s="30">
        <v>185296.17</v>
      </c>
      <c r="AU681" s="30">
        <v>183844.14</v>
      </c>
      <c r="AV681" s="30">
        <v>183219.6</v>
      </c>
      <c r="AW681" s="30">
        <v>184367.2</v>
      </c>
      <c r="AX681" s="30">
        <v>186972.7</v>
      </c>
      <c r="AY681" s="30">
        <v>189200.05</v>
      </c>
      <c r="AZ681" s="30">
        <v>188273.69</v>
      </c>
      <c r="BA681" s="30" t="e">
        <f t="array" aca="1" ref="BA681" ca="1">_xludf.XLOOKUP(C681,'PL TOTAL D0'!A:A,'PL TOTAL D0'!C:C,"")</f>
        <v>#NAME?</v>
      </c>
    </row>
    <row r="682" spans="1:53" ht="15.75" customHeight="1">
      <c r="A682" s="23" t="s">
        <v>29</v>
      </c>
      <c r="B682" s="75" t="s">
        <v>2312</v>
      </c>
      <c r="C682" s="44" t="s">
        <v>2313</v>
      </c>
      <c r="D682" s="7" t="s">
        <v>19</v>
      </c>
      <c r="E682" s="7" t="s">
        <v>20</v>
      </c>
      <c r="F682" s="7" t="s">
        <v>171</v>
      </c>
      <c r="G682" s="7" t="e">
        <f t="shared" ca="1" si="24"/>
        <v>#NAME?</v>
      </c>
      <c r="H682" s="24" t="s">
        <v>152</v>
      </c>
      <c r="I682" s="24" t="s">
        <v>25</v>
      </c>
      <c r="J682" s="7" t="str">
        <f t="shared" si="30"/>
        <v>Não</v>
      </c>
      <c r="K682" s="25">
        <v>44996</v>
      </c>
      <c r="L682" s="25"/>
      <c r="M682" s="7" t="s">
        <v>200</v>
      </c>
      <c r="N682" s="26">
        <v>1.4999999999999999E-2</v>
      </c>
      <c r="O682" s="7" t="s">
        <v>37</v>
      </c>
      <c r="P682" s="27">
        <v>0.1</v>
      </c>
      <c r="Q682" s="28"/>
      <c r="R682" s="28"/>
      <c r="S682" s="7" t="s">
        <v>145</v>
      </c>
      <c r="T682" s="12" t="s">
        <v>2314</v>
      </c>
      <c r="U682" s="7" t="s">
        <v>20</v>
      </c>
      <c r="V682" s="24" t="e">
        <f t="shared" ca="1" si="25"/>
        <v>#NAME?</v>
      </c>
      <c r="W682" s="7"/>
      <c r="X682" s="7"/>
      <c r="Y682" s="29" t="s">
        <v>147</v>
      </c>
      <c r="Z682" s="30"/>
      <c r="AA682" s="31">
        <v>44996</v>
      </c>
      <c r="AB682" s="32">
        <v>49075100013462</v>
      </c>
      <c r="AC682" s="30"/>
      <c r="AD682" s="30"/>
      <c r="AE682" s="30"/>
      <c r="AF682" s="30"/>
      <c r="AG682" s="30"/>
      <c r="AH682" s="30"/>
      <c r="AI682" s="30"/>
      <c r="AJ682" s="30"/>
      <c r="AK682" s="30"/>
      <c r="AL682" s="30"/>
      <c r="AM682" s="30"/>
      <c r="AN682" s="30"/>
      <c r="AO682" s="30"/>
      <c r="AP682" s="30"/>
      <c r="AQ682" s="30"/>
      <c r="AR682" s="30"/>
      <c r="AS682" s="30"/>
      <c r="AT682" s="30">
        <v>0</v>
      </c>
      <c r="AU682" s="30">
        <v>154173.34</v>
      </c>
      <c r="AV682" s="30">
        <v>157791.6</v>
      </c>
      <c r="AW682" s="30">
        <v>163154.20000000001</v>
      </c>
      <c r="AX682" s="30">
        <v>170043.3</v>
      </c>
      <c r="AY682" s="30">
        <v>176313.54</v>
      </c>
      <c r="AZ682" s="30">
        <v>205350.19</v>
      </c>
      <c r="BA682" s="30" t="e">
        <f t="array" aca="1" ref="BA682" ca="1">_xludf.XLOOKUP(C682,'PL TOTAL D0'!A:A,'PL TOTAL D0'!C:C,"")</f>
        <v>#NAME?</v>
      </c>
    </row>
    <row r="683" spans="1:53" ht="15.75" customHeight="1">
      <c r="A683" s="23" t="s">
        <v>29</v>
      </c>
      <c r="B683" s="40" t="s">
        <v>2315</v>
      </c>
      <c r="C683" s="49" t="s">
        <v>2316</v>
      </c>
      <c r="D683" s="7" t="s">
        <v>64</v>
      </c>
      <c r="E683" s="7" t="s">
        <v>20</v>
      </c>
      <c r="F683" s="7" t="s">
        <v>489</v>
      </c>
      <c r="G683" s="7" t="e">
        <f t="shared" ca="1" si="24"/>
        <v>#NAME?</v>
      </c>
      <c r="H683" s="24" t="s">
        <v>143</v>
      </c>
      <c r="I683" s="24" t="s">
        <v>25</v>
      </c>
      <c r="J683" s="7" t="str">
        <f t="shared" si="30"/>
        <v>Não</v>
      </c>
      <c r="K683" s="25">
        <v>45177</v>
      </c>
      <c r="L683" s="25">
        <v>45449</v>
      </c>
      <c r="M683" s="7" t="s">
        <v>42</v>
      </c>
      <c r="N683" s="26">
        <v>5.0000000000000001E-3</v>
      </c>
      <c r="O683" s="7" t="s">
        <v>25</v>
      </c>
      <c r="P683" s="27">
        <v>0</v>
      </c>
      <c r="Q683" s="82"/>
      <c r="R683" s="28" t="s">
        <v>309</v>
      </c>
      <c r="S683" s="7" t="s">
        <v>145</v>
      </c>
      <c r="T683" s="7" t="s">
        <v>2317</v>
      </c>
      <c r="U683" s="7" t="s">
        <v>20</v>
      </c>
      <c r="V683" s="24" t="e">
        <f t="shared" ca="1" si="25"/>
        <v>#NAME?</v>
      </c>
      <c r="W683" s="7"/>
      <c r="X683" s="7"/>
      <c r="Y683" s="29" t="s">
        <v>147</v>
      </c>
      <c r="Z683" s="30"/>
      <c r="AA683" s="31">
        <v>45177</v>
      </c>
      <c r="AB683" s="32">
        <v>49075100007799</v>
      </c>
      <c r="AC683" s="30"/>
      <c r="AD683" s="30"/>
      <c r="AE683" s="30"/>
      <c r="AF683" s="30"/>
      <c r="AG683" s="30"/>
      <c r="AH683" s="30"/>
      <c r="AI683" s="30"/>
      <c r="AJ683" s="30"/>
      <c r="AK683" s="30"/>
      <c r="AL683" s="30"/>
      <c r="AM683" s="30">
        <v>218126.16</v>
      </c>
      <c r="AN683" s="30">
        <v>239118.78</v>
      </c>
      <c r="AO683" s="30">
        <v>244551.99</v>
      </c>
      <c r="AP683" s="30">
        <v>0</v>
      </c>
      <c r="AQ683" s="30">
        <v>0</v>
      </c>
      <c r="AR683" s="30">
        <v>0</v>
      </c>
      <c r="AS683" s="30">
        <v>0</v>
      </c>
      <c r="AT683" s="30">
        <v>0</v>
      </c>
      <c r="AU683" s="30">
        <v>0</v>
      </c>
      <c r="AV683" s="30">
        <v>0</v>
      </c>
      <c r="AW683" s="30">
        <v>0</v>
      </c>
      <c r="AX683" s="30">
        <v>0</v>
      </c>
      <c r="AY683" s="30">
        <v>0</v>
      </c>
      <c r="AZ683" s="30">
        <v>0</v>
      </c>
      <c r="BA683" s="30" t="e">
        <f t="array" aca="1" ref="BA683" ca="1">_xludf.XLOOKUP(C683,'PL TOTAL D0'!A:A,'PL TOTAL D0'!C:C,"")</f>
        <v>#NAME?</v>
      </c>
    </row>
    <row r="684" spans="1:53" ht="15.75" customHeight="1">
      <c r="A684" s="23" t="s">
        <v>29</v>
      </c>
      <c r="B684" s="37" t="s">
        <v>2318</v>
      </c>
      <c r="C684" s="4" t="s">
        <v>2319</v>
      </c>
      <c r="D684" s="7" t="s">
        <v>64</v>
      </c>
      <c r="E684" s="7" t="s">
        <v>20</v>
      </c>
      <c r="F684" s="7" t="s">
        <v>142</v>
      </c>
      <c r="G684" s="7" t="e">
        <f t="shared" ca="1" si="24"/>
        <v>#NAME?</v>
      </c>
      <c r="H684" s="24" t="s">
        <v>143</v>
      </c>
      <c r="I684" s="24" t="s">
        <v>25</v>
      </c>
      <c r="J684" s="7" t="str">
        <f t="shared" si="30"/>
        <v>Não</v>
      </c>
      <c r="K684" s="25">
        <v>45105</v>
      </c>
      <c r="L684" s="25">
        <v>45532</v>
      </c>
      <c r="M684" s="7" t="s">
        <v>200</v>
      </c>
      <c r="N684" s="26">
        <v>1.6E-2</v>
      </c>
      <c r="O684" s="7" t="s">
        <v>37</v>
      </c>
      <c r="P684" s="27">
        <v>0.2</v>
      </c>
      <c r="Q684" s="28"/>
      <c r="R684" s="28"/>
      <c r="S684" s="7" t="s">
        <v>187</v>
      </c>
      <c r="T684" s="7" t="s">
        <v>2320</v>
      </c>
      <c r="U684" s="7" t="s">
        <v>60</v>
      </c>
      <c r="V684" s="24" t="e">
        <f t="shared" ca="1" si="25"/>
        <v>#NAME?</v>
      </c>
      <c r="W684" s="7"/>
      <c r="X684" s="7"/>
      <c r="Y684" s="29" t="s">
        <v>253</v>
      </c>
      <c r="Z684" s="29"/>
      <c r="AA684" s="25">
        <v>45105</v>
      </c>
      <c r="AB684" s="143">
        <v>49075100008043</v>
      </c>
      <c r="AC684" s="29"/>
      <c r="AD684" s="29"/>
      <c r="AE684" s="29"/>
      <c r="AF684" s="29"/>
      <c r="AG684" s="29"/>
      <c r="AH684" s="29"/>
      <c r="AI684" s="30">
        <v>0</v>
      </c>
      <c r="AJ684" s="30">
        <v>0</v>
      </c>
      <c r="AK684" s="30">
        <v>297526.94</v>
      </c>
      <c r="AL684" s="30">
        <v>483333.15</v>
      </c>
      <c r="AM684" s="30">
        <v>491270.74</v>
      </c>
      <c r="AN684" s="30">
        <v>494652.08</v>
      </c>
      <c r="AO684" s="30">
        <v>495607.59</v>
      </c>
      <c r="AP684" s="30">
        <v>506447.09</v>
      </c>
      <c r="AQ684" s="30">
        <v>516749.55</v>
      </c>
      <c r="AR684" s="30">
        <v>505670.98</v>
      </c>
      <c r="AS684" s="30">
        <v>459026.09</v>
      </c>
      <c r="AT684" s="30">
        <v>463317.5</v>
      </c>
      <c r="AU684" s="30">
        <v>459552.18</v>
      </c>
      <c r="AV684" s="30">
        <v>456077.4</v>
      </c>
      <c r="AW684" s="30">
        <v>458283</v>
      </c>
      <c r="AX684" s="30">
        <v>433883.5</v>
      </c>
      <c r="AY684" s="30">
        <v>0</v>
      </c>
      <c r="AZ684" s="30">
        <v>0</v>
      </c>
      <c r="BA684" s="30" t="e">
        <f t="array" aca="1" ref="BA684" ca="1">_xludf.XLOOKUP(C684,'PL TOTAL D0'!A:A,'PL TOTAL D0'!C:C,"")</f>
        <v>#NAME?</v>
      </c>
    </row>
    <row r="685" spans="1:53" ht="15.75" customHeight="1">
      <c r="A685" s="23" t="s">
        <v>29</v>
      </c>
      <c r="B685" s="3" t="s">
        <v>2321</v>
      </c>
      <c r="C685" s="4" t="s">
        <v>2322</v>
      </c>
      <c r="D685" s="7" t="s">
        <v>19</v>
      </c>
      <c r="E685" s="7" t="s">
        <v>49</v>
      </c>
      <c r="F685" s="7" t="s">
        <v>277</v>
      </c>
      <c r="G685" s="7" t="e">
        <f t="shared" ca="1" si="24"/>
        <v>#NAME?</v>
      </c>
      <c r="H685" s="24" t="s">
        <v>152</v>
      </c>
      <c r="I685" s="24" t="s">
        <v>25</v>
      </c>
      <c r="J685" s="7" t="str">
        <f t="shared" si="30"/>
        <v>Não</v>
      </c>
      <c r="K685" s="25">
        <v>45162</v>
      </c>
      <c r="L685" s="7"/>
      <c r="M685" s="7" t="s">
        <v>42</v>
      </c>
      <c r="N685" s="26">
        <v>1.2E-2</v>
      </c>
      <c r="O685" s="7" t="s">
        <v>25</v>
      </c>
      <c r="P685" s="27">
        <v>0</v>
      </c>
      <c r="Q685" s="45"/>
      <c r="R685" s="45"/>
      <c r="S685" s="7" t="s">
        <v>187</v>
      </c>
      <c r="T685" s="7" t="s">
        <v>2323</v>
      </c>
      <c r="U685" s="7" t="s">
        <v>49</v>
      </c>
      <c r="V685" s="24" t="e">
        <f t="shared" ca="1" si="25"/>
        <v>#NAME?</v>
      </c>
      <c r="W685" s="7"/>
      <c r="X685" s="7"/>
      <c r="Y685" s="29" t="s">
        <v>147</v>
      </c>
      <c r="Z685" s="29"/>
      <c r="AA685" s="25">
        <v>45162</v>
      </c>
      <c r="AB685" s="143">
        <v>49075100008698</v>
      </c>
      <c r="AC685" s="29"/>
      <c r="AD685" s="29"/>
      <c r="AE685" s="29"/>
      <c r="AF685" s="29"/>
      <c r="AG685" s="29"/>
      <c r="AH685" s="29"/>
      <c r="AI685" s="30"/>
      <c r="AJ685" s="30"/>
      <c r="AK685" s="30"/>
      <c r="AL685" s="30"/>
      <c r="AM685" s="30">
        <v>450929.66</v>
      </c>
      <c r="AN685" s="30">
        <v>454884.96</v>
      </c>
      <c r="AO685" s="30">
        <v>459118.81</v>
      </c>
      <c r="AP685" s="30">
        <v>461300.92</v>
      </c>
      <c r="AQ685" s="30">
        <v>966123.99</v>
      </c>
      <c r="AR685" s="30">
        <v>975509.87</v>
      </c>
      <c r="AS685" s="30">
        <v>983112.91</v>
      </c>
      <c r="AT685" s="30">
        <v>990177.55</v>
      </c>
      <c r="AU685" s="30">
        <v>996757.63</v>
      </c>
      <c r="AV685" s="30">
        <v>1004683</v>
      </c>
      <c r="AW685" s="30">
        <v>1012349</v>
      </c>
      <c r="AX685" s="30">
        <v>1020584</v>
      </c>
      <c r="AY685" s="30">
        <v>1025027.47</v>
      </c>
      <c r="AZ685" s="30">
        <v>1032030.47</v>
      </c>
      <c r="BA685" s="30" t="e">
        <f t="array" aca="1" ref="BA685" ca="1">_xludf.XLOOKUP(C685,'PL TOTAL D0'!A:A,'PL TOTAL D0'!C:C,"")</f>
        <v>#NAME?</v>
      </c>
    </row>
    <row r="686" spans="1:53" ht="15.75" customHeight="1">
      <c r="A686" s="23" t="s">
        <v>29</v>
      </c>
      <c r="B686" s="37" t="s">
        <v>2324</v>
      </c>
      <c r="C686" s="4" t="s">
        <v>2325</v>
      </c>
      <c r="D686" s="7" t="s">
        <v>19</v>
      </c>
      <c r="E686" s="7" t="s">
        <v>49</v>
      </c>
      <c r="F686" s="7" t="s">
        <v>50</v>
      </c>
      <c r="G686" s="7" t="e">
        <f t="shared" ca="1" si="24"/>
        <v>#NAME?</v>
      </c>
      <c r="H686" s="24" t="s">
        <v>161</v>
      </c>
      <c r="I686" s="24" t="s">
        <v>928</v>
      </c>
      <c r="J686" s="7" t="str">
        <f t="shared" si="30"/>
        <v>Não</v>
      </c>
      <c r="K686" s="25">
        <v>44998</v>
      </c>
      <c r="L686" s="7"/>
      <c r="M686" s="7" t="s">
        <v>42</v>
      </c>
      <c r="N686" s="26">
        <v>1.2E-2</v>
      </c>
      <c r="O686" s="7" t="s">
        <v>25</v>
      </c>
      <c r="P686" s="27">
        <v>0</v>
      </c>
      <c r="Q686" s="45"/>
      <c r="R686" s="45" t="s">
        <v>681</v>
      </c>
      <c r="S686" s="7" t="s">
        <v>145</v>
      </c>
      <c r="T686" s="7" t="s">
        <v>2326</v>
      </c>
      <c r="U686" s="7" t="s">
        <v>49</v>
      </c>
      <c r="V686" s="24" t="e">
        <f t="shared" ca="1" si="25"/>
        <v>#NAME?</v>
      </c>
      <c r="W686" s="7"/>
      <c r="X686" s="7"/>
      <c r="Y686" s="29" t="s">
        <v>147</v>
      </c>
      <c r="Z686" s="29"/>
      <c r="AA686" s="25">
        <v>44998</v>
      </c>
      <c r="AB686" s="143">
        <v>49075100009554</v>
      </c>
      <c r="AC686" s="29"/>
      <c r="AD686" s="29"/>
      <c r="AE686" s="29"/>
      <c r="AF686" s="29"/>
      <c r="AG686" s="29"/>
      <c r="AH686" s="30">
        <v>104644.56</v>
      </c>
      <c r="AI686" s="30">
        <v>105009.13</v>
      </c>
      <c r="AJ686" s="30">
        <v>106396.79</v>
      </c>
      <c r="AK686" s="30">
        <v>107496.6</v>
      </c>
      <c r="AL686" s="30">
        <v>108349.8</v>
      </c>
      <c r="AM686" s="30">
        <v>109392.57</v>
      </c>
      <c r="AN686" s="30">
        <v>110247.12</v>
      </c>
      <c r="AO686" s="30">
        <v>110627.56</v>
      </c>
      <c r="AP686" s="30">
        <v>111444.63</v>
      </c>
      <c r="AQ686" s="30">
        <v>112292.46</v>
      </c>
      <c r="AR686" s="30">
        <v>113253.94</v>
      </c>
      <c r="AS686" s="30">
        <v>114113.36</v>
      </c>
      <c r="AT686" s="30">
        <v>114480.81</v>
      </c>
      <c r="AU686" s="30">
        <v>115185.13</v>
      </c>
      <c r="AV686" s="30">
        <v>116080.1</v>
      </c>
      <c r="AW686" s="30">
        <v>116953.1</v>
      </c>
      <c r="AX686" s="30">
        <v>116687.6</v>
      </c>
      <c r="AY686" s="30">
        <v>117533.51</v>
      </c>
      <c r="AZ686" s="30">
        <v>118215.69</v>
      </c>
      <c r="BA686" s="30" t="e">
        <f t="array" aca="1" ref="BA686" ca="1">_xludf.XLOOKUP(C686,'PL TOTAL D0'!A:A,'PL TOTAL D0'!C:C,"")</f>
        <v>#NAME?</v>
      </c>
    </row>
    <row r="687" spans="1:53" ht="15.75" customHeight="1">
      <c r="A687" s="23" t="s">
        <v>29</v>
      </c>
      <c r="B687" s="3" t="s">
        <v>2327</v>
      </c>
      <c r="C687" s="4" t="s">
        <v>2328</v>
      </c>
      <c r="D687" s="7" t="s">
        <v>64</v>
      </c>
      <c r="E687" s="7" t="s">
        <v>20</v>
      </c>
      <c r="F687" s="7" t="s">
        <v>2329</v>
      </c>
      <c r="G687" s="7" t="e">
        <f t="shared" ca="1" si="24"/>
        <v>#NAME?</v>
      </c>
      <c r="H687" s="24" t="s">
        <v>143</v>
      </c>
      <c r="I687" s="24" t="s">
        <v>25</v>
      </c>
      <c r="J687" s="7" t="str">
        <f t="shared" si="30"/>
        <v>Não</v>
      </c>
      <c r="K687" s="25">
        <v>44932</v>
      </c>
      <c r="L687" s="79">
        <v>45259</v>
      </c>
      <c r="M687" s="7" t="s">
        <v>42</v>
      </c>
      <c r="N687" s="26">
        <v>1.2E-2</v>
      </c>
      <c r="O687" s="7" t="s">
        <v>25</v>
      </c>
      <c r="P687" s="27">
        <v>0</v>
      </c>
      <c r="Q687" s="90"/>
      <c r="R687" s="90"/>
      <c r="S687" s="7" t="s">
        <v>145</v>
      </c>
      <c r="T687" s="7" t="s">
        <v>2330</v>
      </c>
      <c r="U687" s="7" t="s">
        <v>60</v>
      </c>
      <c r="V687" s="24" t="e">
        <f t="shared" ca="1" si="25"/>
        <v>#NAME?</v>
      </c>
      <c r="W687" s="7"/>
      <c r="X687" s="7"/>
      <c r="Y687" s="29"/>
      <c r="Z687" s="30"/>
      <c r="AA687" s="31">
        <v>44932</v>
      </c>
      <c r="AB687" s="32"/>
      <c r="AC687" s="30"/>
      <c r="AD687" s="30"/>
      <c r="AE687" s="30"/>
      <c r="AF687" s="30"/>
      <c r="AG687" s="30">
        <v>802748.34</v>
      </c>
      <c r="AH687" s="30">
        <v>913671.31</v>
      </c>
      <c r="AI687" s="30">
        <v>918724.54</v>
      </c>
      <c r="AJ687" s="30">
        <v>579356.6</v>
      </c>
      <c r="AK687" s="30">
        <v>583264.52</v>
      </c>
      <c r="AL687" s="30">
        <v>584594.91</v>
      </c>
      <c r="AM687" s="30">
        <v>585634.41</v>
      </c>
      <c r="AN687" s="30">
        <v>587784.24</v>
      </c>
      <c r="AO687" s="30">
        <v>588943.46</v>
      </c>
      <c r="AP687" s="30">
        <v>0</v>
      </c>
      <c r="AQ687" s="30">
        <v>0</v>
      </c>
      <c r="AR687" s="30">
        <v>0</v>
      </c>
      <c r="AS687" s="30">
        <v>0</v>
      </c>
      <c r="AT687" s="30">
        <v>0</v>
      </c>
      <c r="AU687" s="30">
        <v>0</v>
      </c>
      <c r="AV687" s="30">
        <v>0</v>
      </c>
      <c r="AW687" s="30">
        <v>0</v>
      </c>
      <c r="AX687" s="30">
        <v>0</v>
      </c>
      <c r="AY687" s="30">
        <v>0</v>
      </c>
      <c r="AZ687" s="30">
        <v>0</v>
      </c>
      <c r="BA687" s="30" t="e">
        <f t="array" aca="1" ref="BA687" ca="1">_xludf.XLOOKUP(C687,'PL TOTAL D0'!A:A,'PL TOTAL D0'!C:C,"")</f>
        <v>#NAME?</v>
      </c>
    </row>
    <row r="688" spans="1:53" ht="15.75" customHeight="1">
      <c r="A688" s="23" t="s">
        <v>29</v>
      </c>
      <c r="B688" s="3" t="s">
        <v>2331</v>
      </c>
      <c r="C688" s="4" t="s">
        <v>2332</v>
      </c>
      <c r="D688" s="7" t="s">
        <v>19</v>
      </c>
      <c r="E688" s="7" t="s">
        <v>49</v>
      </c>
      <c r="F688" s="7" t="s">
        <v>166</v>
      </c>
      <c r="G688" s="7" t="e">
        <f t="shared" ca="1" si="24"/>
        <v>#NAME?</v>
      </c>
      <c r="H688" s="24" t="s">
        <v>152</v>
      </c>
      <c r="I688" s="24" t="s">
        <v>25</v>
      </c>
      <c r="J688" s="7" t="str">
        <f t="shared" si="30"/>
        <v>Não</v>
      </c>
      <c r="K688" s="25">
        <v>44946</v>
      </c>
      <c r="L688" s="7"/>
      <c r="M688" s="7" t="s">
        <v>42</v>
      </c>
      <c r="N688" s="26">
        <v>7.0000000000000001E-3</v>
      </c>
      <c r="O688" s="7" t="s">
        <v>25</v>
      </c>
      <c r="P688" s="27">
        <v>0</v>
      </c>
      <c r="Q688" s="90"/>
      <c r="R688" s="90"/>
      <c r="S688" s="7" t="s">
        <v>145</v>
      </c>
      <c r="T688" s="7" t="s">
        <v>2333</v>
      </c>
      <c r="U688" s="7" t="s">
        <v>49</v>
      </c>
      <c r="V688" s="24" t="e">
        <f t="shared" ca="1" si="25"/>
        <v>#NAME?</v>
      </c>
      <c r="W688" s="7"/>
      <c r="X688" s="7"/>
      <c r="Y688" s="29" t="s">
        <v>147</v>
      </c>
      <c r="Z688" s="30"/>
      <c r="AA688" s="31">
        <v>44946</v>
      </c>
      <c r="AB688" s="32">
        <v>49075100006318</v>
      </c>
      <c r="AC688" s="30"/>
      <c r="AD688" s="30"/>
      <c r="AE688" s="30"/>
      <c r="AF688" s="30">
        <v>849130.06</v>
      </c>
      <c r="AG688" s="30">
        <v>876298.99</v>
      </c>
      <c r="AH688" s="30">
        <v>877861.49</v>
      </c>
      <c r="AI688" s="30">
        <v>883858.74</v>
      </c>
      <c r="AJ688" s="30">
        <v>890507.37</v>
      </c>
      <c r="AK688" s="30">
        <v>896950.17</v>
      </c>
      <c r="AL688" s="30">
        <v>904259.97</v>
      </c>
      <c r="AM688" s="30">
        <v>912107.56</v>
      </c>
      <c r="AN688" s="30">
        <v>929489.91</v>
      </c>
      <c r="AO688" s="30">
        <v>937853.27</v>
      </c>
      <c r="AP688" s="30">
        <v>969637</v>
      </c>
      <c r="AQ688" s="30">
        <v>987498.22</v>
      </c>
      <c r="AR688" s="30">
        <v>895831.28</v>
      </c>
      <c r="AS688" s="30">
        <v>1000404.98</v>
      </c>
      <c r="AT688" s="30">
        <v>1153441.8799999999</v>
      </c>
      <c r="AU688" s="30">
        <v>1296844.74</v>
      </c>
      <c r="AV688" s="30">
        <v>1307658</v>
      </c>
      <c r="AW688" s="30">
        <v>1302396</v>
      </c>
      <c r="AX688" s="30">
        <v>1270676</v>
      </c>
      <c r="AY688" s="30">
        <v>1278749.1399999999</v>
      </c>
      <c r="AZ688" s="30">
        <v>1286402.8</v>
      </c>
      <c r="BA688" s="30" t="e">
        <f t="array" aca="1" ref="BA688" ca="1">_xludf.XLOOKUP(C688,'PL TOTAL D0'!A:A,'PL TOTAL D0'!C:C,"")</f>
        <v>#NAME?</v>
      </c>
    </row>
    <row r="689" spans="1:53" ht="15.75" customHeight="1">
      <c r="A689" s="23" t="s">
        <v>29</v>
      </c>
      <c r="B689" s="3" t="s">
        <v>2334</v>
      </c>
      <c r="C689" s="4" t="s">
        <v>2335</v>
      </c>
      <c r="D689" s="7" t="s">
        <v>19</v>
      </c>
      <c r="E689" s="7" t="s">
        <v>49</v>
      </c>
      <c r="F689" s="7" t="s">
        <v>166</v>
      </c>
      <c r="G689" s="7" t="e">
        <f t="shared" ca="1" si="24"/>
        <v>#NAME?</v>
      </c>
      <c r="H689" s="24" t="s">
        <v>152</v>
      </c>
      <c r="I689" s="24" t="s">
        <v>25</v>
      </c>
      <c r="J689" s="7" t="str">
        <f t="shared" si="30"/>
        <v>Sim</v>
      </c>
      <c r="K689" s="25">
        <v>45030</v>
      </c>
      <c r="L689" s="7"/>
      <c r="M689" s="7" t="s">
        <v>42</v>
      </c>
      <c r="N689" s="26">
        <v>1.2E-2</v>
      </c>
      <c r="O689" s="7" t="s">
        <v>25</v>
      </c>
      <c r="P689" s="27">
        <v>0</v>
      </c>
      <c r="Q689" s="28" t="s">
        <v>2336</v>
      </c>
      <c r="R689" s="90"/>
      <c r="S689" s="7" t="s">
        <v>145</v>
      </c>
      <c r="T689" s="7" t="s">
        <v>2333</v>
      </c>
      <c r="U689" s="7" t="s">
        <v>49</v>
      </c>
      <c r="V689" s="24" t="e">
        <f t="shared" ca="1" si="25"/>
        <v>#NAME?</v>
      </c>
      <c r="W689" s="7"/>
      <c r="X689" s="7"/>
      <c r="Y689" s="29" t="s">
        <v>147</v>
      </c>
      <c r="Z689" s="30"/>
      <c r="AA689" s="31">
        <v>45030</v>
      </c>
      <c r="AB689" s="32">
        <v>49075100008809</v>
      </c>
      <c r="AC689" s="30"/>
      <c r="AD689" s="30"/>
      <c r="AE689" s="30"/>
      <c r="AF689" s="30"/>
      <c r="AG689" s="30"/>
      <c r="AH689" s="30">
        <v>0</v>
      </c>
      <c r="AI689" s="30">
        <v>49866.06</v>
      </c>
      <c r="AJ689" s="30">
        <v>50389.96</v>
      </c>
      <c r="AK689" s="30">
        <v>50830.05</v>
      </c>
      <c r="AL689" s="30">
        <v>51225.61</v>
      </c>
      <c r="AM689" s="30">
        <v>51722.59</v>
      </c>
      <c r="AN689" s="30">
        <v>52143.83</v>
      </c>
      <c r="AO689" s="30">
        <v>52450.33</v>
      </c>
      <c r="AP689" s="30">
        <v>52839.24</v>
      </c>
      <c r="AQ689" s="30">
        <v>53233.35</v>
      </c>
      <c r="AR689" s="30">
        <v>53566.67</v>
      </c>
      <c r="AS689" s="30">
        <v>53987.41</v>
      </c>
      <c r="AT689" s="30">
        <v>154454.13</v>
      </c>
      <c r="AU689" s="30">
        <v>205889.6</v>
      </c>
      <c r="AV689" s="30">
        <v>207476.4</v>
      </c>
      <c r="AW689" s="30">
        <v>209130</v>
      </c>
      <c r="AX689" s="30">
        <v>210907.1</v>
      </c>
      <c r="AY689" s="30">
        <v>212644.44</v>
      </c>
      <c r="AZ689" s="30">
        <v>213939.12</v>
      </c>
      <c r="BA689" s="30" t="e">
        <f t="array" aca="1" ref="BA689" ca="1">_xludf.XLOOKUP(C689,'PL TOTAL D0'!A:A,'PL TOTAL D0'!C:C,"")</f>
        <v>#NAME?</v>
      </c>
    </row>
    <row r="690" spans="1:53" ht="15.75" customHeight="1">
      <c r="A690" s="23" t="s">
        <v>29</v>
      </c>
      <c r="B690" s="3" t="s">
        <v>2337</v>
      </c>
      <c r="C690" s="4" t="s">
        <v>2338</v>
      </c>
      <c r="D690" s="7" t="s">
        <v>19</v>
      </c>
      <c r="E690" s="7" t="s">
        <v>49</v>
      </c>
      <c r="F690" s="7" t="s">
        <v>277</v>
      </c>
      <c r="G690" s="7" t="e">
        <f t="shared" ca="1" si="24"/>
        <v>#NAME?</v>
      </c>
      <c r="H690" s="24" t="s">
        <v>152</v>
      </c>
      <c r="I690" s="24" t="s">
        <v>25</v>
      </c>
      <c r="J690" s="7" t="str">
        <f t="shared" si="30"/>
        <v>Não</v>
      </c>
      <c r="K690" s="25">
        <v>45086</v>
      </c>
      <c r="L690" s="7"/>
      <c r="M690" s="7" t="s">
        <v>42</v>
      </c>
      <c r="N690" s="26">
        <v>1.2E-2</v>
      </c>
      <c r="O690" s="7" t="s">
        <v>25</v>
      </c>
      <c r="P690" s="27">
        <v>0</v>
      </c>
      <c r="Q690" s="90"/>
      <c r="R690" s="90"/>
      <c r="S690" s="7" t="s">
        <v>145</v>
      </c>
      <c r="T690" s="7" t="s">
        <v>2339</v>
      </c>
      <c r="U690" s="7" t="s">
        <v>49</v>
      </c>
      <c r="V690" s="24" t="e">
        <f t="shared" ca="1" si="25"/>
        <v>#NAME?</v>
      </c>
      <c r="W690" s="7"/>
      <c r="X690" s="7"/>
      <c r="Y690" s="29" t="s">
        <v>147</v>
      </c>
      <c r="Z690" s="30"/>
      <c r="AA690" s="31">
        <v>45086</v>
      </c>
      <c r="AB690" s="32">
        <v>49075100009856</v>
      </c>
      <c r="AC690" s="30"/>
      <c r="AD690" s="30"/>
      <c r="AE690" s="30"/>
      <c r="AF690" s="30"/>
      <c r="AG690" s="30"/>
      <c r="AH690" s="30"/>
      <c r="AI690" s="30">
        <v>0</v>
      </c>
      <c r="AJ690" s="30">
        <v>0</v>
      </c>
      <c r="AK690" s="30">
        <v>449191.02</v>
      </c>
      <c r="AL690" s="30">
        <v>451876.08</v>
      </c>
      <c r="AM690" s="30">
        <v>454771.05</v>
      </c>
      <c r="AN690" s="30">
        <v>454815.67</v>
      </c>
      <c r="AO690" s="30">
        <v>455268.96</v>
      </c>
      <c r="AP690" s="30">
        <v>459331.33</v>
      </c>
      <c r="AQ690" s="30">
        <v>463926.66</v>
      </c>
      <c r="AR690" s="30">
        <v>467515.65</v>
      </c>
      <c r="AS690" s="30">
        <v>470343.37</v>
      </c>
      <c r="AT690" s="30">
        <v>473331.37</v>
      </c>
      <c r="AU690" s="30">
        <v>471690.23999999999</v>
      </c>
      <c r="AV690" s="30">
        <v>474405</v>
      </c>
      <c r="AW690" s="30">
        <v>475544</v>
      </c>
      <c r="AX690" s="30">
        <v>479360.8</v>
      </c>
      <c r="AY690" s="30">
        <v>482041.75</v>
      </c>
      <c r="AZ690" s="30">
        <v>482934.06</v>
      </c>
      <c r="BA690" s="30" t="e">
        <f t="array" aca="1" ref="BA690" ca="1">_xludf.XLOOKUP(C690,'PL TOTAL D0'!A:A,'PL TOTAL D0'!C:C,"")</f>
        <v>#NAME?</v>
      </c>
    </row>
    <row r="691" spans="1:53" ht="15.75" customHeight="1">
      <c r="A691" s="23" t="s">
        <v>29</v>
      </c>
      <c r="B691" s="3" t="s">
        <v>2340</v>
      </c>
      <c r="C691" s="4" t="s">
        <v>2341</v>
      </c>
      <c r="D691" s="7" t="s">
        <v>194</v>
      </c>
      <c r="E691" s="7" t="s">
        <v>20</v>
      </c>
      <c r="F691" s="7" t="s">
        <v>195</v>
      </c>
      <c r="G691" s="7" t="e">
        <f t="shared" ca="1" si="24"/>
        <v>#NAME?</v>
      </c>
      <c r="H691" s="24" t="s">
        <v>152</v>
      </c>
      <c r="I691" s="24" t="s">
        <v>25</v>
      </c>
      <c r="J691" s="7" t="str">
        <f t="shared" si="30"/>
        <v>Não</v>
      </c>
      <c r="K691" s="25">
        <v>45504</v>
      </c>
      <c r="L691" s="7"/>
      <c r="M691" s="7" t="s">
        <v>42</v>
      </c>
      <c r="N691" s="26">
        <v>1.2E-2</v>
      </c>
      <c r="O691" s="7" t="s">
        <v>25</v>
      </c>
      <c r="P691" s="27">
        <v>0</v>
      </c>
      <c r="Q691" s="90"/>
      <c r="R691" s="90"/>
      <c r="S691" s="7" t="s">
        <v>145</v>
      </c>
      <c r="T691" s="7" t="s">
        <v>2342</v>
      </c>
      <c r="U691" s="7" t="s">
        <v>20</v>
      </c>
      <c r="V691" s="24" t="e">
        <f t="shared" ca="1" si="25"/>
        <v>#NAME?</v>
      </c>
      <c r="W691" s="7"/>
      <c r="X691" s="7" t="s">
        <v>52</v>
      </c>
      <c r="Y691" s="29" t="s">
        <v>147</v>
      </c>
      <c r="Z691" s="30"/>
      <c r="AA691" s="31">
        <v>45504</v>
      </c>
      <c r="AB691" s="32">
        <v>49075100015414</v>
      </c>
      <c r="AC691" s="30"/>
      <c r="AD691" s="30"/>
      <c r="AE691" s="30"/>
      <c r="AF691" s="30"/>
      <c r="AG691" s="30"/>
      <c r="AH691" s="30"/>
      <c r="AI691" s="30"/>
      <c r="AJ691" s="30"/>
      <c r="AK691" s="30"/>
      <c r="AL691" s="30"/>
      <c r="AM691" s="30"/>
      <c r="AN691" s="30"/>
      <c r="AO691" s="30"/>
      <c r="AP691" s="30"/>
      <c r="AQ691" s="30"/>
      <c r="AR691" s="30"/>
      <c r="AS691" s="30"/>
      <c r="AT691" s="30"/>
      <c r="AU691" s="30"/>
      <c r="AV691" s="30"/>
      <c r="AW691" s="30"/>
      <c r="AX691" s="30">
        <v>326915.3</v>
      </c>
      <c r="AY691" s="30">
        <v>146594.4</v>
      </c>
      <c r="AZ691" s="30">
        <v>70434.559999999998</v>
      </c>
      <c r="BA691" s="30" t="e">
        <f t="array" aca="1" ref="BA691" ca="1">_xludf.XLOOKUP(C691,'PL TOTAL D0'!A:A,'PL TOTAL D0'!C:C,"")</f>
        <v>#NAME?</v>
      </c>
    </row>
    <row r="692" spans="1:53" ht="15.75" customHeight="1">
      <c r="A692" s="23" t="s">
        <v>29</v>
      </c>
      <c r="B692" s="3" t="s">
        <v>2343</v>
      </c>
      <c r="C692" s="4" t="s">
        <v>2344</v>
      </c>
      <c r="D692" s="7" t="s">
        <v>19</v>
      </c>
      <c r="E692" s="7" t="s">
        <v>20</v>
      </c>
      <c r="F692" s="7" t="s">
        <v>199</v>
      </c>
      <c r="G692" s="7" t="e">
        <f t="shared" ca="1" si="24"/>
        <v>#NAME?</v>
      </c>
      <c r="H692" s="24" t="s">
        <v>152</v>
      </c>
      <c r="I692" s="24" t="s">
        <v>25</v>
      </c>
      <c r="J692" s="7" t="str">
        <f t="shared" si="30"/>
        <v>Sim</v>
      </c>
      <c r="K692" s="25">
        <v>44992</v>
      </c>
      <c r="L692" s="7"/>
      <c r="M692" s="7" t="s">
        <v>42</v>
      </c>
      <c r="N692" s="26">
        <v>8.0000000000000002E-3</v>
      </c>
      <c r="O692" s="7" t="s">
        <v>25</v>
      </c>
      <c r="P692" s="27">
        <v>0</v>
      </c>
      <c r="Q692" s="28" t="s">
        <v>2345</v>
      </c>
      <c r="R692" s="90"/>
      <c r="S692" s="7" t="s">
        <v>145</v>
      </c>
      <c r="T692" s="7" t="s">
        <v>2346</v>
      </c>
      <c r="U692" s="7" t="s">
        <v>20</v>
      </c>
      <c r="V692" s="24" t="e">
        <f t="shared" ca="1" si="25"/>
        <v>#NAME?</v>
      </c>
      <c r="W692" s="7"/>
      <c r="X692" s="7"/>
      <c r="Y692" s="29" t="s">
        <v>147</v>
      </c>
      <c r="Z692" s="30"/>
      <c r="AA692" s="31">
        <v>44992</v>
      </c>
      <c r="AB692" s="32">
        <v>49075100010218</v>
      </c>
      <c r="AC692" s="30"/>
      <c r="AD692" s="30"/>
      <c r="AE692" s="30"/>
      <c r="AF692" s="30"/>
      <c r="AG692" s="30">
        <v>0</v>
      </c>
      <c r="AH692" s="30">
        <v>1893864.24</v>
      </c>
      <c r="AI692" s="30">
        <v>2000594.47</v>
      </c>
      <c r="AJ692" s="30">
        <v>2168757.62</v>
      </c>
      <c r="AK692" s="30">
        <v>2206209.9</v>
      </c>
      <c r="AL692" s="30">
        <v>2223135.83</v>
      </c>
      <c r="AM692" s="30">
        <v>2249409.44</v>
      </c>
      <c r="AN692" s="30">
        <v>2268957.7999999998</v>
      </c>
      <c r="AO692" s="30">
        <v>2277468.7799999998</v>
      </c>
      <c r="AP692" s="30">
        <v>2351206.0299999998</v>
      </c>
      <c r="AQ692" s="30">
        <v>2493194.17</v>
      </c>
      <c r="AR692" s="30">
        <v>2548688.83</v>
      </c>
      <c r="AS692" s="30">
        <v>2571543.79</v>
      </c>
      <c r="AT692" s="30">
        <v>2795806.8</v>
      </c>
      <c r="AU692" s="30">
        <v>2804842.65</v>
      </c>
      <c r="AV692" s="30">
        <v>2877093</v>
      </c>
      <c r="AW692" s="30">
        <v>2894067</v>
      </c>
      <c r="AX692" s="30">
        <v>3012925</v>
      </c>
      <c r="AY692" s="30">
        <v>3361939.86</v>
      </c>
      <c r="AZ692" s="30">
        <v>3380002.9</v>
      </c>
      <c r="BA692" s="30" t="e">
        <f t="array" aca="1" ref="BA692" ca="1">_xludf.XLOOKUP(C692,'PL TOTAL D0'!A:A,'PL TOTAL D0'!C:C,"")</f>
        <v>#NAME?</v>
      </c>
    </row>
    <row r="693" spans="1:53" ht="15.75" customHeight="1">
      <c r="A693" s="23" t="s">
        <v>29</v>
      </c>
      <c r="B693" s="3" t="s">
        <v>2347</v>
      </c>
      <c r="C693" s="4" t="s">
        <v>2348</v>
      </c>
      <c r="D693" s="7" t="s">
        <v>19</v>
      </c>
      <c r="E693" s="7" t="s">
        <v>20</v>
      </c>
      <c r="F693" s="7" t="s">
        <v>800</v>
      </c>
      <c r="G693" s="7" t="e">
        <f t="shared" ca="1" si="24"/>
        <v>#NAME?</v>
      </c>
      <c r="H693" s="24" t="s">
        <v>167</v>
      </c>
      <c r="I693" s="24" t="s">
        <v>222</v>
      </c>
      <c r="J693" s="7" t="str">
        <f t="shared" si="30"/>
        <v>Não</v>
      </c>
      <c r="K693" s="25">
        <v>45544</v>
      </c>
      <c r="L693" s="7"/>
      <c r="M693" s="7" t="s">
        <v>42</v>
      </c>
      <c r="N693" s="26">
        <v>1.2E-2</v>
      </c>
      <c r="O693" s="7" t="s">
        <v>25</v>
      </c>
      <c r="P693" s="27">
        <v>0</v>
      </c>
      <c r="Q693" s="28"/>
      <c r="R693" s="90"/>
      <c r="S693" s="7" t="s">
        <v>145</v>
      </c>
      <c r="T693" s="7" t="s">
        <v>2349</v>
      </c>
      <c r="U693" s="7" t="s">
        <v>20</v>
      </c>
      <c r="V693" s="24" t="e">
        <f t="shared" ca="1" si="25"/>
        <v>#NAME?</v>
      </c>
      <c r="W693" s="7"/>
      <c r="X693" s="7" t="s">
        <v>40</v>
      </c>
      <c r="Y693" s="29"/>
      <c r="Z693" s="30"/>
      <c r="AA693" s="30"/>
      <c r="AB693" s="32"/>
      <c r="AC693" s="30"/>
      <c r="AD693" s="30"/>
      <c r="AE693" s="30"/>
      <c r="AF693" s="30"/>
      <c r="AG693" s="30"/>
      <c r="AH693" s="30"/>
      <c r="AI693" s="30"/>
      <c r="AJ693" s="30"/>
      <c r="AK693" s="30"/>
      <c r="AL693" s="30"/>
      <c r="AM693" s="30"/>
      <c r="AN693" s="30"/>
      <c r="AO693" s="30"/>
      <c r="AP693" s="30"/>
      <c r="AQ693" s="30"/>
      <c r="AR693" s="30"/>
      <c r="AS693" s="30"/>
      <c r="AT693" s="30"/>
      <c r="AU693" s="30"/>
      <c r="AV693" s="30"/>
      <c r="AW693" s="30"/>
      <c r="AX693" s="30"/>
      <c r="AY693" s="30"/>
      <c r="AZ693" s="30">
        <v>0</v>
      </c>
      <c r="BA693" s="30" t="e">
        <f t="array" aca="1" ref="BA693" ca="1">_xludf.XLOOKUP(C693,'PL TOTAL D0'!A:A,'PL TOTAL D0'!C:C,"")</f>
        <v>#NAME?</v>
      </c>
    </row>
    <row r="694" spans="1:53" ht="15.75" customHeight="1">
      <c r="A694" s="23" t="s">
        <v>29</v>
      </c>
      <c r="B694" s="3" t="s">
        <v>2350</v>
      </c>
      <c r="C694" s="4" t="s">
        <v>2351</v>
      </c>
      <c r="D694" s="7" t="s">
        <v>64</v>
      </c>
      <c r="E694" s="7" t="s">
        <v>20</v>
      </c>
      <c r="F694" s="7" t="s">
        <v>204</v>
      </c>
      <c r="G694" s="7" t="e">
        <f t="shared" ca="1" si="24"/>
        <v>#NAME?</v>
      </c>
      <c r="H694" s="24" t="s">
        <v>161</v>
      </c>
      <c r="I694" s="24" t="s">
        <v>205</v>
      </c>
      <c r="J694" s="7" t="str">
        <f t="shared" si="30"/>
        <v>Sim</v>
      </c>
      <c r="K694" s="25">
        <v>45455</v>
      </c>
      <c r="L694" s="7"/>
      <c r="M694" s="7" t="s">
        <v>31</v>
      </c>
      <c r="N694" s="26">
        <v>3.0000000000000001E-3</v>
      </c>
      <c r="O694" s="7" t="s">
        <v>25</v>
      </c>
      <c r="P694" s="27">
        <v>0</v>
      </c>
      <c r="Q694" s="28" t="s">
        <v>206</v>
      </c>
      <c r="R694" s="90"/>
      <c r="S694" s="7" t="s">
        <v>145</v>
      </c>
      <c r="T694" s="7" t="s">
        <v>2352</v>
      </c>
      <c r="U694" s="7" t="s">
        <v>46</v>
      </c>
      <c r="V694" s="24" t="e">
        <f t="shared" ca="1" si="25"/>
        <v>#NAME?</v>
      </c>
      <c r="W694" s="7"/>
      <c r="X694" s="7" t="s">
        <v>52</v>
      </c>
      <c r="Y694" s="29" t="s">
        <v>147</v>
      </c>
      <c r="Z694" s="30"/>
      <c r="AA694" s="31">
        <v>45455</v>
      </c>
      <c r="AB694" s="32">
        <v>49075100014876</v>
      </c>
      <c r="AC694" s="30"/>
      <c r="AD694" s="30"/>
      <c r="AE694" s="30"/>
      <c r="AF694" s="30"/>
      <c r="AG694" s="30"/>
      <c r="AH694" s="30"/>
      <c r="AI694" s="30"/>
      <c r="AJ694" s="30"/>
      <c r="AK694" s="30"/>
      <c r="AL694" s="30"/>
      <c r="AM694" s="30"/>
      <c r="AN694" s="30"/>
      <c r="AO694" s="30"/>
      <c r="AP694" s="30"/>
      <c r="AQ694" s="30"/>
      <c r="AR694" s="30"/>
      <c r="AS694" s="30"/>
      <c r="AT694" s="30"/>
      <c r="AU694" s="30"/>
      <c r="AV694" s="30"/>
      <c r="AW694" s="30">
        <v>0</v>
      </c>
      <c r="AX694" s="30">
        <v>0</v>
      </c>
      <c r="AY694" s="30">
        <v>0</v>
      </c>
      <c r="AZ694" s="30">
        <v>0</v>
      </c>
      <c r="BA694" s="30" t="e">
        <f t="array" aca="1" ref="BA694" ca="1">_xludf.XLOOKUP(C694,'PL TOTAL D0'!A:A,'PL TOTAL D0'!C:C,"")</f>
        <v>#NAME?</v>
      </c>
    </row>
    <row r="695" spans="1:53" ht="15.75" customHeight="1">
      <c r="A695" s="23" t="s">
        <v>29</v>
      </c>
      <c r="B695" s="3" t="s">
        <v>2353</v>
      </c>
      <c r="C695" s="4" t="s">
        <v>2354</v>
      </c>
      <c r="D695" s="7" t="s">
        <v>19</v>
      </c>
      <c r="E695" s="7" t="s">
        <v>34</v>
      </c>
      <c r="F695" s="7" t="s">
        <v>35</v>
      </c>
      <c r="G695" s="7" t="e">
        <f t="shared" ca="1" si="24"/>
        <v>#NAME?</v>
      </c>
      <c r="H695" s="24" t="s">
        <v>152</v>
      </c>
      <c r="I695" s="24" t="s">
        <v>25</v>
      </c>
      <c r="J695" s="7" t="str">
        <f t="shared" si="30"/>
        <v>Não</v>
      </c>
      <c r="K695" s="25">
        <v>45260</v>
      </c>
      <c r="L695" s="7"/>
      <c r="M695" s="7" t="s">
        <v>87</v>
      </c>
      <c r="N695" s="26">
        <v>2.5000000000000001E-2</v>
      </c>
      <c r="O695" s="7" t="s">
        <v>183</v>
      </c>
      <c r="P695" s="27">
        <v>0.2</v>
      </c>
      <c r="Q695" s="45"/>
      <c r="R695" s="28"/>
      <c r="S695" s="7" t="s">
        <v>145</v>
      </c>
      <c r="T695" s="7" t="s">
        <v>2355</v>
      </c>
      <c r="U695" s="7" t="s">
        <v>39</v>
      </c>
      <c r="V695" s="24" t="e">
        <f t="shared" ca="1" si="25"/>
        <v>#NAME?</v>
      </c>
      <c r="W695" s="7"/>
      <c r="X695" s="7"/>
      <c r="Y695" s="29" t="s">
        <v>147</v>
      </c>
      <c r="Z695" s="30"/>
      <c r="AA695" s="31">
        <v>45260</v>
      </c>
      <c r="AB695" s="32">
        <v>49075100012776</v>
      </c>
      <c r="AC695" s="30"/>
      <c r="AD695" s="30"/>
      <c r="AE695" s="30"/>
      <c r="AF695" s="30"/>
      <c r="AG695" s="30"/>
      <c r="AH695" s="30"/>
      <c r="AI695" s="30"/>
      <c r="AJ695" s="30"/>
      <c r="AK695" s="30"/>
      <c r="AL695" s="30"/>
      <c r="AM695" s="30"/>
      <c r="AN695" s="30"/>
      <c r="AO695" s="30"/>
      <c r="AP695" s="30">
        <v>0</v>
      </c>
      <c r="AQ695" s="30">
        <v>36835.9</v>
      </c>
      <c r="AR695" s="30">
        <v>36047.550000000003</v>
      </c>
      <c r="AS695" s="30">
        <v>38109.64</v>
      </c>
      <c r="AT695" s="30">
        <v>40194.980000000003</v>
      </c>
      <c r="AU695" s="30">
        <v>40411.360000000001</v>
      </c>
      <c r="AV695" s="30">
        <v>40485.71</v>
      </c>
      <c r="AW695" s="30">
        <v>42057.79</v>
      </c>
      <c r="AX695" s="30">
        <v>44682.2</v>
      </c>
      <c r="AY695" s="30">
        <v>47011.6</v>
      </c>
      <c r="AZ695" s="30">
        <v>47642.84</v>
      </c>
      <c r="BA695" s="30" t="e">
        <f t="array" aca="1" ref="BA695" ca="1">_xludf.XLOOKUP(C695,'PL TOTAL D0'!A:A,'PL TOTAL D0'!C:C,"")</f>
        <v>#NAME?</v>
      </c>
    </row>
    <row r="696" spans="1:53" ht="15.75" customHeight="1">
      <c r="A696" s="23" t="s">
        <v>29</v>
      </c>
      <c r="B696" s="3" t="s">
        <v>2353</v>
      </c>
      <c r="C696" s="4" t="s">
        <v>2356</v>
      </c>
      <c r="D696" s="7" t="s">
        <v>19</v>
      </c>
      <c r="E696" s="7" t="s">
        <v>34</v>
      </c>
      <c r="F696" s="7" t="s">
        <v>35</v>
      </c>
      <c r="G696" s="7" t="e">
        <f t="shared" ca="1" si="24"/>
        <v>#NAME?</v>
      </c>
      <c r="H696" s="24" t="s">
        <v>152</v>
      </c>
      <c r="I696" s="24" t="s">
        <v>25</v>
      </c>
      <c r="J696" s="7" t="str">
        <f t="shared" si="30"/>
        <v>Não</v>
      </c>
      <c r="K696" s="25">
        <v>45071</v>
      </c>
      <c r="L696" s="7"/>
      <c r="M696" s="7" t="s">
        <v>58</v>
      </c>
      <c r="N696" s="26">
        <v>1.2E-2</v>
      </c>
      <c r="O696" s="7" t="s">
        <v>25</v>
      </c>
      <c r="P696" s="27">
        <v>0</v>
      </c>
      <c r="Q696" s="45"/>
      <c r="R696" s="28" t="s">
        <v>2357</v>
      </c>
      <c r="S696" s="7" t="s">
        <v>145</v>
      </c>
      <c r="T696" s="7" t="s">
        <v>2355</v>
      </c>
      <c r="U696" s="7" t="s">
        <v>39</v>
      </c>
      <c r="V696" s="24" t="e">
        <f t="shared" ca="1" si="25"/>
        <v>#NAME?</v>
      </c>
      <c r="W696" s="7"/>
      <c r="X696" s="7"/>
      <c r="Y696" s="29" t="s">
        <v>147</v>
      </c>
      <c r="Z696" s="30"/>
      <c r="AA696" s="31">
        <v>45071</v>
      </c>
      <c r="AB696" s="32">
        <v>49075100007411</v>
      </c>
      <c r="AC696" s="30"/>
      <c r="AD696" s="30"/>
      <c r="AE696" s="30"/>
      <c r="AF696" s="30"/>
      <c r="AG696" s="30"/>
      <c r="AH696" s="30">
        <v>0</v>
      </c>
      <c r="AI696" s="30">
        <v>4494.3599999999997</v>
      </c>
      <c r="AJ696" s="30">
        <v>9048.26</v>
      </c>
      <c r="AK696" s="30">
        <v>59569.73</v>
      </c>
      <c r="AL696" s="30">
        <v>64630.92</v>
      </c>
      <c r="AM696" s="30">
        <v>69593.19</v>
      </c>
      <c r="AN696" s="30">
        <v>73684.92</v>
      </c>
      <c r="AO696" s="30">
        <v>78381.66</v>
      </c>
      <c r="AP696" s="30">
        <v>83617.39</v>
      </c>
      <c r="AQ696" s="30">
        <v>89160.8</v>
      </c>
      <c r="AR696" s="30">
        <v>93530.33</v>
      </c>
      <c r="AS696" s="30">
        <v>98857.87</v>
      </c>
      <c r="AT696" s="30">
        <v>104300</v>
      </c>
      <c r="AU696" s="30">
        <v>108339.94</v>
      </c>
      <c r="AV696" s="30">
        <v>113573.9</v>
      </c>
      <c r="AW696" s="30">
        <v>119364.1</v>
      </c>
      <c r="AX696" s="30">
        <v>120568.2</v>
      </c>
      <c r="AY696" s="30">
        <v>131829.78</v>
      </c>
      <c r="AZ696" s="30">
        <v>137282.44</v>
      </c>
      <c r="BA696" s="30" t="e">
        <f t="array" aca="1" ref="BA696" ca="1">_xludf.XLOOKUP(C696,'PL TOTAL D0'!A:A,'PL TOTAL D0'!C:C,"")</f>
        <v>#NAME?</v>
      </c>
    </row>
    <row r="697" spans="1:53" ht="15.75" customHeight="1">
      <c r="A697" s="23" t="s">
        <v>29</v>
      </c>
      <c r="B697" s="3" t="s">
        <v>2358</v>
      </c>
      <c r="C697" s="4" t="s">
        <v>2359</v>
      </c>
      <c r="D697" s="7" t="s">
        <v>19</v>
      </c>
      <c r="E697" s="7" t="s">
        <v>49</v>
      </c>
      <c r="F697" s="7" t="s">
        <v>328</v>
      </c>
      <c r="G697" s="7" t="e">
        <f t="shared" ca="1" si="24"/>
        <v>#NAME?</v>
      </c>
      <c r="H697" s="24" t="s">
        <v>152</v>
      </c>
      <c r="I697" s="24" t="s">
        <v>25</v>
      </c>
      <c r="J697" s="7" t="str">
        <f t="shared" si="30"/>
        <v>Não</v>
      </c>
      <c r="K697" s="25">
        <v>44951</v>
      </c>
      <c r="L697" s="7"/>
      <c r="M697" s="7" t="s">
        <v>345</v>
      </c>
      <c r="N697" s="26">
        <v>2.5000000000000001E-2</v>
      </c>
      <c r="O697" s="7" t="s">
        <v>37</v>
      </c>
      <c r="P697" s="27">
        <v>0.2</v>
      </c>
      <c r="Q697" s="90"/>
      <c r="R697" s="90"/>
      <c r="S697" s="7" t="s">
        <v>145</v>
      </c>
      <c r="T697" s="7" t="s">
        <v>2360</v>
      </c>
      <c r="U697" s="7" t="s">
        <v>20</v>
      </c>
      <c r="V697" s="24" t="e">
        <f t="shared" ca="1" si="25"/>
        <v>#NAME?</v>
      </c>
      <c r="W697" s="7"/>
      <c r="X697" s="7"/>
      <c r="Y697" s="29" t="s">
        <v>253</v>
      </c>
      <c r="Z697" s="30"/>
      <c r="AA697" s="31">
        <v>44951</v>
      </c>
      <c r="AB697" s="32">
        <v>49075100006326</v>
      </c>
      <c r="AC697" s="30"/>
      <c r="AD697" s="30"/>
      <c r="AE697" s="30">
        <v>0.5</v>
      </c>
      <c r="AF697" s="30">
        <v>129462.59</v>
      </c>
      <c r="AG697" s="30">
        <v>144797.29</v>
      </c>
      <c r="AH697" s="30">
        <v>145316.60999999999</v>
      </c>
      <c r="AI697" s="30">
        <v>145842.39000000001</v>
      </c>
      <c r="AJ697" s="30">
        <v>147938.64000000001</v>
      </c>
      <c r="AK697" s="30">
        <v>152357.62</v>
      </c>
      <c r="AL697" s="30">
        <v>156012.54999999999</v>
      </c>
      <c r="AM697" s="30">
        <v>154568.79999999999</v>
      </c>
      <c r="AN697" s="30">
        <v>194407.84</v>
      </c>
      <c r="AO697" s="30">
        <v>193488.64000000001</v>
      </c>
      <c r="AP697" s="30">
        <v>200174.42</v>
      </c>
      <c r="AQ697" s="30">
        <v>205376.18</v>
      </c>
      <c r="AR697" s="30">
        <v>197933</v>
      </c>
      <c r="AS697" s="30">
        <v>199573.02</v>
      </c>
      <c r="AT697" s="30">
        <v>216644.68</v>
      </c>
      <c r="AU697" s="30">
        <v>213157.32</v>
      </c>
      <c r="AV697" s="30">
        <v>210811.6</v>
      </c>
      <c r="AW697" s="30">
        <v>211610.3</v>
      </c>
      <c r="AX697" s="30">
        <v>214411.1</v>
      </c>
      <c r="AY697" s="30">
        <v>217437.52</v>
      </c>
      <c r="AZ697" s="30">
        <v>226060.94</v>
      </c>
      <c r="BA697" s="30" t="e">
        <f t="array" aca="1" ref="BA697" ca="1">_xludf.XLOOKUP(C697,'PL TOTAL D0'!A:A,'PL TOTAL D0'!C:C,"")</f>
        <v>#NAME?</v>
      </c>
    </row>
    <row r="698" spans="1:53" ht="15.75" customHeight="1">
      <c r="A698" s="23" t="s">
        <v>29</v>
      </c>
      <c r="B698" s="3" t="s">
        <v>2361</v>
      </c>
      <c r="C698" s="4" t="s">
        <v>2362</v>
      </c>
      <c r="D698" s="7" t="s">
        <v>19</v>
      </c>
      <c r="E698" s="7" t="s">
        <v>20</v>
      </c>
      <c r="F698" s="7" t="s">
        <v>199</v>
      </c>
      <c r="G698" s="7" t="e">
        <f t="shared" ca="1" si="24"/>
        <v>#NAME?</v>
      </c>
      <c r="H698" s="24" t="s">
        <v>161</v>
      </c>
      <c r="I698" s="24" t="s">
        <v>162</v>
      </c>
      <c r="J698" s="7" t="str">
        <f t="shared" si="30"/>
        <v>Não</v>
      </c>
      <c r="K698" s="25">
        <v>45042</v>
      </c>
      <c r="L698" s="7"/>
      <c r="M698" s="7" t="s">
        <v>345</v>
      </c>
      <c r="N698" s="26">
        <v>0.02</v>
      </c>
      <c r="O698" s="7" t="s">
        <v>37</v>
      </c>
      <c r="P698" s="27">
        <v>0.2</v>
      </c>
      <c r="Q698" s="28"/>
      <c r="R698" s="43" t="s">
        <v>2363</v>
      </c>
      <c r="S698" s="7" t="s">
        <v>145</v>
      </c>
      <c r="T698" s="7" t="s">
        <v>2364</v>
      </c>
      <c r="U698" s="7" t="s">
        <v>20</v>
      </c>
      <c r="V698" s="24" t="e">
        <f t="shared" ca="1" si="25"/>
        <v>#NAME?</v>
      </c>
      <c r="W698" s="7"/>
      <c r="X698" s="7"/>
      <c r="Y698" s="29" t="s">
        <v>147</v>
      </c>
      <c r="Z698" s="30"/>
      <c r="AA698" s="31">
        <v>45042</v>
      </c>
      <c r="AB698" s="32">
        <v>49075100008000</v>
      </c>
      <c r="AC698" s="30"/>
      <c r="AD698" s="30"/>
      <c r="AE698" s="30"/>
      <c r="AF698" s="30"/>
      <c r="AG698" s="30"/>
      <c r="AH698" s="30"/>
      <c r="AI698" s="30">
        <v>504162.28</v>
      </c>
      <c r="AJ698" s="30">
        <v>618853.27</v>
      </c>
      <c r="AK698" s="30">
        <v>636897.62</v>
      </c>
      <c r="AL698" s="30">
        <v>652844.07999999996</v>
      </c>
      <c r="AM698" s="30">
        <v>641406.1</v>
      </c>
      <c r="AN698" s="30">
        <v>642259.74</v>
      </c>
      <c r="AO698" s="30">
        <v>635116.44999999995</v>
      </c>
      <c r="AP698" s="30">
        <v>657145.17000000004</v>
      </c>
      <c r="AQ698" s="30">
        <v>674875.78</v>
      </c>
      <c r="AR698" s="30">
        <v>651865.15</v>
      </c>
      <c r="AS698" s="30">
        <v>575384.85</v>
      </c>
      <c r="AT698" s="30">
        <v>582727.06999999995</v>
      </c>
      <c r="AU698" s="30">
        <v>918.37</v>
      </c>
      <c r="AV698" s="30">
        <v>918.37</v>
      </c>
      <c r="AW698" s="30">
        <v>967.08</v>
      </c>
      <c r="AX698" s="30">
        <v>967.08</v>
      </c>
      <c r="AY698" s="30">
        <v>967.08</v>
      </c>
      <c r="AZ698" s="30">
        <v>967.44</v>
      </c>
      <c r="BA698" s="30" t="e">
        <f t="array" aca="1" ref="BA698" ca="1">_xludf.XLOOKUP(C698,'PL TOTAL D0'!A:A,'PL TOTAL D0'!C:C,"")</f>
        <v>#NAME?</v>
      </c>
    </row>
    <row r="699" spans="1:53" ht="15.75" customHeight="1">
      <c r="A699" s="23" t="s">
        <v>29</v>
      </c>
      <c r="B699" s="37" t="s">
        <v>2365</v>
      </c>
      <c r="C699" s="4" t="s">
        <v>2366</v>
      </c>
      <c r="D699" s="7" t="s">
        <v>64</v>
      </c>
      <c r="E699" s="7" t="s">
        <v>20</v>
      </c>
      <c r="F699" s="7" t="s">
        <v>2367</v>
      </c>
      <c r="G699" s="7" t="e">
        <f t="shared" ca="1" si="24"/>
        <v>#NAME?</v>
      </c>
      <c r="H699" s="24" t="s">
        <v>161</v>
      </c>
      <c r="I699" s="24" t="s">
        <v>25</v>
      </c>
      <c r="J699" s="7" t="str">
        <f t="shared" si="30"/>
        <v>Sim</v>
      </c>
      <c r="K699" s="25">
        <v>45012</v>
      </c>
      <c r="L699" s="7"/>
      <c r="M699" s="7" t="s">
        <v>200</v>
      </c>
      <c r="N699" s="26">
        <v>1.4999999999999999E-2</v>
      </c>
      <c r="O699" s="7" t="s">
        <v>37</v>
      </c>
      <c r="P699" s="27">
        <v>0.1</v>
      </c>
      <c r="Q699" s="116" t="s">
        <v>2368</v>
      </c>
      <c r="R699" s="90"/>
      <c r="S699" s="7" t="s">
        <v>145</v>
      </c>
      <c r="T699" s="7" t="s">
        <v>2369</v>
      </c>
      <c r="U699" s="7" t="s">
        <v>20</v>
      </c>
      <c r="V699" s="24" t="e">
        <f t="shared" ca="1" si="25"/>
        <v>#NAME?</v>
      </c>
      <c r="W699" s="7"/>
      <c r="X699" s="7"/>
      <c r="Y699" s="29" t="s">
        <v>147</v>
      </c>
      <c r="Z699" s="30"/>
      <c r="AA699" s="31">
        <v>45012</v>
      </c>
      <c r="AB699" s="32">
        <v>49075100007934</v>
      </c>
      <c r="AC699" s="30"/>
      <c r="AD699" s="30"/>
      <c r="AE699" s="30"/>
      <c r="AF699" s="30"/>
      <c r="AG699" s="30"/>
      <c r="AH699" s="30">
        <v>350337.58</v>
      </c>
      <c r="AI699" s="30">
        <v>351903.67</v>
      </c>
      <c r="AJ699" s="30">
        <v>340102.23</v>
      </c>
      <c r="AK699" s="30">
        <v>332995.49</v>
      </c>
      <c r="AL699" s="30">
        <v>314336.40999999997</v>
      </c>
      <c r="AM699" s="30">
        <v>242316.62</v>
      </c>
      <c r="AN699" s="30">
        <v>213072.17</v>
      </c>
      <c r="AO699" s="30">
        <v>172288.07</v>
      </c>
      <c r="AP699" s="30">
        <v>135635.54</v>
      </c>
      <c r="AQ699" s="30">
        <v>82464.94</v>
      </c>
      <c r="AR699" s="30">
        <v>50275.19</v>
      </c>
      <c r="AS699" s="30">
        <v>16773.509999999998</v>
      </c>
      <c r="AT699" s="30">
        <v>16731.64</v>
      </c>
      <c r="AU699" s="30">
        <v>16735.57</v>
      </c>
      <c r="AV699" s="30">
        <v>16733.84</v>
      </c>
      <c r="AW699" s="30">
        <v>16736.52</v>
      </c>
      <c r="AX699" s="30">
        <v>16742.099999999999</v>
      </c>
      <c r="AY699" s="30">
        <v>2188.8000000000002</v>
      </c>
      <c r="AZ699" s="30">
        <v>2192.42</v>
      </c>
      <c r="BA699" s="30" t="e">
        <f t="array" aca="1" ref="BA699" ca="1">_xludf.XLOOKUP(C699,'PL TOTAL D0'!A:A,'PL TOTAL D0'!C:C,"")</f>
        <v>#NAME?</v>
      </c>
    </row>
    <row r="700" spans="1:53" ht="15.75" customHeight="1">
      <c r="A700" s="23" t="s">
        <v>29</v>
      </c>
      <c r="B700" s="37" t="s">
        <v>2370</v>
      </c>
      <c r="C700" s="4" t="s">
        <v>2371</v>
      </c>
      <c r="D700" s="7" t="s">
        <v>64</v>
      </c>
      <c r="E700" s="7" t="s">
        <v>20</v>
      </c>
      <c r="F700" s="7" t="s">
        <v>2372</v>
      </c>
      <c r="G700" s="7" t="e">
        <f t="shared" ca="1" si="24"/>
        <v>#NAME?</v>
      </c>
      <c r="H700" s="24" t="s">
        <v>143</v>
      </c>
      <c r="I700" s="24" t="s">
        <v>25</v>
      </c>
      <c r="J700" s="7" t="str">
        <f t="shared" si="30"/>
        <v>Não</v>
      </c>
      <c r="K700" s="25">
        <v>45469</v>
      </c>
      <c r="L700" s="25">
        <v>45513</v>
      </c>
      <c r="M700" s="7" t="s">
        <v>200</v>
      </c>
      <c r="N700" s="26">
        <v>0.01</v>
      </c>
      <c r="O700" s="7" t="s">
        <v>37</v>
      </c>
      <c r="P700" s="27">
        <v>0.1</v>
      </c>
      <c r="Q700" s="116"/>
      <c r="R700" s="28" t="s">
        <v>285</v>
      </c>
      <c r="S700" s="7" t="s">
        <v>145</v>
      </c>
      <c r="T700" s="7" t="s">
        <v>2373</v>
      </c>
      <c r="U700" s="7" t="s">
        <v>20</v>
      </c>
      <c r="V700" s="24" t="e">
        <f t="shared" ca="1" si="25"/>
        <v>#NAME?</v>
      </c>
      <c r="W700" s="7"/>
      <c r="X700" s="7" t="s">
        <v>52</v>
      </c>
      <c r="Y700" s="29"/>
      <c r="Z700" s="30"/>
      <c r="AA700" s="31">
        <v>45469</v>
      </c>
      <c r="AB700" s="32">
        <v>49075100014965</v>
      </c>
      <c r="AC700" s="30"/>
      <c r="AD700" s="30"/>
      <c r="AE700" s="30"/>
      <c r="AF700" s="30"/>
      <c r="AG700" s="30"/>
      <c r="AH700" s="30"/>
      <c r="AI700" s="30"/>
      <c r="AJ700" s="30"/>
      <c r="AK700" s="30"/>
      <c r="AL700" s="30"/>
      <c r="AM700" s="30"/>
      <c r="AN700" s="30"/>
      <c r="AO700" s="30"/>
      <c r="AP700" s="30"/>
      <c r="AQ700" s="30"/>
      <c r="AR700" s="30"/>
      <c r="AS700" s="30"/>
      <c r="AT700" s="30"/>
      <c r="AU700" s="30"/>
      <c r="AV700" s="30"/>
      <c r="AW700" s="30">
        <v>1026925</v>
      </c>
      <c r="AX700" s="30">
        <v>0</v>
      </c>
      <c r="AY700" s="30">
        <v>0</v>
      </c>
      <c r="AZ700" s="30">
        <v>0</v>
      </c>
      <c r="BA700" s="30" t="e">
        <f t="array" aca="1" ref="BA700" ca="1">_xludf.XLOOKUP(C700,'PL TOTAL D0'!A:A,'PL TOTAL D0'!C:C,"")</f>
        <v>#NAME?</v>
      </c>
    </row>
    <row r="701" spans="1:53" ht="15.75" customHeight="1">
      <c r="A701" s="23" t="s">
        <v>29</v>
      </c>
      <c r="B701" s="3" t="s">
        <v>2374</v>
      </c>
      <c r="C701" s="4" t="s">
        <v>2375</v>
      </c>
      <c r="D701" s="7" t="s">
        <v>19</v>
      </c>
      <c r="E701" s="7" t="s">
        <v>20</v>
      </c>
      <c r="F701" s="7" t="s">
        <v>171</v>
      </c>
      <c r="G701" s="7" t="e">
        <f t="shared" ca="1" si="24"/>
        <v>#NAME?</v>
      </c>
      <c r="H701" s="24" t="s">
        <v>161</v>
      </c>
      <c r="I701" s="24" t="s">
        <v>162</v>
      </c>
      <c r="J701" s="7" t="str">
        <f t="shared" si="30"/>
        <v>Não</v>
      </c>
      <c r="K701" s="25">
        <v>45341</v>
      </c>
      <c r="L701" s="7"/>
      <c r="M701" s="7" t="s">
        <v>36</v>
      </c>
      <c r="N701" s="26">
        <v>0.01</v>
      </c>
      <c r="O701" s="7" t="s">
        <v>25</v>
      </c>
      <c r="P701" s="27">
        <v>0</v>
      </c>
      <c r="Q701" s="28"/>
      <c r="R701" s="90"/>
      <c r="S701" s="7" t="s">
        <v>145</v>
      </c>
      <c r="T701" s="7" t="s">
        <v>2376</v>
      </c>
      <c r="U701" s="7" t="s">
        <v>20</v>
      </c>
      <c r="V701" s="24" t="e">
        <f t="shared" ca="1" si="25"/>
        <v>#NAME?</v>
      </c>
      <c r="W701" s="7"/>
      <c r="X701" s="7"/>
      <c r="Y701" s="29" t="s">
        <v>147</v>
      </c>
      <c r="Z701" s="30"/>
      <c r="AA701" s="31">
        <v>45341</v>
      </c>
      <c r="AB701" s="32">
        <v>49075100013470</v>
      </c>
      <c r="AC701" s="30"/>
      <c r="AD701" s="30"/>
      <c r="AE701" s="30"/>
      <c r="AF701" s="30"/>
      <c r="AG701" s="30"/>
      <c r="AH701" s="30"/>
      <c r="AI701" s="30"/>
      <c r="AJ701" s="30"/>
      <c r="AK701" s="30"/>
      <c r="AL701" s="30"/>
      <c r="AM701" s="30"/>
      <c r="AN701" s="30"/>
      <c r="AO701" s="30"/>
      <c r="AP701" s="30"/>
      <c r="AQ701" s="30"/>
      <c r="AR701" s="30"/>
      <c r="AS701" s="30">
        <v>35089.67</v>
      </c>
      <c r="AT701" s="30">
        <v>54451.839999999997</v>
      </c>
      <c r="AU701" s="30">
        <v>54735.12</v>
      </c>
      <c r="AV701" s="30">
        <v>40428.39</v>
      </c>
      <c r="AW701" s="30">
        <v>0</v>
      </c>
      <c r="AX701" s="30">
        <v>0</v>
      </c>
      <c r="AY701" s="30">
        <v>0.04</v>
      </c>
      <c r="AZ701" s="30">
        <v>0.04</v>
      </c>
      <c r="BA701" s="30" t="e">
        <f t="array" aca="1" ref="BA701" ca="1">_xludf.XLOOKUP(C701,'PL TOTAL D0'!A:A,'PL TOTAL D0'!C:C,"")</f>
        <v>#NAME?</v>
      </c>
    </row>
    <row r="702" spans="1:53" ht="15.75" customHeight="1">
      <c r="A702" s="23" t="s">
        <v>29</v>
      </c>
      <c r="B702" s="3" t="s">
        <v>2377</v>
      </c>
      <c r="C702" s="4" t="s">
        <v>2378</v>
      </c>
      <c r="D702" s="7" t="s">
        <v>19</v>
      </c>
      <c r="E702" s="7" t="s">
        <v>49</v>
      </c>
      <c r="F702" s="7" t="s">
        <v>328</v>
      </c>
      <c r="G702" s="7" t="e">
        <f t="shared" ca="1" si="24"/>
        <v>#NAME?</v>
      </c>
      <c r="H702" s="24" t="s">
        <v>152</v>
      </c>
      <c r="I702" s="24" t="s">
        <v>25</v>
      </c>
      <c r="J702" s="7" t="str">
        <f t="shared" si="30"/>
        <v>Sim</v>
      </c>
      <c r="K702" s="25">
        <v>45560</v>
      </c>
      <c r="L702" s="7"/>
      <c r="M702" s="7" t="s">
        <v>42</v>
      </c>
      <c r="N702" s="26">
        <v>1.2E-2</v>
      </c>
      <c r="O702" s="7" t="s">
        <v>25</v>
      </c>
      <c r="P702" s="27">
        <v>0</v>
      </c>
      <c r="Q702" s="28" t="s">
        <v>2379</v>
      </c>
      <c r="R702" s="90"/>
      <c r="S702" s="7" t="s">
        <v>145</v>
      </c>
      <c r="T702" s="7" t="s">
        <v>2380</v>
      </c>
      <c r="U702" s="7" t="s">
        <v>49</v>
      </c>
      <c r="V702" s="24" t="e">
        <f t="shared" ca="1" si="25"/>
        <v>#NAME?</v>
      </c>
      <c r="W702" s="7"/>
      <c r="X702" s="7" t="s">
        <v>91</v>
      </c>
      <c r="Y702" s="29"/>
      <c r="Z702" s="30"/>
      <c r="AA702" s="30"/>
      <c r="AB702" s="32"/>
      <c r="AC702" s="30"/>
      <c r="AD702" s="30"/>
      <c r="AE702" s="30"/>
      <c r="AF702" s="30"/>
      <c r="AG702" s="30"/>
      <c r="AH702" s="30"/>
      <c r="AI702" s="30"/>
      <c r="AJ702" s="30"/>
      <c r="AK702" s="30"/>
      <c r="AL702" s="30"/>
      <c r="AM702" s="30"/>
      <c r="AN702" s="30"/>
      <c r="AO702" s="30"/>
      <c r="AP702" s="30"/>
      <c r="AQ702" s="30"/>
      <c r="AR702" s="30"/>
      <c r="AS702" s="30"/>
      <c r="AT702" s="30"/>
      <c r="AU702" s="30"/>
      <c r="AV702" s="30"/>
      <c r="AW702" s="30"/>
      <c r="AX702" s="30"/>
      <c r="AY702" s="30"/>
      <c r="AZ702" s="30">
        <v>0</v>
      </c>
      <c r="BA702" s="30" t="e">
        <f t="array" aca="1" ref="BA702" ca="1">_xludf.XLOOKUP(C702,'PL TOTAL D0'!A:A,'PL TOTAL D0'!C:C,"")</f>
        <v>#NAME?</v>
      </c>
    </row>
    <row r="703" spans="1:53" ht="15.75" customHeight="1">
      <c r="A703" s="23" t="s">
        <v>29</v>
      </c>
      <c r="B703" s="3" t="s">
        <v>2381</v>
      </c>
      <c r="C703" s="4" t="s">
        <v>2382</v>
      </c>
      <c r="D703" s="7" t="s">
        <v>19</v>
      </c>
      <c r="E703" s="7" t="s">
        <v>20</v>
      </c>
      <c r="F703" s="7" t="s">
        <v>199</v>
      </c>
      <c r="G703" s="7" t="e">
        <f t="shared" ca="1" si="24"/>
        <v>#NAME?</v>
      </c>
      <c r="H703" s="24" t="s">
        <v>152</v>
      </c>
      <c r="I703" s="24" t="s">
        <v>25</v>
      </c>
      <c r="J703" s="7" t="str">
        <f t="shared" si="30"/>
        <v>Não</v>
      </c>
      <c r="K703" s="25">
        <v>45041</v>
      </c>
      <c r="L703" s="7"/>
      <c r="M703" s="7" t="s">
        <v>42</v>
      </c>
      <c r="N703" s="26">
        <v>7.0000000000000001E-3</v>
      </c>
      <c r="O703" s="7" t="s">
        <v>25</v>
      </c>
      <c r="P703" s="27">
        <v>0</v>
      </c>
      <c r="Q703" s="90"/>
      <c r="R703" s="90"/>
      <c r="S703" s="7" t="s">
        <v>145</v>
      </c>
      <c r="T703" s="7" t="s">
        <v>2383</v>
      </c>
      <c r="U703" s="7" t="s">
        <v>20</v>
      </c>
      <c r="V703" s="24" t="e">
        <f t="shared" ca="1" si="25"/>
        <v>#NAME?</v>
      </c>
      <c r="W703" s="7"/>
      <c r="X703" s="7"/>
      <c r="Y703" s="29" t="s">
        <v>147</v>
      </c>
      <c r="Z703" s="30"/>
      <c r="AA703" s="31">
        <v>45041</v>
      </c>
      <c r="AB703" s="32">
        <v>49075100009880</v>
      </c>
      <c r="AC703" s="30"/>
      <c r="AD703" s="30"/>
      <c r="AE703" s="30"/>
      <c r="AF703" s="30"/>
      <c r="AG703" s="30"/>
      <c r="AH703" s="30">
        <v>0</v>
      </c>
      <c r="AI703" s="30">
        <v>107406.13</v>
      </c>
      <c r="AJ703" s="30">
        <v>108108.28</v>
      </c>
      <c r="AK703" s="30">
        <v>107124.87</v>
      </c>
      <c r="AL703" s="30">
        <v>107989.96</v>
      </c>
      <c r="AM703" s="30">
        <v>108656.69</v>
      </c>
      <c r="AN703" s="30">
        <v>109097.2</v>
      </c>
      <c r="AO703" s="30">
        <v>107631.81</v>
      </c>
      <c r="AP703" s="30">
        <v>109898.82</v>
      </c>
      <c r="AQ703" s="30">
        <v>122192.3</v>
      </c>
      <c r="AR703" s="30">
        <v>138269.42000000001</v>
      </c>
      <c r="AS703" s="30">
        <v>139093.12</v>
      </c>
      <c r="AT703" s="30">
        <v>140285</v>
      </c>
      <c r="AU703" s="30">
        <v>155862.91</v>
      </c>
      <c r="AV703" s="30">
        <v>140794.6</v>
      </c>
      <c r="AW703" s="30">
        <v>141707.20000000001</v>
      </c>
      <c r="AX703" s="30">
        <v>138895</v>
      </c>
      <c r="AY703" s="30">
        <v>145957.24</v>
      </c>
      <c r="AZ703" s="30">
        <v>147072.6</v>
      </c>
      <c r="BA703" s="30" t="e">
        <f t="array" aca="1" ref="BA703" ca="1">_xludf.XLOOKUP(C703,'PL TOTAL D0'!A:A,'PL TOTAL D0'!C:C,"")</f>
        <v>#NAME?</v>
      </c>
    </row>
    <row r="704" spans="1:53" ht="15.75" customHeight="1">
      <c r="A704" s="23" t="s">
        <v>29</v>
      </c>
      <c r="B704" s="40" t="s">
        <v>2384</v>
      </c>
      <c r="C704" s="4" t="s">
        <v>2385</v>
      </c>
      <c r="D704" s="7" t="s">
        <v>19</v>
      </c>
      <c r="E704" s="7" t="s">
        <v>20</v>
      </c>
      <c r="F704" s="7" t="s">
        <v>372</v>
      </c>
      <c r="G704" s="7" t="e">
        <f t="shared" ca="1" si="24"/>
        <v>#NAME?</v>
      </c>
      <c r="H704" s="24" t="s">
        <v>161</v>
      </c>
      <c r="I704" s="24" t="s">
        <v>222</v>
      </c>
      <c r="J704" s="7" t="str">
        <f t="shared" si="30"/>
        <v>Não</v>
      </c>
      <c r="K704" s="25">
        <v>45218</v>
      </c>
      <c r="L704" s="7"/>
      <c r="M704" s="7" t="s">
        <v>172</v>
      </c>
      <c r="N704" s="26">
        <v>0</v>
      </c>
      <c r="O704" s="7" t="s">
        <v>25</v>
      </c>
      <c r="P704" s="27">
        <v>0</v>
      </c>
      <c r="Q704" s="90"/>
      <c r="R704" s="90"/>
      <c r="S704" s="7" t="s">
        <v>187</v>
      </c>
      <c r="T704" s="7" t="s">
        <v>2386</v>
      </c>
      <c r="U704" s="7" t="s">
        <v>20</v>
      </c>
      <c r="V704" s="24" t="e">
        <f t="shared" ca="1" si="25"/>
        <v>#NAME?</v>
      </c>
      <c r="W704" s="7"/>
      <c r="X704" s="7"/>
      <c r="Y704" s="29" t="s">
        <v>147</v>
      </c>
      <c r="Z704" s="30"/>
      <c r="AA704" s="31">
        <v>45218</v>
      </c>
      <c r="AB704" s="32">
        <v>49075100012784</v>
      </c>
      <c r="AC704" s="30"/>
      <c r="AD704" s="30"/>
      <c r="AE704" s="30"/>
      <c r="AF704" s="30"/>
      <c r="AG704" s="30"/>
      <c r="AH704" s="30"/>
      <c r="AI704" s="30"/>
      <c r="AJ704" s="30"/>
      <c r="AK704" s="30"/>
      <c r="AL704" s="30"/>
      <c r="AM704" s="30"/>
      <c r="AN704" s="30"/>
      <c r="AO704" s="30">
        <v>0</v>
      </c>
      <c r="AP704" s="30">
        <v>0</v>
      </c>
      <c r="AQ704" s="30">
        <v>0</v>
      </c>
      <c r="AR704" s="30">
        <v>0</v>
      </c>
      <c r="AS704" s="30">
        <v>0</v>
      </c>
      <c r="AT704" s="30">
        <v>0</v>
      </c>
      <c r="AU704" s="30">
        <v>0</v>
      </c>
      <c r="AV704" s="30">
        <v>0</v>
      </c>
      <c r="AW704" s="30">
        <v>0</v>
      </c>
      <c r="AX704" s="30">
        <v>0</v>
      </c>
      <c r="AY704" s="30">
        <v>0</v>
      </c>
      <c r="AZ704" s="30">
        <v>0</v>
      </c>
      <c r="BA704" s="30" t="e">
        <f t="array" aca="1" ref="BA704" ca="1">_xludf.XLOOKUP(C704,'PL TOTAL D0'!A:A,'PL TOTAL D0'!C:C,"")</f>
        <v>#NAME?</v>
      </c>
    </row>
    <row r="705" spans="1:53" ht="15.75" customHeight="1">
      <c r="A705" s="23" t="s">
        <v>29</v>
      </c>
      <c r="B705" s="38" t="s">
        <v>2387</v>
      </c>
      <c r="C705" s="39" t="s">
        <v>2388</v>
      </c>
      <c r="D705" s="7" t="s">
        <v>19</v>
      </c>
      <c r="E705" s="7" t="s">
        <v>20</v>
      </c>
      <c r="F705" s="7" t="s">
        <v>989</v>
      </c>
      <c r="G705" s="7" t="e">
        <f t="shared" ca="1" si="24"/>
        <v>#NAME?</v>
      </c>
      <c r="H705" s="24" t="s">
        <v>161</v>
      </c>
      <c r="I705" s="24" t="s">
        <v>211</v>
      </c>
      <c r="J705" s="7" t="str">
        <f>IF(Q704=0,"Não","Sim")</f>
        <v>Não</v>
      </c>
      <c r="K705" s="25">
        <v>45385</v>
      </c>
      <c r="L705" s="7"/>
      <c r="M705" s="7" t="s">
        <v>42</v>
      </c>
      <c r="N705" s="26">
        <v>1.2E-2</v>
      </c>
      <c r="O705" s="7" t="s">
        <v>25</v>
      </c>
      <c r="P705" s="27">
        <v>0</v>
      </c>
      <c r="Q705" s="36"/>
      <c r="R705" s="90"/>
      <c r="S705" s="7" t="s">
        <v>145</v>
      </c>
      <c r="T705" s="6" t="s">
        <v>2389</v>
      </c>
      <c r="U705" s="7" t="s">
        <v>20</v>
      </c>
      <c r="V705" s="24" t="e">
        <f t="shared" ca="1" si="25"/>
        <v>#NAME?</v>
      </c>
      <c r="W705" s="7"/>
      <c r="X705" s="7"/>
      <c r="Y705" s="29" t="s">
        <v>147</v>
      </c>
      <c r="Z705" s="30"/>
      <c r="AA705" s="31">
        <v>45385</v>
      </c>
      <c r="AB705" s="32">
        <v>49075100014140</v>
      </c>
      <c r="AC705" s="30"/>
      <c r="AD705" s="30"/>
      <c r="AE705" s="30"/>
      <c r="AF705" s="30"/>
      <c r="AG705" s="30"/>
      <c r="AH705" s="30"/>
      <c r="AI705" s="30"/>
      <c r="AJ705" s="30"/>
      <c r="AK705" s="30"/>
      <c r="AL705" s="30"/>
      <c r="AM705" s="30"/>
      <c r="AN705" s="30"/>
      <c r="AO705" s="30"/>
      <c r="AP705" s="30"/>
      <c r="AQ705" s="30"/>
      <c r="AR705" s="30"/>
      <c r="AS705" s="30"/>
      <c r="AT705" s="30"/>
      <c r="AU705" s="30">
        <v>148083.84</v>
      </c>
      <c r="AV705" s="30">
        <v>213173.1</v>
      </c>
      <c r="AW705" s="30">
        <v>241077.5</v>
      </c>
      <c r="AX705" s="30">
        <v>247624</v>
      </c>
      <c r="AY705" s="30">
        <v>275685.43</v>
      </c>
      <c r="AZ705" s="30">
        <v>288307.49</v>
      </c>
      <c r="BA705" s="30" t="e">
        <f t="array" aca="1" ref="BA705" ca="1">_xludf.XLOOKUP(C705,'PL TOTAL D0'!A:A,'PL TOTAL D0'!C:C,"")</f>
        <v>#NAME?</v>
      </c>
    </row>
    <row r="706" spans="1:53" ht="15.75" customHeight="1">
      <c r="A706" s="23" t="s">
        <v>29</v>
      </c>
      <c r="B706" s="3" t="s">
        <v>2390</v>
      </c>
      <c r="C706" s="4" t="s">
        <v>2391</v>
      </c>
      <c r="D706" s="7" t="s">
        <v>19</v>
      </c>
      <c r="E706" s="7" t="s">
        <v>34</v>
      </c>
      <c r="F706" s="7" t="s">
        <v>35</v>
      </c>
      <c r="G706" s="7" t="e">
        <f t="shared" ca="1" si="24"/>
        <v>#NAME?</v>
      </c>
      <c r="H706" s="24" t="s">
        <v>152</v>
      </c>
      <c r="I706" s="24" t="s">
        <v>25</v>
      </c>
      <c r="J706" s="7" t="str">
        <f t="shared" ref="J706:J723" si="31">IF(Q706=0,"Não","Sim")</f>
        <v>Não</v>
      </c>
      <c r="K706" s="25">
        <v>45159</v>
      </c>
      <c r="L706" s="25"/>
      <c r="M706" s="7" t="s">
        <v>42</v>
      </c>
      <c r="N706" s="26">
        <v>1.2E-2</v>
      </c>
      <c r="O706" s="7" t="s">
        <v>25</v>
      </c>
      <c r="P706" s="27">
        <v>0</v>
      </c>
      <c r="Q706" s="45"/>
      <c r="R706" s="179" t="s">
        <v>2392</v>
      </c>
      <c r="S706" s="7" t="s">
        <v>145</v>
      </c>
      <c r="T706" s="7" t="s">
        <v>2393</v>
      </c>
      <c r="U706" s="7" t="s">
        <v>39</v>
      </c>
      <c r="V706" s="24" t="e">
        <f t="shared" ca="1" si="25"/>
        <v>#NAME?</v>
      </c>
      <c r="W706" s="7"/>
      <c r="X706" s="7"/>
      <c r="Y706" s="29" t="s">
        <v>147</v>
      </c>
      <c r="Z706" s="30"/>
      <c r="AA706" s="31">
        <v>45159</v>
      </c>
      <c r="AB706" s="32">
        <v>49075100003343</v>
      </c>
      <c r="AC706" s="30"/>
      <c r="AD706" s="30"/>
      <c r="AE706" s="30"/>
      <c r="AF706" s="30"/>
      <c r="AG706" s="30"/>
      <c r="AH706" s="30">
        <v>0</v>
      </c>
      <c r="AI706" s="30">
        <v>0</v>
      </c>
      <c r="AJ706" s="30">
        <v>0</v>
      </c>
      <c r="AK706" s="30">
        <v>0</v>
      </c>
      <c r="AL706" s="30">
        <v>0</v>
      </c>
      <c r="AM706" s="30">
        <v>48613.69</v>
      </c>
      <c r="AN706" s="30">
        <v>38676.69</v>
      </c>
      <c r="AO706" s="30">
        <v>0.05</v>
      </c>
      <c r="AP706" s="30">
        <v>0.05</v>
      </c>
      <c r="AQ706" s="30">
        <v>0.05</v>
      </c>
      <c r="AR706" s="30">
        <v>0.05</v>
      </c>
      <c r="AS706" s="30">
        <v>0.16</v>
      </c>
      <c r="AT706" s="30">
        <v>0.16</v>
      </c>
      <c r="AU706" s="30">
        <v>0.16</v>
      </c>
      <c r="AV706" s="30">
        <v>0.16</v>
      </c>
      <c r="AW706" s="30">
        <v>0.16</v>
      </c>
      <c r="AX706" s="30">
        <v>0.16</v>
      </c>
      <c r="AY706" s="30">
        <v>0.16</v>
      </c>
      <c r="AZ706" s="30">
        <v>6306.29</v>
      </c>
      <c r="BA706" s="30" t="e">
        <f t="array" aca="1" ref="BA706" ca="1">_xludf.XLOOKUP(C706,'PL TOTAL D0'!A:A,'PL TOTAL D0'!C:C,"")</f>
        <v>#NAME?</v>
      </c>
    </row>
    <row r="707" spans="1:53" ht="15.75" customHeight="1">
      <c r="A707" s="23" t="s">
        <v>29</v>
      </c>
      <c r="B707" s="3" t="s">
        <v>2394</v>
      </c>
      <c r="C707" s="4" t="s">
        <v>2395</v>
      </c>
      <c r="D707" s="7" t="s">
        <v>19</v>
      </c>
      <c r="E707" s="7" t="s">
        <v>20</v>
      </c>
      <c r="F707" s="7" t="s">
        <v>372</v>
      </c>
      <c r="G707" s="7" t="e">
        <f t="shared" ca="1" si="24"/>
        <v>#NAME?</v>
      </c>
      <c r="H707" s="24" t="s">
        <v>161</v>
      </c>
      <c r="I707" s="24" t="s">
        <v>222</v>
      </c>
      <c r="J707" s="7" t="str">
        <f t="shared" si="31"/>
        <v>Não</v>
      </c>
      <c r="K707" s="25">
        <v>45159</v>
      </c>
      <c r="L707" s="25"/>
      <c r="M707" s="7" t="s">
        <v>172</v>
      </c>
      <c r="N707" s="26">
        <v>0</v>
      </c>
      <c r="O707" s="7" t="s">
        <v>25</v>
      </c>
      <c r="P707" s="27">
        <v>0</v>
      </c>
      <c r="Q707" s="90"/>
      <c r="R707" s="180" t="s">
        <v>2396</v>
      </c>
      <c r="S707" s="7" t="s">
        <v>187</v>
      </c>
      <c r="T707" s="7" t="s">
        <v>2397</v>
      </c>
      <c r="U707" s="7" t="s">
        <v>20</v>
      </c>
      <c r="V707" s="24" t="e">
        <f t="shared" ca="1" si="25"/>
        <v>#NAME?</v>
      </c>
      <c r="W707" s="7"/>
      <c r="X707" s="7"/>
      <c r="Y707" s="29" t="s">
        <v>147</v>
      </c>
      <c r="Z707" s="30"/>
      <c r="AA707" s="31">
        <v>45159</v>
      </c>
      <c r="AB707" s="32">
        <v>49075100011907</v>
      </c>
      <c r="AC707" s="30"/>
      <c r="AD707" s="30"/>
      <c r="AE707" s="30"/>
      <c r="AF707" s="30"/>
      <c r="AG707" s="30"/>
      <c r="AH707" s="30"/>
      <c r="AI707" s="30"/>
      <c r="AJ707" s="30"/>
      <c r="AK707" s="30"/>
      <c r="AL707" s="30">
        <v>0</v>
      </c>
      <c r="AM707" s="30">
        <v>0</v>
      </c>
      <c r="AN707" s="30">
        <v>0</v>
      </c>
      <c r="AO707" s="30">
        <v>0</v>
      </c>
      <c r="AP707" s="30">
        <v>0</v>
      </c>
      <c r="AQ707" s="30">
        <v>0</v>
      </c>
      <c r="AR707" s="30">
        <v>0</v>
      </c>
      <c r="AS707" s="30">
        <v>0</v>
      </c>
      <c r="AT707" s="30">
        <v>0</v>
      </c>
      <c r="AU707" s="30">
        <v>0</v>
      </c>
      <c r="AV707" s="30">
        <v>0</v>
      </c>
      <c r="AW707" s="30">
        <v>0</v>
      </c>
      <c r="AX707" s="30">
        <v>0</v>
      </c>
      <c r="AY707" s="30">
        <v>0</v>
      </c>
      <c r="AZ707" s="30">
        <v>0</v>
      </c>
      <c r="BA707" s="30" t="e">
        <f t="array" aca="1" ref="BA707" ca="1">_xludf.XLOOKUP(C707,'PL TOTAL D0'!A:A,'PL TOTAL D0'!C:C,"")</f>
        <v>#NAME?</v>
      </c>
    </row>
    <row r="708" spans="1:53" ht="15.75" customHeight="1">
      <c r="A708" s="23" t="s">
        <v>29</v>
      </c>
      <c r="B708" s="3" t="s">
        <v>2398</v>
      </c>
      <c r="C708" s="4" t="s">
        <v>2399</v>
      </c>
      <c r="D708" s="7" t="s">
        <v>150</v>
      </c>
      <c r="E708" s="7" t="s">
        <v>49</v>
      </c>
      <c r="F708" s="7" t="s">
        <v>151</v>
      </c>
      <c r="G708" s="7" t="e">
        <f t="shared" ca="1" si="24"/>
        <v>#NAME?</v>
      </c>
      <c r="H708" s="24" t="s">
        <v>152</v>
      </c>
      <c r="I708" s="24" t="s">
        <v>25</v>
      </c>
      <c r="J708" s="7" t="str">
        <f t="shared" si="31"/>
        <v>Não</v>
      </c>
      <c r="K708" s="25">
        <v>45551</v>
      </c>
      <c r="L708" s="25"/>
      <c r="M708" s="7" t="s">
        <v>42</v>
      </c>
      <c r="N708" s="26">
        <v>1.2E-2</v>
      </c>
      <c r="O708" s="7" t="s">
        <v>25</v>
      </c>
      <c r="P708" s="27">
        <v>0</v>
      </c>
      <c r="Q708" s="90"/>
      <c r="R708" s="45" t="s">
        <v>2400</v>
      </c>
      <c r="S708" s="7" t="s">
        <v>187</v>
      </c>
      <c r="T708" s="7" t="s">
        <v>2401</v>
      </c>
      <c r="U708" s="7" t="s">
        <v>60</v>
      </c>
      <c r="V708" s="24" t="e">
        <f t="shared" ca="1" si="25"/>
        <v>#NAME?</v>
      </c>
      <c r="W708" s="7"/>
      <c r="X708" s="7" t="s">
        <v>40</v>
      </c>
      <c r="Y708" s="29"/>
      <c r="Z708" s="30"/>
      <c r="AA708" s="30"/>
      <c r="AB708" s="32"/>
      <c r="AC708" s="30"/>
      <c r="AD708" s="30"/>
      <c r="AE708" s="30"/>
      <c r="AF708" s="30"/>
      <c r="AG708" s="30"/>
      <c r="AH708" s="30"/>
      <c r="AI708" s="30"/>
      <c r="AJ708" s="30"/>
      <c r="AK708" s="30"/>
      <c r="AL708" s="30"/>
      <c r="AM708" s="30"/>
      <c r="AN708" s="30"/>
      <c r="AO708" s="30"/>
      <c r="AP708" s="30"/>
      <c r="AQ708" s="30"/>
      <c r="AR708" s="30"/>
      <c r="AS708" s="30"/>
      <c r="AT708" s="30"/>
      <c r="AU708" s="30"/>
      <c r="AV708" s="30"/>
      <c r="AW708" s="30"/>
      <c r="AX708" s="30"/>
      <c r="AY708" s="30"/>
      <c r="AZ708" s="30">
        <v>133067.92000000001</v>
      </c>
      <c r="BA708" s="30" t="e">
        <f t="array" aca="1" ref="BA708" ca="1">_xludf.XLOOKUP(C708,'PL TOTAL D0'!A:A,'PL TOTAL D0'!C:C,"")</f>
        <v>#NAME?</v>
      </c>
    </row>
    <row r="709" spans="1:53" ht="15.75" customHeight="1">
      <c r="A709" s="23" t="s">
        <v>29</v>
      </c>
      <c r="B709" s="3" t="s">
        <v>2402</v>
      </c>
      <c r="C709" s="4" t="s">
        <v>2403</v>
      </c>
      <c r="D709" s="7" t="s">
        <v>19</v>
      </c>
      <c r="E709" s="7" t="s">
        <v>49</v>
      </c>
      <c r="F709" s="7" t="s">
        <v>50</v>
      </c>
      <c r="G709" s="7" t="e">
        <f t="shared" ca="1" si="24"/>
        <v>#NAME?</v>
      </c>
      <c r="H709" s="24" t="s">
        <v>152</v>
      </c>
      <c r="I709" s="24" t="s">
        <v>25</v>
      </c>
      <c r="J709" s="7" t="str">
        <f t="shared" si="31"/>
        <v>Não</v>
      </c>
      <c r="K709" s="25">
        <v>44951</v>
      </c>
      <c r="L709" s="7"/>
      <c r="M709" s="7" t="s">
        <v>42</v>
      </c>
      <c r="N709" s="26">
        <v>1.2E-2</v>
      </c>
      <c r="O709" s="7" t="s">
        <v>25</v>
      </c>
      <c r="P709" s="27">
        <v>0</v>
      </c>
      <c r="Q709" s="23"/>
      <c r="R709" s="28" t="s">
        <v>2404</v>
      </c>
      <c r="S709" s="7" t="s">
        <v>145</v>
      </c>
      <c r="T709" s="7" t="s">
        <v>2405</v>
      </c>
      <c r="U709" s="7" t="s">
        <v>49</v>
      </c>
      <c r="V709" s="24" t="e">
        <f t="shared" ca="1" si="25"/>
        <v>#NAME?</v>
      </c>
      <c r="W709" s="7"/>
      <c r="X709" s="7"/>
      <c r="Y709" s="29" t="s">
        <v>147</v>
      </c>
      <c r="Z709" s="30"/>
      <c r="AA709" s="31">
        <v>44951</v>
      </c>
      <c r="AB709" s="32">
        <v>49075100006334</v>
      </c>
      <c r="AC709" s="30"/>
      <c r="AD709" s="30"/>
      <c r="AE709" s="30"/>
      <c r="AF709" s="30">
        <v>640201.03</v>
      </c>
      <c r="AG709" s="30">
        <v>841947.6</v>
      </c>
      <c r="AH709" s="30">
        <v>851371.63</v>
      </c>
      <c r="AI709" s="30">
        <v>857106.85</v>
      </c>
      <c r="AJ709" s="30">
        <v>820233.94</v>
      </c>
      <c r="AK709" s="30">
        <v>782725.41</v>
      </c>
      <c r="AL709" s="30">
        <v>788355.82</v>
      </c>
      <c r="AM709" s="30">
        <v>815467.53</v>
      </c>
      <c r="AN709" s="30">
        <v>821280.09</v>
      </c>
      <c r="AO709" s="30">
        <v>827608.99</v>
      </c>
      <c r="AP709" s="30">
        <v>833741.49</v>
      </c>
      <c r="AQ709" s="30">
        <v>855396.58</v>
      </c>
      <c r="AR709" s="30">
        <v>862753.85</v>
      </c>
      <c r="AS709" s="30">
        <v>969583.34</v>
      </c>
      <c r="AT709" s="30">
        <v>978638.13</v>
      </c>
      <c r="AU709" s="30">
        <v>986443.11</v>
      </c>
      <c r="AV709" s="30">
        <v>989632.5</v>
      </c>
      <c r="AW709" s="30">
        <v>1067985</v>
      </c>
      <c r="AX709" s="30">
        <v>1072986</v>
      </c>
      <c r="AY709" s="30">
        <v>1049223.49</v>
      </c>
      <c r="AZ709" s="30">
        <v>1054587.1599999999</v>
      </c>
      <c r="BA709" s="30" t="e">
        <f t="array" aca="1" ref="BA709" ca="1">_xludf.XLOOKUP(C709,'PL TOTAL D0'!A:A,'PL TOTAL D0'!C:C,"")</f>
        <v>#NAME?</v>
      </c>
    </row>
    <row r="710" spans="1:53" ht="15.75" customHeight="1">
      <c r="A710" s="23" t="s">
        <v>29</v>
      </c>
      <c r="B710" s="77" t="s">
        <v>2406</v>
      </c>
      <c r="C710" s="4" t="s">
        <v>2407</v>
      </c>
      <c r="D710" s="7" t="s">
        <v>19</v>
      </c>
      <c r="E710" s="7" t="s">
        <v>34</v>
      </c>
      <c r="F710" s="7" t="s">
        <v>262</v>
      </c>
      <c r="G710" s="7" t="e">
        <f t="shared" ca="1" si="24"/>
        <v>#NAME?</v>
      </c>
      <c r="H710" s="24" t="s">
        <v>152</v>
      </c>
      <c r="I710" s="24" t="s">
        <v>25</v>
      </c>
      <c r="J710" s="7" t="str">
        <f t="shared" si="31"/>
        <v>Não</v>
      </c>
      <c r="K710" s="25">
        <v>45075</v>
      </c>
      <c r="L710" s="7"/>
      <c r="M710" s="7" t="s">
        <v>42</v>
      </c>
      <c r="N710" s="26">
        <v>1.2E-2</v>
      </c>
      <c r="O710" s="7" t="s">
        <v>25</v>
      </c>
      <c r="P710" s="27">
        <v>0</v>
      </c>
      <c r="Q710" s="90"/>
      <c r="R710" s="90"/>
      <c r="S710" s="7" t="s">
        <v>145</v>
      </c>
      <c r="T710" s="7" t="s">
        <v>2408</v>
      </c>
      <c r="U710" s="7" t="s">
        <v>39</v>
      </c>
      <c r="V710" s="24" t="e">
        <f t="shared" ca="1" si="25"/>
        <v>#NAME?</v>
      </c>
      <c r="W710" s="7"/>
      <c r="X710" s="7"/>
      <c r="Y710" s="29" t="s">
        <v>147</v>
      </c>
      <c r="Z710" s="30"/>
      <c r="AA710" s="31">
        <v>45075</v>
      </c>
      <c r="AB710" s="32">
        <v>49075100007896</v>
      </c>
      <c r="AC710" s="30"/>
      <c r="AD710" s="30"/>
      <c r="AE710" s="30"/>
      <c r="AF710" s="30"/>
      <c r="AG710" s="30"/>
      <c r="AH710" s="30">
        <v>0</v>
      </c>
      <c r="AI710" s="30">
        <v>0</v>
      </c>
      <c r="AJ710" s="30">
        <v>357473.9</v>
      </c>
      <c r="AK710" s="30">
        <v>352698.01</v>
      </c>
      <c r="AL710" s="30">
        <v>342580.44</v>
      </c>
      <c r="AM710" s="30">
        <v>333648.49</v>
      </c>
      <c r="AN710" s="30">
        <v>323131.19</v>
      </c>
      <c r="AO710" s="30">
        <v>312639.69</v>
      </c>
      <c r="AP710" s="30">
        <v>315737.75</v>
      </c>
      <c r="AQ710" s="30">
        <v>306187.49</v>
      </c>
      <c r="AR710" s="30">
        <v>292129.58</v>
      </c>
      <c r="AS710" s="30">
        <v>283839.87</v>
      </c>
      <c r="AT710" s="30">
        <v>273707.75</v>
      </c>
      <c r="AU710" s="30">
        <v>250411.36</v>
      </c>
      <c r="AV710" s="30">
        <v>240760.1</v>
      </c>
      <c r="AW710" s="30">
        <v>231413.5</v>
      </c>
      <c r="AX710" s="30">
        <v>221732.7</v>
      </c>
      <c r="AY710" s="30">
        <v>202187.39</v>
      </c>
      <c r="AZ710" s="30">
        <v>189981.73</v>
      </c>
      <c r="BA710" s="30" t="e">
        <f t="array" aca="1" ref="BA710" ca="1">_xludf.XLOOKUP(C710,'PL TOTAL D0'!A:A,'PL TOTAL D0'!C:C,"")</f>
        <v>#NAME?</v>
      </c>
    </row>
    <row r="711" spans="1:53" ht="15.75" customHeight="1">
      <c r="A711" s="23" t="s">
        <v>29</v>
      </c>
      <c r="B711" s="3" t="s">
        <v>2409</v>
      </c>
      <c r="C711" s="4" t="s">
        <v>2410</v>
      </c>
      <c r="D711" s="7" t="s">
        <v>19</v>
      </c>
      <c r="E711" s="7" t="s">
        <v>20</v>
      </c>
      <c r="F711" s="7" t="s">
        <v>199</v>
      </c>
      <c r="G711" s="7" t="e">
        <f t="shared" ca="1" si="24"/>
        <v>#NAME?</v>
      </c>
      <c r="H711" s="24" t="s">
        <v>152</v>
      </c>
      <c r="I711" s="24" t="s">
        <v>25</v>
      </c>
      <c r="J711" s="7" t="str">
        <f t="shared" si="31"/>
        <v>Não</v>
      </c>
      <c r="K711" s="25">
        <v>45308</v>
      </c>
      <c r="L711" s="7"/>
      <c r="M711" s="7" t="s">
        <v>172</v>
      </c>
      <c r="N711" s="26">
        <v>0</v>
      </c>
      <c r="O711" s="7" t="s">
        <v>25</v>
      </c>
      <c r="P711" s="27">
        <v>0</v>
      </c>
      <c r="Q711" s="90"/>
      <c r="R711" s="90"/>
      <c r="S711" s="7" t="s">
        <v>145</v>
      </c>
      <c r="T711" s="7" t="s">
        <v>2411</v>
      </c>
      <c r="U711" s="7" t="s">
        <v>20</v>
      </c>
      <c r="V711" s="24" t="e">
        <f t="shared" ca="1" si="25"/>
        <v>#NAME?</v>
      </c>
      <c r="W711" s="7"/>
      <c r="X711" s="7"/>
      <c r="Y711" s="29" t="s">
        <v>147</v>
      </c>
      <c r="Z711" s="30"/>
      <c r="AA711" s="31">
        <v>45308</v>
      </c>
      <c r="AB711" s="32">
        <v>49075100013233</v>
      </c>
      <c r="AC711" s="30"/>
      <c r="AD711" s="30"/>
      <c r="AE711" s="30"/>
      <c r="AF711" s="30"/>
      <c r="AG711" s="30"/>
      <c r="AH711" s="30"/>
      <c r="AI711" s="30"/>
      <c r="AJ711" s="30"/>
      <c r="AK711" s="30"/>
      <c r="AL711" s="30"/>
      <c r="AM711" s="30"/>
      <c r="AN711" s="30"/>
      <c r="AO711" s="30"/>
      <c r="AP711" s="30"/>
      <c r="AQ711" s="30"/>
      <c r="AR711" s="30">
        <v>995.42</v>
      </c>
      <c r="AS711" s="30">
        <v>1299.02</v>
      </c>
      <c r="AT711" s="30">
        <v>1301.52</v>
      </c>
      <c r="AU711" s="30">
        <v>1296.73</v>
      </c>
      <c r="AV711" s="30">
        <v>1303.74</v>
      </c>
      <c r="AW711" s="30">
        <v>1300.2</v>
      </c>
      <c r="AX711" s="30">
        <v>1318.89</v>
      </c>
      <c r="AY711" s="30">
        <v>1336.02</v>
      </c>
      <c r="AZ711" s="30">
        <v>1347.13</v>
      </c>
      <c r="BA711" s="30" t="e">
        <f t="array" aca="1" ref="BA711" ca="1">_xludf.XLOOKUP(C711,'PL TOTAL D0'!A:A,'PL TOTAL D0'!C:C,"")</f>
        <v>#NAME?</v>
      </c>
    </row>
    <row r="712" spans="1:53" ht="15.75" customHeight="1">
      <c r="A712" s="23" t="s">
        <v>29</v>
      </c>
      <c r="B712" s="106" t="s">
        <v>2412</v>
      </c>
      <c r="C712" s="4" t="s">
        <v>2413</v>
      </c>
      <c r="D712" s="7" t="s">
        <v>19</v>
      </c>
      <c r="E712" s="7" t="s">
        <v>34</v>
      </c>
      <c r="F712" s="7" t="s">
        <v>262</v>
      </c>
      <c r="G712" s="7" t="e">
        <f t="shared" ca="1" si="24"/>
        <v>#NAME?</v>
      </c>
      <c r="H712" s="24" t="s">
        <v>161</v>
      </c>
      <c r="I712" s="24" t="s">
        <v>162</v>
      </c>
      <c r="J712" s="7" t="str">
        <f t="shared" si="31"/>
        <v>Não</v>
      </c>
      <c r="K712" s="25">
        <v>45043</v>
      </c>
      <c r="L712" s="7"/>
      <c r="M712" s="7" t="s">
        <v>257</v>
      </c>
      <c r="N712" s="26">
        <v>8.0000000000000002E-3</v>
      </c>
      <c r="O712" s="7" t="s">
        <v>258</v>
      </c>
      <c r="P712" s="27">
        <v>0.1</v>
      </c>
      <c r="Q712" s="90"/>
      <c r="R712" s="37" t="s">
        <v>2414</v>
      </c>
      <c r="S712" s="7" t="s">
        <v>145</v>
      </c>
      <c r="T712" s="7" t="s">
        <v>2415</v>
      </c>
      <c r="U712" s="7" t="s">
        <v>977</v>
      </c>
      <c r="V712" s="24" t="e">
        <f t="shared" ca="1" si="25"/>
        <v>#NAME?</v>
      </c>
      <c r="W712" s="7"/>
      <c r="X712" s="7"/>
      <c r="Y712" s="29" t="s">
        <v>147</v>
      </c>
      <c r="Z712" s="30"/>
      <c r="AA712" s="31">
        <v>45043</v>
      </c>
      <c r="AB712" s="32">
        <v>49075100004099</v>
      </c>
      <c r="AC712" s="30"/>
      <c r="AD712" s="30"/>
      <c r="AE712" s="30"/>
      <c r="AF712" s="30">
        <v>0</v>
      </c>
      <c r="AG712" s="30">
        <v>0</v>
      </c>
      <c r="AH712" s="30">
        <v>0</v>
      </c>
      <c r="AI712" s="30">
        <v>79248.86</v>
      </c>
      <c r="AJ712" s="30">
        <v>712.78</v>
      </c>
      <c r="AK712" s="30">
        <v>712.78</v>
      </c>
      <c r="AL712" s="30">
        <v>729.09</v>
      </c>
      <c r="AM712" s="30">
        <v>729.09</v>
      </c>
      <c r="AN712" s="30">
        <v>729.09</v>
      </c>
      <c r="AO712" s="30">
        <v>731.42</v>
      </c>
      <c r="AP712" s="30">
        <v>736.8</v>
      </c>
      <c r="AQ712" s="30">
        <v>742.4</v>
      </c>
      <c r="AR712" s="30">
        <v>748.49</v>
      </c>
      <c r="AS712" s="30">
        <v>753.66</v>
      </c>
      <c r="AT712" s="30">
        <v>759</v>
      </c>
      <c r="AU712" s="30">
        <v>764.74</v>
      </c>
      <c r="AV712" s="30">
        <v>770.18</v>
      </c>
      <c r="AW712" s="30">
        <v>775.45</v>
      </c>
      <c r="AX712" s="30">
        <v>781.47</v>
      </c>
      <c r="AY712" s="30">
        <v>787.32</v>
      </c>
      <c r="AZ712" s="30">
        <v>792.95</v>
      </c>
      <c r="BA712" s="30" t="e">
        <f t="array" aca="1" ref="BA712" ca="1">_xludf.XLOOKUP(C712,'PL TOTAL D0'!A:A,'PL TOTAL D0'!C:C,"")</f>
        <v>#NAME?</v>
      </c>
    </row>
    <row r="713" spans="1:53" ht="15.75" customHeight="1">
      <c r="A713" s="23" t="s">
        <v>29</v>
      </c>
      <c r="B713" s="106" t="s">
        <v>2412</v>
      </c>
      <c r="C713" s="4" t="s">
        <v>2416</v>
      </c>
      <c r="D713" s="7" t="s">
        <v>19</v>
      </c>
      <c r="E713" s="7" t="s">
        <v>34</v>
      </c>
      <c r="F713" s="7" t="s">
        <v>262</v>
      </c>
      <c r="G713" s="7" t="e">
        <f t="shared" ca="1" si="24"/>
        <v>#NAME?</v>
      </c>
      <c r="H713" s="24" t="s">
        <v>152</v>
      </c>
      <c r="I713" s="24" t="s">
        <v>25</v>
      </c>
      <c r="J713" s="7" t="str">
        <f t="shared" si="31"/>
        <v>Não</v>
      </c>
      <c r="K713" s="25">
        <v>44928</v>
      </c>
      <c r="L713" s="7"/>
      <c r="M713" s="7" t="s">
        <v>87</v>
      </c>
      <c r="N713" s="26">
        <v>2.5000000000000001E-2</v>
      </c>
      <c r="O713" s="7" t="s">
        <v>183</v>
      </c>
      <c r="P713" s="27">
        <v>0.2</v>
      </c>
      <c r="Q713" s="90"/>
      <c r="R713" s="90"/>
      <c r="S713" s="7" t="s">
        <v>145</v>
      </c>
      <c r="T713" s="7" t="s">
        <v>2415</v>
      </c>
      <c r="U713" s="7" t="s">
        <v>977</v>
      </c>
      <c r="V713" s="24" t="e">
        <f t="shared" ca="1" si="25"/>
        <v>#NAME?</v>
      </c>
      <c r="W713" s="7"/>
      <c r="X713" s="7"/>
      <c r="Y713" s="29" t="s">
        <v>147</v>
      </c>
      <c r="Z713" s="30"/>
      <c r="AA713" s="31">
        <v>44928</v>
      </c>
      <c r="AB713" s="32">
        <v>49075100006342</v>
      </c>
      <c r="AC713" s="30"/>
      <c r="AD713" s="30"/>
      <c r="AE713" s="30"/>
      <c r="AF713" s="30">
        <v>2.06</v>
      </c>
      <c r="AG713" s="30">
        <v>2.06</v>
      </c>
      <c r="AH713" s="30">
        <v>4226.53</v>
      </c>
      <c r="AI713" s="30">
        <v>38153.64</v>
      </c>
      <c r="AJ713" s="30">
        <v>125151.44</v>
      </c>
      <c r="AK713" s="30">
        <v>123140.07</v>
      </c>
      <c r="AL713" s="30">
        <v>119855.66</v>
      </c>
      <c r="AM713" s="30">
        <v>125631.62</v>
      </c>
      <c r="AN713" s="30">
        <v>130795.52</v>
      </c>
      <c r="AO713" s="30">
        <v>122488.33</v>
      </c>
      <c r="AP713" s="30">
        <v>131490.15</v>
      </c>
      <c r="AQ713" s="30">
        <v>137780.79</v>
      </c>
      <c r="AR713" s="30">
        <v>111871.11</v>
      </c>
      <c r="AS713" s="30">
        <v>107340.63</v>
      </c>
      <c r="AT713" s="30">
        <v>109137.66</v>
      </c>
      <c r="AU713" s="30">
        <v>104504.09</v>
      </c>
      <c r="AV713" s="30">
        <v>101336.4</v>
      </c>
      <c r="AW713" s="30">
        <v>101500.5</v>
      </c>
      <c r="AX713" s="30">
        <v>104235.5</v>
      </c>
      <c r="AY713" s="30">
        <v>106412.59</v>
      </c>
      <c r="AZ713" s="30">
        <v>100223.84</v>
      </c>
      <c r="BA713" s="30" t="e">
        <f t="array" aca="1" ref="BA713" ca="1">_xludf.XLOOKUP(C713,'PL TOTAL D0'!A:A,'PL TOTAL D0'!C:C,"")</f>
        <v>#NAME?</v>
      </c>
    </row>
    <row r="714" spans="1:53" ht="15.75" customHeight="1">
      <c r="A714" s="23" t="s">
        <v>29</v>
      </c>
      <c r="B714" s="3" t="s">
        <v>2417</v>
      </c>
      <c r="C714" s="4" t="s">
        <v>2418</v>
      </c>
      <c r="D714" s="7" t="s">
        <v>19</v>
      </c>
      <c r="E714" s="7" t="s">
        <v>20</v>
      </c>
      <c r="F714" s="7" t="s">
        <v>372</v>
      </c>
      <c r="G714" s="7" t="e">
        <f t="shared" ca="1" si="24"/>
        <v>#NAME?</v>
      </c>
      <c r="H714" s="24" t="s">
        <v>152</v>
      </c>
      <c r="I714" s="24" t="s">
        <v>25</v>
      </c>
      <c r="J714" s="7" t="str">
        <f t="shared" si="31"/>
        <v>Não</v>
      </c>
      <c r="K714" s="25">
        <v>45163</v>
      </c>
      <c r="L714" s="25"/>
      <c r="M714" s="7" t="s">
        <v>200</v>
      </c>
      <c r="N714" s="26">
        <v>1.4999999999999999E-2</v>
      </c>
      <c r="O714" s="7" t="s">
        <v>37</v>
      </c>
      <c r="P714" s="27">
        <v>0.1</v>
      </c>
      <c r="Q714" s="28"/>
      <c r="R714" s="90"/>
      <c r="S714" s="7" t="s">
        <v>145</v>
      </c>
      <c r="T714" s="7" t="s">
        <v>2419</v>
      </c>
      <c r="U714" s="7" t="s">
        <v>20</v>
      </c>
      <c r="V714" s="24" t="e">
        <f t="shared" ca="1" si="25"/>
        <v>#NAME?</v>
      </c>
      <c r="W714" s="7"/>
      <c r="X714" s="7"/>
      <c r="Y714" s="29" t="s">
        <v>147</v>
      </c>
      <c r="Z714" s="30"/>
      <c r="AA714" s="31">
        <v>45163</v>
      </c>
      <c r="AB714" s="32">
        <v>49075100011915</v>
      </c>
      <c r="AC714" s="30"/>
      <c r="AD714" s="30"/>
      <c r="AE714" s="30"/>
      <c r="AF714" s="30">
        <v>0</v>
      </c>
      <c r="AG714" s="30">
        <v>0</v>
      </c>
      <c r="AH714" s="30">
        <v>0</v>
      </c>
      <c r="AI714" s="30">
        <v>0</v>
      </c>
      <c r="AJ714" s="30">
        <v>0</v>
      </c>
      <c r="AK714" s="30">
        <v>0</v>
      </c>
      <c r="AL714" s="30">
        <v>0</v>
      </c>
      <c r="AM714" s="30">
        <v>0</v>
      </c>
      <c r="AN714" s="30">
        <v>0</v>
      </c>
      <c r="AO714" s="30">
        <v>34032.589999999997</v>
      </c>
      <c r="AP714" s="30">
        <v>34332.67</v>
      </c>
      <c r="AQ714" s="30">
        <v>34603.74</v>
      </c>
      <c r="AR714" s="30">
        <v>20766.330000000002</v>
      </c>
      <c r="AS714" s="30">
        <v>20899.849999999999</v>
      </c>
      <c r="AT714" s="30">
        <v>21052.45</v>
      </c>
      <c r="AU714" s="30">
        <v>21216.61</v>
      </c>
      <c r="AV714" s="30">
        <v>21367.48</v>
      </c>
      <c r="AW714" s="30">
        <v>21246.880000000001</v>
      </c>
      <c r="AX714" s="30">
        <v>21412.62</v>
      </c>
      <c r="AY714" s="30">
        <v>21568.63</v>
      </c>
      <c r="AZ714" s="30">
        <v>21718.86</v>
      </c>
      <c r="BA714" s="30" t="e">
        <f t="array" aca="1" ref="BA714" ca="1">_xludf.XLOOKUP(C714,'PL TOTAL D0'!A:A,'PL TOTAL D0'!C:C,"")</f>
        <v>#NAME?</v>
      </c>
    </row>
    <row r="715" spans="1:53" ht="15.75" customHeight="1">
      <c r="A715" s="23" t="s">
        <v>29</v>
      </c>
      <c r="B715" s="3" t="s">
        <v>2420</v>
      </c>
      <c r="C715" s="4" t="s">
        <v>2421</v>
      </c>
      <c r="D715" s="7" t="s">
        <v>64</v>
      </c>
      <c r="E715" s="7" t="s">
        <v>20</v>
      </c>
      <c r="F715" s="7" t="s">
        <v>489</v>
      </c>
      <c r="G715" s="7" t="e">
        <f t="shared" ca="1" si="24"/>
        <v>#NAME?</v>
      </c>
      <c r="H715" s="24" t="s">
        <v>161</v>
      </c>
      <c r="I715" s="24" t="s">
        <v>211</v>
      </c>
      <c r="J715" s="7" t="str">
        <f t="shared" si="31"/>
        <v>Não</v>
      </c>
      <c r="K715" s="25">
        <v>45168</v>
      </c>
      <c r="L715" s="25"/>
      <c r="M715" s="7" t="s">
        <v>42</v>
      </c>
      <c r="N715" s="26">
        <v>5.0000000000000001E-3</v>
      </c>
      <c r="O715" s="7" t="s">
        <v>25</v>
      </c>
      <c r="P715" s="27">
        <v>0</v>
      </c>
      <c r="Q715" s="82"/>
      <c r="R715" s="90" t="s">
        <v>702</v>
      </c>
      <c r="S715" s="7" t="s">
        <v>145</v>
      </c>
      <c r="T715" s="7" t="s">
        <v>2422</v>
      </c>
      <c r="U715" s="7" t="s">
        <v>20</v>
      </c>
      <c r="V715" s="24" t="e">
        <f t="shared" ca="1" si="25"/>
        <v>#NAME?</v>
      </c>
      <c r="W715" s="7"/>
      <c r="X715" s="7"/>
      <c r="Y715" s="29" t="s">
        <v>147</v>
      </c>
      <c r="Z715" s="30"/>
      <c r="AA715" s="31">
        <v>45168</v>
      </c>
      <c r="AB715" s="32">
        <v>49075100005524</v>
      </c>
      <c r="AC715" s="30"/>
      <c r="AD715" s="30"/>
      <c r="AE715" s="30"/>
      <c r="AF715" s="30"/>
      <c r="AG715" s="30"/>
      <c r="AH715" s="30"/>
      <c r="AI715" s="30"/>
      <c r="AJ715" s="30"/>
      <c r="AK715" s="30"/>
      <c r="AL715" s="30"/>
      <c r="AM715" s="30">
        <v>686313.07</v>
      </c>
      <c r="AN715" s="30">
        <v>695559.77</v>
      </c>
      <c r="AO715" s="30">
        <v>701272.22</v>
      </c>
      <c r="AP715" s="30">
        <v>546580.13</v>
      </c>
      <c r="AQ715" s="30">
        <v>533184.53</v>
      </c>
      <c r="AR715" s="30">
        <v>618511.71</v>
      </c>
      <c r="AS715" s="30">
        <v>674920.46</v>
      </c>
      <c r="AT715" s="30">
        <v>676174.01</v>
      </c>
      <c r="AU715" s="30">
        <v>677461.23</v>
      </c>
      <c r="AV715" s="30">
        <v>680717.2</v>
      </c>
      <c r="AW715" s="30">
        <v>674844</v>
      </c>
      <c r="AX715" s="30">
        <v>0</v>
      </c>
      <c r="AY715" s="30">
        <v>0</v>
      </c>
      <c r="AZ715" s="30">
        <v>0</v>
      </c>
      <c r="BA715" s="30" t="e">
        <f t="array" aca="1" ref="BA715" ca="1">_xludf.XLOOKUP(C715,'PL TOTAL D0'!A:A,'PL TOTAL D0'!C:C,"")</f>
        <v>#NAME?</v>
      </c>
    </row>
    <row r="716" spans="1:53" ht="13.5" customHeight="1">
      <c r="A716" s="23" t="s">
        <v>29</v>
      </c>
      <c r="B716" s="3" t="s">
        <v>2423</v>
      </c>
      <c r="C716" s="4" t="s">
        <v>2424</v>
      </c>
      <c r="D716" s="7" t="s">
        <v>19</v>
      </c>
      <c r="E716" s="7" t="s">
        <v>20</v>
      </c>
      <c r="F716" s="7" t="s">
        <v>372</v>
      </c>
      <c r="G716" s="7" t="e">
        <f t="shared" ca="1" si="24"/>
        <v>#NAME?</v>
      </c>
      <c r="H716" s="24" t="s">
        <v>143</v>
      </c>
      <c r="I716" s="24" t="s">
        <v>25</v>
      </c>
      <c r="J716" s="7" t="str">
        <f t="shared" si="31"/>
        <v>Não</v>
      </c>
      <c r="K716" s="25">
        <v>45117</v>
      </c>
      <c r="L716" s="25">
        <v>45450</v>
      </c>
      <c r="M716" s="7" t="s">
        <v>42</v>
      </c>
      <c r="N716" s="26">
        <v>1.0999999999999999E-2</v>
      </c>
      <c r="O716" s="7" t="s">
        <v>25</v>
      </c>
      <c r="P716" s="27">
        <v>0</v>
      </c>
      <c r="Q716" s="90"/>
      <c r="R716" s="90"/>
      <c r="S716" s="7" t="s">
        <v>145</v>
      </c>
      <c r="T716" s="7" t="s">
        <v>2425</v>
      </c>
      <c r="U716" s="7" t="s">
        <v>20</v>
      </c>
      <c r="V716" s="24" t="e">
        <f t="shared" ca="1" si="25"/>
        <v>#NAME?</v>
      </c>
      <c r="W716" s="7"/>
      <c r="X716" s="7"/>
      <c r="Y716" s="29" t="s">
        <v>253</v>
      </c>
      <c r="Z716" s="30"/>
      <c r="AA716" s="31">
        <v>45117</v>
      </c>
      <c r="AB716" s="32">
        <v>49075100012792</v>
      </c>
      <c r="AC716" s="30"/>
      <c r="AD716" s="30"/>
      <c r="AE716" s="30"/>
      <c r="AF716" s="30"/>
      <c r="AG716" s="30"/>
      <c r="AH716" s="30"/>
      <c r="AI716" s="30"/>
      <c r="AJ716" s="30"/>
      <c r="AK716" s="30"/>
      <c r="AL716" s="30">
        <v>266116.93</v>
      </c>
      <c r="AM716" s="30">
        <v>313.8</v>
      </c>
      <c r="AN716" s="30">
        <v>277.3</v>
      </c>
      <c r="AO716" s="30">
        <v>277.3</v>
      </c>
      <c r="AP716" s="30">
        <v>277.3</v>
      </c>
      <c r="AQ716" s="30">
        <v>277.66000000000003</v>
      </c>
      <c r="AR716" s="30">
        <v>280.32</v>
      </c>
      <c r="AS716" s="30">
        <v>282.55</v>
      </c>
      <c r="AT716" s="30">
        <v>284.91000000000003</v>
      </c>
      <c r="AU716" s="30">
        <v>287.41000000000003</v>
      </c>
      <c r="AV716" s="30">
        <v>0</v>
      </c>
      <c r="AW716" s="30">
        <v>0</v>
      </c>
      <c r="AX716" s="30">
        <v>0</v>
      </c>
      <c r="AY716" s="30">
        <v>0</v>
      </c>
      <c r="AZ716" s="30">
        <v>0</v>
      </c>
      <c r="BA716" s="30" t="e">
        <f t="array" aca="1" ref="BA716" ca="1">_xludf.XLOOKUP(C716,'PL TOTAL D0'!A:A,'PL TOTAL D0'!C:C,"")</f>
        <v>#NAME?</v>
      </c>
    </row>
    <row r="717" spans="1:53" ht="15.75" customHeight="1">
      <c r="A717" s="23" t="s">
        <v>29</v>
      </c>
      <c r="B717" s="77" t="s">
        <v>2426</v>
      </c>
      <c r="C717" s="4" t="s">
        <v>2427</v>
      </c>
      <c r="D717" s="7" t="s">
        <v>19</v>
      </c>
      <c r="E717" s="7" t="s">
        <v>20</v>
      </c>
      <c r="F717" s="7" t="s">
        <v>372</v>
      </c>
      <c r="G717" s="7" t="e">
        <f t="shared" ca="1" si="24"/>
        <v>#NAME?</v>
      </c>
      <c r="H717" s="24" t="s">
        <v>161</v>
      </c>
      <c r="I717" s="24" t="s">
        <v>211</v>
      </c>
      <c r="J717" s="7" t="str">
        <f t="shared" si="31"/>
        <v>Não</v>
      </c>
      <c r="K717" s="25">
        <v>45155</v>
      </c>
      <c r="L717" s="25"/>
      <c r="M717" s="7" t="s">
        <v>87</v>
      </c>
      <c r="N717" s="26">
        <v>0.02</v>
      </c>
      <c r="O717" s="7" t="s">
        <v>183</v>
      </c>
      <c r="P717" s="27">
        <v>0.2</v>
      </c>
      <c r="Q717" s="28"/>
      <c r="R717" s="90"/>
      <c r="S717" s="7" t="s">
        <v>145</v>
      </c>
      <c r="T717" s="7" t="s">
        <v>2428</v>
      </c>
      <c r="U717" s="7" t="s">
        <v>20</v>
      </c>
      <c r="V717" s="24" t="e">
        <f t="shared" ca="1" si="25"/>
        <v>#NAME?</v>
      </c>
      <c r="W717" s="7"/>
      <c r="X717" s="7"/>
      <c r="Y717" s="29" t="s">
        <v>147</v>
      </c>
      <c r="Z717" s="30"/>
      <c r="AA717" s="31">
        <v>45155</v>
      </c>
      <c r="AB717" s="32">
        <v>49075100007306</v>
      </c>
      <c r="AC717" s="30"/>
      <c r="AD717" s="30"/>
      <c r="AE717" s="30"/>
      <c r="AF717" s="30"/>
      <c r="AG717" s="30"/>
      <c r="AH717" s="30"/>
      <c r="AI717" s="30"/>
      <c r="AJ717" s="30"/>
      <c r="AK717" s="30"/>
      <c r="AL717" s="30">
        <v>413199.93</v>
      </c>
      <c r="AM717" s="30">
        <v>100505.12</v>
      </c>
      <c r="AN717" s="30">
        <v>2.57</v>
      </c>
      <c r="AO717" s="30">
        <v>0</v>
      </c>
      <c r="AP717" s="30">
        <v>0</v>
      </c>
      <c r="AQ717" s="30">
        <v>0</v>
      </c>
      <c r="AR717" s="30">
        <v>0</v>
      </c>
      <c r="AS717" s="30">
        <v>0.43</v>
      </c>
      <c r="AT717" s="30">
        <v>112663.48</v>
      </c>
      <c r="AU717" s="30">
        <v>109084.5</v>
      </c>
      <c r="AV717" s="30">
        <v>106510.3</v>
      </c>
      <c r="AW717" s="30">
        <v>107853</v>
      </c>
      <c r="AX717" s="30">
        <v>111152.2</v>
      </c>
      <c r="AY717" s="30">
        <v>113489.92</v>
      </c>
      <c r="AZ717" s="30">
        <v>111314.37</v>
      </c>
      <c r="BA717" s="30" t="e">
        <f t="array" aca="1" ref="BA717" ca="1">_xludf.XLOOKUP(C717,'PL TOTAL D0'!A:A,'PL TOTAL D0'!C:C,"")</f>
        <v>#NAME?</v>
      </c>
    </row>
    <row r="718" spans="1:53" ht="15.75" customHeight="1">
      <c r="A718" s="23" t="s">
        <v>29</v>
      </c>
      <c r="B718" s="77" t="s">
        <v>2426</v>
      </c>
      <c r="C718" s="4" t="s">
        <v>2429</v>
      </c>
      <c r="D718" s="7" t="s">
        <v>19</v>
      </c>
      <c r="E718" s="7" t="s">
        <v>20</v>
      </c>
      <c r="F718" s="7" t="s">
        <v>372</v>
      </c>
      <c r="G718" s="7" t="e">
        <f t="shared" ca="1" si="24"/>
        <v>#NAME?</v>
      </c>
      <c r="H718" s="24" t="s">
        <v>161</v>
      </c>
      <c r="I718" s="24" t="s">
        <v>211</v>
      </c>
      <c r="J718" s="7" t="str">
        <f t="shared" si="31"/>
        <v>Não</v>
      </c>
      <c r="K718" s="25">
        <v>45121</v>
      </c>
      <c r="L718" s="25"/>
      <c r="M718" s="7" t="s">
        <v>42</v>
      </c>
      <c r="N718" s="26">
        <v>0.01</v>
      </c>
      <c r="O718" s="7" t="s">
        <v>25</v>
      </c>
      <c r="P718" s="27">
        <v>0</v>
      </c>
      <c r="Q718" s="28"/>
      <c r="R718" s="90"/>
      <c r="S718" s="7" t="s">
        <v>145</v>
      </c>
      <c r="T718" s="7" t="s">
        <v>2425</v>
      </c>
      <c r="U718" s="7" t="s">
        <v>20</v>
      </c>
      <c r="V718" s="24" t="e">
        <f t="shared" ca="1" si="25"/>
        <v>#NAME?</v>
      </c>
      <c r="W718" s="7"/>
      <c r="X718" s="7"/>
      <c r="Y718" s="29" t="s">
        <v>147</v>
      </c>
      <c r="Z718" s="30"/>
      <c r="AA718" s="31">
        <v>45121</v>
      </c>
      <c r="AB718" s="32">
        <v>49075100008779</v>
      </c>
      <c r="AC718" s="30"/>
      <c r="AD718" s="30"/>
      <c r="AE718" s="30"/>
      <c r="AF718" s="30"/>
      <c r="AG718" s="30"/>
      <c r="AH718" s="30"/>
      <c r="AI718" s="30"/>
      <c r="AJ718" s="30"/>
      <c r="AK718" s="30"/>
      <c r="AL718" s="30">
        <v>74859.75</v>
      </c>
      <c r="AM718" s="30">
        <v>761838.54</v>
      </c>
      <c r="AN718" s="30">
        <v>1069740.49</v>
      </c>
      <c r="AO718" s="30">
        <v>1078972.6299999999</v>
      </c>
      <c r="AP718" s="30">
        <v>1313535.01</v>
      </c>
      <c r="AQ718" s="30">
        <v>1325726.8600000001</v>
      </c>
      <c r="AR718" s="30">
        <v>1547689.79</v>
      </c>
      <c r="AS718" s="30">
        <v>1561784.18</v>
      </c>
      <c r="AT718" s="30">
        <v>1563469.43</v>
      </c>
      <c r="AU718" s="30">
        <v>1578160.53</v>
      </c>
      <c r="AV718" s="30">
        <v>1844207</v>
      </c>
      <c r="AW718" s="30">
        <v>1859652</v>
      </c>
      <c r="AX718" s="30">
        <v>1876207</v>
      </c>
      <c r="AY718" s="30">
        <v>1887818.45</v>
      </c>
      <c r="AZ718" s="30">
        <v>1902320.58</v>
      </c>
      <c r="BA718" s="30" t="e">
        <f t="array" aca="1" ref="BA718" ca="1">_xludf.XLOOKUP(C718,'PL TOTAL D0'!A:A,'PL TOTAL D0'!C:C,"")</f>
        <v>#NAME?</v>
      </c>
    </row>
    <row r="719" spans="1:53" ht="15.75" customHeight="1">
      <c r="A719" s="23" t="s">
        <v>29</v>
      </c>
      <c r="B719" s="3" t="s">
        <v>2430</v>
      </c>
      <c r="C719" s="4" t="s">
        <v>2431</v>
      </c>
      <c r="D719" s="7" t="s">
        <v>19</v>
      </c>
      <c r="E719" s="7" t="s">
        <v>34</v>
      </c>
      <c r="F719" s="7" t="s">
        <v>616</v>
      </c>
      <c r="G719" s="7" t="e">
        <f t="shared" ca="1" si="24"/>
        <v>#NAME?</v>
      </c>
      <c r="H719" s="24" t="s">
        <v>152</v>
      </c>
      <c r="I719" s="24" t="s">
        <v>25</v>
      </c>
      <c r="J719" s="7" t="str">
        <f t="shared" si="31"/>
        <v>Não</v>
      </c>
      <c r="K719" s="25">
        <v>45133</v>
      </c>
      <c r="L719" s="25"/>
      <c r="M719" s="7" t="s">
        <v>42</v>
      </c>
      <c r="N719" s="26">
        <v>1.2E-2</v>
      </c>
      <c r="O719" s="7" t="s">
        <v>25</v>
      </c>
      <c r="P719" s="27">
        <v>0</v>
      </c>
      <c r="Q719" s="90"/>
      <c r="R719" s="90"/>
      <c r="S719" s="7" t="s">
        <v>145</v>
      </c>
      <c r="T719" s="7" t="s">
        <v>2432</v>
      </c>
      <c r="U719" s="7" t="s">
        <v>60</v>
      </c>
      <c r="V719" s="24" t="e">
        <f t="shared" ca="1" si="25"/>
        <v>#NAME?</v>
      </c>
      <c r="W719" s="7"/>
      <c r="X719" s="7"/>
      <c r="Y719" s="29" t="s">
        <v>147</v>
      </c>
      <c r="Z719" s="30"/>
      <c r="AA719" s="31">
        <v>45133</v>
      </c>
      <c r="AB719" s="32">
        <v>49075100007772</v>
      </c>
      <c r="AC719" s="30"/>
      <c r="AD719" s="30"/>
      <c r="AE719" s="30"/>
      <c r="AF719" s="30"/>
      <c r="AG719" s="30"/>
      <c r="AH719" s="30"/>
      <c r="AI719" s="30"/>
      <c r="AJ719" s="30"/>
      <c r="AK719" s="30"/>
      <c r="AL719" s="30">
        <v>100133.79</v>
      </c>
      <c r="AM719" s="30">
        <v>151456.37</v>
      </c>
      <c r="AN719" s="30">
        <v>152699.95000000001</v>
      </c>
      <c r="AO719" s="30">
        <v>154046.65</v>
      </c>
      <c r="AP719" s="30">
        <v>155203.75</v>
      </c>
      <c r="AQ719" s="30">
        <v>156461.76999999999</v>
      </c>
      <c r="AR719" s="30">
        <v>157315.28</v>
      </c>
      <c r="AS719" s="30">
        <v>158558.25</v>
      </c>
      <c r="AT719" s="30">
        <v>159902.35</v>
      </c>
      <c r="AU719" s="30">
        <v>161099.12</v>
      </c>
      <c r="AV719" s="30">
        <v>162353.1</v>
      </c>
      <c r="AW719" s="30">
        <v>163642</v>
      </c>
      <c r="AX719" s="30">
        <v>164653.20000000001</v>
      </c>
      <c r="AY719" s="30">
        <v>165421.85999999999</v>
      </c>
      <c r="AZ719" s="30">
        <v>166556.74</v>
      </c>
      <c r="BA719" s="30" t="e">
        <f t="array" aca="1" ref="BA719" ca="1">_xludf.XLOOKUP(C719,'PL TOTAL D0'!A:A,'PL TOTAL D0'!C:C,"")</f>
        <v>#NAME?</v>
      </c>
    </row>
    <row r="720" spans="1:53" ht="15.75" customHeight="1">
      <c r="A720" s="23" t="s">
        <v>29</v>
      </c>
      <c r="B720" s="3" t="s">
        <v>2433</v>
      </c>
      <c r="C720" s="4" t="s">
        <v>2434</v>
      </c>
      <c r="D720" s="7" t="s">
        <v>55</v>
      </c>
      <c r="E720" s="7" t="s">
        <v>34</v>
      </c>
      <c r="F720" s="7" t="s">
        <v>2435</v>
      </c>
      <c r="G720" s="7" t="e">
        <f t="shared" ca="1" si="24"/>
        <v>#NAME?</v>
      </c>
      <c r="H720" s="24" t="s">
        <v>152</v>
      </c>
      <c r="I720" s="24" t="s">
        <v>25</v>
      </c>
      <c r="J720" s="7" t="str">
        <f t="shared" si="31"/>
        <v>Não</v>
      </c>
      <c r="K720" s="25">
        <v>45573</v>
      </c>
      <c r="L720" s="25"/>
      <c r="M720" s="7" t="s">
        <v>200</v>
      </c>
      <c r="N720" s="26">
        <v>1.4999999999999999E-2</v>
      </c>
      <c r="O720" s="7" t="s">
        <v>37</v>
      </c>
      <c r="P720" s="27">
        <v>0.1</v>
      </c>
      <c r="Q720" s="90"/>
      <c r="R720" s="90"/>
      <c r="S720" s="7" t="s">
        <v>145</v>
      </c>
      <c r="T720" s="7" t="s">
        <v>2436</v>
      </c>
      <c r="U720" s="7" t="s">
        <v>60</v>
      </c>
      <c r="V720" s="24" t="e">
        <f t="shared" ca="1" si="25"/>
        <v>#NAME?</v>
      </c>
      <c r="W720" s="7"/>
      <c r="X720" s="7" t="s">
        <v>52</v>
      </c>
      <c r="Y720" s="29"/>
      <c r="Z720" s="30"/>
      <c r="AA720" s="30"/>
      <c r="AB720" s="32"/>
      <c r="AC720" s="30"/>
      <c r="AD720" s="30"/>
      <c r="AE720" s="30"/>
      <c r="AF720" s="30"/>
      <c r="AG720" s="30"/>
      <c r="AH720" s="30"/>
      <c r="AI720" s="30"/>
      <c r="AJ720" s="30"/>
      <c r="AK720" s="30"/>
      <c r="AL720" s="30"/>
      <c r="AM720" s="30"/>
      <c r="AN720" s="30"/>
      <c r="AO720" s="30"/>
      <c r="AP720" s="30"/>
      <c r="AQ720" s="30"/>
      <c r="AR720" s="30"/>
      <c r="AS720" s="30"/>
      <c r="AT720" s="30"/>
      <c r="AU720" s="30"/>
      <c r="AV720" s="30"/>
      <c r="AW720" s="30"/>
      <c r="AX720" s="30"/>
      <c r="AY720" s="30"/>
      <c r="AZ720" s="30"/>
      <c r="BA720" s="30" t="e">
        <f t="array" aca="1" ref="BA720" ca="1">_xludf.XLOOKUP(C720,'PL TOTAL D0'!A:A,'PL TOTAL D0'!C:C,"")</f>
        <v>#NAME?</v>
      </c>
    </row>
    <row r="721" spans="1:53" ht="15.75" customHeight="1">
      <c r="A721" s="23" t="s">
        <v>29</v>
      </c>
      <c r="B721" s="75" t="s">
        <v>2437</v>
      </c>
      <c r="C721" s="44" t="s">
        <v>2438</v>
      </c>
      <c r="D721" s="7" t="s">
        <v>80</v>
      </c>
      <c r="E721" s="7" t="s">
        <v>49</v>
      </c>
      <c r="F721" s="7" t="s">
        <v>81</v>
      </c>
      <c r="G721" s="7" t="e">
        <f t="shared" ca="1" si="24"/>
        <v>#NAME?</v>
      </c>
      <c r="H721" s="24" t="s">
        <v>152</v>
      </c>
      <c r="I721" s="24" t="s">
        <v>25</v>
      </c>
      <c r="J721" s="7" t="str">
        <f t="shared" si="31"/>
        <v>Não</v>
      </c>
      <c r="K721" s="25">
        <v>45385</v>
      </c>
      <c r="L721" s="25"/>
      <c r="M721" s="7" t="s">
        <v>42</v>
      </c>
      <c r="N721" s="26">
        <v>0.01</v>
      </c>
      <c r="O721" s="7" t="s">
        <v>25</v>
      </c>
      <c r="P721" s="27">
        <v>0</v>
      </c>
      <c r="Q721" s="90"/>
      <c r="R721" s="90"/>
      <c r="S721" s="7" t="s">
        <v>145</v>
      </c>
      <c r="T721" s="12" t="s">
        <v>2439</v>
      </c>
      <c r="U721" s="7" t="s">
        <v>20</v>
      </c>
      <c r="V721" s="24" t="e">
        <f t="shared" ca="1" si="25"/>
        <v>#NAME?</v>
      </c>
      <c r="W721" s="7"/>
      <c r="X721" s="7"/>
      <c r="Y721" s="29" t="s">
        <v>147</v>
      </c>
      <c r="Z721" s="30"/>
      <c r="AA721" s="31">
        <v>45385</v>
      </c>
      <c r="AB721" s="32">
        <v>49075100014159</v>
      </c>
      <c r="AC721" s="30"/>
      <c r="AD721" s="30"/>
      <c r="AE721" s="30"/>
      <c r="AF721" s="30"/>
      <c r="AG721" s="30"/>
      <c r="AH721" s="30"/>
      <c r="AI721" s="30"/>
      <c r="AJ721" s="30"/>
      <c r="AK721" s="30"/>
      <c r="AL721" s="30"/>
      <c r="AM721" s="30"/>
      <c r="AN721" s="30"/>
      <c r="AO721" s="30"/>
      <c r="AP721" s="30"/>
      <c r="AQ721" s="30"/>
      <c r="AR721" s="30"/>
      <c r="AS721" s="30"/>
      <c r="AT721" s="30"/>
      <c r="AU721" s="30">
        <v>273459.23</v>
      </c>
      <c r="AV721" s="30">
        <v>275837.8</v>
      </c>
      <c r="AW721" s="30">
        <v>278257.3</v>
      </c>
      <c r="AX721" s="30">
        <v>431821.2</v>
      </c>
      <c r="AY721" s="30">
        <v>436011.94</v>
      </c>
      <c r="AZ721" s="30">
        <v>438066.44</v>
      </c>
      <c r="BA721" s="30" t="e">
        <f t="array" aca="1" ref="BA721" ca="1">_xludf.XLOOKUP(C721,'PL TOTAL D0'!A:A,'PL TOTAL D0'!C:C,"")</f>
        <v>#NAME?</v>
      </c>
    </row>
    <row r="722" spans="1:53" ht="15.75" customHeight="1">
      <c r="A722" s="23" t="s">
        <v>29</v>
      </c>
      <c r="B722" s="23" t="s">
        <v>2440</v>
      </c>
      <c r="C722" s="44" t="s">
        <v>2441</v>
      </c>
      <c r="D722" s="7" t="s">
        <v>19</v>
      </c>
      <c r="E722" s="7" t="s">
        <v>20</v>
      </c>
      <c r="F722" s="7" t="s">
        <v>269</v>
      </c>
      <c r="G722" s="7" t="e">
        <f t="shared" ca="1" si="24"/>
        <v>#NAME?</v>
      </c>
      <c r="H722" s="24" t="s">
        <v>161</v>
      </c>
      <c r="I722" s="24" t="s">
        <v>211</v>
      </c>
      <c r="J722" s="7" t="str">
        <f t="shared" si="31"/>
        <v>Não</v>
      </c>
      <c r="K722" s="25">
        <v>45369</v>
      </c>
      <c r="L722" s="25"/>
      <c r="M722" s="7" t="s">
        <v>200</v>
      </c>
      <c r="N722" s="26">
        <v>1.4999999999999999E-2</v>
      </c>
      <c r="O722" s="7" t="s">
        <v>37</v>
      </c>
      <c r="P722" s="27">
        <v>0.2</v>
      </c>
      <c r="Q722" s="28"/>
      <c r="R722" s="90"/>
      <c r="S722" s="7" t="s">
        <v>145</v>
      </c>
      <c r="T722" s="7" t="s">
        <v>2442</v>
      </c>
      <c r="U722" s="7" t="s">
        <v>20</v>
      </c>
      <c r="V722" s="24" t="e">
        <f t="shared" ca="1" si="25"/>
        <v>#NAME?</v>
      </c>
      <c r="W722" s="7"/>
      <c r="X722" s="7" t="s">
        <v>52</v>
      </c>
      <c r="Y722" s="29" t="s">
        <v>147</v>
      </c>
      <c r="Z722" s="30"/>
      <c r="AA722" s="31">
        <v>45369</v>
      </c>
      <c r="AB722" s="32">
        <v>49075100013888</v>
      </c>
      <c r="AC722" s="30"/>
      <c r="AD722" s="30"/>
      <c r="AE722" s="30"/>
      <c r="AF722" s="30"/>
      <c r="AG722" s="30"/>
      <c r="AH722" s="30"/>
      <c r="AI722" s="30"/>
      <c r="AJ722" s="30"/>
      <c r="AK722" s="30"/>
      <c r="AL722" s="30"/>
      <c r="AM722" s="30"/>
      <c r="AN722" s="30"/>
      <c r="AO722" s="30"/>
      <c r="AP722" s="30"/>
      <c r="AQ722" s="30"/>
      <c r="AR722" s="30"/>
      <c r="AS722" s="30"/>
      <c r="AT722" s="30">
        <v>150736.95000000001</v>
      </c>
      <c r="AU722" s="30">
        <v>149844.48000000001</v>
      </c>
      <c r="AV722" s="30">
        <v>149396.4</v>
      </c>
      <c r="AW722" s="30">
        <v>257557.2</v>
      </c>
      <c r="AX722" s="30">
        <v>381648.1</v>
      </c>
      <c r="AY722" s="30">
        <v>400364.99</v>
      </c>
      <c r="AZ722" s="30">
        <v>0</v>
      </c>
      <c r="BA722" s="30" t="e">
        <f t="array" aca="1" ref="BA722" ca="1">_xludf.XLOOKUP(C722,'PL TOTAL D0'!A:A,'PL TOTAL D0'!C:C,"")</f>
        <v>#NAME?</v>
      </c>
    </row>
    <row r="723" spans="1:53" ht="15.75" customHeight="1">
      <c r="A723" s="23" t="s">
        <v>29</v>
      </c>
      <c r="B723" s="23" t="s">
        <v>2440</v>
      </c>
      <c r="C723" s="44" t="s">
        <v>2443</v>
      </c>
      <c r="D723" s="7" t="s">
        <v>19</v>
      </c>
      <c r="E723" s="7" t="s">
        <v>20</v>
      </c>
      <c r="F723" s="7" t="s">
        <v>269</v>
      </c>
      <c r="G723" s="7" t="e">
        <f t="shared" ca="1" si="24"/>
        <v>#NAME?</v>
      </c>
      <c r="H723" s="24" t="s">
        <v>161</v>
      </c>
      <c r="I723" s="24" t="s">
        <v>211</v>
      </c>
      <c r="J723" s="7" t="str">
        <f t="shared" si="31"/>
        <v>Não</v>
      </c>
      <c r="K723" s="25">
        <v>45463</v>
      </c>
      <c r="L723" s="25"/>
      <c r="M723" s="7" t="s">
        <v>31</v>
      </c>
      <c r="N723" s="26">
        <v>0</v>
      </c>
      <c r="O723" s="7" t="s">
        <v>25</v>
      </c>
      <c r="P723" s="27">
        <v>0</v>
      </c>
      <c r="Q723" s="90"/>
      <c r="R723" s="90"/>
      <c r="S723" s="7" t="s">
        <v>145</v>
      </c>
      <c r="T723" s="7" t="s">
        <v>2442</v>
      </c>
      <c r="U723" s="7" t="s">
        <v>20</v>
      </c>
      <c r="V723" s="24" t="e">
        <f t="shared" ca="1" si="25"/>
        <v>#NAME?</v>
      </c>
      <c r="W723" s="7"/>
      <c r="X723" s="7" t="s">
        <v>52</v>
      </c>
      <c r="Y723" s="29" t="s">
        <v>147</v>
      </c>
      <c r="Z723" s="30"/>
      <c r="AA723" s="31">
        <v>45463</v>
      </c>
      <c r="AB723" s="32">
        <v>49075100014892</v>
      </c>
      <c r="AC723" s="30"/>
      <c r="AD723" s="30"/>
      <c r="AE723" s="30"/>
      <c r="AF723" s="30"/>
      <c r="AG723" s="30"/>
      <c r="AH723" s="30"/>
      <c r="AI723" s="30"/>
      <c r="AJ723" s="30"/>
      <c r="AK723" s="30"/>
      <c r="AL723" s="30"/>
      <c r="AM723" s="30"/>
      <c r="AN723" s="30"/>
      <c r="AO723" s="30"/>
      <c r="AP723" s="30"/>
      <c r="AQ723" s="30"/>
      <c r="AR723" s="30"/>
      <c r="AS723" s="30"/>
      <c r="AT723" s="30"/>
      <c r="AU723" s="30"/>
      <c r="AV723" s="30"/>
      <c r="AW723" s="30">
        <v>0</v>
      </c>
      <c r="AX723" s="30">
        <v>1407426</v>
      </c>
      <c r="AY723" s="30">
        <v>1417853.46</v>
      </c>
      <c r="AZ723" s="30">
        <v>0</v>
      </c>
      <c r="BA723" s="30" t="e">
        <f t="array" aca="1" ref="BA723" ca="1">_xludf.XLOOKUP(C723,'PL TOTAL D0'!A:A,'PL TOTAL D0'!C:C,"")</f>
        <v>#NAME?</v>
      </c>
    </row>
    <row r="724" spans="1:53" ht="15.75" customHeight="1">
      <c r="A724" s="23" t="s">
        <v>29</v>
      </c>
      <c r="B724" s="23" t="s">
        <v>2444</v>
      </c>
      <c r="C724" s="44" t="s">
        <v>2445</v>
      </c>
      <c r="D724" s="7" t="s">
        <v>64</v>
      </c>
      <c r="E724" s="7" t="s">
        <v>20</v>
      </c>
      <c r="F724" s="7" t="s">
        <v>489</v>
      </c>
      <c r="G724" s="7" t="e">
        <f t="shared" ca="1" si="24"/>
        <v>#NAME?</v>
      </c>
      <c r="H724" s="24" t="s">
        <v>143</v>
      </c>
      <c r="I724" s="24" t="s">
        <v>25</v>
      </c>
      <c r="J724" s="7" t="s">
        <v>181</v>
      </c>
      <c r="K724" s="25">
        <v>45359</v>
      </c>
      <c r="L724" s="25">
        <v>45517</v>
      </c>
      <c r="M724" s="7" t="s">
        <v>350</v>
      </c>
      <c r="N724" s="26">
        <v>8.0000000000000002E-3</v>
      </c>
      <c r="O724" s="7" t="s">
        <v>25</v>
      </c>
      <c r="P724" s="27">
        <v>0</v>
      </c>
      <c r="Q724" s="90"/>
      <c r="R724" s="138" t="s">
        <v>702</v>
      </c>
      <c r="S724" s="7" t="s">
        <v>145</v>
      </c>
      <c r="T724" s="7" t="s">
        <v>2446</v>
      </c>
      <c r="U724" s="7"/>
      <c r="V724" s="24" t="e">
        <f t="shared" ca="1" si="25"/>
        <v>#NAME?</v>
      </c>
      <c r="W724" s="7"/>
      <c r="X724" s="7"/>
      <c r="Y724" s="29"/>
      <c r="Z724" s="30"/>
      <c r="AA724" s="31">
        <v>45359</v>
      </c>
      <c r="AB724" s="32">
        <v>49075100013950</v>
      </c>
      <c r="AC724" s="30"/>
      <c r="AD724" s="30"/>
      <c r="AE724" s="30"/>
      <c r="AF724" s="30"/>
      <c r="AG724" s="30"/>
      <c r="AH724" s="30"/>
      <c r="AI724" s="30"/>
      <c r="AJ724" s="30"/>
      <c r="AK724" s="30"/>
      <c r="AL724" s="30"/>
      <c r="AM724" s="30"/>
      <c r="AN724" s="30"/>
      <c r="AO724" s="30"/>
      <c r="AP724" s="30"/>
      <c r="AQ724" s="30"/>
      <c r="AR724" s="30"/>
      <c r="AS724" s="30"/>
      <c r="AT724" s="30">
        <v>1047159.73</v>
      </c>
      <c r="AU724" s="30">
        <v>1247593.5</v>
      </c>
      <c r="AV724" s="30">
        <v>2000171</v>
      </c>
      <c r="AW724" s="30">
        <v>1983042</v>
      </c>
      <c r="AX724" s="30">
        <v>0</v>
      </c>
      <c r="AY724" s="30">
        <v>0</v>
      </c>
      <c r="AZ724" s="30">
        <v>0</v>
      </c>
      <c r="BA724" s="30" t="e">
        <f t="array" aca="1" ref="BA724" ca="1">_xludf.XLOOKUP(C724,'PL TOTAL D0'!A:A,'PL TOTAL D0'!C:C,"")</f>
        <v>#NAME?</v>
      </c>
    </row>
    <row r="725" spans="1:53" ht="15.75" customHeight="1">
      <c r="A725" s="23" t="s">
        <v>29</v>
      </c>
      <c r="B725" s="3" t="s">
        <v>2447</v>
      </c>
      <c r="C725" s="4" t="s">
        <v>2448</v>
      </c>
      <c r="D725" s="7" t="s">
        <v>19</v>
      </c>
      <c r="E725" s="7" t="s">
        <v>49</v>
      </c>
      <c r="F725" s="7" t="s">
        <v>50</v>
      </c>
      <c r="G725" s="7" t="e">
        <f t="shared" ca="1" si="24"/>
        <v>#NAME?</v>
      </c>
      <c r="H725" s="24" t="s">
        <v>152</v>
      </c>
      <c r="I725" s="24" t="s">
        <v>25</v>
      </c>
      <c r="J725" s="7" t="str">
        <f t="shared" ref="J725:J760" si="32">IF(Q725=0,"Não","Sim")</f>
        <v>Não</v>
      </c>
      <c r="K725" s="25">
        <v>44949</v>
      </c>
      <c r="L725" s="7"/>
      <c r="M725" s="7" t="s">
        <v>215</v>
      </c>
      <c r="N725" s="26">
        <v>1.4999999999999999E-2</v>
      </c>
      <c r="O725" s="7" t="s">
        <v>37</v>
      </c>
      <c r="P725" s="27">
        <v>0.1</v>
      </c>
      <c r="Q725" s="28"/>
      <c r="R725" s="181" t="s">
        <v>2449</v>
      </c>
      <c r="S725" s="7" t="s">
        <v>145</v>
      </c>
      <c r="T725" s="7" t="s">
        <v>2450</v>
      </c>
      <c r="U725" s="7" t="s">
        <v>1245</v>
      </c>
      <c r="V725" s="24" t="e">
        <f t="shared" ca="1" si="25"/>
        <v>#NAME?</v>
      </c>
      <c r="W725" s="7"/>
      <c r="X725" s="7"/>
      <c r="Y725" s="29" t="s">
        <v>253</v>
      </c>
      <c r="Z725" s="30"/>
      <c r="AA725" s="31">
        <v>44949</v>
      </c>
      <c r="AB725" s="32">
        <v>49075100006350</v>
      </c>
      <c r="AC725" s="30"/>
      <c r="AD725" s="30"/>
      <c r="AE725" s="30"/>
      <c r="AF725" s="30">
        <v>518746.89</v>
      </c>
      <c r="AG725" s="30">
        <v>522921.32</v>
      </c>
      <c r="AH725" s="30">
        <v>266412.32</v>
      </c>
      <c r="AI725" s="30">
        <v>404393.62</v>
      </c>
      <c r="AJ725" s="30">
        <v>408190.6</v>
      </c>
      <c r="AK725" s="30">
        <v>412192.57</v>
      </c>
      <c r="AL725" s="30">
        <v>483870.82</v>
      </c>
      <c r="AM725" s="30">
        <v>487362.75</v>
      </c>
      <c r="AN725" s="30">
        <v>506159.39</v>
      </c>
      <c r="AO725" s="30">
        <v>526109.94999999995</v>
      </c>
      <c r="AP725" s="30">
        <v>532554.43999999994</v>
      </c>
      <c r="AQ725" s="30">
        <v>536225.61</v>
      </c>
      <c r="AR725" s="30">
        <v>550339.07999999996</v>
      </c>
      <c r="AS725" s="30">
        <v>603676.81000000006</v>
      </c>
      <c r="AT725" s="30">
        <v>608996.41</v>
      </c>
      <c r="AU725" s="30">
        <v>607133.75</v>
      </c>
      <c r="AV725" s="30">
        <v>624243.9</v>
      </c>
      <c r="AW725" s="30">
        <v>626972.69999999995</v>
      </c>
      <c r="AX725" s="30">
        <v>632638.6</v>
      </c>
      <c r="AY725" s="30">
        <v>537441.1</v>
      </c>
      <c r="AZ725" s="30">
        <v>578581.23</v>
      </c>
      <c r="BA725" s="30" t="e">
        <f t="array" aca="1" ref="BA725" ca="1">_xludf.XLOOKUP(C725,'PL TOTAL D0'!A:A,'PL TOTAL D0'!C:C,"")</f>
        <v>#NAME?</v>
      </c>
    </row>
    <row r="726" spans="1:53" ht="15.75" customHeight="1">
      <c r="A726" s="23" t="s">
        <v>29</v>
      </c>
      <c r="B726" s="3" t="s">
        <v>2451</v>
      </c>
      <c r="C726" s="4" t="s">
        <v>2452</v>
      </c>
      <c r="D726" s="7" t="s">
        <v>19</v>
      </c>
      <c r="E726" s="7" t="s">
        <v>34</v>
      </c>
      <c r="F726" s="7" t="s">
        <v>262</v>
      </c>
      <c r="G726" s="7" t="e">
        <f t="shared" ca="1" si="24"/>
        <v>#NAME?</v>
      </c>
      <c r="H726" s="24" t="s">
        <v>152</v>
      </c>
      <c r="I726" s="24" t="s">
        <v>25</v>
      </c>
      <c r="J726" s="7" t="str">
        <f t="shared" si="32"/>
        <v>Não</v>
      </c>
      <c r="K726" s="25">
        <v>45127</v>
      </c>
      <c r="L726" s="25"/>
      <c r="M726" s="7" t="s">
        <v>87</v>
      </c>
      <c r="N726" s="26">
        <v>2.5000000000000001E-2</v>
      </c>
      <c r="O726" s="7" t="s">
        <v>183</v>
      </c>
      <c r="P726" s="27">
        <v>0.2</v>
      </c>
      <c r="Q726" s="90"/>
      <c r="R726" s="90"/>
      <c r="S726" s="7" t="s">
        <v>145</v>
      </c>
      <c r="T726" s="7" t="s">
        <v>2453</v>
      </c>
      <c r="U726" s="7" t="s">
        <v>39</v>
      </c>
      <c r="V726" s="24" t="e">
        <f t="shared" ca="1" si="25"/>
        <v>#NAME?</v>
      </c>
      <c r="W726" s="7"/>
      <c r="X726" s="7"/>
      <c r="Y726" s="29" t="s">
        <v>147</v>
      </c>
      <c r="Z726" s="30"/>
      <c r="AA726" s="31">
        <v>45127</v>
      </c>
      <c r="AB726" s="32">
        <v>49075100008906</v>
      </c>
      <c r="AC726" s="30"/>
      <c r="AD726" s="30"/>
      <c r="AE726" s="30"/>
      <c r="AF726" s="30"/>
      <c r="AG726" s="30"/>
      <c r="AH726" s="30"/>
      <c r="AI726" s="30">
        <v>0</v>
      </c>
      <c r="AJ726" s="30">
        <v>0</v>
      </c>
      <c r="AK726" s="30">
        <v>0</v>
      </c>
      <c r="AL726" s="30">
        <v>90215.35</v>
      </c>
      <c r="AM726" s="30">
        <v>88981.6</v>
      </c>
      <c r="AN726" s="30">
        <v>86715.3</v>
      </c>
      <c r="AO726" s="30">
        <v>82767.94</v>
      </c>
      <c r="AP726" s="30">
        <v>88841.29</v>
      </c>
      <c r="AQ726" s="30">
        <v>93152.33</v>
      </c>
      <c r="AR726" s="30">
        <v>86866.71</v>
      </c>
      <c r="AS726" s="30">
        <v>87808.38</v>
      </c>
      <c r="AT726" s="30">
        <v>89216.53</v>
      </c>
      <c r="AU726" s="30">
        <v>85486.3</v>
      </c>
      <c r="AV726" s="30">
        <v>83722.070000000007</v>
      </c>
      <c r="AW726" s="30">
        <v>83708.3</v>
      </c>
      <c r="AX726" s="30">
        <v>145554.29999999999</v>
      </c>
      <c r="AY726" s="30">
        <v>147045.14000000001</v>
      </c>
      <c r="AZ726" s="30">
        <v>146061.66</v>
      </c>
      <c r="BA726" s="30" t="e">
        <f t="array" aca="1" ref="BA726" ca="1">_xludf.XLOOKUP(C726,'PL TOTAL D0'!A:A,'PL TOTAL D0'!C:C,"")</f>
        <v>#NAME?</v>
      </c>
    </row>
    <row r="727" spans="1:53" ht="15.75" customHeight="1">
      <c r="A727" s="23" t="s">
        <v>29</v>
      </c>
      <c r="B727" s="3" t="s">
        <v>2454</v>
      </c>
      <c r="C727" s="4" t="s">
        <v>2455</v>
      </c>
      <c r="D727" s="7" t="s">
        <v>19</v>
      </c>
      <c r="E727" s="7" t="s">
        <v>20</v>
      </c>
      <c r="F727" s="7" t="s">
        <v>199</v>
      </c>
      <c r="G727" s="7" t="e">
        <f t="shared" ca="1" si="24"/>
        <v>#NAME?</v>
      </c>
      <c r="H727" s="24" t="s">
        <v>161</v>
      </c>
      <c r="I727" s="24" t="s">
        <v>162</v>
      </c>
      <c r="J727" s="7" t="str">
        <f t="shared" si="32"/>
        <v>Não</v>
      </c>
      <c r="K727" s="25">
        <v>45042</v>
      </c>
      <c r="L727" s="7"/>
      <c r="M727" s="7" t="s">
        <v>200</v>
      </c>
      <c r="N727" s="26">
        <v>1.4999999999999999E-2</v>
      </c>
      <c r="O727" s="7" t="s">
        <v>37</v>
      </c>
      <c r="P727" s="27">
        <v>0.1</v>
      </c>
      <c r="Q727" s="90"/>
      <c r="R727" s="90"/>
      <c r="S727" s="7" t="s">
        <v>145</v>
      </c>
      <c r="T727" s="7" t="s">
        <v>2456</v>
      </c>
      <c r="U727" s="7" t="s">
        <v>20</v>
      </c>
      <c r="V727" s="24" t="e">
        <f t="shared" ca="1" si="25"/>
        <v>#NAME?</v>
      </c>
      <c r="W727" s="7"/>
      <c r="X727" s="7"/>
      <c r="Y727" s="29" t="s">
        <v>147</v>
      </c>
      <c r="Z727" s="30"/>
      <c r="AA727" s="31">
        <v>45042</v>
      </c>
      <c r="AB727" s="32">
        <v>49075100007926</v>
      </c>
      <c r="AC727" s="30"/>
      <c r="AD727" s="30"/>
      <c r="AE727" s="30"/>
      <c r="AF727" s="30"/>
      <c r="AG727" s="30"/>
      <c r="AH727" s="30"/>
      <c r="AI727" s="30">
        <v>138047.59</v>
      </c>
      <c r="AJ727" s="30">
        <v>139372.91</v>
      </c>
      <c r="AK727" s="30">
        <v>143006.24</v>
      </c>
      <c r="AL727" s="30">
        <v>146285.25</v>
      </c>
      <c r="AM727" s="30">
        <v>145052.98000000001</v>
      </c>
      <c r="AN727" s="30">
        <v>145422.56</v>
      </c>
      <c r="AO727" s="30">
        <v>145078.47</v>
      </c>
      <c r="AP727" s="30">
        <v>148501.51999999999</v>
      </c>
      <c r="AQ727" s="30">
        <v>151527.69</v>
      </c>
      <c r="AR727" s="30">
        <v>148221.34</v>
      </c>
      <c r="AS727" s="30">
        <v>149227.1</v>
      </c>
      <c r="AT727" s="30">
        <v>150464.07</v>
      </c>
      <c r="AU727" s="30">
        <v>148686.62</v>
      </c>
      <c r="AV727" s="30">
        <v>359.35</v>
      </c>
      <c r="AW727" s="30">
        <v>367.42</v>
      </c>
      <c r="AX727" s="30">
        <v>293.08</v>
      </c>
      <c r="AY727" s="30">
        <v>216.74</v>
      </c>
      <c r="AZ727" s="30">
        <v>181.89</v>
      </c>
      <c r="BA727" s="30" t="e">
        <f t="array" aca="1" ref="BA727" ca="1">_xludf.XLOOKUP(C727,'PL TOTAL D0'!A:A,'PL TOTAL D0'!C:C,"")</f>
        <v>#NAME?</v>
      </c>
    </row>
    <row r="728" spans="1:53" ht="15.75" customHeight="1">
      <c r="A728" s="23" t="s">
        <v>29</v>
      </c>
      <c r="B728" s="3" t="s">
        <v>2457</v>
      </c>
      <c r="C728" s="4" t="s">
        <v>2458</v>
      </c>
      <c r="D728" s="7" t="s">
        <v>19</v>
      </c>
      <c r="E728" s="7" t="s">
        <v>49</v>
      </c>
      <c r="F728" s="7" t="s">
        <v>328</v>
      </c>
      <c r="G728" s="7" t="e">
        <f t="shared" ca="1" si="24"/>
        <v>#NAME?</v>
      </c>
      <c r="H728" s="24" t="s">
        <v>161</v>
      </c>
      <c r="I728" s="24" t="s">
        <v>162</v>
      </c>
      <c r="J728" s="7" t="str">
        <f t="shared" si="32"/>
        <v>Não</v>
      </c>
      <c r="K728" s="25">
        <v>45163</v>
      </c>
      <c r="L728" s="25"/>
      <c r="M728" s="7" t="s">
        <v>42</v>
      </c>
      <c r="N728" s="26">
        <v>1.2E-2</v>
      </c>
      <c r="O728" s="7" t="s">
        <v>25</v>
      </c>
      <c r="P728" s="27">
        <v>0</v>
      </c>
      <c r="Q728" s="90"/>
      <c r="R728" s="28" t="s">
        <v>1502</v>
      </c>
      <c r="S728" s="7" t="s">
        <v>145</v>
      </c>
      <c r="T728" s="7" t="s">
        <v>2459</v>
      </c>
      <c r="U728" s="7" t="s">
        <v>20</v>
      </c>
      <c r="V728" s="24" t="e">
        <f t="shared" ca="1" si="25"/>
        <v>#NAME?</v>
      </c>
      <c r="W728" s="7"/>
      <c r="X728" s="7"/>
      <c r="Y728" s="29" t="s">
        <v>147</v>
      </c>
      <c r="Z728" s="30"/>
      <c r="AA728" s="31">
        <v>45163</v>
      </c>
      <c r="AB728" s="32">
        <v>49075100011923</v>
      </c>
      <c r="AC728" s="30"/>
      <c r="AD728" s="30"/>
      <c r="AE728" s="30"/>
      <c r="AF728" s="30"/>
      <c r="AG728" s="30"/>
      <c r="AH728" s="30">
        <v>0</v>
      </c>
      <c r="AI728" s="30">
        <v>0</v>
      </c>
      <c r="AJ728" s="30">
        <v>0</v>
      </c>
      <c r="AK728" s="30">
        <v>0</v>
      </c>
      <c r="AL728" s="30">
        <v>0</v>
      </c>
      <c r="AM728" s="30">
        <v>0</v>
      </c>
      <c r="AN728" s="30">
        <v>0</v>
      </c>
      <c r="AO728" s="30">
        <v>0</v>
      </c>
      <c r="AP728" s="30">
        <v>0</v>
      </c>
      <c r="AQ728" s="30">
        <v>0</v>
      </c>
      <c r="AR728" s="30">
        <v>0</v>
      </c>
      <c r="AS728" s="30">
        <v>0</v>
      </c>
      <c r="AT728" s="30">
        <v>0</v>
      </c>
      <c r="AU728" s="30">
        <v>0</v>
      </c>
      <c r="AV728" s="30">
        <v>0</v>
      </c>
      <c r="AW728" s="30">
        <v>0</v>
      </c>
      <c r="AX728" s="30">
        <v>0</v>
      </c>
      <c r="AY728" s="30">
        <v>0</v>
      </c>
      <c r="AZ728" s="30">
        <v>0</v>
      </c>
      <c r="BA728" s="30" t="e">
        <f t="array" aca="1" ref="BA728" ca="1">_xludf.XLOOKUP(C728,'PL TOTAL D0'!A:A,'PL TOTAL D0'!C:C,"")</f>
        <v>#NAME?</v>
      </c>
    </row>
    <row r="729" spans="1:53" ht="15.75" customHeight="1">
      <c r="A729" s="23" t="s">
        <v>29</v>
      </c>
      <c r="B729" s="3" t="s">
        <v>2460</v>
      </c>
      <c r="C729" s="4" t="s">
        <v>2461</v>
      </c>
      <c r="D729" s="7" t="s">
        <v>64</v>
      </c>
      <c r="E729" s="7" t="s">
        <v>20</v>
      </c>
      <c r="F729" s="7" t="s">
        <v>289</v>
      </c>
      <c r="G729" s="7" t="e">
        <f t="shared" ca="1" si="24"/>
        <v>#NAME?</v>
      </c>
      <c r="H729" s="24" t="s">
        <v>161</v>
      </c>
      <c r="I729" s="24" t="s">
        <v>211</v>
      </c>
      <c r="J729" s="7" t="str">
        <f t="shared" si="32"/>
        <v>Não</v>
      </c>
      <c r="K729" s="25">
        <v>45464</v>
      </c>
      <c r="L729" s="25"/>
      <c r="M729" s="7" t="s">
        <v>42</v>
      </c>
      <c r="N729" s="26">
        <v>1.2E-2</v>
      </c>
      <c r="O729" s="7" t="s">
        <v>25</v>
      </c>
      <c r="P729" s="27">
        <v>0</v>
      </c>
      <c r="Q729" s="28"/>
      <c r="R729" s="28"/>
      <c r="S729" s="7" t="s">
        <v>145</v>
      </c>
      <c r="T729" s="7" t="s">
        <v>2462</v>
      </c>
      <c r="U729" s="7" t="s">
        <v>20</v>
      </c>
      <c r="V729" s="24" t="e">
        <f t="shared" ca="1" si="25"/>
        <v>#NAME?</v>
      </c>
      <c r="W729" s="7"/>
      <c r="X729" s="7" t="s">
        <v>52</v>
      </c>
      <c r="Y729" s="29"/>
      <c r="Z729" s="30"/>
      <c r="AA729" s="31">
        <v>45464</v>
      </c>
      <c r="AB729" s="32">
        <v>49075100015228</v>
      </c>
      <c r="AC729" s="30"/>
      <c r="AD729" s="30"/>
      <c r="AE729" s="30"/>
      <c r="AF729" s="30"/>
      <c r="AG729" s="30"/>
      <c r="AH729" s="30"/>
      <c r="AI729" s="30"/>
      <c r="AJ729" s="30"/>
      <c r="AK729" s="30"/>
      <c r="AL729" s="30"/>
      <c r="AM729" s="30"/>
      <c r="AN729" s="30"/>
      <c r="AO729" s="30"/>
      <c r="AP729" s="30"/>
      <c r="AQ729" s="30"/>
      <c r="AR729" s="30"/>
      <c r="AS729" s="30"/>
      <c r="AT729" s="30"/>
      <c r="AU729" s="30"/>
      <c r="AV729" s="30"/>
      <c r="AW729" s="30">
        <v>880804.3</v>
      </c>
      <c r="AX729" s="30">
        <v>888970.8</v>
      </c>
      <c r="AY729" s="30">
        <v>0</v>
      </c>
      <c r="AZ729" s="30">
        <v>0</v>
      </c>
      <c r="BA729" s="30" t="e">
        <f t="array" aca="1" ref="BA729" ca="1">_xludf.XLOOKUP(C729,'PL TOTAL D0'!A:A,'PL TOTAL D0'!C:C,"")</f>
        <v>#NAME?</v>
      </c>
    </row>
    <row r="730" spans="1:53" ht="15.75" customHeight="1">
      <c r="A730" s="23" t="s">
        <v>29</v>
      </c>
      <c r="B730" s="37" t="s">
        <v>2463</v>
      </c>
      <c r="C730" s="4" t="s">
        <v>2464</v>
      </c>
      <c r="D730" s="7" t="s">
        <v>19</v>
      </c>
      <c r="E730" s="7" t="s">
        <v>49</v>
      </c>
      <c r="F730" s="7" t="s">
        <v>50</v>
      </c>
      <c r="G730" s="7" t="e">
        <f t="shared" ca="1" si="24"/>
        <v>#NAME?</v>
      </c>
      <c r="H730" s="24" t="s">
        <v>152</v>
      </c>
      <c r="I730" s="24" t="s">
        <v>25</v>
      </c>
      <c r="J730" s="7" t="str">
        <f t="shared" si="32"/>
        <v>Não</v>
      </c>
      <c r="K730" s="25">
        <v>45027</v>
      </c>
      <c r="L730" s="7"/>
      <c r="M730" s="7" t="s">
        <v>42</v>
      </c>
      <c r="N730" s="26">
        <v>1.2E-2</v>
      </c>
      <c r="O730" s="7" t="s">
        <v>25</v>
      </c>
      <c r="P730" s="27">
        <v>0</v>
      </c>
      <c r="Q730" s="90"/>
      <c r="R730" s="90"/>
      <c r="S730" s="7" t="s">
        <v>145</v>
      </c>
      <c r="T730" s="7" t="s">
        <v>2465</v>
      </c>
      <c r="U730" s="7" t="s">
        <v>1245</v>
      </c>
      <c r="V730" s="24" t="e">
        <f t="shared" ca="1" si="25"/>
        <v>#NAME?</v>
      </c>
      <c r="W730" s="7"/>
      <c r="X730" s="7"/>
      <c r="Y730" s="29" t="s">
        <v>147</v>
      </c>
      <c r="Z730" s="30"/>
      <c r="AA730" s="31">
        <v>45027</v>
      </c>
      <c r="AB730" s="32">
        <v>49075100012806</v>
      </c>
      <c r="AC730" s="30"/>
      <c r="AD730" s="30"/>
      <c r="AE730" s="30"/>
      <c r="AF730" s="30"/>
      <c r="AG730" s="30"/>
      <c r="AH730" s="30">
        <v>0</v>
      </c>
      <c r="AI730" s="30">
        <v>215468.62</v>
      </c>
      <c r="AJ730" s="30">
        <v>217477.55</v>
      </c>
      <c r="AK730" s="30">
        <v>219227.81</v>
      </c>
      <c r="AL730" s="30">
        <v>320715.33</v>
      </c>
      <c r="AM730" s="30">
        <v>349171.08</v>
      </c>
      <c r="AN730" s="30">
        <v>351580.87</v>
      </c>
      <c r="AO730" s="30">
        <v>354443.63</v>
      </c>
      <c r="AP730" s="30">
        <v>356843.49</v>
      </c>
      <c r="AQ730" s="30">
        <v>359473.07</v>
      </c>
      <c r="AR730" s="30">
        <v>362690.15</v>
      </c>
      <c r="AS730" s="30">
        <v>365407.73</v>
      </c>
      <c r="AT730" s="30">
        <v>368641.85</v>
      </c>
      <c r="AU730" s="30">
        <v>371454.71</v>
      </c>
      <c r="AV730" s="30">
        <v>374341.3</v>
      </c>
      <c r="AW730" s="30">
        <v>377216.4</v>
      </c>
      <c r="AX730" s="30">
        <v>378065.5</v>
      </c>
      <c r="AY730" s="30">
        <v>378629.62</v>
      </c>
      <c r="AZ730" s="30">
        <v>378209.97</v>
      </c>
      <c r="BA730" s="30" t="e">
        <f t="array" aca="1" ref="BA730" ca="1">_xludf.XLOOKUP(C730,'PL TOTAL D0'!A:A,'PL TOTAL D0'!C:C,"")</f>
        <v>#NAME?</v>
      </c>
    </row>
    <row r="731" spans="1:53" ht="15.75" customHeight="1">
      <c r="A731" s="23" t="s">
        <v>29</v>
      </c>
      <c r="B731" s="3" t="s">
        <v>2466</v>
      </c>
      <c r="C731" s="4" t="s">
        <v>2467</v>
      </c>
      <c r="D731" s="7" t="s">
        <v>64</v>
      </c>
      <c r="E731" s="7" t="s">
        <v>20</v>
      </c>
      <c r="F731" s="7" t="s">
        <v>142</v>
      </c>
      <c r="G731" s="7" t="e">
        <f t="shared" ca="1" si="24"/>
        <v>#NAME?</v>
      </c>
      <c r="H731" s="24" t="s">
        <v>143</v>
      </c>
      <c r="I731" s="24" t="s">
        <v>25</v>
      </c>
      <c r="J731" s="7" t="str">
        <f t="shared" si="32"/>
        <v>Não</v>
      </c>
      <c r="K731" s="25">
        <v>45124</v>
      </c>
      <c r="L731" s="25">
        <v>45513</v>
      </c>
      <c r="M731" s="7" t="s">
        <v>2468</v>
      </c>
      <c r="N731" s="26">
        <v>1.4E-2</v>
      </c>
      <c r="O731" s="7" t="s">
        <v>37</v>
      </c>
      <c r="P731" s="27">
        <v>0.1</v>
      </c>
      <c r="Q731" s="45"/>
      <c r="R731" s="45" t="s">
        <v>309</v>
      </c>
      <c r="S731" s="7" t="s">
        <v>145</v>
      </c>
      <c r="T731" s="7" t="s">
        <v>2469</v>
      </c>
      <c r="U731" s="7" t="s">
        <v>20</v>
      </c>
      <c r="V731" s="24" t="e">
        <f t="shared" ca="1" si="25"/>
        <v>#NAME?</v>
      </c>
      <c r="W731" s="7"/>
      <c r="X731" s="7"/>
      <c r="Y731" s="29" t="s">
        <v>253</v>
      </c>
      <c r="Z731" s="30"/>
      <c r="AA731" s="31">
        <v>45124</v>
      </c>
      <c r="AB731" s="32">
        <v>49075100005834</v>
      </c>
      <c r="AC731" s="30"/>
      <c r="AD731" s="30"/>
      <c r="AE731" s="30"/>
      <c r="AF731" s="30"/>
      <c r="AG731" s="30"/>
      <c r="AH731" s="30"/>
      <c r="AI731" s="30"/>
      <c r="AJ731" s="30"/>
      <c r="AK731" s="30">
        <v>0</v>
      </c>
      <c r="AL731" s="30">
        <v>401081.8</v>
      </c>
      <c r="AM731" s="30">
        <v>546504</v>
      </c>
      <c r="AN731" s="30">
        <v>608060.78</v>
      </c>
      <c r="AO731" s="30">
        <v>622970.52</v>
      </c>
      <c r="AP731" s="30">
        <v>647615.81999999995</v>
      </c>
      <c r="AQ731" s="30">
        <v>706869.86</v>
      </c>
      <c r="AR731" s="30">
        <v>713532.19</v>
      </c>
      <c r="AS731" s="30">
        <v>675253.15</v>
      </c>
      <c r="AT731" s="30">
        <v>686867.99</v>
      </c>
      <c r="AU731" s="30">
        <v>701714.16</v>
      </c>
      <c r="AV731" s="30">
        <v>723802.8</v>
      </c>
      <c r="AW731" s="30">
        <v>733123.7</v>
      </c>
      <c r="AX731" s="30">
        <v>0</v>
      </c>
      <c r="AY731" s="30">
        <v>0</v>
      </c>
      <c r="AZ731" s="30">
        <v>0</v>
      </c>
      <c r="BA731" s="30" t="e">
        <f t="array" aca="1" ref="BA731" ca="1">_xludf.XLOOKUP(C731,'PL TOTAL D0'!A:A,'PL TOTAL D0'!C:C,"")</f>
        <v>#NAME?</v>
      </c>
    </row>
    <row r="732" spans="1:53" ht="15.75" customHeight="1">
      <c r="A732" s="23" t="s">
        <v>29</v>
      </c>
      <c r="B732" s="3" t="s">
        <v>2470</v>
      </c>
      <c r="C732" s="4" t="s">
        <v>2471</v>
      </c>
      <c r="D732" s="7" t="s">
        <v>19</v>
      </c>
      <c r="E732" s="7" t="s">
        <v>49</v>
      </c>
      <c r="F732" s="7" t="s">
        <v>328</v>
      </c>
      <c r="G732" s="7" t="e">
        <f t="shared" ca="1" si="24"/>
        <v>#NAME?</v>
      </c>
      <c r="H732" s="24" t="s">
        <v>152</v>
      </c>
      <c r="I732" s="24" t="s">
        <v>25</v>
      </c>
      <c r="J732" s="7" t="str">
        <f t="shared" si="32"/>
        <v>Não</v>
      </c>
      <c r="K732" s="25">
        <v>45140</v>
      </c>
      <c r="L732" s="25"/>
      <c r="M732" s="7" t="s">
        <v>42</v>
      </c>
      <c r="N732" s="26">
        <v>0.01</v>
      </c>
      <c r="O732" s="7" t="s">
        <v>25</v>
      </c>
      <c r="P732" s="27">
        <v>0</v>
      </c>
      <c r="Q732" s="90"/>
      <c r="R732" s="90"/>
      <c r="S732" s="7" t="s">
        <v>145</v>
      </c>
      <c r="T732" s="7" t="s">
        <v>2472</v>
      </c>
      <c r="U732" s="7" t="s">
        <v>49</v>
      </c>
      <c r="V732" s="24" t="e">
        <f t="shared" ca="1" si="25"/>
        <v>#NAME?</v>
      </c>
      <c r="W732" s="7"/>
      <c r="X732" s="7"/>
      <c r="Y732" s="29" t="s">
        <v>253</v>
      </c>
      <c r="Z732" s="30"/>
      <c r="AA732" s="31">
        <v>45140</v>
      </c>
      <c r="AB732" s="32">
        <v>49075100006016</v>
      </c>
      <c r="AC732" s="30"/>
      <c r="AD732" s="30"/>
      <c r="AE732" s="30"/>
      <c r="AF732" s="30">
        <v>0</v>
      </c>
      <c r="AG732" s="30">
        <v>0</v>
      </c>
      <c r="AH732" s="30">
        <v>0</v>
      </c>
      <c r="AI732" s="30">
        <v>0</v>
      </c>
      <c r="AJ732" s="30">
        <v>0</v>
      </c>
      <c r="AK732" s="30">
        <v>0</v>
      </c>
      <c r="AL732" s="30">
        <v>0</v>
      </c>
      <c r="AM732" s="30">
        <v>201716.4</v>
      </c>
      <c r="AN732" s="30">
        <v>203447.67</v>
      </c>
      <c r="AO732" s="30">
        <v>205220.16</v>
      </c>
      <c r="AP732" s="30">
        <v>206722.52</v>
      </c>
      <c r="AQ732" s="30">
        <v>208336.6</v>
      </c>
      <c r="AR732" s="30">
        <v>210172.99</v>
      </c>
      <c r="AS732" s="30">
        <v>186046.01</v>
      </c>
      <c r="AT732" s="30">
        <v>187596.72</v>
      </c>
      <c r="AU732" s="30">
        <v>188257.1</v>
      </c>
      <c r="AV732" s="30">
        <v>189796.5</v>
      </c>
      <c r="AW732" s="30">
        <v>191336.6</v>
      </c>
      <c r="AX732" s="30">
        <v>193029.6</v>
      </c>
      <c r="AY732" s="30">
        <v>192759.99</v>
      </c>
      <c r="AZ732" s="30">
        <v>194177.21</v>
      </c>
      <c r="BA732" s="30" t="e">
        <f t="array" aca="1" ref="BA732" ca="1">_xludf.XLOOKUP(C732,'PL TOTAL D0'!A:A,'PL TOTAL D0'!C:C,"")</f>
        <v>#NAME?</v>
      </c>
    </row>
    <row r="733" spans="1:53" ht="15.75" customHeight="1">
      <c r="A733" s="23" t="s">
        <v>29</v>
      </c>
      <c r="B733" s="37" t="s">
        <v>2473</v>
      </c>
      <c r="C733" s="4" t="s">
        <v>2474</v>
      </c>
      <c r="D733" s="7" t="s">
        <v>19</v>
      </c>
      <c r="E733" s="7" t="s">
        <v>34</v>
      </c>
      <c r="F733" s="7" t="s">
        <v>35</v>
      </c>
      <c r="G733" s="7" t="e">
        <f t="shared" ca="1" si="24"/>
        <v>#NAME?</v>
      </c>
      <c r="H733" s="24" t="s">
        <v>152</v>
      </c>
      <c r="I733" s="24" t="s">
        <v>25</v>
      </c>
      <c r="J733" s="7" t="str">
        <f t="shared" si="32"/>
        <v>Não</v>
      </c>
      <c r="K733" s="25">
        <v>45029</v>
      </c>
      <c r="L733" s="7"/>
      <c r="M733" s="7" t="s">
        <v>200</v>
      </c>
      <c r="N733" s="26">
        <v>1.4999999999999999E-2</v>
      </c>
      <c r="O733" s="7" t="s">
        <v>37</v>
      </c>
      <c r="P733" s="27">
        <v>0.1</v>
      </c>
      <c r="Q733" s="90"/>
      <c r="R733" s="90"/>
      <c r="S733" s="7" t="s">
        <v>145</v>
      </c>
      <c r="T733" s="7" t="s">
        <v>2475</v>
      </c>
      <c r="U733" s="7" t="s">
        <v>60</v>
      </c>
      <c r="V733" s="24" t="e">
        <f t="shared" ca="1" si="25"/>
        <v>#NAME?</v>
      </c>
      <c r="W733" s="7"/>
      <c r="X733" s="7"/>
      <c r="Y733" s="29" t="s">
        <v>147</v>
      </c>
      <c r="Z733" s="30"/>
      <c r="AA733" s="31">
        <v>45029</v>
      </c>
      <c r="AB733" s="32">
        <v>49075100009015</v>
      </c>
      <c r="AC733" s="30"/>
      <c r="AD733" s="30"/>
      <c r="AE733" s="30"/>
      <c r="AF733" s="30"/>
      <c r="AG733" s="30"/>
      <c r="AH733" s="30">
        <v>0</v>
      </c>
      <c r="AI733" s="30">
        <v>71165</v>
      </c>
      <c r="AJ733" s="30">
        <v>71927.97</v>
      </c>
      <c r="AK733" s="30">
        <v>74121.42</v>
      </c>
      <c r="AL733" s="30">
        <v>75419.210000000006</v>
      </c>
      <c r="AM733" s="30">
        <v>74772.62</v>
      </c>
      <c r="AN733" s="30">
        <v>74160.17</v>
      </c>
      <c r="AO733" s="30">
        <v>74366.7</v>
      </c>
      <c r="AP733" s="30">
        <v>75449.279999999999</v>
      </c>
      <c r="AQ733" s="30">
        <v>76863.179999999993</v>
      </c>
      <c r="AR733" s="30">
        <v>75769.16</v>
      </c>
      <c r="AS733" s="30">
        <v>76380.91</v>
      </c>
      <c r="AT733" s="30">
        <v>77206.92</v>
      </c>
      <c r="AU733" s="30">
        <v>76735.03</v>
      </c>
      <c r="AV733" s="30">
        <v>76733.320000000007</v>
      </c>
      <c r="AW733" s="30">
        <v>77164.11</v>
      </c>
      <c r="AX733" s="30">
        <v>78160.289999999994</v>
      </c>
      <c r="AY733" s="30">
        <v>78902.5</v>
      </c>
      <c r="AZ733" s="30">
        <v>78924.759999999995</v>
      </c>
      <c r="BA733" s="30" t="e">
        <f t="array" aca="1" ref="BA733" ca="1">_xludf.XLOOKUP(C733,'PL TOTAL D0'!A:A,'PL TOTAL D0'!C:C,"")</f>
        <v>#NAME?</v>
      </c>
    </row>
    <row r="734" spans="1:53" ht="15.75" customHeight="1">
      <c r="A734" s="23" t="s">
        <v>29</v>
      </c>
      <c r="B734" s="37" t="s">
        <v>2476</v>
      </c>
      <c r="C734" s="4" t="s">
        <v>2477</v>
      </c>
      <c r="D734" s="7" t="s">
        <v>19</v>
      </c>
      <c r="E734" s="7" t="s">
        <v>34</v>
      </c>
      <c r="F734" s="7" t="s">
        <v>262</v>
      </c>
      <c r="G734" s="7" t="e">
        <f t="shared" ca="1" si="24"/>
        <v>#NAME?</v>
      </c>
      <c r="H734" s="24" t="s">
        <v>161</v>
      </c>
      <c r="I734" s="24" t="s">
        <v>162</v>
      </c>
      <c r="J734" s="7" t="str">
        <f t="shared" si="32"/>
        <v>Não</v>
      </c>
      <c r="K734" s="25">
        <v>45163</v>
      </c>
      <c r="L734" s="25"/>
      <c r="M734" s="7" t="s">
        <v>42</v>
      </c>
      <c r="N734" s="26">
        <v>1.2E-2</v>
      </c>
      <c r="O734" s="7" t="s">
        <v>25</v>
      </c>
      <c r="P734" s="27">
        <v>0</v>
      </c>
      <c r="Q734" s="23"/>
      <c r="R734" s="28" t="s">
        <v>2478</v>
      </c>
      <c r="S734" s="7" t="s">
        <v>145</v>
      </c>
      <c r="T734" s="7" t="s">
        <v>2479</v>
      </c>
      <c r="U734" s="7" t="s">
        <v>60</v>
      </c>
      <c r="V734" s="24" t="e">
        <f t="shared" ca="1" si="25"/>
        <v>#NAME?</v>
      </c>
      <c r="W734" s="7"/>
      <c r="X734" s="7"/>
      <c r="Y734" s="29" t="s">
        <v>452</v>
      </c>
      <c r="Z734" s="30"/>
      <c r="AA734" s="31">
        <v>45163</v>
      </c>
      <c r="AB734" s="32">
        <v>49075100007683</v>
      </c>
      <c r="AC734" s="30"/>
      <c r="AD734" s="30"/>
      <c r="AE734" s="30"/>
      <c r="AF734" s="30"/>
      <c r="AG734" s="30"/>
      <c r="AH734" s="30">
        <v>0</v>
      </c>
      <c r="AI734" s="30">
        <v>0</v>
      </c>
      <c r="AJ734" s="30">
        <v>0</v>
      </c>
      <c r="AK734" s="30">
        <v>0</v>
      </c>
      <c r="AL734" s="30">
        <v>0</v>
      </c>
      <c r="AM734" s="30">
        <v>0</v>
      </c>
      <c r="AN734" s="30">
        <v>36758</v>
      </c>
      <c r="AO734" s="30">
        <v>30221.63</v>
      </c>
      <c r="AP734" s="30">
        <v>30342.95</v>
      </c>
      <c r="AQ734" s="30">
        <v>30573.89</v>
      </c>
      <c r="AR734" s="30">
        <v>30875.75</v>
      </c>
      <c r="AS734" s="30">
        <v>31157</v>
      </c>
      <c r="AT734" s="30">
        <v>31477.15</v>
      </c>
      <c r="AU734" s="30">
        <v>31753.35</v>
      </c>
      <c r="AV734" s="30">
        <v>773.03</v>
      </c>
      <c r="AW734" s="30">
        <v>33.700000000000003</v>
      </c>
      <c r="AX734" s="30">
        <v>0</v>
      </c>
      <c r="AY734" s="30">
        <v>0</v>
      </c>
      <c r="AZ734" s="30">
        <v>0</v>
      </c>
      <c r="BA734" s="30" t="e">
        <f t="array" aca="1" ref="BA734" ca="1">_xludf.XLOOKUP(C734,'PL TOTAL D0'!A:A,'PL TOTAL D0'!C:C,"")</f>
        <v>#NAME?</v>
      </c>
    </row>
    <row r="735" spans="1:53" ht="15.75" customHeight="1">
      <c r="A735" s="23" t="s">
        <v>29</v>
      </c>
      <c r="B735" s="37" t="s">
        <v>2476</v>
      </c>
      <c r="C735" s="4" t="s">
        <v>2480</v>
      </c>
      <c r="D735" s="7" t="s">
        <v>19</v>
      </c>
      <c r="E735" s="7" t="s">
        <v>34</v>
      </c>
      <c r="F735" s="7" t="s">
        <v>262</v>
      </c>
      <c r="G735" s="7" t="e">
        <f t="shared" ca="1" si="24"/>
        <v>#NAME?</v>
      </c>
      <c r="H735" s="24" t="s">
        <v>152</v>
      </c>
      <c r="I735" s="24" t="s">
        <v>25</v>
      </c>
      <c r="J735" s="7" t="str">
        <f t="shared" si="32"/>
        <v>Não</v>
      </c>
      <c r="K735" s="25">
        <v>45163</v>
      </c>
      <c r="L735" s="25"/>
      <c r="M735" s="7" t="s">
        <v>200</v>
      </c>
      <c r="N735" s="26">
        <v>1.4999999999999999E-2</v>
      </c>
      <c r="O735" s="7" t="s">
        <v>37</v>
      </c>
      <c r="P735" s="27">
        <v>0.1</v>
      </c>
      <c r="Q735" s="90"/>
      <c r="R735" s="28" t="s">
        <v>2481</v>
      </c>
      <c r="S735" s="7" t="s">
        <v>145</v>
      </c>
      <c r="T735" s="7" t="s">
        <v>2479</v>
      </c>
      <c r="U735" s="7" t="s">
        <v>60</v>
      </c>
      <c r="V735" s="24" t="e">
        <f t="shared" ca="1" si="25"/>
        <v>#NAME?</v>
      </c>
      <c r="W735" s="7"/>
      <c r="X735" s="7"/>
      <c r="Y735" s="29" t="s">
        <v>147</v>
      </c>
      <c r="Z735" s="30"/>
      <c r="AA735" s="31">
        <v>45163</v>
      </c>
      <c r="AB735" s="32">
        <v>49075100011931</v>
      </c>
      <c r="AC735" s="30"/>
      <c r="AD735" s="30"/>
      <c r="AE735" s="30"/>
      <c r="AF735" s="30"/>
      <c r="AG735" s="30"/>
      <c r="AH735" s="30">
        <v>0</v>
      </c>
      <c r="AI735" s="30">
        <v>0</v>
      </c>
      <c r="AJ735" s="30">
        <v>0</v>
      </c>
      <c r="AK735" s="30">
        <v>0</v>
      </c>
      <c r="AL735" s="30">
        <v>0</v>
      </c>
      <c r="AM735" s="30">
        <v>0</v>
      </c>
      <c r="AN735" s="30">
        <v>178971.88</v>
      </c>
      <c r="AO735" s="30">
        <v>164836.78</v>
      </c>
      <c r="AP735" s="30">
        <v>168729.46</v>
      </c>
      <c r="AQ735" s="30">
        <v>171907.46</v>
      </c>
      <c r="AR735" s="30">
        <v>169526.39</v>
      </c>
      <c r="AS735" s="30">
        <v>170394.9</v>
      </c>
      <c r="AT735" s="30">
        <v>172384.33</v>
      </c>
      <c r="AU735" s="30">
        <v>171338.35</v>
      </c>
      <c r="AV735" s="30">
        <v>221939.4</v>
      </c>
      <c r="AW735" s="30">
        <v>224158.2</v>
      </c>
      <c r="AX735" s="30">
        <v>227157.9</v>
      </c>
      <c r="AY735" s="30">
        <v>329970.36</v>
      </c>
      <c r="AZ735" s="30">
        <v>329161.95</v>
      </c>
      <c r="BA735" s="30" t="e">
        <f t="array" aca="1" ref="BA735" ca="1">_xludf.XLOOKUP(C735,'PL TOTAL D0'!A:A,'PL TOTAL D0'!C:C,"")</f>
        <v>#NAME?</v>
      </c>
    </row>
    <row r="736" spans="1:53" ht="15.75" customHeight="1">
      <c r="A736" s="23" t="s">
        <v>29</v>
      </c>
      <c r="B736" s="38" t="s">
        <v>2482</v>
      </c>
      <c r="C736" s="39" t="s">
        <v>2483</v>
      </c>
      <c r="D736" s="7" t="s">
        <v>72</v>
      </c>
      <c r="E736" s="7" t="s">
        <v>20</v>
      </c>
      <c r="F736" s="7" t="s">
        <v>386</v>
      </c>
      <c r="G736" s="7" t="e">
        <f t="shared" ca="1" si="24"/>
        <v>#NAME?</v>
      </c>
      <c r="H736" s="24" t="s">
        <v>152</v>
      </c>
      <c r="I736" s="24" t="s">
        <v>25</v>
      </c>
      <c r="J736" s="7" t="str">
        <f t="shared" si="32"/>
        <v>Sim</v>
      </c>
      <c r="K736" s="25">
        <v>45386</v>
      </c>
      <c r="L736" s="25"/>
      <c r="M736" s="7" t="s">
        <v>42</v>
      </c>
      <c r="N736" s="26">
        <v>1.2E-2</v>
      </c>
      <c r="O736" s="7" t="s">
        <v>25</v>
      </c>
      <c r="P736" s="27">
        <v>0</v>
      </c>
      <c r="Q736" s="36" t="s">
        <v>2484</v>
      </c>
      <c r="R736" s="28"/>
      <c r="S736" s="7" t="s">
        <v>145</v>
      </c>
      <c r="T736" s="12" t="s">
        <v>2485</v>
      </c>
      <c r="U736" s="7" t="s">
        <v>20</v>
      </c>
      <c r="V736" s="24" t="e">
        <f t="shared" ca="1" si="25"/>
        <v>#NAME?</v>
      </c>
      <c r="W736" s="7"/>
      <c r="X736" s="7"/>
      <c r="Y736" s="29" t="s">
        <v>147</v>
      </c>
      <c r="Z736" s="30"/>
      <c r="AA736" s="31">
        <v>45386</v>
      </c>
      <c r="AB736" s="32">
        <v>49075100014167</v>
      </c>
      <c r="AC736" s="30"/>
      <c r="AD736" s="30"/>
      <c r="AE736" s="30"/>
      <c r="AF736" s="30"/>
      <c r="AG736" s="30"/>
      <c r="AH736" s="30"/>
      <c r="AI736" s="30"/>
      <c r="AJ736" s="30"/>
      <c r="AK736" s="30"/>
      <c r="AL736" s="30"/>
      <c r="AM736" s="30"/>
      <c r="AN736" s="30"/>
      <c r="AO736" s="30"/>
      <c r="AP736" s="30"/>
      <c r="AQ736" s="30"/>
      <c r="AR736" s="30"/>
      <c r="AS736" s="30"/>
      <c r="AT736" s="30"/>
      <c r="AU736" s="30">
        <v>228292.15</v>
      </c>
      <c r="AV736" s="30">
        <v>219970</v>
      </c>
      <c r="AW736" s="30">
        <v>221804.9</v>
      </c>
      <c r="AX736" s="30">
        <v>454263.9</v>
      </c>
      <c r="AY736" s="30">
        <v>1374452.33</v>
      </c>
      <c r="AZ736" s="30">
        <v>1333132.45</v>
      </c>
      <c r="BA736" s="30" t="e">
        <f t="array" aca="1" ref="BA736" ca="1">_xludf.XLOOKUP(C736,'PL TOTAL D0'!A:A,'PL TOTAL D0'!C:C,"")</f>
        <v>#NAME?</v>
      </c>
    </row>
    <row r="737" spans="1:53" ht="15.75" customHeight="1">
      <c r="A737" s="23" t="s">
        <v>29</v>
      </c>
      <c r="B737" s="37" t="s">
        <v>2486</v>
      </c>
      <c r="C737" s="4" t="s">
        <v>2487</v>
      </c>
      <c r="D737" s="7" t="s">
        <v>19</v>
      </c>
      <c r="E737" s="7" t="s">
        <v>49</v>
      </c>
      <c r="F737" s="7" t="s">
        <v>277</v>
      </c>
      <c r="G737" s="7" t="e">
        <f t="shared" ca="1" si="24"/>
        <v>#NAME?</v>
      </c>
      <c r="H737" s="24" t="s">
        <v>161</v>
      </c>
      <c r="I737" s="24" t="s">
        <v>222</v>
      </c>
      <c r="J737" s="7" t="str">
        <f t="shared" si="32"/>
        <v>Não</v>
      </c>
      <c r="K737" s="25">
        <v>45063</v>
      </c>
      <c r="L737" s="7"/>
      <c r="M737" s="7" t="s">
        <v>42</v>
      </c>
      <c r="N737" s="26">
        <v>1.2E-2</v>
      </c>
      <c r="O737" s="7" t="s">
        <v>25</v>
      </c>
      <c r="P737" s="27">
        <v>0</v>
      </c>
      <c r="Q737" s="90"/>
      <c r="R737" s="90"/>
      <c r="S737" s="7" t="s">
        <v>145</v>
      </c>
      <c r="T737" s="7" t="s">
        <v>2488</v>
      </c>
      <c r="U737" s="7" t="s">
        <v>49</v>
      </c>
      <c r="V737" s="24" t="e">
        <f t="shared" ca="1" si="25"/>
        <v>#NAME?</v>
      </c>
      <c r="W737" s="7"/>
      <c r="X737" s="7"/>
      <c r="Y737" s="29" t="s">
        <v>147</v>
      </c>
      <c r="Z737" s="30"/>
      <c r="AA737" s="31">
        <v>45063</v>
      </c>
      <c r="AB737" s="32">
        <v>49075100011941</v>
      </c>
      <c r="AC737" s="30"/>
      <c r="AD737" s="30"/>
      <c r="AE737" s="30"/>
      <c r="AF737" s="30"/>
      <c r="AG737" s="30"/>
      <c r="AH737" s="30">
        <v>0</v>
      </c>
      <c r="AI737" s="30">
        <v>0</v>
      </c>
      <c r="AJ737" s="30">
        <v>44467.040000000001</v>
      </c>
      <c r="AK737" s="30">
        <v>8.4499999999999993</v>
      </c>
      <c r="AL737" s="30">
        <v>0</v>
      </c>
      <c r="AM737" s="30">
        <v>0</v>
      </c>
      <c r="AN737" s="30">
        <v>0</v>
      </c>
      <c r="AO737" s="30">
        <v>0</v>
      </c>
      <c r="AP737" s="30">
        <v>0</v>
      </c>
      <c r="AQ737" s="30">
        <v>0</v>
      </c>
      <c r="AR737" s="30">
        <v>0</v>
      </c>
      <c r="AS737" s="30">
        <v>0</v>
      </c>
      <c r="AT737" s="30">
        <v>0</v>
      </c>
      <c r="AU737" s="30">
        <v>0</v>
      </c>
      <c r="AV737" s="30">
        <v>0</v>
      </c>
      <c r="AW737" s="30">
        <v>0</v>
      </c>
      <c r="AX737" s="30">
        <v>0</v>
      </c>
      <c r="AY737" s="30">
        <v>0</v>
      </c>
      <c r="AZ737" s="30">
        <v>0</v>
      </c>
      <c r="BA737" s="30" t="e">
        <f t="array" aca="1" ref="BA737" ca="1">_xludf.XLOOKUP(C737,'PL TOTAL D0'!A:A,'PL TOTAL D0'!C:C,"")</f>
        <v>#NAME?</v>
      </c>
    </row>
    <row r="738" spans="1:53" ht="15.75" customHeight="1">
      <c r="A738" s="23" t="s">
        <v>29</v>
      </c>
      <c r="B738" s="40" t="s">
        <v>2489</v>
      </c>
      <c r="C738" s="41" t="s">
        <v>2490</v>
      </c>
      <c r="D738" s="7" t="s">
        <v>19</v>
      </c>
      <c r="E738" s="7" t="s">
        <v>34</v>
      </c>
      <c r="F738" s="7" t="s">
        <v>35</v>
      </c>
      <c r="G738" s="7" t="e">
        <f t="shared" ca="1" si="24"/>
        <v>#NAME?</v>
      </c>
      <c r="H738" s="24" t="s">
        <v>152</v>
      </c>
      <c r="I738" s="24" t="s">
        <v>25</v>
      </c>
      <c r="J738" s="7" t="str">
        <f t="shared" si="32"/>
        <v>Não</v>
      </c>
      <c r="K738" s="25">
        <v>45271</v>
      </c>
      <c r="L738" s="7"/>
      <c r="M738" s="9" t="s">
        <v>58</v>
      </c>
      <c r="N738" s="26">
        <v>1.2E-2</v>
      </c>
      <c r="O738" s="6" t="s">
        <v>37</v>
      </c>
      <c r="P738" s="27">
        <v>0.1</v>
      </c>
      <c r="Q738" s="90"/>
      <c r="R738" s="90"/>
      <c r="S738" s="7" t="s">
        <v>145</v>
      </c>
      <c r="T738" s="7" t="s">
        <v>2491</v>
      </c>
      <c r="U738" s="7" t="s">
        <v>39</v>
      </c>
      <c r="V738" s="24" t="e">
        <f t="shared" ca="1" si="25"/>
        <v>#NAME?</v>
      </c>
      <c r="W738" s="7"/>
      <c r="X738" s="7"/>
      <c r="Y738" s="29" t="s">
        <v>147</v>
      </c>
      <c r="Z738" s="30"/>
      <c r="AA738" s="31">
        <v>45271</v>
      </c>
      <c r="AB738" s="32">
        <v>49075100013047</v>
      </c>
      <c r="AC738" s="30"/>
      <c r="AD738" s="30"/>
      <c r="AE738" s="30"/>
      <c r="AF738" s="30"/>
      <c r="AG738" s="30"/>
      <c r="AH738" s="30"/>
      <c r="AI738" s="30"/>
      <c r="AJ738" s="30"/>
      <c r="AK738" s="30"/>
      <c r="AL738" s="30"/>
      <c r="AM738" s="30"/>
      <c r="AN738" s="30"/>
      <c r="AO738" s="30"/>
      <c r="AP738" s="30"/>
      <c r="AQ738" s="30">
        <v>241127.73</v>
      </c>
      <c r="AR738" s="30">
        <v>240868.5</v>
      </c>
      <c r="AS738" s="30">
        <v>242741.27</v>
      </c>
      <c r="AT738" s="30">
        <v>194411.18</v>
      </c>
      <c r="AU738" s="30">
        <v>194120.7</v>
      </c>
      <c r="AV738" s="30">
        <v>133418.20000000001</v>
      </c>
      <c r="AW738" s="30">
        <v>134270.79999999999</v>
      </c>
      <c r="AX738" s="30">
        <v>99815.35</v>
      </c>
      <c r="AY738" s="30">
        <v>100728.06</v>
      </c>
      <c r="AZ738" s="30">
        <v>101128.31</v>
      </c>
      <c r="BA738" s="30" t="e">
        <f t="array" aca="1" ref="BA738" ca="1">_xludf.XLOOKUP(C738,'PL TOTAL D0'!A:A,'PL TOTAL D0'!C:C,"")</f>
        <v>#NAME?</v>
      </c>
    </row>
    <row r="739" spans="1:53" ht="15.75" customHeight="1">
      <c r="A739" s="23" t="s">
        <v>29</v>
      </c>
      <c r="B739" s="3" t="s">
        <v>2492</v>
      </c>
      <c r="C739" s="4" t="s">
        <v>2493</v>
      </c>
      <c r="D739" s="7" t="s">
        <v>19</v>
      </c>
      <c r="E739" s="7" t="s">
        <v>20</v>
      </c>
      <c r="F739" s="7" t="s">
        <v>372</v>
      </c>
      <c r="G739" s="7" t="e">
        <f t="shared" ca="1" si="24"/>
        <v>#NAME?</v>
      </c>
      <c r="H739" s="24" t="s">
        <v>161</v>
      </c>
      <c r="I739" s="24" t="s">
        <v>162</v>
      </c>
      <c r="J739" s="7" t="str">
        <f t="shared" si="32"/>
        <v>Não</v>
      </c>
      <c r="K739" s="25">
        <v>45163</v>
      </c>
      <c r="L739" s="25"/>
      <c r="M739" s="7" t="s">
        <v>42</v>
      </c>
      <c r="N739" s="26">
        <v>1.2E-2</v>
      </c>
      <c r="O739" s="7" t="s">
        <v>25</v>
      </c>
      <c r="P739" s="27">
        <v>0</v>
      </c>
      <c r="Q739" s="45"/>
      <c r="R739" s="45"/>
      <c r="S739" s="7" t="s">
        <v>145</v>
      </c>
      <c r="T739" s="7" t="s">
        <v>2494</v>
      </c>
      <c r="U739" s="7" t="s">
        <v>20</v>
      </c>
      <c r="V739" s="24" t="e">
        <f t="shared" ca="1" si="25"/>
        <v>#NAME?</v>
      </c>
      <c r="W739" s="7"/>
      <c r="X739" s="7"/>
      <c r="Y739" s="29" t="s">
        <v>147</v>
      </c>
      <c r="Z739" s="30"/>
      <c r="AA739" s="31">
        <v>45163</v>
      </c>
      <c r="AB739" s="32">
        <v>49075100011958</v>
      </c>
      <c r="AC739" s="30"/>
      <c r="AD739" s="30"/>
      <c r="AE739" s="30"/>
      <c r="AF739" s="30"/>
      <c r="AG739" s="30"/>
      <c r="AH739" s="30"/>
      <c r="AI739" s="30">
        <v>0</v>
      </c>
      <c r="AJ739" s="30">
        <v>0</v>
      </c>
      <c r="AK739" s="30">
        <v>0</v>
      </c>
      <c r="AL739" s="30">
        <v>0</v>
      </c>
      <c r="AM739" s="30">
        <v>0</v>
      </c>
      <c r="AN739" s="30">
        <v>0</v>
      </c>
      <c r="AO739" s="30">
        <v>0</v>
      </c>
      <c r="AP739" s="30">
        <v>0</v>
      </c>
      <c r="AQ739" s="30">
        <v>0</v>
      </c>
      <c r="AR739" s="30">
        <v>0</v>
      </c>
      <c r="AS739" s="30">
        <v>0</v>
      </c>
      <c r="AT739" s="30">
        <v>0</v>
      </c>
      <c r="AU739" s="30">
        <v>0</v>
      </c>
      <c r="AV739" s="30">
        <v>0</v>
      </c>
      <c r="AW739" s="30">
        <v>0</v>
      </c>
      <c r="AX739" s="30">
        <v>0</v>
      </c>
      <c r="AY739" s="30">
        <v>0</v>
      </c>
      <c r="AZ739" s="30">
        <v>0</v>
      </c>
      <c r="BA739" s="30" t="e">
        <f t="array" aca="1" ref="BA739" ca="1">_xludf.XLOOKUP(C739,'PL TOTAL D0'!A:A,'PL TOTAL D0'!C:C,"")</f>
        <v>#NAME?</v>
      </c>
    </row>
    <row r="740" spans="1:53" ht="15.75" customHeight="1">
      <c r="A740" s="23" t="s">
        <v>29</v>
      </c>
      <c r="B740" s="3" t="s">
        <v>2492</v>
      </c>
      <c r="C740" s="4" t="s">
        <v>2495</v>
      </c>
      <c r="D740" s="7" t="s">
        <v>19</v>
      </c>
      <c r="E740" s="7" t="s">
        <v>20</v>
      </c>
      <c r="F740" s="7" t="s">
        <v>372</v>
      </c>
      <c r="G740" s="7" t="e">
        <f t="shared" ca="1" si="24"/>
        <v>#NAME?</v>
      </c>
      <c r="H740" s="24" t="s">
        <v>161</v>
      </c>
      <c r="I740" s="24" t="s">
        <v>222</v>
      </c>
      <c r="J740" s="7" t="str">
        <f t="shared" si="32"/>
        <v>Não</v>
      </c>
      <c r="K740" s="25">
        <v>45163</v>
      </c>
      <c r="L740" s="25"/>
      <c r="M740" s="7" t="s">
        <v>172</v>
      </c>
      <c r="N740" s="26">
        <v>0</v>
      </c>
      <c r="O740" s="7" t="s">
        <v>25</v>
      </c>
      <c r="P740" s="27">
        <v>0</v>
      </c>
      <c r="Q740" s="45"/>
      <c r="R740" s="45"/>
      <c r="S740" s="7" t="s">
        <v>145</v>
      </c>
      <c r="T740" s="7" t="s">
        <v>2494</v>
      </c>
      <c r="U740" s="7" t="s">
        <v>20</v>
      </c>
      <c r="V740" s="24" t="e">
        <f t="shared" ca="1" si="25"/>
        <v>#NAME?</v>
      </c>
      <c r="W740" s="7"/>
      <c r="X740" s="7"/>
      <c r="Y740" s="29" t="s">
        <v>147</v>
      </c>
      <c r="Z740" s="30"/>
      <c r="AA740" s="31">
        <v>45163</v>
      </c>
      <c r="AB740" s="32">
        <v>49075100011966</v>
      </c>
      <c r="AC740" s="30"/>
      <c r="AD740" s="30"/>
      <c r="AE740" s="30"/>
      <c r="AF740" s="30"/>
      <c r="AG740" s="30"/>
      <c r="AH740" s="30"/>
      <c r="AI740" s="30">
        <v>0</v>
      </c>
      <c r="AJ740" s="30">
        <v>0</v>
      </c>
      <c r="AK740" s="30">
        <v>0</v>
      </c>
      <c r="AL740" s="30">
        <v>0</v>
      </c>
      <c r="AM740" s="30">
        <v>0</v>
      </c>
      <c r="AN740" s="30">
        <v>0</v>
      </c>
      <c r="AO740" s="30">
        <v>0</v>
      </c>
      <c r="AP740" s="30">
        <v>0</v>
      </c>
      <c r="AQ740" s="30">
        <v>0</v>
      </c>
      <c r="AR740" s="30">
        <v>0</v>
      </c>
      <c r="AS740" s="30">
        <v>0</v>
      </c>
      <c r="AT740" s="30">
        <v>0</v>
      </c>
      <c r="AU740" s="30">
        <v>0</v>
      </c>
      <c r="AV740" s="30">
        <v>0</v>
      </c>
      <c r="AW740" s="30">
        <v>0</v>
      </c>
      <c r="AX740" s="30">
        <v>0</v>
      </c>
      <c r="AY740" s="30">
        <v>0</v>
      </c>
      <c r="AZ740" s="30">
        <v>0</v>
      </c>
      <c r="BA740" s="30" t="e">
        <f t="array" aca="1" ref="BA740" ca="1">_xludf.XLOOKUP(C740,'PL TOTAL D0'!A:A,'PL TOTAL D0'!C:C,"")</f>
        <v>#NAME?</v>
      </c>
    </row>
    <row r="741" spans="1:53" ht="15.75" customHeight="1">
      <c r="A741" s="23" t="s">
        <v>29</v>
      </c>
      <c r="B741" s="3" t="s">
        <v>2492</v>
      </c>
      <c r="C741" s="4" t="s">
        <v>2496</v>
      </c>
      <c r="D741" s="7" t="s">
        <v>19</v>
      </c>
      <c r="E741" s="7" t="s">
        <v>20</v>
      </c>
      <c r="F741" s="7" t="s">
        <v>372</v>
      </c>
      <c r="G741" s="7" t="e">
        <f t="shared" ca="1" si="24"/>
        <v>#NAME?</v>
      </c>
      <c r="H741" s="24" t="s">
        <v>161</v>
      </c>
      <c r="I741" s="24" t="s">
        <v>222</v>
      </c>
      <c r="J741" s="7" t="str">
        <f t="shared" si="32"/>
        <v>Não</v>
      </c>
      <c r="K741" s="25">
        <v>45163</v>
      </c>
      <c r="L741" s="25"/>
      <c r="M741" s="7" t="s">
        <v>172</v>
      </c>
      <c r="N741" s="26">
        <v>0</v>
      </c>
      <c r="O741" s="7" t="s">
        <v>25</v>
      </c>
      <c r="P741" s="27">
        <v>0</v>
      </c>
      <c r="Q741" s="45"/>
      <c r="R741" s="45"/>
      <c r="S741" s="7" t="s">
        <v>145</v>
      </c>
      <c r="T741" s="7" t="s">
        <v>2494</v>
      </c>
      <c r="U741" s="7" t="s">
        <v>20</v>
      </c>
      <c r="V741" s="24" t="e">
        <f t="shared" ca="1" si="25"/>
        <v>#NAME?</v>
      </c>
      <c r="W741" s="7"/>
      <c r="X741" s="7"/>
      <c r="Y741" s="29" t="s">
        <v>147</v>
      </c>
      <c r="Z741" s="30"/>
      <c r="AA741" s="31">
        <v>45163</v>
      </c>
      <c r="AB741" s="32">
        <v>49075100011974</v>
      </c>
      <c r="AC741" s="30"/>
      <c r="AD741" s="30"/>
      <c r="AE741" s="30"/>
      <c r="AF741" s="30"/>
      <c r="AG741" s="30"/>
      <c r="AH741" s="30"/>
      <c r="AI741" s="30">
        <v>0</v>
      </c>
      <c r="AJ741" s="30">
        <v>0</v>
      </c>
      <c r="AK741" s="30">
        <v>0</v>
      </c>
      <c r="AL741" s="30">
        <v>0</v>
      </c>
      <c r="AM741" s="30">
        <v>0</v>
      </c>
      <c r="AN741" s="30">
        <v>0</v>
      </c>
      <c r="AO741" s="30">
        <v>0</v>
      </c>
      <c r="AP741" s="30">
        <v>0</v>
      </c>
      <c r="AQ741" s="30">
        <v>0</v>
      </c>
      <c r="AR741" s="30">
        <v>0</v>
      </c>
      <c r="AS741" s="30">
        <v>0</v>
      </c>
      <c r="AT741" s="30">
        <v>0</v>
      </c>
      <c r="AU741" s="30">
        <v>0</v>
      </c>
      <c r="AV741" s="30">
        <v>0</v>
      </c>
      <c r="AW741" s="30">
        <v>0</v>
      </c>
      <c r="AX741" s="30">
        <v>0</v>
      </c>
      <c r="AY741" s="30">
        <v>0</v>
      </c>
      <c r="AZ741" s="30">
        <v>0</v>
      </c>
      <c r="BA741" s="30" t="e">
        <f t="array" aca="1" ref="BA741" ca="1">_xludf.XLOOKUP(C741,'PL TOTAL D0'!A:A,'PL TOTAL D0'!C:C,"")</f>
        <v>#NAME?</v>
      </c>
    </row>
    <row r="742" spans="1:53" ht="15.75" customHeight="1">
      <c r="A742" s="23" t="s">
        <v>29</v>
      </c>
      <c r="B742" s="3" t="s">
        <v>2497</v>
      </c>
      <c r="C742" s="4" t="s">
        <v>2498</v>
      </c>
      <c r="D742" s="7" t="s">
        <v>19</v>
      </c>
      <c r="E742" s="7" t="s">
        <v>20</v>
      </c>
      <c r="F742" s="7" t="s">
        <v>372</v>
      </c>
      <c r="G742" s="7" t="e">
        <f t="shared" ca="1" si="24"/>
        <v>#NAME?</v>
      </c>
      <c r="H742" s="24" t="s">
        <v>152</v>
      </c>
      <c r="I742" s="24" t="s">
        <v>25</v>
      </c>
      <c r="J742" s="7" t="str">
        <f t="shared" si="32"/>
        <v>Não</v>
      </c>
      <c r="K742" s="25">
        <v>44973</v>
      </c>
      <c r="L742" s="7"/>
      <c r="M742" s="7" t="s">
        <v>172</v>
      </c>
      <c r="N742" s="26">
        <v>0</v>
      </c>
      <c r="O742" s="7" t="s">
        <v>25</v>
      </c>
      <c r="P742" s="27">
        <v>0</v>
      </c>
      <c r="Q742" s="28"/>
      <c r="R742" s="28" t="s">
        <v>715</v>
      </c>
      <c r="S742" s="7" t="s">
        <v>145</v>
      </c>
      <c r="T742" s="7" t="s">
        <v>2499</v>
      </c>
      <c r="U742" s="7" t="s">
        <v>20</v>
      </c>
      <c r="V742" s="24" t="e">
        <f t="shared" ca="1" si="25"/>
        <v>#NAME?</v>
      </c>
      <c r="W742" s="7"/>
      <c r="X742" s="7"/>
      <c r="Y742" s="29" t="s">
        <v>147</v>
      </c>
      <c r="Z742" s="30"/>
      <c r="AA742" s="31">
        <v>44973</v>
      </c>
      <c r="AB742" s="32">
        <v>49075100003955</v>
      </c>
      <c r="AC742" s="30"/>
      <c r="AD742" s="30"/>
      <c r="AE742" s="30"/>
      <c r="AF742" s="30">
        <v>0</v>
      </c>
      <c r="AG742" s="30">
        <v>42071.82</v>
      </c>
      <c r="AH742" s="30">
        <v>48573.21</v>
      </c>
      <c r="AI742" s="30">
        <v>48813.34</v>
      </c>
      <c r="AJ742" s="30">
        <v>49815.46</v>
      </c>
      <c r="AK742" s="30">
        <v>50614.22</v>
      </c>
      <c r="AL742" s="30">
        <v>50918.73</v>
      </c>
      <c r="AM742" s="30">
        <v>50738.19</v>
      </c>
      <c r="AN742" s="30">
        <v>50628.89</v>
      </c>
      <c r="AO742" s="30">
        <v>50584.61</v>
      </c>
      <c r="AP742" s="30">
        <v>51127.98</v>
      </c>
      <c r="AQ742" s="30">
        <v>65685.149999999994</v>
      </c>
      <c r="AR742" s="30">
        <v>65122.87</v>
      </c>
      <c r="AS742" s="30">
        <v>65731.06</v>
      </c>
      <c r="AT742" s="30">
        <v>66405.759999999995</v>
      </c>
      <c r="AU742" s="30">
        <v>65968.55</v>
      </c>
      <c r="AV742" s="30">
        <v>66348.039999999994</v>
      </c>
      <c r="AW742" s="30">
        <v>66900.44</v>
      </c>
      <c r="AX742" s="30">
        <v>67510.97</v>
      </c>
      <c r="AY742" s="30">
        <v>68106.210000000006</v>
      </c>
      <c r="AZ742" s="30">
        <v>68631.539999999994</v>
      </c>
      <c r="BA742" s="30" t="e">
        <f t="array" aca="1" ref="BA742" ca="1">_xludf.XLOOKUP(C742,'PL TOTAL D0'!A:A,'PL TOTAL D0'!C:C,"")</f>
        <v>#NAME?</v>
      </c>
    </row>
    <row r="743" spans="1:53" ht="15.75" customHeight="1">
      <c r="A743" s="23" t="s">
        <v>29</v>
      </c>
      <c r="B743" s="38" t="s">
        <v>2500</v>
      </c>
      <c r="C743" s="39" t="s">
        <v>2501</v>
      </c>
      <c r="D743" s="7" t="s">
        <v>72</v>
      </c>
      <c r="E743" s="7" t="s">
        <v>20</v>
      </c>
      <c r="F743" s="7" t="s">
        <v>337</v>
      </c>
      <c r="G743" s="7" t="e">
        <f t="shared" ca="1" si="24"/>
        <v>#NAME?</v>
      </c>
      <c r="H743" s="24" t="s">
        <v>152</v>
      </c>
      <c r="I743" s="24" t="s">
        <v>25</v>
      </c>
      <c r="J743" s="7" t="str">
        <f t="shared" si="32"/>
        <v>Não</v>
      </c>
      <c r="K743" s="25">
        <v>45419</v>
      </c>
      <c r="L743" s="7"/>
      <c r="M743" s="7" t="s">
        <v>58</v>
      </c>
      <c r="N743" s="26">
        <v>1.2E-2</v>
      </c>
      <c r="O743" s="7" t="s">
        <v>37</v>
      </c>
      <c r="P743" s="27">
        <v>0.1</v>
      </c>
      <c r="Q743" s="90"/>
      <c r="R743" s="28"/>
      <c r="S743" s="7" t="s">
        <v>145</v>
      </c>
      <c r="T743" s="12" t="s">
        <v>2502</v>
      </c>
      <c r="U743" s="7" t="s">
        <v>20</v>
      </c>
      <c r="V743" s="24" t="e">
        <f t="shared" ca="1" si="25"/>
        <v>#NAME?</v>
      </c>
      <c r="W743" s="7"/>
      <c r="X743" s="7" t="s">
        <v>52</v>
      </c>
      <c r="Y743" s="29" t="s">
        <v>147</v>
      </c>
      <c r="Z743" s="30"/>
      <c r="AA743" s="31">
        <v>45419</v>
      </c>
      <c r="AB743" s="32">
        <v>49075100014604</v>
      </c>
      <c r="AC743" s="30"/>
      <c r="AD743" s="30"/>
      <c r="AE743" s="30"/>
      <c r="AF743" s="30"/>
      <c r="AG743" s="30"/>
      <c r="AH743" s="30"/>
      <c r="AI743" s="30"/>
      <c r="AJ743" s="30"/>
      <c r="AK743" s="30"/>
      <c r="AL743" s="30"/>
      <c r="AM743" s="30"/>
      <c r="AN743" s="30"/>
      <c r="AO743" s="30"/>
      <c r="AP743" s="30"/>
      <c r="AQ743" s="30"/>
      <c r="AR743" s="30"/>
      <c r="AS743" s="30"/>
      <c r="AT743" s="30"/>
      <c r="AU743" s="30"/>
      <c r="AV743" s="30">
        <v>54918.28</v>
      </c>
      <c r="AW743" s="30">
        <v>55291.74</v>
      </c>
      <c r="AX743" s="30">
        <v>57115.53</v>
      </c>
      <c r="AY743" s="30">
        <v>59656.86</v>
      </c>
      <c r="AZ743" s="30">
        <v>59166.14</v>
      </c>
      <c r="BA743" s="30" t="e">
        <f t="array" aca="1" ref="BA743" ca="1">_xludf.XLOOKUP(C743,'PL TOTAL D0'!A:A,'PL TOTAL D0'!C:C,"")</f>
        <v>#NAME?</v>
      </c>
    </row>
    <row r="744" spans="1:53" ht="15.75" customHeight="1">
      <c r="A744" s="23" t="s">
        <v>29</v>
      </c>
      <c r="B744" s="37" t="s">
        <v>2503</v>
      </c>
      <c r="C744" s="4" t="s">
        <v>2504</v>
      </c>
      <c r="D744" s="7" t="s">
        <v>19</v>
      </c>
      <c r="E744" s="7" t="s">
        <v>49</v>
      </c>
      <c r="F744" s="7" t="s">
        <v>328</v>
      </c>
      <c r="G744" s="7" t="e">
        <f t="shared" ca="1" si="24"/>
        <v>#NAME?</v>
      </c>
      <c r="H744" s="24" t="s">
        <v>161</v>
      </c>
      <c r="I744" s="24" t="s">
        <v>162</v>
      </c>
      <c r="J744" s="7" t="str">
        <f t="shared" si="32"/>
        <v>Não</v>
      </c>
      <c r="K744" s="25">
        <v>45015</v>
      </c>
      <c r="L744" s="7"/>
      <c r="M744" s="7" t="s">
        <v>42</v>
      </c>
      <c r="N744" s="26">
        <v>1.2E-2</v>
      </c>
      <c r="O744" s="7" t="s">
        <v>25</v>
      </c>
      <c r="P744" s="27">
        <v>0</v>
      </c>
      <c r="Q744" s="90"/>
      <c r="R744" s="90"/>
      <c r="S744" s="7" t="s">
        <v>145</v>
      </c>
      <c r="T744" s="7" t="s">
        <v>2505</v>
      </c>
      <c r="U744" s="7" t="s">
        <v>20</v>
      </c>
      <c r="V744" s="24" t="e">
        <f t="shared" ca="1" si="25"/>
        <v>#NAME?</v>
      </c>
      <c r="W744" s="7"/>
      <c r="X744" s="7"/>
      <c r="Y744" s="29" t="s">
        <v>147</v>
      </c>
      <c r="Z744" s="30"/>
      <c r="AA744" s="31">
        <v>45015</v>
      </c>
      <c r="AB744" s="32">
        <v>49075100006784</v>
      </c>
      <c r="AC744" s="30"/>
      <c r="AD744" s="30"/>
      <c r="AE744" s="30"/>
      <c r="AF744" s="30"/>
      <c r="AG744" s="30"/>
      <c r="AH744" s="30">
        <v>160000</v>
      </c>
      <c r="AI744" s="30">
        <v>272043.36</v>
      </c>
      <c r="AJ744" s="30">
        <v>274010.13</v>
      </c>
      <c r="AK744" s="30">
        <v>276251.33</v>
      </c>
      <c r="AL744" s="30">
        <v>136932.44</v>
      </c>
      <c r="AM744" s="30">
        <v>122936.31</v>
      </c>
      <c r="AN744" s="30">
        <v>100114.2</v>
      </c>
      <c r="AO744" s="30">
        <v>94902.41</v>
      </c>
      <c r="AP744" s="30">
        <v>71309.039999999994</v>
      </c>
      <c r="AQ744" s="30">
        <v>61725.21</v>
      </c>
      <c r="AR744" s="30">
        <v>36465.339999999997</v>
      </c>
      <c r="AS744" s="30">
        <v>36133.910000000003</v>
      </c>
      <c r="AT744" s="30">
        <v>30358.37</v>
      </c>
      <c r="AU744" s="30">
        <v>10091.780000000001</v>
      </c>
      <c r="AV744" s="30">
        <v>7146.44</v>
      </c>
      <c r="AW744" s="30">
        <v>10003.969999999999</v>
      </c>
      <c r="AX744" s="30">
        <v>10086.67</v>
      </c>
      <c r="AY744" s="30">
        <v>12164.22</v>
      </c>
      <c r="AZ744" s="30">
        <v>2107.56</v>
      </c>
      <c r="BA744" s="30" t="e">
        <f t="array" aca="1" ref="BA744" ca="1">_xludf.XLOOKUP(C744,'PL TOTAL D0'!A:A,'PL TOTAL D0'!C:C,"")</f>
        <v>#NAME?</v>
      </c>
    </row>
    <row r="745" spans="1:53" ht="15.75" customHeight="1">
      <c r="A745" s="23" t="s">
        <v>29</v>
      </c>
      <c r="B745" s="3" t="s">
        <v>2506</v>
      </c>
      <c r="C745" s="4" t="s">
        <v>2507</v>
      </c>
      <c r="D745" s="7" t="s">
        <v>64</v>
      </c>
      <c r="E745" s="7" t="s">
        <v>20</v>
      </c>
      <c r="F745" s="7" t="s">
        <v>204</v>
      </c>
      <c r="G745" s="7" t="e">
        <f t="shared" ca="1" si="24"/>
        <v>#NAME?</v>
      </c>
      <c r="H745" s="24" t="s">
        <v>161</v>
      </c>
      <c r="I745" s="24" t="s">
        <v>205</v>
      </c>
      <c r="J745" s="7" t="str">
        <f t="shared" si="32"/>
        <v>Sim</v>
      </c>
      <c r="K745" s="25">
        <v>45279</v>
      </c>
      <c r="L745" s="7"/>
      <c r="M745" s="7" t="s">
        <v>31</v>
      </c>
      <c r="N745" s="26">
        <v>3.0000000000000001E-3</v>
      </c>
      <c r="O745" s="7" t="s">
        <v>25</v>
      </c>
      <c r="P745" s="27">
        <v>0</v>
      </c>
      <c r="Q745" s="36" t="s">
        <v>2508</v>
      </c>
      <c r="R745" s="90"/>
      <c r="S745" s="7" t="s">
        <v>145</v>
      </c>
      <c r="T745" s="7" t="s">
        <v>2509</v>
      </c>
      <c r="U745" s="7" t="s">
        <v>46</v>
      </c>
      <c r="V745" s="24" t="e">
        <f t="shared" ca="1" si="25"/>
        <v>#NAME?</v>
      </c>
      <c r="W745" s="7"/>
      <c r="X745" s="7"/>
      <c r="Y745" s="29" t="s">
        <v>147</v>
      </c>
      <c r="Z745" s="30"/>
      <c r="AA745" s="31">
        <v>45279</v>
      </c>
      <c r="AB745" s="32">
        <v>49075100013489</v>
      </c>
      <c r="AC745" s="30"/>
      <c r="AD745" s="30"/>
      <c r="AE745" s="30"/>
      <c r="AF745" s="30"/>
      <c r="AG745" s="30"/>
      <c r="AH745" s="30"/>
      <c r="AI745" s="30"/>
      <c r="AJ745" s="30"/>
      <c r="AK745" s="30"/>
      <c r="AL745" s="30"/>
      <c r="AM745" s="30"/>
      <c r="AN745" s="30"/>
      <c r="AO745" s="30"/>
      <c r="AP745" s="30"/>
      <c r="AQ745" s="30">
        <v>155014.6</v>
      </c>
      <c r="AR745" s="30">
        <v>209411.61</v>
      </c>
      <c r="AS745" s="30">
        <v>2482.92</v>
      </c>
      <c r="AT745" s="30">
        <v>2503.58</v>
      </c>
      <c r="AU745" s="30">
        <v>2525.5100000000002</v>
      </c>
      <c r="AV745" s="30">
        <v>2534.64</v>
      </c>
      <c r="AW745" s="30">
        <v>12092.46</v>
      </c>
      <c r="AX745" s="30">
        <v>271419.8</v>
      </c>
      <c r="AY745" s="30">
        <v>344248.03</v>
      </c>
      <c r="AZ745" s="30">
        <v>301856.5</v>
      </c>
      <c r="BA745" s="30" t="e">
        <f t="array" aca="1" ref="BA745" ca="1">_xludf.XLOOKUP(C745,'PL TOTAL D0'!A:A,'PL TOTAL D0'!C:C,"")</f>
        <v>#NAME?</v>
      </c>
    </row>
    <row r="746" spans="1:53" ht="15.75" customHeight="1">
      <c r="A746" s="23" t="s">
        <v>29</v>
      </c>
      <c r="B746" s="3" t="s">
        <v>2510</v>
      </c>
      <c r="C746" s="4" t="s">
        <v>2511</v>
      </c>
      <c r="D746" s="7" t="s">
        <v>19</v>
      </c>
      <c r="E746" s="7" t="s">
        <v>20</v>
      </c>
      <c r="F746" s="7" t="s">
        <v>2512</v>
      </c>
      <c r="G746" s="7" t="e">
        <f t="shared" ca="1" si="24"/>
        <v>#NAME?</v>
      </c>
      <c r="H746" s="24" t="s">
        <v>161</v>
      </c>
      <c r="I746" s="24" t="s">
        <v>222</v>
      </c>
      <c r="J746" s="7" t="str">
        <f t="shared" si="32"/>
        <v>Não</v>
      </c>
      <c r="K746" s="25">
        <v>44998</v>
      </c>
      <c r="L746" s="7"/>
      <c r="M746" s="7" t="s">
        <v>345</v>
      </c>
      <c r="N746" s="26">
        <v>1.9E-2</v>
      </c>
      <c r="O746" s="7" t="s">
        <v>37</v>
      </c>
      <c r="P746" s="27">
        <v>0.2</v>
      </c>
      <c r="Q746" s="90"/>
      <c r="R746" s="90"/>
      <c r="S746" s="7" t="s">
        <v>145</v>
      </c>
      <c r="T746" s="7" t="s">
        <v>2513</v>
      </c>
      <c r="U746" s="7" t="s">
        <v>20</v>
      </c>
      <c r="V746" s="24" t="e">
        <f t="shared" ca="1" si="25"/>
        <v>#NAME?</v>
      </c>
      <c r="W746" s="7"/>
      <c r="X746" s="7"/>
      <c r="Y746" s="29" t="s">
        <v>147</v>
      </c>
      <c r="Z746" s="30"/>
      <c r="AA746" s="31">
        <v>44998</v>
      </c>
      <c r="AB746" s="32">
        <v>49075100009562</v>
      </c>
      <c r="AC746" s="30"/>
      <c r="AD746" s="30"/>
      <c r="AE746" s="30"/>
      <c r="AF746" s="30"/>
      <c r="AG746" s="30">
        <v>0</v>
      </c>
      <c r="AH746" s="30">
        <v>49617.77</v>
      </c>
      <c r="AI746" s="30">
        <v>49918.83</v>
      </c>
      <c r="AJ746" s="30">
        <v>26661.75</v>
      </c>
      <c r="AK746" s="30">
        <v>50.26</v>
      </c>
      <c r="AL746" s="30">
        <v>50.26</v>
      </c>
      <c r="AM746" s="30">
        <v>50.26</v>
      </c>
      <c r="AN746" s="30">
        <v>50.26</v>
      </c>
      <c r="AO746" s="30">
        <v>50.26</v>
      </c>
      <c r="AP746" s="30">
        <v>50.26</v>
      </c>
      <c r="AQ746" s="30">
        <v>50.26</v>
      </c>
      <c r="AR746" s="30">
        <v>50.26</v>
      </c>
      <c r="AS746" s="30">
        <v>50.26</v>
      </c>
      <c r="AT746" s="30">
        <v>50.26</v>
      </c>
      <c r="AU746" s="30">
        <v>902.31</v>
      </c>
      <c r="AV746" s="30">
        <v>902.31</v>
      </c>
      <c r="AW746" s="30">
        <v>902.31</v>
      </c>
      <c r="AX746" s="30">
        <v>902.31</v>
      </c>
      <c r="AY746" s="30">
        <v>902.31</v>
      </c>
      <c r="AZ746" s="30">
        <v>902.31</v>
      </c>
      <c r="BA746" s="30" t="e">
        <f t="array" aca="1" ref="BA746" ca="1">_xludf.XLOOKUP(C746,'PL TOTAL D0'!A:A,'PL TOTAL D0'!C:C,"")</f>
        <v>#NAME?</v>
      </c>
    </row>
    <row r="747" spans="1:53" ht="15.75" customHeight="1">
      <c r="A747" s="23" t="s">
        <v>29</v>
      </c>
      <c r="B747" s="3" t="s">
        <v>2514</v>
      </c>
      <c r="C747" s="4" t="s">
        <v>2515</v>
      </c>
      <c r="D747" s="7" t="s">
        <v>19</v>
      </c>
      <c r="E747" s="7" t="s">
        <v>49</v>
      </c>
      <c r="F747" s="7" t="s">
        <v>328</v>
      </c>
      <c r="G747" s="7" t="e">
        <f t="shared" ca="1" si="24"/>
        <v>#NAME?</v>
      </c>
      <c r="H747" s="24" t="s">
        <v>161</v>
      </c>
      <c r="I747" s="24" t="s">
        <v>162</v>
      </c>
      <c r="J747" s="7" t="str">
        <f t="shared" si="32"/>
        <v>Não</v>
      </c>
      <c r="K747" s="25">
        <v>45163</v>
      </c>
      <c r="L747" s="25"/>
      <c r="M747" s="7" t="s">
        <v>42</v>
      </c>
      <c r="N747" s="26">
        <v>1.2E-2</v>
      </c>
      <c r="O747" s="7" t="s">
        <v>25</v>
      </c>
      <c r="P747" s="27">
        <v>0</v>
      </c>
      <c r="Q747" s="90"/>
      <c r="R747" s="90"/>
      <c r="S747" s="7" t="s">
        <v>145</v>
      </c>
      <c r="T747" s="7" t="s">
        <v>2516</v>
      </c>
      <c r="U747" s="7" t="s">
        <v>49</v>
      </c>
      <c r="V747" s="24" t="e">
        <f t="shared" ca="1" si="25"/>
        <v>#NAME?</v>
      </c>
      <c r="W747" s="7"/>
      <c r="X747" s="7"/>
      <c r="Y747" s="29" t="s">
        <v>147</v>
      </c>
      <c r="Z747" s="30"/>
      <c r="AA747" s="31">
        <v>45163</v>
      </c>
      <c r="AB747" s="32">
        <v>49075100011982</v>
      </c>
      <c r="AC747" s="30"/>
      <c r="AD747" s="30"/>
      <c r="AE747" s="30"/>
      <c r="AF747" s="30"/>
      <c r="AG747" s="30"/>
      <c r="AH747" s="30"/>
      <c r="AI747" s="30"/>
      <c r="AJ747" s="30"/>
      <c r="AK747" s="30">
        <v>0</v>
      </c>
      <c r="AL747" s="30">
        <v>0</v>
      </c>
      <c r="AM747" s="30">
        <v>0</v>
      </c>
      <c r="AN747" s="30">
        <v>0</v>
      </c>
      <c r="AO747" s="30">
        <v>0</v>
      </c>
      <c r="AP747" s="30">
        <v>0</v>
      </c>
      <c r="AQ747" s="30">
        <v>0</v>
      </c>
      <c r="AR747" s="30">
        <v>0</v>
      </c>
      <c r="AS747" s="30">
        <v>0</v>
      </c>
      <c r="AT747" s="30">
        <v>0</v>
      </c>
      <c r="AU747" s="30">
        <v>0</v>
      </c>
      <c r="AV747" s="30">
        <v>0</v>
      </c>
      <c r="AW747" s="30">
        <v>0</v>
      </c>
      <c r="AX747" s="30">
        <v>0</v>
      </c>
      <c r="AY747" s="30">
        <v>0</v>
      </c>
      <c r="AZ747" s="30">
        <v>0</v>
      </c>
      <c r="BA747" s="30" t="e">
        <f t="array" aca="1" ref="BA747" ca="1">_xludf.XLOOKUP(C747,'PL TOTAL D0'!A:A,'PL TOTAL D0'!C:C,"")</f>
        <v>#NAME?</v>
      </c>
    </row>
    <row r="748" spans="1:53" ht="15.75" customHeight="1">
      <c r="A748" s="23" t="s">
        <v>29</v>
      </c>
      <c r="B748" s="3" t="s">
        <v>2517</v>
      </c>
      <c r="C748" s="4" t="s">
        <v>2518</v>
      </c>
      <c r="D748" s="7" t="s">
        <v>19</v>
      </c>
      <c r="E748" s="7" t="s">
        <v>20</v>
      </c>
      <c r="F748" s="7" t="s">
        <v>21</v>
      </c>
      <c r="G748" s="7" t="e">
        <f t="shared" ca="1" si="24"/>
        <v>#NAME?</v>
      </c>
      <c r="H748" s="24" t="s">
        <v>152</v>
      </c>
      <c r="I748" s="24" t="s">
        <v>25</v>
      </c>
      <c r="J748" s="7" t="str">
        <f t="shared" si="32"/>
        <v>Não</v>
      </c>
      <c r="K748" s="25">
        <v>45048</v>
      </c>
      <c r="L748" s="7"/>
      <c r="M748" s="7" t="s">
        <v>42</v>
      </c>
      <c r="N748" s="26">
        <v>1.2E-2</v>
      </c>
      <c r="O748" s="7" t="s">
        <v>25</v>
      </c>
      <c r="P748" s="27">
        <v>0</v>
      </c>
      <c r="Q748" s="90"/>
      <c r="R748" s="90"/>
      <c r="S748" s="7" t="s">
        <v>145</v>
      </c>
      <c r="T748" s="7" t="s">
        <v>2519</v>
      </c>
      <c r="U748" s="7" t="s">
        <v>20</v>
      </c>
      <c r="V748" s="24" t="e">
        <f t="shared" ca="1" si="25"/>
        <v>#NAME?</v>
      </c>
      <c r="W748" s="7"/>
      <c r="X748" s="7"/>
      <c r="Y748" s="29" t="s">
        <v>147</v>
      </c>
      <c r="Z748" s="30"/>
      <c r="AA748" s="31">
        <v>45048</v>
      </c>
      <c r="AB748" s="32">
        <v>49075100007251</v>
      </c>
      <c r="AC748" s="30"/>
      <c r="AD748" s="30"/>
      <c r="AE748" s="30"/>
      <c r="AF748" s="30"/>
      <c r="AG748" s="30"/>
      <c r="AH748" s="30">
        <v>0</v>
      </c>
      <c r="AI748" s="30">
        <v>508810.75</v>
      </c>
      <c r="AJ748" s="30">
        <v>775970.71</v>
      </c>
      <c r="AK748" s="30">
        <v>784615.31</v>
      </c>
      <c r="AL748" s="30">
        <v>790313.84</v>
      </c>
      <c r="AM748" s="30">
        <v>796962.58</v>
      </c>
      <c r="AN748" s="30">
        <v>799686.48</v>
      </c>
      <c r="AO748" s="30">
        <v>802618.33</v>
      </c>
      <c r="AP748" s="30">
        <v>809988.99</v>
      </c>
      <c r="AQ748" s="30">
        <v>817678.62</v>
      </c>
      <c r="AR748" s="30">
        <v>823387.03</v>
      </c>
      <c r="AS748" s="30">
        <v>829725.01</v>
      </c>
      <c r="AT748" s="30">
        <v>836610.72</v>
      </c>
      <c r="AU748" s="30">
        <v>840050.8</v>
      </c>
      <c r="AV748" s="30">
        <v>843191.6</v>
      </c>
      <c r="AW748" s="30">
        <v>818172.9</v>
      </c>
      <c r="AX748" s="30">
        <v>822048.6</v>
      </c>
      <c r="AY748" s="30">
        <v>838500.15</v>
      </c>
      <c r="AZ748" s="30">
        <v>837543.87</v>
      </c>
      <c r="BA748" s="30" t="e">
        <f t="array" aca="1" ref="BA748" ca="1">_xludf.XLOOKUP(C748,'PL TOTAL D0'!A:A,'PL TOTAL D0'!C:C,"")</f>
        <v>#NAME?</v>
      </c>
    </row>
    <row r="749" spans="1:53" ht="15.75" customHeight="1">
      <c r="A749" s="23" t="s">
        <v>29</v>
      </c>
      <c r="B749" s="3" t="s">
        <v>2520</v>
      </c>
      <c r="C749" s="4" t="s">
        <v>2521</v>
      </c>
      <c r="D749" s="7" t="s">
        <v>19</v>
      </c>
      <c r="E749" s="7" t="s">
        <v>49</v>
      </c>
      <c r="F749" s="7" t="s">
        <v>328</v>
      </c>
      <c r="G749" s="7" t="e">
        <f t="shared" ca="1" si="24"/>
        <v>#NAME?</v>
      </c>
      <c r="H749" s="24" t="s">
        <v>161</v>
      </c>
      <c r="I749" s="24" t="s">
        <v>162</v>
      </c>
      <c r="J749" s="7" t="str">
        <f t="shared" si="32"/>
        <v>Não</v>
      </c>
      <c r="K749" s="25">
        <v>45163</v>
      </c>
      <c r="L749" s="25"/>
      <c r="M749" s="7" t="s">
        <v>42</v>
      </c>
      <c r="N749" s="26">
        <v>1.2E-2</v>
      </c>
      <c r="O749" s="7" t="s">
        <v>25</v>
      </c>
      <c r="P749" s="27">
        <v>0</v>
      </c>
      <c r="Q749" s="90"/>
      <c r="R749" s="28" t="s">
        <v>2522</v>
      </c>
      <c r="S749" s="7" t="s">
        <v>145</v>
      </c>
      <c r="T749" s="7" t="s">
        <v>2523</v>
      </c>
      <c r="U749" s="7" t="s">
        <v>49</v>
      </c>
      <c r="V749" s="24" t="e">
        <f t="shared" ca="1" si="25"/>
        <v>#NAME?</v>
      </c>
      <c r="W749" s="7"/>
      <c r="X749" s="7"/>
      <c r="Y749" s="29" t="s">
        <v>147</v>
      </c>
      <c r="Z749" s="30"/>
      <c r="AA749" s="31">
        <v>45163</v>
      </c>
      <c r="AB749" s="32">
        <v>49075100011990</v>
      </c>
      <c r="AC749" s="30"/>
      <c r="AD749" s="30"/>
      <c r="AE749" s="30"/>
      <c r="AF749" s="30"/>
      <c r="AG749" s="30"/>
      <c r="AH749" s="30">
        <v>0</v>
      </c>
      <c r="AI749" s="30">
        <v>0</v>
      </c>
      <c r="AJ749" s="30">
        <v>0</v>
      </c>
      <c r="AK749" s="30">
        <v>0</v>
      </c>
      <c r="AL749" s="30">
        <v>0</v>
      </c>
      <c r="AM749" s="30">
        <v>0</v>
      </c>
      <c r="AN749" s="30">
        <v>0</v>
      </c>
      <c r="AO749" s="30">
        <v>0</v>
      </c>
      <c r="AP749" s="30">
        <v>0</v>
      </c>
      <c r="AQ749" s="30">
        <v>0</v>
      </c>
      <c r="AR749" s="30">
        <v>0</v>
      </c>
      <c r="AS749" s="30">
        <v>0</v>
      </c>
      <c r="AT749" s="30">
        <v>0</v>
      </c>
      <c r="AU749" s="30">
        <v>0</v>
      </c>
      <c r="AV749" s="30">
        <v>0</v>
      </c>
      <c r="AW749" s="30">
        <v>0</v>
      </c>
      <c r="AX749" s="30">
        <v>0</v>
      </c>
      <c r="AY749" s="30">
        <v>0</v>
      </c>
      <c r="AZ749" s="30">
        <v>0</v>
      </c>
      <c r="BA749" s="30" t="e">
        <f t="array" aca="1" ref="BA749" ca="1">_xludf.XLOOKUP(C749,'PL TOTAL D0'!A:A,'PL TOTAL D0'!C:C,"")</f>
        <v>#NAME?</v>
      </c>
    </row>
    <row r="750" spans="1:53" ht="15.75" customHeight="1">
      <c r="A750" s="23" t="s">
        <v>29</v>
      </c>
      <c r="B750" s="3" t="s">
        <v>2524</v>
      </c>
      <c r="C750" s="4" t="s">
        <v>2525</v>
      </c>
      <c r="D750" s="7" t="s">
        <v>19</v>
      </c>
      <c r="E750" s="7" t="s">
        <v>49</v>
      </c>
      <c r="F750" s="7" t="s">
        <v>277</v>
      </c>
      <c r="G750" s="7" t="e">
        <f t="shared" ca="1" si="24"/>
        <v>#NAME?</v>
      </c>
      <c r="H750" s="24" t="s">
        <v>161</v>
      </c>
      <c r="I750" s="24" t="s">
        <v>162</v>
      </c>
      <c r="J750" s="7" t="str">
        <f t="shared" si="32"/>
        <v>Não</v>
      </c>
      <c r="K750" s="25">
        <v>45321</v>
      </c>
      <c r="L750" s="25"/>
      <c r="M750" s="7" t="s">
        <v>42</v>
      </c>
      <c r="N750" s="26">
        <v>1.2E-2</v>
      </c>
      <c r="O750" s="7" t="s">
        <v>25</v>
      </c>
      <c r="P750" s="27">
        <v>0</v>
      </c>
      <c r="Q750" s="90"/>
      <c r="R750" s="28" t="s">
        <v>2526</v>
      </c>
      <c r="S750" s="7" t="s">
        <v>145</v>
      </c>
      <c r="T750" s="7" t="s">
        <v>2527</v>
      </c>
      <c r="U750" s="7" t="s">
        <v>49</v>
      </c>
      <c r="V750" s="24" t="e">
        <f t="shared" ca="1" si="25"/>
        <v>#NAME?</v>
      </c>
      <c r="W750" s="7"/>
      <c r="X750" s="7"/>
      <c r="Y750" s="29" t="s">
        <v>147</v>
      </c>
      <c r="Z750" s="30"/>
      <c r="AA750" s="31">
        <v>45321</v>
      </c>
      <c r="AB750" s="32">
        <v>49075100013241</v>
      </c>
      <c r="AC750" s="30"/>
      <c r="AD750" s="30"/>
      <c r="AE750" s="30"/>
      <c r="AF750" s="30"/>
      <c r="AG750" s="30"/>
      <c r="AH750" s="30"/>
      <c r="AI750" s="30"/>
      <c r="AJ750" s="30"/>
      <c r="AK750" s="30"/>
      <c r="AL750" s="30"/>
      <c r="AM750" s="30"/>
      <c r="AN750" s="30"/>
      <c r="AO750" s="30"/>
      <c r="AP750" s="30"/>
      <c r="AQ750" s="30"/>
      <c r="AR750" s="30">
        <v>0</v>
      </c>
      <c r="AS750" s="30">
        <v>100304.51</v>
      </c>
      <c r="AT750" s="30">
        <v>101205.41</v>
      </c>
      <c r="AU750" s="30">
        <v>101972.82</v>
      </c>
      <c r="AV750" s="30">
        <v>0</v>
      </c>
      <c r="AW750" s="30">
        <v>39.909999999999997</v>
      </c>
      <c r="AX750" s="30">
        <v>39.909999999999997</v>
      </c>
      <c r="AY750" s="30">
        <v>39.909999999999997</v>
      </c>
      <c r="AZ750" s="30">
        <v>39.909999999999997</v>
      </c>
      <c r="BA750" s="30" t="e">
        <f t="array" aca="1" ref="BA750" ca="1">_xludf.XLOOKUP(C750,'PL TOTAL D0'!A:A,'PL TOTAL D0'!C:C,"")</f>
        <v>#NAME?</v>
      </c>
    </row>
    <row r="751" spans="1:53" ht="15.75" customHeight="1">
      <c r="A751" s="23" t="s">
        <v>29</v>
      </c>
      <c r="B751" s="3" t="s">
        <v>2528</v>
      </c>
      <c r="C751" s="4" t="s">
        <v>2529</v>
      </c>
      <c r="D751" s="7" t="s">
        <v>19</v>
      </c>
      <c r="E751" s="7" t="s">
        <v>49</v>
      </c>
      <c r="F751" s="7" t="s">
        <v>50</v>
      </c>
      <c r="G751" s="7" t="e">
        <f t="shared" ca="1" si="24"/>
        <v>#NAME?</v>
      </c>
      <c r="H751" s="24" t="s">
        <v>152</v>
      </c>
      <c r="I751" s="24" t="s">
        <v>25</v>
      </c>
      <c r="J751" s="7" t="str">
        <f t="shared" si="32"/>
        <v>Sim</v>
      </c>
      <c r="K751" s="25">
        <v>45105</v>
      </c>
      <c r="L751" s="25"/>
      <c r="M751" s="7" t="s">
        <v>42</v>
      </c>
      <c r="N751" s="26">
        <v>1.2E-2</v>
      </c>
      <c r="O751" s="7" t="s">
        <v>25</v>
      </c>
      <c r="P751" s="27">
        <v>0</v>
      </c>
      <c r="Q751" s="28" t="s">
        <v>2530</v>
      </c>
      <c r="R751" s="28"/>
      <c r="S751" s="7" t="s">
        <v>145</v>
      </c>
      <c r="T751" s="7" t="s">
        <v>2531</v>
      </c>
      <c r="U751" s="7" t="s">
        <v>49</v>
      </c>
      <c r="V751" s="24" t="e">
        <f t="shared" ca="1" si="25"/>
        <v>#NAME?</v>
      </c>
      <c r="W751" s="7"/>
      <c r="X751" s="7"/>
      <c r="Y751" s="29" t="s">
        <v>147</v>
      </c>
      <c r="Z751" s="30"/>
      <c r="AA751" s="31">
        <v>45105</v>
      </c>
      <c r="AB751" s="32">
        <v>49075100007039</v>
      </c>
      <c r="AC751" s="30"/>
      <c r="AD751" s="30"/>
      <c r="AE751" s="30"/>
      <c r="AF751" s="30"/>
      <c r="AG751" s="30"/>
      <c r="AH751" s="30"/>
      <c r="AI751" s="30"/>
      <c r="AJ751" s="30"/>
      <c r="AK751" s="30">
        <v>41342.639999999999</v>
      </c>
      <c r="AL751" s="30">
        <v>353197.08</v>
      </c>
      <c r="AM751" s="30">
        <v>356698.92</v>
      </c>
      <c r="AN751" s="30">
        <v>359344.38</v>
      </c>
      <c r="AO751" s="30">
        <v>362677.22</v>
      </c>
      <c r="AP751" s="30">
        <v>365512.31</v>
      </c>
      <c r="AQ751" s="30">
        <v>368420.65</v>
      </c>
      <c r="AR751" s="30">
        <v>367439.83</v>
      </c>
      <c r="AS751" s="30">
        <v>362079.85</v>
      </c>
      <c r="AT751" s="30">
        <v>279463.95</v>
      </c>
      <c r="AU751" s="30">
        <v>281538.18</v>
      </c>
      <c r="AV751" s="30">
        <v>283595.09999999998</v>
      </c>
      <c r="AW751" s="30">
        <v>285064</v>
      </c>
      <c r="AX751" s="30">
        <v>166313.4</v>
      </c>
      <c r="AY751" s="30">
        <v>167543.56</v>
      </c>
      <c r="AZ751" s="30">
        <v>134094.03</v>
      </c>
      <c r="BA751" s="30" t="e">
        <f t="array" aca="1" ref="BA751" ca="1">_xludf.XLOOKUP(C751,'PL TOTAL D0'!A:A,'PL TOTAL D0'!C:C,"")</f>
        <v>#NAME?</v>
      </c>
    </row>
    <row r="752" spans="1:53" ht="15.75" customHeight="1">
      <c r="A752" s="23" t="s">
        <v>29</v>
      </c>
      <c r="B752" s="3" t="s">
        <v>2532</v>
      </c>
      <c r="C752" s="4" t="s">
        <v>2533</v>
      </c>
      <c r="D752" s="7" t="s">
        <v>19</v>
      </c>
      <c r="E752" s="7" t="s">
        <v>20</v>
      </c>
      <c r="F752" s="7" t="s">
        <v>372</v>
      </c>
      <c r="G752" s="7" t="e">
        <f t="shared" ca="1" si="24"/>
        <v>#NAME?</v>
      </c>
      <c r="H752" s="24" t="s">
        <v>161</v>
      </c>
      <c r="I752" s="24" t="s">
        <v>162</v>
      </c>
      <c r="J752" s="7" t="str">
        <f t="shared" si="32"/>
        <v>Não</v>
      </c>
      <c r="K752" s="25">
        <v>45166</v>
      </c>
      <c r="L752" s="25"/>
      <c r="M752" s="7" t="s">
        <v>42</v>
      </c>
      <c r="N752" s="26">
        <v>1.2E-2</v>
      </c>
      <c r="O752" s="7" t="s">
        <v>25</v>
      </c>
      <c r="P752" s="27">
        <v>0</v>
      </c>
      <c r="Q752" s="90"/>
      <c r="R752" s="90"/>
      <c r="S752" s="7" t="s">
        <v>145</v>
      </c>
      <c r="T752" s="4" t="s">
        <v>2534</v>
      </c>
      <c r="U752" s="7" t="s">
        <v>20</v>
      </c>
      <c r="V752" s="24" t="e">
        <f t="shared" ca="1" si="25"/>
        <v>#NAME?</v>
      </c>
      <c r="W752" s="7"/>
      <c r="X752" s="7"/>
      <c r="Y752" s="29" t="s">
        <v>147</v>
      </c>
      <c r="Z752" s="30"/>
      <c r="AA752" s="31">
        <v>45166</v>
      </c>
      <c r="AB752" s="32">
        <v>49075100012008</v>
      </c>
      <c r="AC752" s="30"/>
      <c r="AD752" s="30"/>
      <c r="AE752" s="30"/>
      <c r="AF752" s="30"/>
      <c r="AG752" s="30">
        <v>0</v>
      </c>
      <c r="AH752" s="30">
        <v>0</v>
      </c>
      <c r="AI752" s="30">
        <v>0</v>
      </c>
      <c r="AJ752" s="30">
        <v>0</v>
      </c>
      <c r="AK752" s="30">
        <v>0</v>
      </c>
      <c r="AL752" s="30">
        <v>0</v>
      </c>
      <c r="AM752" s="30">
        <v>0</v>
      </c>
      <c r="AN752" s="30">
        <v>0</v>
      </c>
      <c r="AO752" s="30">
        <v>0</v>
      </c>
      <c r="AP752" s="30">
        <v>0</v>
      </c>
      <c r="AQ752" s="30">
        <v>0</v>
      </c>
      <c r="AR752" s="30">
        <v>0</v>
      </c>
      <c r="AS752" s="30">
        <v>0</v>
      </c>
      <c r="AT752" s="30">
        <v>0</v>
      </c>
      <c r="AU752" s="30">
        <v>0</v>
      </c>
      <c r="AV752" s="30">
        <v>0</v>
      </c>
      <c r="AW752" s="30">
        <v>0</v>
      </c>
      <c r="AX752" s="30">
        <v>0</v>
      </c>
      <c r="AY752" s="30">
        <v>0</v>
      </c>
      <c r="AZ752" s="30">
        <v>0</v>
      </c>
      <c r="BA752" s="30" t="e">
        <f t="array" aca="1" ref="BA752" ca="1">_xludf.XLOOKUP(C752,'PL TOTAL D0'!A:A,'PL TOTAL D0'!C:C,"")</f>
        <v>#NAME?</v>
      </c>
    </row>
    <row r="753" spans="1:53" ht="15.75" customHeight="1">
      <c r="A753" s="23" t="s">
        <v>29</v>
      </c>
      <c r="B753" s="37" t="s">
        <v>2535</v>
      </c>
      <c r="C753" s="4" t="s">
        <v>2536</v>
      </c>
      <c r="D753" s="7" t="s">
        <v>19</v>
      </c>
      <c r="E753" s="7" t="s">
        <v>34</v>
      </c>
      <c r="F753" s="7" t="s">
        <v>262</v>
      </c>
      <c r="G753" s="7" t="e">
        <f t="shared" ca="1" si="24"/>
        <v>#NAME?</v>
      </c>
      <c r="H753" s="24" t="s">
        <v>152</v>
      </c>
      <c r="I753" s="24" t="s">
        <v>25</v>
      </c>
      <c r="J753" s="7" t="str">
        <f t="shared" si="32"/>
        <v>Não</v>
      </c>
      <c r="K753" s="25">
        <v>45163</v>
      </c>
      <c r="L753" s="25"/>
      <c r="M753" s="7" t="s">
        <v>42</v>
      </c>
      <c r="N753" s="26">
        <v>1.2E-2</v>
      </c>
      <c r="O753" s="7" t="s">
        <v>25</v>
      </c>
      <c r="P753" s="27">
        <v>0</v>
      </c>
      <c r="Q753" s="45"/>
      <c r="R753" s="28"/>
      <c r="S753" s="7" t="s">
        <v>145</v>
      </c>
      <c r="T753" s="7" t="s">
        <v>2537</v>
      </c>
      <c r="U753" s="7" t="s">
        <v>39</v>
      </c>
      <c r="V753" s="24" t="e">
        <f t="shared" ca="1" si="25"/>
        <v>#NAME?</v>
      </c>
      <c r="W753" s="7"/>
      <c r="X753" s="7"/>
      <c r="Y753" s="29" t="s">
        <v>147</v>
      </c>
      <c r="Z753" s="30"/>
      <c r="AA753" s="31">
        <v>45163</v>
      </c>
      <c r="AB753" s="32">
        <v>49075100008086</v>
      </c>
      <c r="AC753" s="30"/>
      <c r="AD753" s="30"/>
      <c r="AE753" s="30"/>
      <c r="AF753" s="30"/>
      <c r="AG753" s="30"/>
      <c r="AH753" s="30"/>
      <c r="AI753" s="30"/>
      <c r="AJ753" s="30"/>
      <c r="AK753" s="30"/>
      <c r="AL753" s="30"/>
      <c r="AM753" s="30">
        <v>212285.51</v>
      </c>
      <c r="AN753" s="30">
        <v>213887.99</v>
      </c>
      <c r="AO753" s="30">
        <v>215498.84</v>
      </c>
      <c r="AP753" s="30">
        <v>217365.1</v>
      </c>
      <c r="AQ753" s="30">
        <v>219164.85</v>
      </c>
      <c r="AR753" s="30">
        <v>218353.98</v>
      </c>
      <c r="AS753" s="30">
        <v>219918.23</v>
      </c>
      <c r="AT753" s="30">
        <v>220877.83</v>
      </c>
      <c r="AU753" s="30">
        <v>222419.64</v>
      </c>
      <c r="AV753" s="30">
        <v>224094.1</v>
      </c>
      <c r="AW753" s="30">
        <v>225730.2</v>
      </c>
      <c r="AX753" s="30">
        <v>227507.9</v>
      </c>
      <c r="AY753" s="30">
        <v>229078.69</v>
      </c>
      <c r="AZ753" s="30">
        <v>230696.88</v>
      </c>
      <c r="BA753" s="30" t="e">
        <f t="array" aca="1" ref="BA753" ca="1">_xludf.XLOOKUP(C753,'PL TOTAL D0'!A:A,'PL TOTAL D0'!C:C,"")</f>
        <v>#NAME?</v>
      </c>
    </row>
    <row r="754" spans="1:53" ht="15.75" customHeight="1">
      <c r="A754" s="23" t="s">
        <v>29</v>
      </c>
      <c r="B754" s="3" t="s">
        <v>2538</v>
      </c>
      <c r="C754" s="4" t="s">
        <v>2539</v>
      </c>
      <c r="D754" s="7" t="s">
        <v>64</v>
      </c>
      <c r="E754" s="7" t="s">
        <v>20</v>
      </c>
      <c r="F754" s="7" t="s">
        <v>794</v>
      </c>
      <c r="G754" s="7" t="e">
        <f t="shared" ca="1" si="24"/>
        <v>#NAME?</v>
      </c>
      <c r="H754" s="24" t="s">
        <v>152</v>
      </c>
      <c r="I754" s="24" t="s">
        <v>25</v>
      </c>
      <c r="J754" s="7" t="str">
        <f t="shared" si="32"/>
        <v>Não</v>
      </c>
      <c r="K754" s="25">
        <v>44995</v>
      </c>
      <c r="L754" s="7"/>
      <c r="M754" s="7" t="s">
        <v>200</v>
      </c>
      <c r="N754" s="26">
        <v>1.4999999999999999E-2</v>
      </c>
      <c r="O754" s="7" t="s">
        <v>37</v>
      </c>
      <c r="P754" s="27">
        <v>0.1</v>
      </c>
      <c r="Q754" s="90"/>
      <c r="R754" s="90"/>
      <c r="S754" s="7" t="s">
        <v>145</v>
      </c>
      <c r="T754" s="7" t="s">
        <v>2540</v>
      </c>
      <c r="U754" s="7" t="s">
        <v>20</v>
      </c>
      <c r="V754" s="24" t="e">
        <f t="shared" ca="1" si="25"/>
        <v>#NAME?</v>
      </c>
      <c r="W754" s="7"/>
      <c r="X754" s="7"/>
      <c r="Y754" s="29" t="s">
        <v>147</v>
      </c>
      <c r="Z754" s="30"/>
      <c r="AA754" s="31">
        <v>44995</v>
      </c>
      <c r="AB754" s="32">
        <v>49075100012814</v>
      </c>
      <c r="AC754" s="30"/>
      <c r="AD754" s="30"/>
      <c r="AE754" s="30"/>
      <c r="AF754" s="30"/>
      <c r="AG754" s="30"/>
      <c r="AH754" s="30">
        <v>60571.25</v>
      </c>
      <c r="AI754" s="30">
        <v>94101.27</v>
      </c>
      <c r="AJ754" s="30">
        <v>95641.04</v>
      </c>
      <c r="AK754" s="30">
        <v>97219.44</v>
      </c>
      <c r="AL754" s="30">
        <v>98019.24</v>
      </c>
      <c r="AM754" s="30">
        <v>98214.51</v>
      </c>
      <c r="AN754" s="30">
        <v>98658</v>
      </c>
      <c r="AO754" s="30">
        <v>98603.27</v>
      </c>
      <c r="AP754" s="30">
        <v>101156.98</v>
      </c>
      <c r="AQ754" s="30">
        <v>103107.47</v>
      </c>
      <c r="AR754" s="30">
        <v>101601.19</v>
      </c>
      <c r="AS754" s="30">
        <v>102512.46</v>
      </c>
      <c r="AT754" s="30">
        <v>103054.56</v>
      </c>
      <c r="AU754" s="30">
        <v>102308.48</v>
      </c>
      <c r="AV754" s="30">
        <v>101941.6</v>
      </c>
      <c r="AW754" s="30">
        <v>102587.3</v>
      </c>
      <c r="AX754" s="30">
        <v>104032.9</v>
      </c>
      <c r="AY754" s="30">
        <v>105293.63</v>
      </c>
      <c r="AZ754" s="30">
        <v>105083.08</v>
      </c>
      <c r="BA754" s="30" t="e">
        <f t="array" aca="1" ref="BA754" ca="1">_xludf.XLOOKUP(C754,'PL TOTAL D0'!A:A,'PL TOTAL D0'!C:C,"")</f>
        <v>#NAME?</v>
      </c>
    </row>
    <row r="755" spans="1:53" ht="15.75" customHeight="1">
      <c r="A755" s="23" t="s">
        <v>29</v>
      </c>
      <c r="B755" s="40" t="s">
        <v>2541</v>
      </c>
      <c r="C755" s="44" t="s">
        <v>2542</v>
      </c>
      <c r="D755" s="7" t="s">
        <v>19</v>
      </c>
      <c r="E755" s="7" t="s">
        <v>34</v>
      </c>
      <c r="F755" s="7" t="s">
        <v>35</v>
      </c>
      <c r="G755" s="7" t="e">
        <f t="shared" ca="1" si="24"/>
        <v>#NAME?</v>
      </c>
      <c r="H755" s="24" t="s">
        <v>152</v>
      </c>
      <c r="I755" s="24" t="s">
        <v>25</v>
      </c>
      <c r="J755" s="7" t="str">
        <f t="shared" si="32"/>
        <v>Não</v>
      </c>
      <c r="K755" s="25">
        <v>45188</v>
      </c>
      <c r="L755" s="7"/>
      <c r="M755" s="7" t="s">
        <v>58</v>
      </c>
      <c r="N755" s="26">
        <v>1.2E-2</v>
      </c>
      <c r="O755" s="7" t="s">
        <v>37</v>
      </c>
      <c r="P755" s="27">
        <v>0.1</v>
      </c>
      <c r="Q755" s="23"/>
      <c r="R755" s="28" t="s">
        <v>2543</v>
      </c>
      <c r="S755" s="7" t="s">
        <v>145</v>
      </c>
      <c r="T755" s="7" t="s">
        <v>2544</v>
      </c>
      <c r="U755" s="7" t="s">
        <v>39</v>
      </c>
      <c r="V755" s="24" t="e">
        <f t="shared" ca="1" si="25"/>
        <v>#NAME?</v>
      </c>
      <c r="W755" s="7"/>
      <c r="X755" s="7"/>
      <c r="Y755" s="29" t="s">
        <v>147</v>
      </c>
      <c r="Z755" s="30"/>
      <c r="AA755" s="31">
        <v>45188</v>
      </c>
      <c r="AB755" s="32">
        <v>49075100012016</v>
      </c>
      <c r="AC755" s="30"/>
      <c r="AD755" s="30"/>
      <c r="AE755" s="30"/>
      <c r="AF755" s="30"/>
      <c r="AG755" s="30"/>
      <c r="AH755" s="30"/>
      <c r="AI755" s="30"/>
      <c r="AJ755" s="30"/>
      <c r="AK755" s="30"/>
      <c r="AL755" s="30"/>
      <c r="AM755" s="30"/>
      <c r="AN755" s="30">
        <v>0</v>
      </c>
      <c r="AO755" s="30">
        <v>559522.29</v>
      </c>
      <c r="AP755" s="30">
        <v>569804.07999999996</v>
      </c>
      <c r="AQ755" s="30">
        <v>578461.05000000005</v>
      </c>
      <c r="AR755" s="30">
        <v>573913.17000000004</v>
      </c>
      <c r="AS755" s="30">
        <v>577550.97</v>
      </c>
      <c r="AT755" s="30">
        <v>577230.69999999995</v>
      </c>
      <c r="AU755" s="30">
        <v>575149.39</v>
      </c>
      <c r="AV755" s="30">
        <v>576161.4</v>
      </c>
      <c r="AW755" s="30">
        <v>580104.6</v>
      </c>
      <c r="AX755" s="30">
        <v>586524.69999999995</v>
      </c>
      <c r="AY755" s="30">
        <v>592511.91</v>
      </c>
      <c r="AZ755" s="30">
        <v>594001.87</v>
      </c>
      <c r="BA755" s="30" t="e">
        <f t="array" aca="1" ref="BA755" ca="1">_xludf.XLOOKUP(C755,'PL TOTAL D0'!A:A,'PL TOTAL D0'!C:C,"")</f>
        <v>#NAME?</v>
      </c>
    </row>
    <row r="756" spans="1:53" ht="15.75" customHeight="1">
      <c r="A756" s="23" t="s">
        <v>29</v>
      </c>
      <c r="B756" s="38" t="s">
        <v>2545</v>
      </c>
      <c r="C756" s="39" t="s">
        <v>2546</v>
      </c>
      <c r="D756" s="7" t="s">
        <v>80</v>
      </c>
      <c r="E756" s="7" t="s">
        <v>49</v>
      </c>
      <c r="F756" s="7" t="s">
        <v>81</v>
      </c>
      <c r="G756" s="7" t="e">
        <f t="shared" ca="1" si="24"/>
        <v>#NAME?</v>
      </c>
      <c r="H756" s="24" t="s">
        <v>152</v>
      </c>
      <c r="I756" s="24" t="s">
        <v>25</v>
      </c>
      <c r="J756" s="7" t="str">
        <f t="shared" si="32"/>
        <v>Não</v>
      </c>
      <c r="K756" s="25">
        <v>45390</v>
      </c>
      <c r="L756" s="7"/>
      <c r="M756" s="7" t="s">
        <v>42</v>
      </c>
      <c r="N756" s="26">
        <v>1.2E-2</v>
      </c>
      <c r="O756" s="7" t="s">
        <v>25</v>
      </c>
      <c r="P756" s="27">
        <v>0</v>
      </c>
      <c r="Q756" s="23"/>
      <c r="R756" s="28"/>
      <c r="S756" s="7" t="s">
        <v>145</v>
      </c>
      <c r="T756" s="6" t="s">
        <v>2547</v>
      </c>
      <c r="U756" s="7" t="s">
        <v>49</v>
      </c>
      <c r="V756" s="24" t="e">
        <f t="shared" ca="1" si="25"/>
        <v>#NAME?</v>
      </c>
      <c r="W756" s="7"/>
      <c r="X756" s="7" t="s">
        <v>52</v>
      </c>
      <c r="Y756" s="29" t="s">
        <v>147</v>
      </c>
      <c r="Z756" s="30"/>
      <c r="AA756" s="31">
        <v>45390</v>
      </c>
      <c r="AB756" s="32">
        <v>49075100014175</v>
      </c>
      <c r="AC756" s="30"/>
      <c r="AD756" s="30"/>
      <c r="AE756" s="30"/>
      <c r="AF756" s="30"/>
      <c r="AG756" s="30"/>
      <c r="AH756" s="30"/>
      <c r="AI756" s="30"/>
      <c r="AJ756" s="30"/>
      <c r="AK756" s="30"/>
      <c r="AL756" s="30"/>
      <c r="AM756" s="30"/>
      <c r="AN756" s="30"/>
      <c r="AO756" s="30"/>
      <c r="AP756" s="30"/>
      <c r="AQ756" s="30"/>
      <c r="AR756" s="30"/>
      <c r="AS756" s="30"/>
      <c r="AT756" s="30"/>
      <c r="AU756" s="30">
        <v>301810.12</v>
      </c>
      <c r="AV756" s="30">
        <v>364514.2</v>
      </c>
      <c r="AW756" s="30">
        <v>357371.8</v>
      </c>
      <c r="AX756" s="30">
        <v>361899.7</v>
      </c>
      <c r="AY756" s="30">
        <v>358464.77</v>
      </c>
      <c r="AZ756" s="30">
        <v>372558.51</v>
      </c>
      <c r="BA756" s="30" t="e">
        <f t="array" aca="1" ref="BA756" ca="1">_xludf.XLOOKUP(C756,'PL TOTAL D0'!A:A,'PL TOTAL D0'!C:C,"")</f>
        <v>#NAME?</v>
      </c>
    </row>
    <row r="757" spans="1:53" ht="15.75" customHeight="1">
      <c r="A757" s="23" t="s">
        <v>29</v>
      </c>
      <c r="B757" s="37" t="s">
        <v>2548</v>
      </c>
      <c r="C757" s="4" t="s">
        <v>2549</v>
      </c>
      <c r="D757" s="7" t="s">
        <v>19</v>
      </c>
      <c r="E757" s="7" t="s">
        <v>49</v>
      </c>
      <c r="F757" s="7" t="s">
        <v>50</v>
      </c>
      <c r="G757" s="7" t="e">
        <f t="shared" ca="1" si="24"/>
        <v>#NAME?</v>
      </c>
      <c r="H757" s="24" t="s">
        <v>161</v>
      </c>
      <c r="I757" s="24" t="s">
        <v>162</v>
      </c>
      <c r="J757" s="7" t="str">
        <f t="shared" si="32"/>
        <v>Não</v>
      </c>
      <c r="K757" s="25">
        <v>45051</v>
      </c>
      <c r="L757" s="7"/>
      <c r="M757" s="7" t="s">
        <v>42</v>
      </c>
      <c r="N757" s="26">
        <v>1.2E-2</v>
      </c>
      <c r="O757" s="7" t="s">
        <v>25</v>
      </c>
      <c r="P757" s="27">
        <v>0</v>
      </c>
      <c r="Q757" s="28"/>
      <c r="R757" s="28" t="s">
        <v>2550</v>
      </c>
      <c r="S757" s="7" t="s">
        <v>145</v>
      </c>
      <c r="T757" s="7" t="s">
        <v>2551</v>
      </c>
      <c r="U757" s="7" t="s">
        <v>60</v>
      </c>
      <c r="V757" s="24" t="e">
        <f t="shared" ca="1" si="25"/>
        <v>#NAME?</v>
      </c>
      <c r="W757" s="7"/>
      <c r="X757" s="7"/>
      <c r="Y757" s="29" t="s">
        <v>147</v>
      </c>
      <c r="Z757" s="30"/>
      <c r="AA757" s="31">
        <v>45051</v>
      </c>
      <c r="AB757" s="32">
        <v>49075100003394</v>
      </c>
      <c r="AC757" s="30"/>
      <c r="AD757" s="30"/>
      <c r="AE757" s="30"/>
      <c r="AF757" s="30"/>
      <c r="AG757" s="30"/>
      <c r="AH757" s="30"/>
      <c r="AI757" s="30">
        <v>0</v>
      </c>
      <c r="AJ757" s="30">
        <v>407252.56</v>
      </c>
      <c r="AK757" s="30">
        <v>409394.24</v>
      </c>
      <c r="AL757" s="30">
        <v>411428.94</v>
      </c>
      <c r="AM757" s="30">
        <v>413918.55</v>
      </c>
      <c r="AN757" s="30">
        <v>416019.16</v>
      </c>
      <c r="AO757" s="30">
        <v>418518.76</v>
      </c>
      <c r="AP757" s="30">
        <v>420990.81</v>
      </c>
      <c r="AQ757" s="30">
        <v>423670.52</v>
      </c>
      <c r="AR757" s="30">
        <v>424872.69</v>
      </c>
      <c r="AS757" s="30">
        <v>139.47999999999999</v>
      </c>
      <c r="AT757" s="30">
        <v>140.59</v>
      </c>
      <c r="AU757" s="30">
        <v>141.76</v>
      </c>
      <c r="AV757" s="30">
        <v>142.27000000000001</v>
      </c>
      <c r="AW757" s="30">
        <v>143.35</v>
      </c>
      <c r="AX757" s="30">
        <v>144.58000000000001</v>
      </c>
      <c r="AY757" s="30">
        <v>145.78</v>
      </c>
      <c r="AZ757" s="30">
        <v>146.93</v>
      </c>
      <c r="BA757" s="30" t="e">
        <f t="array" aca="1" ref="BA757" ca="1">_xludf.XLOOKUP(C757,'PL TOTAL D0'!A:A,'PL TOTAL D0'!C:C,"")</f>
        <v>#NAME?</v>
      </c>
    </row>
    <row r="758" spans="1:53" ht="15.75" customHeight="1">
      <c r="A758" s="23" t="s">
        <v>29</v>
      </c>
      <c r="B758" s="37" t="s">
        <v>2552</v>
      </c>
      <c r="C758" s="4" t="s">
        <v>2553</v>
      </c>
      <c r="D758" s="7" t="s">
        <v>19</v>
      </c>
      <c r="E758" s="7" t="s">
        <v>20</v>
      </c>
      <c r="F758" s="7" t="s">
        <v>21</v>
      </c>
      <c r="G758" s="7" t="e">
        <f t="shared" ca="1" si="24"/>
        <v>#NAME?</v>
      </c>
      <c r="H758" s="24" t="s">
        <v>161</v>
      </c>
      <c r="I758" s="24" t="s">
        <v>162</v>
      </c>
      <c r="J758" s="7" t="str">
        <f t="shared" si="32"/>
        <v>Não</v>
      </c>
      <c r="K758" s="25">
        <v>45029</v>
      </c>
      <c r="L758" s="7"/>
      <c r="M758" s="7" t="s">
        <v>200</v>
      </c>
      <c r="N758" s="26">
        <v>1.4999999999999999E-2</v>
      </c>
      <c r="O758" s="7" t="s">
        <v>37</v>
      </c>
      <c r="P758" s="27">
        <v>0.1</v>
      </c>
      <c r="Q758" s="90"/>
      <c r="R758" s="90"/>
      <c r="S758" s="7" t="s">
        <v>145</v>
      </c>
      <c r="T758" s="7" t="s">
        <v>2554</v>
      </c>
      <c r="U758" s="7" t="s">
        <v>20</v>
      </c>
      <c r="V758" s="24" t="e">
        <f t="shared" ca="1" si="25"/>
        <v>#NAME?</v>
      </c>
      <c r="W758" s="7"/>
      <c r="X758" s="7"/>
      <c r="Y758" s="29" t="s">
        <v>147</v>
      </c>
      <c r="Z758" s="30"/>
      <c r="AA758" s="31">
        <v>45029</v>
      </c>
      <c r="AB758" s="32">
        <v>49075100010080</v>
      </c>
      <c r="AC758" s="30"/>
      <c r="AD758" s="30"/>
      <c r="AE758" s="30"/>
      <c r="AF758" s="30"/>
      <c r="AG758" s="30"/>
      <c r="AH758" s="30">
        <v>0</v>
      </c>
      <c r="AI758" s="30">
        <v>240346.35</v>
      </c>
      <c r="AJ758" s="30">
        <v>244022.86</v>
      </c>
      <c r="AK758" s="30">
        <v>251230.62</v>
      </c>
      <c r="AL758" s="30">
        <v>257944.56</v>
      </c>
      <c r="AM758" s="30">
        <v>254460.35</v>
      </c>
      <c r="AN758" s="30">
        <v>254995.54</v>
      </c>
      <c r="AO758" s="30">
        <v>254915.89</v>
      </c>
      <c r="AP758" s="30">
        <v>260097.34</v>
      </c>
      <c r="AQ758" s="30">
        <v>265236.71999999997</v>
      </c>
      <c r="AR758" s="30">
        <v>261031.09</v>
      </c>
      <c r="AS758" s="30">
        <v>261909.58</v>
      </c>
      <c r="AT758" s="30">
        <v>225.57</v>
      </c>
      <c r="AU758" s="30">
        <v>225.57</v>
      </c>
      <c r="AV758" s="30">
        <v>225.57</v>
      </c>
      <c r="AW758" s="30">
        <v>252.84</v>
      </c>
      <c r="AX758" s="30">
        <v>253.98</v>
      </c>
      <c r="AY758" s="30">
        <v>255.08</v>
      </c>
      <c r="AZ758" s="30">
        <v>256.14999999999998</v>
      </c>
      <c r="BA758" s="30" t="e">
        <f t="array" aca="1" ref="BA758" ca="1">_xludf.XLOOKUP(C758,'PL TOTAL D0'!A:A,'PL TOTAL D0'!C:C,"")</f>
        <v>#NAME?</v>
      </c>
    </row>
    <row r="759" spans="1:53" ht="15.75" customHeight="1">
      <c r="A759" s="23" t="s">
        <v>29</v>
      </c>
      <c r="B759" s="3" t="s">
        <v>2555</v>
      </c>
      <c r="C759" s="4" t="s">
        <v>2556</v>
      </c>
      <c r="D759" s="7" t="s">
        <v>64</v>
      </c>
      <c r="E759" s="7" t="s">
        <v>20</v>
      </c>
      <c r="F759" s="7" t="s">
        <v>204</v>
      </c>
      <c r="G759" s="7" t="e">
        <f t="shared" ca="1" si="24"/>
        <v>#NAME?</v>
      </c>
      <c r="H759" s="24" t="s">
        <v>161</v>
      </c>
      <c r="I759" s="24" t="s">
        <v>205</v>
      </c>
      <c r="J759" s="7" t="str">
        <f t="shared" si="32"/>
        <v>Sim</v>
      </c>
      <c r="K759" s="25">
        <v>45279</v>
      </c>
      <c r="L759" s="7"/>
      <c r="M759" s="7" t="s">
        <v>31</v>
      </c>
      <c r="N759" s="26">
        <v>3.0000000000000001E-3</v>
      </c>
      <c r="O759" s="7" t="s">
        <v>25</v>
      </c>
      <c r="P759" s="27">
        <v>0</v>
      </c>
      <c r="Q759" s="36" t="s">
        <v>1186</v>
      </c>
      <c r="R759" s="90"/>
      <c r="S759" s="7" t="s">
        <v>145</v>
      </c>
      <c r="T759" s="7" t="s">
        <v>2557</v>
      </c>
      <c r="U759" s="7" t="s">
        <v>46</v>
      </c>
      <c r="V759" s="24" t="e">
        <f t="shared" ca="1" si="25"/>
        <v>#NAME?</v>
      </c>
      <c r="W759" s="7"/>
      <c r="X759" s="7"/>
      <c r="Y759" s="29" t="s">
        <v>147</v>
      </c>
      <c r="Z759" s="30"/>
      <c r="AA759" s="31">
        <v>45279</v>
      </c>
      <c r="AB759" s="32">
        <v>49075100013497</v>
      </c>
      <c r="AC759" s="30"/>
      <c r="AD759" s="30"/>
      <c r="AE759" s="30"/>
      <c r="AF759" s="30"/>
      <c r="AG759" s="30"/>
      <c r="AH759" s="30"/>
      <c r="AI759" s="30"/>
      <c r="AJ759" s="30"/>
      <c r="AK759" s="30"/>
      <c r="AL759" s="30"/>
      <c r="AM759" s="30"/>
      <c r="AN759" s="30"/>
      <c r="AO759" s="30"/>
      <c r="AP759" s="30"/>
      <c r="AQ759" s="30">
        <v>157507.54999999999</v>
      </c>
      <c r="AR759" s="30">
        <v>158567.98000000001</v>
      </c>
      <c r="AS759" s="30">
        <v>575.24</v>
      </c>
      <c r="AT759" s="30">
        <v>580.01</v>
      </c>
      <c r="AU759" s="30">
        <v>585.07000000000005</v>
      </c>
      <c r="AV759" s="30">
        <v>3007.28</v>
      </c>
      <c r="AW759" s="30">
        <v>3029.65</v>
      </c>
      <c r="AX759" s="30">
        <v>244568.2</v>
      </c>
      <c r="AY759" s="30">
        <v>253919.35999999999</v>
      </c>
      <c r="AZ759" s="30">
        <v>254471.1</v>
      </c>
      <c r="BA759" s="30" t="e">
        <f t="array" aca="1" ref="BA759" ca="1">_xludf.XLOOKUP(C759,'PL TOTAL D0'!A:A,'PL TOTAL D0'!C:C,"")</f>
        <v>#NAME?</v>
      </c>
    </row>
    <row r="760" spans="1:53" ht="15.75" customHeight="1">
      <c r="A760" s="23" t="s">
        <v>29</v>
      </c>
      <c r="B760" s="3" t="s">
        <v>2558</v>
      </c>
      <c r="C760" s="4" t="s">
        <v>2559</v>
      </c>
      <c r="D760" s="7" t="s">
        <v>19</v>
      </c>
      <c r="E760" s="7" t="s">
        <v>49</v>
      </c>
      <c r="F760" s="7" t="s">
        <v>277</v>
      </c>
      <c r="G760" s="7" t="e">
        <f t="shared" ca="1" si="24"/>
        <v>#NAME?</v>
      </c>
      <c r="H760" s="24" t="s">
        <v>161</v>
      </c>
      <c r="I760" s="24" t="s">
        <v>162</v>
      </c>
      <c r="J760" s="7" t="str">
        <f t="shared" si="32"/>
        <v>Não</v>
      </c>
      <c r="K760" s="25">
        <v>45163</v>
      </c>
      <c r="L760" s="25"/>
      <c r="M760" s="7" t="s">
        <v>42</v>
      </c>
      <c r="N760" s="26">
        <v>1.2E-2</v>
      </c>
      <c r="O760" s="7" t="s">
        <v>25</v>
      </c>
      <c r="P760" s="27">
        <v>0</v>
      </c>
      <c r="Q760" s="90"/>
      <c r="R760" s="90"/>
      <c r="S760" s="7" t="s">
        <v>145</v>
      </c>
      <c r="T760" s="7" t="s">
        <v>2560</v>
      </c>
      <c r="U760" s="7" t="s">
        <v>49</v>
      </c>
      <c r="V760" s="24" t="e">
        <f t="shared" ca="1" si="25"/>
        <v>#NAME?</v>
      </c>
      <c r="W760" s="7"/>
      <c r="X760" s="7"/>
      <c r="Y760" s="29" t="s">
        <v>147</v>
      </c>
      <c r="Z760" s="30"/>
      <c r="AA760" s="31">
        <v>45163</v>
      </c>
      <c r="AB760" s="32">
        <v>49075100012024</v>
      </c>
      <c r="AC760" s="30"/>
      <c r="AD760" s="30"/>
      <c r="AE760" s="30"/>
      <c r="AF760" s="30"/>
      <c r="AG760" s="30"/>
      <c r="AH760" s="30"/>
      <c r="AI760" s="30">
        <v>0</v>
      </c>
      <c r="AJ760" s="30">
        <v>0</v>
      </c>
      <c r="AK760" s="30">
        <v>0</v>
      </c>
      <c r="AL760" s="30">
        <v>0</v>
      </c>
      <c r="AM760" s="30">
        <v>0</v>
      </c>
      <c r="AN760" s="30">
        <v>0</v>
      </c>
      <c r="AO760" s="30">
        <v>0</v>
      </c>
      <c r="AP760" s="30">
        <v>0</v>
      </c>
      <c r="AQ760" s="30">
        <v>0</v>
      </c>
      <c r="AR760" s="30">
        <v>0</v>
      </c>
      <c r="AS760" s="30">
        <v>0</v>
      </c>
      <c r="AT760" s="30">
        <v>0</v>
      </c>
      <c r="AU760" s="30">
        <v>0</v>
      </c>
      <c r="AV760" s="30">
        <v>0</v>
      </c>
      <c r="AW760" s="30">
        <v>0</v>
      </c>
      <c r="AX760" s="30">
        <v>0</v>
      </c>
      <c r="AY760" s="30">
        <v>0</v>
      </c>
      <c r="AZ760" s="30">
        <v>0</v>
      </c>
      <c r="BA760" s="30" t="e">
        <f t="array" aca="1" ref="BA760" ca="1">_xludf.XLOOKUP(C760,'PL TOTAL D0'!A:A,'PL TOTAL D0'!C:C,"")</f>
        <v>#NAME?</v>
      </c>
    </row>
    <row r="761" spans="1:53" ht="15.75" customHeight="1">
      <c r="A761" s="23" t="s">
        <v>29</v>
      </c>
      <c r="B761" s="3" t="s">
        <v>2561</v>
      </c>
      <c r="C761" s="4" t="s">
        <v>2562</v>
      </c>
      <c r="D761" s="7" t="s">
        <v>64</v>
      </c>
      <c r="E761" s="7" t="s">
        <v>20</v>
      </c>
      <c r="F761" s="7" t="s">
        <v>142</v>
      </c>
      <c r="G761" s="7" t="e">
        <f t="shared" ca="1" si="24"/>
        <v>#NAME?</v>
      </c>
      <c r="H761" s="24" t="s">
        <v>143</v>
      </c>
      <c r="I761" s="24" t="s">
        <v>25</v>
      </c>
      <c r="J761" s="7" t="s">
        <v>1142</v>
      </c>
      <c r="K761" s="25">
        <v>45392</v>
      </c>
      <c r="L761" s="25">
        <v>45553</v>
      </c>
      <c r="M761" s="7" t="s">
        <v>1143</v>
      </c>
      <c r="N761" s="26">
        <v>0.01</v>
      </c>
      <c r="O761" s="7" t="s">
        <v>25</v>
      </c>
      <c r="P761" s="27">
        <v>0</v>
      </c>
      <c r="Q761" s="90"/>
      <c r="R761" s="90"/>
      <c r="S761" s="7" t="s">
        <v>145</v>
      </c>
      <c r="T761" s="7" t="s">
        <v>2563</v>
      </c>
      <c r="U761" s="7" t="s">
        <v>886</v>
      </c>
      <c r="V761" s="24" t="e">
        <f t="shared" ca="1" si="25"/>
        <v>#NAME?</v>
      </c>
      <c r="W761" s="7"/>
      <c r="X761" s="7"/>
      <c r="Y761" s="29"/>
      <c r="Z761" s="30"/>
      <c r="AA761" s="31">
        <v>45392</v>
      </c>
      <c r="AB761" s="32">
        <v>49075100014396</v>
      </c>
      <c r="AC761" s="30"/>
      <c r="AD761" s="30"/>
      <c r="AE761" s="30"/>
      <c r="AF761" s="30"/>
      <c r="AG761" s="30"/>
      <c r="AH761" s="30"/>
      <c r="AI761" s="30"/>
      <c r="AJ761" s="30"/>
      <c r="AK761" s="30"/>
      <c r="AL761" s="30"/>
      <c r="AM761" s="30"/>
      <c r="AN761" s="30"/>
      <c r="AO761" s="30"/>
      <c r="AP761" s="30"/>
      <c r="AQ761" s="30"/>
      <c r="AR761" s="30"/>
      <c r="AS761" s="30"/>
      <c r="AT761" s="30"/>
      <c r="AU761" s="30">
        <v>604739.80000000005</v>
      </c>
      <c r="AV761" s="30">
        <v>606968.6</v>
      </c>
      <c r="AW761" s="30">
        <v>605852.80000000005</v>
      </c>
      <c r="AX761" s="30">
        <v>616042.80000000005</v>
      </c>
      <c r="AY761" s="30">
        <v>0</v>
      </c>
      <c r="AZ761" s="30">
        <v>0</v>
      </c>
      <c r="BA761" s="30" t="e">
        <f t="array" aca="1" ref="BA761" ca="1">_xludf.XLOOKUP(C761,'PL TOTAL D0'!A:A,'PL TOTAL D0'!C:C,"")</f>
        <v>#NAME?</v>
      </c>
    </row>
    <row r="762" spans="1:53" ht="15.75" customHeight="1">
      <c r="A762" s="23" t="s">
        <v>29</v>
      </c>
      <c r="B762" s="3" t="s">
        <v>2564</v>
      </c>
      <c r="C762" s="4" t="s">
        <v>2565</v>
      </c>
      <c r="D762" s="7" t="s">
        <v>19</v>
      </c>
      <c r="E762" s="7" t="s">
        <v>20</v>
      </c>
      <c r="F762" s="7" t="s">
        <v>372</v>
      </c>
      <c r="G762" s="7" t="e">
        <f t="shared" ca="1" si="24"/>
        <v>#NAME?</v>
      </c>
      <c r="H762" s="24" t="s">
        <v>152</v>
      </c>
      <c r="I762" s="24" t="s">
        <v>25</v>
      </c>
      <c r="J762" s="7" t="str">
        <f t="shared" ref="J762:J770" si="33">IF(Q762=0,"Não","Sim")</f>
        <v>Sim</v>
      </c>
      <c r="K762" s="25">
        <v>45506</v>
      </c>
      <c r="L762" s="25"/>
      <c r="M762" s="7" t="s">
        <v>42</v>
      </c>
      <c r="N762" s="26">
        <v>1.2E-2</v>
      </c>
      <c r="O762" s="7" t="s">
        <v>25</v>
      </c>
      <c r="P762" s="27">
        <v>0</v>
      </c>
      <c r="Q762" s="28" t="s">
        <v>2566</v>
      </c>
      <c r="R762" s="90"/>
      <c r="S762" s="7" t="s">
        <v>145</v>
      </c>
      <c r="T762" s="7" t="s">
        <v>2567</v>
      </c>
      <c r="U762" s="7" t="s">
        <v>20</v>
      </c>
      <c r="V762" s="24" t="e">
        <f t="shared" ca="1" si="25"/>
        <v>#NAME?</v>
      </c>
      <c r="W762" s="7"/>
      <c r="X762" s="7" t="s">
        <v>52</v>
      </c>
      <c r="Y762" s="29" t="s">
        <v>253</v>
      </c>
      <c r="Z762" s="30"/>
      <c r="AA762" s="30"/>
      <c r="AB762" s="32"/>
      <c r="AC762" s="30"/>
      <c r="AD762" s="30"/>
      <c r="AE762" s="30"/>
      <c r="AF762" s="30"/>
      <c r="AG762" s="30"/>
      <c r="AH762" s="30"/>
      <c r="AI762" s="30"/>
      <c r="AJ762" s="30"/>
      <c r="AK762" s="30"/>
      <c r="AL762" s="30"/>
      <c r="AM762" s="30"/>
      <c r="AN762" s="30"/>
      <c r="AO762" s="30"/>
      <c r="AP762" s="30"/>
      <c r="AQ762" s="30"/>
      <c r="AR762" s="30"/>
      <c r="AS762" s="30"/>
      <c r="AT762" s="30"/>
      <c r="AU762" s="30"/>
      <c r="AV762" s="30"/>
      <c r="AW762" s="30"/>
      <c r="AX762" s="30"/>
      <c r="AY762" s="30">
        <v>108754.86</v>
      </c>
      <c r="AZ762" s="30">
        <v>115563.27</v>
      </c>
      <c r="BA762" s="30" t="e">
        <f t="array" aca="1" ref="BA762" ca="1">_xludf.XLOOKUP(C762,'PL TOTAL D0'!A:A,'PL TOTAL D0'!C:C,"")</f>
        <v>#NAME?</v>
      </c>
    </row>
    <row r="763" spans="1:53" ht="15.75" customHeight="1">
      <c r="A763" s="23" t="s">
        <v>29</v>
      </c>
      <c r="B763" s="3" t="s">
        <v>2568</v>
      </c>
      <c r="C763" s="4" t="s">
        <v>2569</v>
      </c>
      <c r="D763" s="7" t="s">
        <v>19</v>
      </c>
      <c r="E763" s="7" t="s">
        <v>20</v>
      </c>
      <c r="F763" s="7" t="s">
        <v>372</v>
      </c>
      <c r="G763" s="7" t="e">
        <f t="shared" ca="1" si="24"/>
        <v>#NAME?</v>
      </c>
      <c r="H763" s="24" t="s">
        <v>152</v>
      </c>
      <c r="I763" s="24" t="s">
        <v>25</v>
      </c>
      <c r="J763" s="7" t="str">
        <f t="shared" si="33"/>
        <v>Não</v>
      </c>
      <c r="K763" s="25">
        <v>45014</v>
      </c>
      <c r="L763" s="7"/>
      <c r="M763" s="7" t="s">
        <v>42</v>
      </c>
      <c r="N763" s="26">
        <v>1.2E-2</v>
      </c>
      <c r="O763" s="7" t="s">
        <v>25</v>
      </c>
      <c r="P763" s="27">
        <v>0</v>
      </c>
      <c r="Q763" s="28"/>
      <c r="R763" s="90"/>
      <c r="S763" s="7" t="s">
        <v>145</v>
      </c>
      <c r="T763" s="7" t="s">
        <v>2570</v>
      </c>
      <c r="U763" s="7" t="s">
        <v>20</v>
      </c>
      <c r="V763" s="24" t="e">
        <f t="shared" ca="1" si="25"/>
        <v>#NAME?</v>
      </c>
      <c r="W763" s="7"/>
      <c r="X763" s="7"/>
      <c r="Y763" s="29" t="s">
        <v>147</v>
      </c>
      <c r="Z763" s="30"/>
      <c r="AA763" s="31">
        <v>45014</v>
      </c>
      <c r="AB763" s="32">
        <v>49075100006891</v>
      </c>
      <c r="AC763" s="30"/>
      <c r="AD763" s="30"/>
      <c r="AE763" s="30"/>
      <c r="AF763" s="30"/>
      <c r="AG763" s="30"/>
      <c r="AH763" s="30">
        <v>58093.97</v>
      </c>
      <c r="AI763" s="30">
        <v>58552.2</v>
      </c>
      <c r="AJ763" s="30">
        <v>58477.42</v>
      </c>
      <c r="AK763" s="30">
        <v>58966.85</v>
      </c>
      <c r="AL763" s="30">
        <v>59456.92</v>
      </c>
      <c r="AM763" s="30">
        <v>59914.65</v>
      </c>
      <c r="AN763" s="30">
        <v>60378.23</v>
      </c>
      <c r="AO763" s="30">
        <v>60918.44</v>
      </c>
      <c r="AP763" s="30">
        <v>61371.9</v>
      </c>
      <c r="AQ763" s="30">
        <v>61866.12</v>
      </c>
      <c r="AR763" s="30">
        <v>62449.71</v>
      </c>
      <c r="AS763" s="30">
        <v>62665.42</v>
      </c>
      <c r="AT763" s="30">
        <v>42685.5</v>
      </c>
      <c r="AU763" s="30">
        <v>42835.01</v>
      </c>
      <c r="AV763" s="30">
        <v>43171.26</v>
      </c>
      <c r="AW763" s="30">
        <v>43491.93</v>
      </c>
      <c r="AX763" s="30">
        <v>43797.58</v>
      </c>
      <c r="AY763" s="30">
        <v>44134.02</v>
      </c>
      <c r="AZ763" s="30">
        <v>34297.269999999997</v>
      </c>
      <c r="BA763" s="30" t="e">
        <f t="array" aca="1" ref="BA763" ca="1">_xludf.XLOOKUP(C763,'PL TOTAL D0'!A:A,'PL TOTAL D0'!C:C,"")</f>
        <v>#NAME?</v>
      </c>
    </row>
    <row r="764" spans="1:53" ht="15.75" customHeight="1">
      <c r="A764" s="23" t="s">
        <v>29</v>
      </c>
      <c r="B764" s="3" t="s">
        <v>2571</v>
      </c>
      <c r="C764" s="35" t="s">
        <v>2572</v>
      </c>
      <c r="D764" s="7" t="s">
        <v>19</v>
      </c>
      <c r="E764" s="7" t="s">
        <v>20</v>
      </c>
      <c r="F764" s="7" t="s">
        <v>942</v>
      </c>
      <c r="G764" s="7" t="e">
        <f t="shared" ca="1" si="24"/>
        <v>#NAME?</v>
      </c>
      <c r="H764" s="24" t="s">
        <v>143</v>
      </c>
      <c r="I764" s="24" t="s">
        <v>25</v>
      </c>
      <c r="J764" s="7" t="str">
        <f t="shared" si="33"/>
        <v>Não</v>
      </c>
      <c r="K764" s="25">
        <v>45328</v>
      </c>
      <c r="L764" s="25">
        <v>45521</v>
      </c>
      <c r="M764" s="7" t="s">
        <v>42</v>
      </c>
      <c r="N764" s="51">
        <v>1.2E-2</v>
      </c>
      <c r="O764" s="52" t="s">
        <v>25</v>
      </c>
      <c r="P764" s="53">
        <v>0</v>
      </c>
      <c r="Q764" s="90"/>
      <c r="R764" s="90"/>
      <c r="S764" s="7" t="s">
        <v>145</v>
      </c>
      <c r="T764" s="7" t="s">
        <v>2573</v>
      </c>
      <c r="U764" s="7" t="s">
        <v>20</v>
      </c>
      <c r="V764" s="24" t="e">
        <f t="shared" ca="1" si="25"/>
        <v>#NAME?</v>
      </c>
      <c r="W764" s="7"/>
      <c r="X764" s="7"/>
      <c r="Y764" s="29" t="s">
        <v>147</v>
      </c>
      <c r="Z764" s="30"/>
      <c r="AA764" s="31">
        <v>45328</v>
      </c>
      <c r="AB764" s="32">
        <v>49075100013500</v>
      </c>
      <c r="AC764" s="30"/>
      <c r="AD764" s="30"/>
      <c r="AE764" s="30"/>
      <c r="AF764" s="30"/>
      <c r="AG764" s="30"/>
      <c r="AH764" s="30"/>
      <c r="AI764" s="30"/>
      <c r="AJ764" s="30"/>
      <c r="AK764" s="30"/>
      <c r="AL764" s="30"/>
      <c r="AM764" s="30"/>
      <c r="AN764" s="30"/>
      <c r="AO764" s="30"/>
      <c r="AP764" s="30"/>
      <c r="AQ764" s="30"/>
      <c r="AR764" s="30"/>
      <c r="AS764" s="30">
        <v>7530.61</v>
      </c>
      <c r="AT764" s="30">
        <v>7600.49</v>
      </c>
      <c r="AU764" s="30">
        <v>7670.3</v>
      </c>
      <c r="AV764" s="30">
        <v>7734.55</v>
      </c>
      <c r="AW764" s="30">
        <v>7797.12</v>
      </c>
      <c r="AX764" s="30">
        <v>7872.21</v>
      </c>
      <c r="AY764" s="30">
        <v>7941.19</v>
      </c>
      <c r="AZ764" s="30">
        <v>0</v>
      </c>
      <c r="BA764" s="30" t="e">
        <f t="array" aca="1" ref="BA764" ca="1">_xludf.XLOOKUP(C764,'PL TOTAL D0'!A:A,'PL TOTAL D0'!C:C,"")</f>
        <v>#NAME?</v>
      </c>
    </row>
    <row r="765" spans="1:53" ht="15.75" customHeight="1">
      <c r="A765" s="23" t="s">
        <v>29</v>
      </c>
      <c r="B765" s="3" t="s">
        <v>2574</v>
      </c>
      <c r="C765" s="182" t="s">
        <v>2575</v>
      </c>
      <c r="D765" s="7" t="s">
        <v>150</v>
      </c>
      <c r="E765" s="7" t="s">
        <v>49</v>
      </c>
      <c r="F765" s="7" t="s">
        <v>151</v>
      </c>
      <c r="G765" s="7" t="e">
        <f t="shared" ca="1" si="24"/>
        <v>#NAME?</v>
      </c>
      <c r="H765" s="24" t="s">
        <v>152</v>
      </c>
      <c r="I765" s="24" t="s">
        <v>25</v>
      </c>
      <c r="J765" s="7" t="str">
        <f t="shared" si="33"/>
        <v>Sim</v>
      </c>
      <c r="K765" s="25">
        <v>45562</v>
      </c>
      <c r="L765" s="25"/>
      <c r="M765" s="7" t="s">
        <v>42</v>
      </c>
      <c r="N765" s="51">
        <v>1.2E-2</v>
      </c>
      <c r="O765" s="52" t="s">
        <v>25</v>
      </c>
      <c r="P765" s="53">
        <v>0</v>
      </c>
      <c r="Q765" s="28" t="s">
        <v>2576</v>
      </c>
      <c r="R765" s="90"/>
      <c r="S765" s="7" t="s">
        <v>145</v>
      </c>
      <c r="T765" s="7" t="s">
        <v>2577</v>
      </c>
      <c r="U765" s="7" t="s">
        <v>49</v>
      </c>
      <c r="V765" s="24" t="e">
        <f t="shared" ca="1" si="25"/>
        <v>#NAME?</v>
      </c>
      <c r="W765" s="7"/>
      <c r="X765" s="7" t="s">
        <v>91</v>
      </c>
      <c r="Y765" s="29"/>
      <c r="Z765" s="30"/>
      <c r="AA765" s="30"/>
      <c r="AB765" s="32"/>
      <c r="AC765" s="30"/>
      <c r="AD765" s="30"/>
      <c r="AE765" s="30"/>
      <c r="AF765" s="30"/>
      <c r="AG765" s="30"/>
      <c r="AH765" s="30"/>
      <c r="AI765" s="30"/>
      <c r="AJ765" s="30"/>
      <c r="AK765" s="30"/>
      <c r="AL765" s="30"/>
      <c r="AM765" s="30"/>
      <c r="AN765" s="30"/>
      <c r="AO765" s="30"/>
      <c r="AP765" s="30"/>
      <c r="AQ765" s="30"/>
      <c r="AR765" s="30"/>
      <c r="AS765" s="30"/>
      <c r="AT765" s="30"/>
      <c r="AU765" s="30"/>
      <c r="AV765" s="30"/>
      <c r="AW765" s="30"/>
      <c r="AX765" s="30"/>
      <c r="AY765" s="30"/>
      <c r="AZ765" s="30">
        <v>0</v>
      </c>
      <c r="BA765" s="30" t="e">
        <f t="array" aca="1" ref="BA765" ca="1">_xludf.XLOOKUP(C765,'PL TOTAL D0'!A:A,'PL TOTAL D0'!C:C,"")</f>
        <v>#NAME?</v>
      </c>
    </row>
    <row r="766" spans="1:53" ht="15.75" customHeight="1">
      <c r="A766" s="23" t="s">
        <v>29</v>
      </c>
      <c r="B766" s="87" t="s">
        <v>2578</v>
      </c>
      <c r="C766" s="183" t="s">
        <v>2579</v>
      </c>
      <c r="D766" s="7" t="s">
        <v>19</v>
      </c>
      <c r="E766" s="7" t="s">
        <v>20</v>
      </c>
      <c r="F766" s="7" t="s">
        <v>210</v>
      </c>
      <c r="G766" s="7" t="e">
        <f t="shared" ca="1" si="24"/>
        <v>#NAME?</v>
      </c>
      <c r="H766" s="24" t="s">
        <v>152</v>
      </c>
      <c r="I766" s="24" t="s">
        <v>25</v>
      </c>
      <c r="J766" s="7" t="str">
        <f t="shared" si="33"/>
        <v>Não</v>
      </c>
      <c r="K766" s="25">
        <v>45268</v>
      </c>
      <c r="L766" s="7"/>
      <c r="M766" s="7" t="s">
        <v>42</v>
      </c>
      <c r="N766" s="174">
        <v>1.2E-2</v>
      </c>
      <c r="O766" s="175" t="s">
        <v>25</v>
      </c>
      <c r="P766" s="176">
        <v>0</v>
      </c>
      <c r="Q766" s="90"/>
      <c r="R766" s="90"/>
      <c r="S766" s="7" t="s">
        <v>145</v>
      </c>
      <c r="T766" s="7" t="s">
        <v>2580</v>
      </c>
      <c r="U766" s="7" t="s">
        <v>886</v>
      </c>
      <c r="V766" s="24" t="e">
        <f t="shared" ca="1" si="25"/>
        <v>#NAME?</v>
      </c>
      <c r="W766" s="7"/>
      <c r="X766" s="7"/>
      <c r="Y766" s="29" t="s">
        <v>147</v>
      </c>
      <c r="Z766" s="30"/>
      <c r="AA766" s="31">
        <v>45268</v>
      </c>
      <c r="AB766" s="32">
        <v>49075100013055</v>
      </c>
      <c r="AC766" s="30"/>
      <c r="AD766" s="30"/>
      <c r="AE766" s="30"/>
      <c r="AF766" s="30"/>
      <c r="AG766" s="30"/>
      <c r="AH766" s="30"/>
      <c r="AI766" s="30"/>
      <c r="AJ766" s="30"/>
      <c r="AK766" s="30"/>
      <c r="AL766" s="30"/>
      <c r="AM766" s="30"/>
      <c r="AN766" s="30"/>
      <c r="AO766" s="30"/>
      <c r="AP766" s="30"/>
      <c r="AQ766" s="30">
        <v>250198.79</v>
      </c>
      <c r="AR766" s="30">
        <v>252594.2</v>
      </c>
      <c r="AS766" s="30">
        <v>305157.82</v>
      </c>
      <c r="AT766" s="30">
        <v>352782.73</v>
      </c>
      <c r="AU766" s="30">
        <v>354381.46</v>
      </c>
      <c r="AV766" s="30">
        <v>500036.9</v>
      </c>
      <c r="AW766" s="30">
        <v>504183.9</v>
      </c>
      <c r="AX766" s="30">
        <v>508549.4</v>
      </c>
      <c r="AY766" s="30">
        <v>512812.38</v>
      </c>
      <c r="AZ766" s="30">
        <v>516188.87</v>
      </c>
      <c r="BA766" s="30" t="e">
        <f t="array" aca="1" ref="BA766" ca="1">_xludf.XLOOKUP(C766,'PL TOTAL D0'!A:A,'PL TOTAL D0'!C:C,"")</f>
        <v>#NAME?</v>
      </c>
    </row>
    <row r="767" spans="1:53" ht="15.75" customHeight="1">
      <c r="A767" s="23" t="s">
        <v>29</v>
      </c>
      <c r="B767" s="37" t="s">
        <v>2581</v>
      </c>
      <c r="C767" s="4" t="s">
        <v>2582</v>
      </c>
      <c r="D767" s="7" t="s">
        <v>19</v>
      </c>
      <c r="E767" s="7" t="s">
        <v>34</v>
      </c>
      <c r="F767" s="7" t="s">
        <v>35</v>
      </c>
      <c r="G767" s="7" t="e">
        <f t="shared" ca="1" si="24"/>
        <v>#NAME?</v>
      </c>
      <c r="H767" s="24" t="s">
        <v>161</v>
      </c>
      <c r="I767" s="24" t="s">
        <v>1133</v>
      </c>
      <c r="J767" s="7" t="str">
        <f t="shared" si="33"/>
        <v>Não</v>
      </c>
      <c r="K767" s="25">
        <v>45106</v>
      </c>
      <c r="L767" s="25"/>
      <c r="M767" s="7" t="s">
        <v>87</v>
      </c>
      <c r="N767" s="26">
        <v>2.5000000000000001E-2</v>
      </c>
      <c r="O767" s="7" t="s">
        <v>183</v>
      </c>
      <c r="P767" s="27">
        <v>0.2</v>
      </c>
      <c r="Q767" s="90"/>
      <c r="R767" s="90"/>
      <c r="S767" s="7" t="s">
        <v>145</v>
      </c>
      <c r="T767" s="7" t="s">
        <v>2583</v>
      </c>
      <c r="U767" s="7" t="s">
        <v>39</v>
      </c>
      <c r="V767" s="24" t="e">
        <f t="shared" ca="1" si="25"/>
        <v>#NAME?</v>
      </c>
      <c r="W767" s="7"/>
      <c r="X767" s="7"/>
      <c r="Y767" s="29" t="s">
        <v>147</v>
      </c>
      <c r="Z767" s="30"/>
      <c r="AA767" s="31">
        <v>45106</v>
      </c>
      <c r="AB767" s="32">
        <v>49075100007047</v>
      </c>
      <c r="AC767" s="30"/>
      <c r="AD767" s="30"/>
      <c r="AE767" s="30"/>
      <c r="AF767" s="30"/>
      <c r="AG767" s="30"/>
      <c r="AH767" s="30"/>
      <c r="AI767" s="30"/>
      <c r="AJ767" s="30"/>
      <c r="AK767" s="30">
        <v>33459.870000000003</v>
      </c>
      <c r="AL767" s="30">
        <v>35253.69</v>
      </c>
      <c r="AM767" s="30">
        <v>34553.64</v>
      </c>
      <c r="AN767" s="30">
        <v>49122.52</v>
      </c>
      <c r="AO767" s="30">
        <v>47478.27</v>
      </c>
      <c r="AP767" s="30">
        <v>51021.43</v>
      </c>
      <c r="AQ767" s="30">
        <v>53462.13</v>
      </c>
      <c r="AR767" s="30">
        <v>49747.29</v>
      </c>
      <c r="AS767" s="30">
        <v>50435.54</v>
      </c>
      <c r="AT767" s="30">
        <v>174526.13</v>
      </c>
      <c r="AU767" s="30">
        <v>168444.16</v>
      </c>
      <c r="AV767" s="30">
        <v>163322.4</v>
      </c>
      <c r="AW767" s="30">
        <v>163584.79999999999</v>
      </c>
      <c r="AX767" s="30">
        <v>168018.6</v>
      </c>
      <c r="AY767" s="30">
        <v>70252.639999999999</v>
      </c>
      <c r="AZ767" s="30">
        <v>69033.81</v>
      </c>
      <c r="BA767" s="30" t="e">
        <f t="array" aca="1" ref="BA767" ca="1">_xludf.XLOOKUP(C767,'PL TOTAL D0'!A:A,'PL TOTAL D0'!C:C,"")</f>
        <v>#NAME?</v>
      </c>
    </row>
    <row r="768" spans="1:53" ht="15.75" customHeight="1">
      <c r="A768" s="23" t="s">
        <v>29</v>
      </c>
      <c r="B768" s="37" t="s">
        <v>2581</v>
      </c>
      <c r="C768" s="4" t="s">
        <v>2584</v>
      </c>
      <c r="D768" s="7" t="s">
        <v>19</v>
      </c>
      <c r="E768" s="7" t="s">
        <v>34</v>
      </c>
      <c r="F768" s="7" t="s">
        <v>35</v>
      </c>
      <c r="G768" s="7" t="e">
        <f t="shared" ref="G768:G864" ca="1" si="34">_xludf.IFS($BA$3:$BA$864&lt;=500000,"Breno",$BA$3:$BA$864&lt;=20000000,"Bruno",$BA$3:$BA$864="","")</f>
        <v>#NAME?</v>
      </c>
      <c r="H768" s="24" t="s">
        <v>161</v>
      </c>
      <c r="I768" s="24" t="s">
        <v>994</v>
      </c>
      <c r="J768" s="7" t="str">
        <f t="shared" si="33"/>
        <v>Não</v>
      </c>
      <c r="K768" s="25">
        <v>45096</v>
      </c>
      <c r="L768" s="7"/>
      <c r="M768" s="7" t="s">
        <v>42</v>
      </c>
      <c r="N768" s="26">
        <v>1.2E-2</v>
      </c>
      <c r="O768" s="7" t="s">
        <v>25</v>
      </c>
      <c r="P768" s="27">
        <v>0</v>
      </c>
      <c r="Q768" s="90"/>
      <c r="R768" s="90"/>
      <c r="S768" s="7" t="s">
        <v>145</v>
      </c>
      <c r="T768" s="7" t="s">
        <v>2583</v>
      </c>
      <c r="U768" s="7" t="s">
        <v>39</v>
      </c>
      <c r="V768" s="24" t="e">
        <f t="shared" ref="V768:V864" ca="1" si="35">_xludf.IFS(H:H="Encerrado","Encerrado",COUNTBLANK(AM768:AX768)&gt;0,"Ativo",SUM(AM768:AX768)=0,"Inativo",SUM(AM768:AX768)&gt;0,"Ativo")</f>
        <v>#NAME?</v>
      </c>
      <c r="W768" s="7"/>
      <c r="X768" s="7"/>
      <c r="Y768" s="29" t="s">
        <v>147</v>
      </c>
      <c r="Z768" s="30"/>
      <c r="AA768" s="31">
        <v>45096</v>
      </c>
      <c r="AB768" s="32">
        <v>49075100008299</v>
      </c>
      <c r="AC768" s="30"/>
      <c r="AD768" s="30"/>
      <c r="AE768" s="30"/>
      <c r="AF768" s="30"/>
      <c r="AG768" s="30"/>
      <c r="AH768" s="30"/>
      <c r="AI768" s="30"/>
      <c r="AJ768" s="30"/>
      <c r="AK768" s="30">
        <v>77435.25</v>
      </c>
      <c r="AL768" s="30">
        <v>78226.19</v>
      </c>
      <c r="AM768" s="30">
        <v>79118.789999999994</v>
      </c>
      <c r="AN768" s="30">
        <v>79569.850000000006</v>
      </c>
      <c r="AO768" s="30">
        <v>80332.19</v>
      </c>
      <c r="AP768" s="30">
        <v>80968.479999999996</v>
      </c>
      <c r="AQ768" s="30">
        <v>81640.100000000006</v>
      </c>
      <c r="AR768" s="30">
        <v>82402.63</v>
      </c>
      <c r="AS768" s="30">
        <v>83058.92</v>
      </c>
      <c r="AT768" s="30">
        <v>133503.57</v>
      </c>
      <c r="AU768" s="30">
        <v>134645.23000000001</v>
      </c>
      <c r="AV768" s="30">
        <v>135734.1</v>
      </c>
      <c r="AW768" s="30">
        <v>136256</v>
      </c>
      <c r="AX768" s="30">
        <v>137440.6</v>
      </c>
      <c r="AY768" s="30">
        <v>138577.79</v>
      </c>
      <c r="AZ768" s="30">
        <v>139562.87</v>
      </c>
      <c r="BA768" s="30" t="e">
        <f t="array" aca="1" ref="BA768" ca="1">_xludf.XLOOKUP(C768,'PL TOTAL D0'!A:A,'PL TOTAL D0'!C:C,"")</f>
        <v>#NAME?</v>
      </c>
    </row>
    <row r="769" spans="1:53" ht="15.75" customHeight="1">
      <c r="A769" s="23" t="s">
        <v>29</v>
      </c>
      <c r="B769" s="40" t="s">
        <v>2581</v>
      </c>
      <c r="C769" s="42" t="s">
        <v>2585</v>
      </c>
      <c r="D769" s="7" t="s">
        <v>19</v>
      </c>
      <c r="E769" s="7" t="s">
        <v>34</v>
      </c>
      <c r="F769" s="7" t="s">
        <v>35</v>
      </c>
      <c r="G769" s="7" t="e">
        <f t="shared" ca="1" si="34"/>
        <v>#NAME?</v>
      </c>
      <c r="H769" s="24" t="s">
        <v>152</v>
      </c>
      <c r="I769" s="24" t="s">
        <v>25</v>
      </c>
      <c r="J769" s="7" t="str">
        <f t="shared" si="33"/>
        <v>Sim</v>
      </c>
      <c r="K769" s="25">
        <v>45173</v>
      </c>
      <c r="L769" s="25"/>
      <c r="M769" s="7" t="s">
        <v>257</v>
      </c>
      <c r="N769" s="26">
        <v>8.0000000000000002E-3</v>
      </c>
      <c r="O769" s="7" t="s">
        <v>258</v>
      </c>
      <c r="P769" s="27">
        <v>0.1</v>
      </c>
      <c r="Q769" s="28" t="s">
        <v>2586</v>
      </c>
      <c r="R769" s="90"/>
      <c r="S769" s="7" t="s">
        <v>145</v>
      </c>
      <c r="T769" s="7" t="s">
        <v>2583</v>
      </c>
      <c r="U769" s="7" t="s">
        <v>39</v>
      </c>
      <c r="V769" s="24" t="e">
        <f t="shared" ca="1" si="35"/>
        <v>#NAME?</v>
      </c>
      <c r="W769" s="7"/>
      <c r="X769" s="7"/>
      <c r="Y769" s="29" t="s">
        <v>147</v>
      </c>
      <c r="Z769" s="30"/>
      <c r="AA769" s="31">
        <v>45173</v>
      </c>
      <c r="AB769" s="32">
        <v>49075100012032</v>
      </c>
      <c r="AC769" s="30"/>
      <c r="AD769" s="30"/>
      <c r="AE769" s="30"/>
      <c r="AF769" s="30"/>
      <c r="AG769" s="30"/>
      <c r="AH769" s="30"/>
      <c r="AI769" s="30"/>
      <c r="AJ769" s="30"/>
      <c r="AK769" s="30"/>
      <c r="AL769" s="30"/>
      <c r="AM769" s="30">
        <v>0</v>
      </c>
      <c r="AN769" s="30">
        <v>125546.41</v>
      </c>
      <c r="AO769" s="30">
        <v>122333.01</v>
      </c>
      <c r="AP769" s="30">
        <v>123365.82</v>
      </c>
      <c r="AQ769" s="30">
        <v>125412.83</v>
      </c>
      <c r="AR769" s="30">
        <v>124891.86</v>
      </c>
      <c r="AS769" s="30">
        <v>126278.15</v>
      </c>
      <c r="AT769" s="30">
        <v>126220.89</v>
      </c>
      <c r="AU769" s="30">
        <v>123539.41</v>
      </c>
      <c r="AV769" s="30">
        <v>122178.3</v>
      </c>
      <c r="AW769" s="30">
        <v>120468.1</v>
      </c>
      <c r="AX769" s="30">
        <v>121009.7</v>
      </c>
      <c r="AY769" s="30">
        <v>119191.88</v>
      </c>
      <c r="AZ769" s="30">
        <v>116053.28</v>
      </c>
      <c r="BA769" s="30" t="e">
        <f t="array" aca="1" ref="BA769" ca="1">_xludf.XLOOKUP(C769,'PL TOTAL D0'!A:A,'PL TOTAL D0'!C:C,"")</f>
        <v>#NAME?</v>
      </c>
    </row>
    <row r="770" spans="1:53" ht="15.75" customHeight="1">
      <c r="A770" s="23" t="s">
        <v>29</v>
      </c>
      <c r="B770" s="40" t="s">
        <v>2587</v>
      </c>
      <c r="C770" s="42" t="s">
        <v>2588</v>
      </c>
      <c r="D770" s="7" t="s">
        <v>19</v>
      </c>
      <c r="E770" s="7" t="s">
        <v>20</v>
      </c>
      <c r="F770" s="7" t="s">
        <v>449</v>
      </c>
      <c r="G770" s="7" t="e">
        <f t="shared" ca="1" si="34"/>
        <v>#NAME?</v>
      </c>
      <c r="H770" s="24" t="s">
        <v>167</v>
      </c>
      <c r="I770" s="24" t="s">
        <v>162</v>
      </c>
      <c r="J770" s="7" t="str">
        <f t="shared" si="33"/>
        <v>Não</v>
      </c>
      <c r="K770" s="25">
        <v>45548</v>
      </c>
      <c r="L770" s="25"/>
      <c r="M770" s="7" t="s">
        <v>200</v>
      </c>
      <c r="N770" s="51">
        <v>7.4999999999999997E-3</v>
      </c>
      <c r="O770" s="52" t="s">
        <v>37</v>
      </c>
      <c r="P770" s="53">
        <v>0.1</v>
      </c>
      <c r="Q770" s="82"/>
      <c r="R770" s="90"/>
      <c r="S770" s="7" t="s">
        <v>145</v>
      </c>
      <c r="T770" s="7" t="s">
        <v>2589</v>
      </c>
      <c r="U770" s="7" t="s">
        <v>20</v>
      </c>
      <c r="V770" s="24" t="e">
        <f t="shared" ca="1" si="35"/>
        <v>#NAME?</v>
      </c>
      <c r="W770" s="7"/>
      <c r="X770" s="7" t="s">
        <v>52</v>
      </c>
      <c r="Y770" s="29"/>
      <c r="Z770" s="30"/>
      <c r="AA770" s="30"/>
      <c r="AB770" s="32"/>
      <c r="AC770" s="30"/>
      <c r="AD770" s="30"/>
      <c r="AE770" s="30"/>
      <c r="AF770" s="30"/>
      <c r="AG770" s="30"/>
      <c r="AH770" s="30"/>
      <c r="AI770" s="30"/>
      <c r="AJ770" s="30"/>
      <c r="AK770" s="30"/>
      <c r="AL770" s="30"/>
      <c r="AM770" s="30"/>
      <c r="AN770" s="30"/>
      <c r="AO770" s="30"/>
      <c r="AP770" s="30"/>
      <c r="AQ770" s="30"/>
      <c r="AR770" s="30"/>
      <c r="AS770" s="30"/>
      <c r="AT770" s="30"/>
      <c r="AU770" s="30"/>
      <c r="AV770" s="30"/>
      <c r="AW770" s="30"/>
      <c r="AX770" s="30"/>
      <c r="AY770" s="30"/>
      <c r="AZ770" s="30">
        <v>0</v>
      </c>
      <c r="BA770" s="30" t="e">
        <f t="array" aca="1" ref="BA770" ca="1">_xludf.XLOOKUP(C770,'PL TOTAL D0'!A:A,'PL TOTAL D0'!C:C,"")</f>
        <v>#NAME?</v>
      </c>
    </row>
    <row r="771" spans="1:53" ht="15.75" customHeight="1">
      <c r="A771" s="23" t="s">
        <v>29</v>
      </c>
      <c r="B771" s="37" t="s">
        <v>2590</v>
      </c>
      <c r="C771" s="4" t="s">
        <v>2591</v>
      </c>
      <c r="D771" s="7" t="s">
        <v>19</v>
      </c>
      <c r="E771" s="7" t="s">
        <v>49</v>
      </c>
      <c r="F771" s="7" t="s">
        <v>2592</v>
      </c>
      <c r="G771" s="7" t="e">
        <f t="shared" ca="1" si="34"/>
        <v>#NAME?</v>
      </c>
      <c r="H771" s="24" t="s">
        <v>161</v>
      </c>
      <c r="I771" s="24" t="s">
        <v>162</v>
      </c>
      <c r="J771" s="7" t="str">
        <f>IF(R771=0,"Não","Sim")</f>
        <v>Sim</v>
      </c>
      <c r="K771" s="25">
        <v>45359</v>
      </c>
      <c r="L771" s="7"/>
      <c r="M771" s="127" t="s">
        <v>200</v>
      </c>
      <c r="N771" s="128">
        <v>1.4999999999999999E-2</v>
      </c>
      <c r="O771" s="129" t="s">
        <v>37</v>
      </c>
      <c r="P771" s="130">
        <v>0.1</v>
      </c>
      <c r="R771" s="90" t="s">
        <v>2593</v>
      </c>
      <c r="S771" s="7" t="s">
        <v>145</v>
      </c>
      <c r="T771" s="6" t="s">
        <v>2594</v>
      </c>
      <c r="U771" s="7" t="s">
        <v>49</v>
      </c>
      <c r="V771" s="24" t="e">
        <f t="shared" ca="1" si="35"/>
        <v>#NAME?</v>
      </c>
      <c r="W771" s="7"/>
      <c r="X771" s="7"/>
      <c r="Y771" s="29" t="s">
        <v>147</v>
      </c>
      <c r="Z771" s="30"/>
      <c r="AA771" s="31">
        <v>45359</v>
      </c>
      <c r="AB771" s="32">
        <v>49075100013896</v>
      </c>
      <c r="AC771" s="30"/>
      <c r="AD771" s="30"/>
      <c r="AE771" s="30"/>
      <c r="AF771" s="30"/>
      <c r="AG771" s="30"/>
      <c r="AH771" s="30"/>
      <c r="AI771" s="30"/>
      <c r="AJ771" s="30"/>
      <c r="AK771" s="30"/>
      <c r="AL771" s="30"/>
      <c r="AM771" s="30"/>
      <c r="AN771" s="30"/>
      <c r="AO771" s="30"/>
      <c r="AP771" s="30"/>
      <c r="AQ771" s="30"/>
      <c r="AR771" s="30"/>
      <c r="AS771" s="30"/>
      <c r="AT771" s="30">
        <v>30257.599999999999</v>
      </c>
      <c r="AU771" s="30">
        <v>30140.2</v>
      </c>
      <c r="AV771" s="30">
        <v>30118.85</v>
      </c>
      <c r="AW771" s="30">
        <v>50.29</v>
      </c>
      <c r="AX771" s="30">
        <v>50.29</v>
      </c>
      <c r="AY771" s="30">
        <v>50.63</v>
      </c>
      <c r="AZ771" s="30">
        <v>50.63</v>
      </c>
      <c r="BA771" s="30" t="e">
        <f t="array" aca="1" ref="BA771" ca="1">_xludf.XLOOKUP(C771,'PL TOTAL D0'!A:A,'PL TOTAL D0'!C:C,"")</f>
        <v>#NAME?</v>
      </c>
    </row>
    <row r="772" spans="1:53" ht="15.75" customHeight="1">
      <c r="A772" s="23" t="s">
        <v>29</v>
      </c>
      <c r="B772" s="3" t="s">
        <v>2595</v>
      </c>
      <c r="C772" s="4" t="s">
        <v>2596</v>
      </c>
      <c r="D772" s="7" t="s">
        <v>19</v>
      </c>
      <c r="E772" s="7" t="s">
        <v>49</v>
      </c>
      <c r="F772" s="7" t="s">
        <v>166</v>
      </c>
      <c r="G772" s="7" t="e">
        <f t="shared" ca="1" si="34"/>
        <v>#NAME?</v>
      </c>
      <c r="H772" s="24" t="s">
        <v>161</v>
      </c>
      <c r="I772" s="24" t="s">
        <v>222</v>
      </c>
      <c r="J772" s="7" t="str">
        <f t="shared" ref="J772:J780" si="36">IF(Q772=0,"Não","Sim")</f>
        <v>Não</v>
      </c>
      <c r="K772" s="25">
        <v>45343</v>
      </c>
      <c r="L772" s="7"/>
      <c r="M772" s="7" t="s">
        <v>200</v>
      </c>
      <c r="N772" s="26">
        <v>1.4999999999999999E-2</v>
      </c>
      <c r="O772" s="7" t="s">
        <v>37</v>
      </c>
      <c r="P772" s="27">
        <v>0.1</v>
      </c>
      <c r="Q772" s="90"/>
      <c r="R772" s="90"/>
      <c r="S772" s="7" t="s">
        <v>145</v>
      </c>
      <c r="T772" s="7" t="s">
        <v>2597</v>
      </c>
      <c r="U772" s="7" t="s">
        <v>49</v>
      </c>
      <c r="V772" s="24" t="e">
        <f t="shared" ca="1" si="35"/>
        <v>#NAME?</v>
      </c>
      <c r="W772" s="7"/>
      <c r="X772" s="7"/>
      <c r="Y772" s="29" t="s">
        <v>147</v>
      </c>
      <c r="Z772" s="30"/>
      <c r="AA772" s="31">
        <v>45343</v>
      </c>
      <c r="AB772" s="32">
        <v>49075100013519</v>
      </c>
      <c r="AC772" s="30"/>
      <c r="AD772" s="30"/>
      <c r="AE772" s="30"/>
      <c r="AF772" s="30"/>
      <c r="AG772" s="30"/>
      <c r="AH772" s="30"/>
      <c r="AI772" s="30"/>
      <c r="AJ772" s="30"/>
      <c r="AK772" s="30"/>
      <c r="AL772" s="30"/>
      <c r="AM772" s="30"/>
      <c r="AN772" s="30"/>
      <c r="AO772" s="30"/>
      <c r="AP772" s="30"/>
      <c r="AQ772" s="30"/>
      <c r="AR772" s="30"/>
      <c r="AS772" s="30">
        <v>0</v>
      </c>
      <c r="AT772" s="30">
        <v>0</v>
      </c>
      <c r="AU772" s="30">
        <v>0</v>
      </c>
      <c r="AV772" s="30">
        <v>0</v>
      </c>
      <c r="AW772" s="30">
        <v>0</v>
      </c>
      <c r="AX772" s="30">
        <v>0</v>
      </c>
      <c r="AY772" s="30">
        <v>0</v>
      </c>
      <c r="AZ772" s="30">
        <v>0</v>
      </c>
      <c r="BA772" s="30" t="e">
        <f t="array" aca="1" ref="BA772" ca="1">_xludf.XLOOKUP(C772,'PL TOTAL D0'!A:A,'PL TOTAL D0'!C:C,"")</f>
        <v>#NAME?</v>
      </c>
    </row>
    <row r="773" spans="1:53" ht="15.75" customHeight="1">
      <c r="A773" s="23" t="s">
        <v>29</v>
      </c>
      <c r="B773" s="3" t="s">
        <v>2598</v>
      </c>
      <c r="C773" s="4" t="s">
        <v>2599</v>
      </c>
      <c r="D773" s="7" t="s">
        <v>19</v>
      </c>
      <c r="E773" s="7" t="s">
        <v>49</v>
      </c>
      <c r="F773" s="7" t="s">
        <v>166</v>
      </c>
      <c r="G773" s="7" t="e">
        <f t="shared" ca="1" si="34"/>
        <v>#NAME?</v>
      </c>
      <c r="H773" s="24" t="s">
        <v>152</v>
      </c>
      <c r="I773" s="24" t="s">
        <v>25</v>
      </c>
      <c r="J773" s="7" t="str">
        <f t="shared" si="36"/>
        <v>Sim</v>
      </c>
      <c r="K773" s="25">
        <v>45128</v>
      </c>
      <c r="L773" s="7"/>
      <c r="M773" s="7" t="s">
        <v>58</v>
      </c>
      <c r="N773" s="26">
        <v>1.2E-2</v>
      </c>
      <c r="O773" s="7" t="s">
        <v>25</v>
      </c>
      <c r="P773" s="27">
        <v>0</v>
      </c>
      <c r="Q773" s="28" t="s">
        <v>2600</v>
      </c>
      <c r="R773" s="90"/>
      <c r="S773" s="7" t="s">
        <v>145</v>
      </c>
      <c r="T773" s="7" t="s">
        <v>2597</v>
      </c>
      <c r="U773" s="7" t="s">
        <v>49</v>
      </c>
      <c r="V773" s="24" t="e">
        <f t="shared" ca="1" si="35"/>
        <v>#NAME?</v>
      </c>
      <c r="W773" s="7"/>
      <c r="X773" s="7"/>
      <c r="Y773" s="29" t="s">
        <v>147</v>
      </c>
      <c r="Z773" s="30"/>
      <c r="AA773" s="31">
        <v>45128</v>
      </c>
      <c r="AB773" s="32">
        <v>49075100006377</v>
      </c>
      <c r="AC773" s="30"/>
      <c r="AD773" s="30"/>
      <c r="AE773" s="30"/>
      <c r="AF773" s="30">
        <v>149471.69</v>
      </c>
      <c r="AG773" s="30">
        <v>68438.77</v>
      </c>
      <c r="AH773" s="30">
        <v>77064.11</v>
      </c>
      <c r="AI773" s="30">
        <v>77712.62</v>
      </c>
      <c r="AJ773" s="30">
        <v>47800.97</v>
      </c>
      <c r="AK773" s="30">
        <v>18</v>
      </c>
      <c r="AL773" s="30">
        <v>601397.66</v>
      </c>
      <c r="AM773" s="30">
        <v>607906.65</v>
      </c>
      <c r="AN773" s="30">
        <v>612646.64</v>
      </c>
      <c r="AO773" s="30">
        <v>618147.01</v>
      </c>
      <c r="AP773" s="30">
        <v>622766.57999999996</v>
      </c>
      <c r="AQ773" s="30">
        <v>627726.75</v>
      </c>
      <c r="AR773" s="30">
        <v>633330.80000000005</v>
      </c>
      <c r="AS773" s="30">
        <v>638173.66</v>
      </c>
      <c r="AT773" s="30">
        <v>541516.93000000005</v>
      </c>
      <c r="AU773" s="30">
        <v>512863.07</v>
      </c>
      <c r="AV773" s="30">
        <v>452969.4</v>
      </c>
      <c r="AW773" s="30">
        <v>456586.9</v>
      </c>
      <c r="AX773" s="30">
        <v>307188.3</v>
      </c>
      <c r="AY773" s="30">
        <v>258304.86</v>
      </c>
      <c r="AZ773" s="30">
        <v>259720.72</v>
      </c>
      <c r="BA773" s="30" t="e">
        <f t="array" aca="1" ref="BA773" ca="1">_xludf.XLOOKUP(C773,'PL TOTAL D0'!A:A,'PL TOTAL D0'!C:C,"")</f>
        <v>#NAME?</v>
      </c>
    </row>
    <row r="774" spans="1:53" ht="15.75" customHeight="1">
      <c r="A774" s="23" t="s">
        <v>29</v>
      </c>
      <c r="B774" s="38" t="s">
        <v>2601</v>
      </c>
      <c r="C774" s="39" t="s">
        <v>2602</v>
      </c>
      <c r="D774" s="7" t="s">
        <v>19</v>
      </c>
      <c r="E774" s="7" t="s">
        <v>20</v>
      </c>
      <c r="F774" s="7" t="s">
        <v>199</v>
      </c>
      <c r="G774" s="7" t="e">
        <f t="shared" ca="1" si="34"/>
        <v>#NAME?</v>
      </c>
      <c r="H774" s="24" t="s">
        <v>152</v>
      </c>
      <c r="I774" s="24" t="s">
        <v>25</v>
      </c>
      <c r="J774" s="7" t="str">
        <f t="shared" si="36"/>
        <v>Não</v>
      </c>
      <c r="K774" s="25">
        <v>45407</v>
      </c>
      <c r="L774" s="7"/>
      <c r="M774" s="7" t="s">
        <v>42</v>
      </c>
      <c r="N774" s="26">
        <v>0.01</v>
      </c>
      <c r="O774" s="7" t="s">
        <v>25</v>
      </c>
      <c r="P774" s="27">
        <v>0</v>
      </c>
      <c r="Q774" s="28"/>
      <c r="R774" s="90"/>
      <c r="S774" s="7" t="s">
        <v>145</v>
      </c>
      <c r="T774" s="7" t="s">
        <v>2603</v>
      </c>
      <c r="U774" s="7" t="s">
        <v>20</v>
      </c>
      <c r="V774" s="24" t="e">
        <f t="shared" ca="1" si="35"/>
        <v>#NAME?</v>
      </c>
      <c r="W774" s="7"/>
      <c r="X774" s="7" t="s">
        <v>52</v>
      </c>
      <c r="Y774" s="29" t="s">
        <v>147</v>
      </c>
      <c r="Z774" s="30"/>
      <c r="AA774" s="31">
        <v>45407</v>
      </c>
      <c r="AB774" s="32">
        <v>49075100014183</v>
      </c>
      <c r="AC774" s="30"/>
      <c r="AD774" s="30"/>
      <c r="AE774" s="30"/>
      <c r="AF774" s="30"/>
      <c r="AG774" s="30"/>
      <c r="AH774" s="30"/>
      <c r="AI774" s="30"/>
      <c r="AJ774" s="30"/>
      <c r="AK774" s="30"/>
      <c r="AL774" s="30"/>
      <c r="AM774" s="30"/>
      <c r="AN774" s="30"/>
      <c r="AO774" s="30"/>
      <c r="AP774" s="30"/>
      <c r="AQ774" s="30"/>
      <c r="AR774" s="30"/>
      <c r="AS774" s="30"/>
      <c r="AT774" s="30"/>
      <c r="AU774" s="30">
        <v>130185.26</v>
      </c>
      <c r="AV774" s="30">
        <v>580240.69999999995</v>
      </c>
      <c r="AW774" s="30">
        <v>584977.4</v>
      </c>
      <c r="AX774" s="30">
        <v>590166.80000000005</v>
      </c>
      <c r="AY774" s="30">
        <v>595589.86</v>
      </c>
      <c r="AZ774" s="30">
        <v>599749.91</v>
      </c>
      <c r="BA774" s="30" t="e">
        <f t="array" aca="1" ref="BA774" ca="1">_xludf.XLOOKUP(C774,'PL TOTAL D0'!A:A,'PL TOTAL D0'!C:C,"")</f>
        <v>#NAME?</v>
      </c>
    </row>
    <row r="775" spans="1:53" ht="15.75" customHeight="1">
      <c r="A775" s="23" t="s">
        <v>29</v>
      </c>
      <c r="B775" s="37" t="s">
        <v>2604</v>
      </c>
      <c r="C775" s="4" t="s">
        <v>2605</v>
      </c>
      <c r="D775" s="7" t="s">
        <v>19</v>
      </c>
      <c r="E775" s="7" t="s">
        <v>34</v>
      </c>
      <c r="F775" s="7" t="s">
        <v>262</v>
      </c>
      <c r="G775" s="7" t="e">
        <f t="shared" ca="1" si="34"/>
        <v>#NAME?</v>
      </c>
      <c r="H775" s="24" t="s">
        <v>161</v>
      </c>
      <c r="I775" s="24" t="s">
        <v>211</v>
      </c>
      <c r="J775" s="7" t="str">
        <f t="shared" si="36"/>
        <v>Não</v>
      </c>
      <c r="K775" s="25">
        <v>45028</v>
      </c>
      <c r="L775" s="7"/>
      <c r="M775" s="7" t="s">
        <v>345</v>
      </c>
      <c r="N775" s="26">
        <v>0.02</v>
      </c>
      <c r="O775" s="7" t="s">
        <v>37</v>
      </c>
      <c r="P775" s="27">
        <v>0.2</v>
      </c>
      <c r="Q775" s="90"/>
      <c r="R775" s="90"/>
      <c r="S775" s="7" t="s">
        <v>145</v>
      </c>
      <c r="T775" s="7" t="s">
        <v>2606</v>
      </c>
      <c r="U775" s="7" t="s">
        <v>39</v>
      </c>
      <c r="V775" s="24" t="e">
        <f t="shared" ca="1" si="35"/>
        <v>#NAME?</v>
      </c>
      <c r="W775" s="7"/>
      <c r="X775" s="7"/>
      <c r="Y775" s="29" t="s">
        <v>147</v>
      </c>
      <c r="Z775" s="30"/>
      <c r="AA775" s="31">
        <v>45028</v>
      </c>
      <c r="AB775" s="32">
        <v>49075100009783</v>
      </c>
      <c r="AC775" s="30"/>
      <c r="AD775" s="30"/>
      <c r="AE775" s="30"/>
      <c r="AF775" s="30"/>
      <c r="AG775" s="30"/>
      <c r="AH775" s="30">
        <v>0</v>
      </c>
      <c r="AI775" s="30">
        <v>1051542.1100000001</v>
      </c>
      <c r="AJ775" s="30">
        <v>1072991.8700000001</v>
      </c>
      <c r="AK775" s="30">
        <v>1108291.77</v>
      </c>
      <c r="AL775" s="30">
        <v>1131931.21</v>
      </c>
      <c r="AM775" s="30">
        <v>1264482.79</v>
      </c>
      <c r="AN775" s="30">
        <v>1318461.24</v>
      </c>
      <c r="AO775" s="30">
        <v>1302805.8</v>
      </c>
      <c r="AP775" s="30">
        <v>1345901.43</v>
      </c>
      <c r="AQ775" s="30">
        <v>1377518.79</v>
      </c>
      <c r="AR775" s="30">
        <v>1336013.4099999999</v>
      </c>
      <c r="AS775" s="30">
        <v>1346585.46</v>
      </c>
      <c r="AT775" s="30">
        <v>1365082.92</v>
      </c>
      <c r="AU775" s="30">
        <v>1342663.48</v>
      </c>
      <c r="AV775" s="30">
        <v>1323380</v>
      </c>
      <c r="AW775" s="30">
        <v>1329377</v>
      </c>
      <c r="AX775" s="30">
        <v>1351289</v>
      </c>
      <c r="AY775" s="30">
        <v>1369221.66</v>
      </c>
      <c r="AZ775" s="30">
        <v>1360276.23</v>
      </c>
      <c r="BA775" s="30" t="e">
        <f t="array" aca="1" ref="BA775" ca="1">_xludf.XLOOKUP(C775,'PL TOTAL D0'!A:A,'PL TOTAL D0'!C:C,"")</f>
        <v>#NAME?</v>
      </c>
    </row>
    <row r="776" spans="1:53" ht="15.75" customHeight="1">
      <c r="A776" s="23" t="s">
        <v>29</v>
      </c>
      <c r="B776" s="37" t="s">
        <v>2607</v>
      </c>
      <c r="C776" s="4" t="s">
        <v>2608</v>
      </c>
      <c r="D776" s="7" t="s">
        <v>64</v>
      </c>
      <c r="E776" s="7" t="s">
        <v>20</v>
      </c>
      <c r="F776" s="7" t="s">
        <v>204</v>
      </c>
      <c r="G776" s="7" t="e">
        <f t="shared" ca="1" si="34"/>
        <v>#NAME?</v>
      </c>
      <c r="H776" s="24" t="s">
        <v>143</v>
      </c>
      <c r="I776" s="24" t="s">
        <v>25</v>
      </c>
      <c r="J776" s="7" t="str">
        <f t="shared" si="36"/>
        <v>Sim</v>
      </c>
      <c r="K776" s="25">
        <v>45575</v>
      </c>
      <c r="L776" s="79">
        <v>45590</v>
      </c>
      <c r="M776" s="7" t="s">
        <v>31</v>
      </c>
      <c r="N776" s="26">
        <v>3.0000000000000001E-3</v>
      </c>
      <c r="O776" s="7" t="s">
        <v>25</v>
      </c>
      <c r="P776" s="27">
        <v>0</v>
      </c>
      <c r="Q776" s="28" t="s">
        <v>66</v>
      </c>
      <c r="R776" s="90"/>
      <c r="S776" s="7" t="s">
        <v>145</v>
      </c>
      <c r="T776" s="7" t="s">
        <v>2609</v>
      </c>
      <c r="U776" s="7" t="s">
        <v>46</v>
      </c>
      <c r="V776" s="24" t="e">
        <f t="shared" ca="1" si="35"/>
        <v>#NAME?</v>
      </c>
      <c r="W776" s="7"/>
      <c r="X776" s="7" t="s">
        <v>52</v>
      </c>
      <c r="Y776" s="29"/>
      <c r="Z776" s="30"/>
      <c r="AA776" s="31"/>
      <c r="AB776" s="32"/>
      <c r="AC776" s="30"/>
      <c r="AD776" s="30"/>
      <c r="AE776" s="30"/>
      <c r="AF776" s="30"/>
      <c r="AG776" s="30"/>
      <c r="AH776" s="30"/>
      <c r="AI776" s="30"/>
      <c r="AJ776" s="30"/>
      <c r="AK776" s="30"/>
      <c r="AL776" s="30"/>
      <c r="AM776" s="30"/>
      <c r="AN776" s="30"/>
      <c r="AO776" s="30"/>
      <c r="AP776" s="30"/>
      <c r="AQ776" s="30"/>
      <c r="AR776" s="30"/>
      <c r="AS776" s="30"/>
      <c r="AT776" s="30"/>
      <c r="AU776" s="30"/>
      <c r="AV776" s="30"/>
      <c r="AW776" s="30"/>
      <c r="AX776" s="30"/>
      <c r="AY776" s="30"/>
      <c r="AZ776" s="30"/>
      <c r="BA776" s="30" t="e">
        <f t="array" aca="1" ref="BA776" ca="1">_xludf.XLOOKUP(C776,'PL TOTAL D0'!A:A,'PL TOTAL D0'!C:C,"")</f>
        <v>#NAME?</v>
      </c>
    </row>
    <row r="777" spans="1:53" ht="15.75" customHeight="1">
      <c r="A777" s="23" t="s">
        <v>29</v>
      </c>
      <c r="B777" s="3" t="s">
        <v>2610</v>
      </c>
      <c r="C777" s="4" t="s">
        <v>2611</v>
      </c>
      <c r="D777" s="7" t="s">
        <v>64</v>
      </c>
      <c r="E777" s="7" t="s">
        <v>20</v>
      </c>
      <c r="F777" s="7" t="s">
        <v>273</v>
      </c>
      <c r="G777" s="7" t="e">
        <f t="shared" ca="1" si="34"/>
        <v>#NAME?</v>
      </c>
      <c r="H777" s="24" t="s">
        <v>143</v>
      </c>
      <c r="I777" s="24" t="s">
        <v>25</v>
      </c>
      <c r="J777" s="7" t="str">
        <f t="shared" si="36"/>
        <v>Não</v>
      </c>
      <c r="K777" s="25">
        <v>44946</v>
      </c>
      <c r="L777" s="25">
        <v>45539</v>
      </c>
      <c r="M777" s="7" t="s">
        <v>42</v>
      </c>
      <c r="N777" s="26">
        <v>0.01</v>
      </c>
      <c r="O777" s="7" t="s">
        <v>25</v>
      </c>
      <c r="P777" s="27">
        <v>0</v>
      </c>
      <c r="Q777" s="161"/>
      <c r="R777" s="90"/>
      <c r="S777" s="7" t="s">
        <v>145</v>
      </c>
      <c r="T777" s="7" t="s">
        <v>2612</v>
      </c>
      <c r="U777" s="7" t="s">
        <v>20</v>
      </c>
      <c r="V777" s="24" t="e">
        <f t="shared" ca="1" si="35"/>
        <v>#NAME?</v>
      </c>
      <c r="W777" s="7"/>
      <c r="X777" s="7"/>
      <c r="Y777" s="29" t="s">
        <v>147</v>
      </c>
      <c r="Z777" s="30"/>
      <c r="AA777" s="31">
        <v>44946</v>
      </c>
      <c r="AB777" s="32">
        <v>49075100006385</v>
      </c>
      <c r="AC777" s="30"/>
      <c r="AD777" s="30"/>
      <c r="AE777" s="30"/>
      <c r="AF777" s="30">
        <v>591230.5</v>
      </c>
      <c r="AG777" s="30">
        <v>596444.02</v>
      </c>
      <c r="AH777" s="30">
        <v>638672.4</v>
      </c>
      <c r="AI777" s="30">
        <v>654204.68999999994</v>
      </c>
      <c r="AJ777" s="30">
        <v>686212.09</v>
      </c>
      <c r="AK777" s="30">
        <v>731399.04</v>
      </c>
      <c r="AL777" s="30">
        <v>737658.93</v>
      </c>
      <c r="AM777" s="30">
        <v>763934.31</v>
      </c>
      <c r="AN777" s="30">
        <v>787241.26</v>
      </c>
      <c r="AO777" s="30">
        <v>792816.03</v>
      </c>
      <c r="AP777" s="30">
        <v>890006.33</v>
      </c>
      <c r="AQ777" s="30">
        <v>922848.65</v>
      </c>
      <c r="AR777" s="30">
        <v>938170.02</v>
      </c>
      <c r="AS777" s="30">
        <v>1094891.0900000001</v>
      </c>
      <c r="AT777" s="30">
        <v>1698417.81</v>
      </c>
      <c r="AU777" s="30">
        <v>1794172.48</v>
      </c>
      <c r="AV777" s="30">
        <v>1808130</v>
      </c>
      <c r="AW777" s="30">
        <v>1883765</v>
      </c>
      <c r="AX777" s="30">
        <v>1908990</v>
      </c>
      <c r="AY777" s="30">
        <v>1927827.5</v>
      </c>
      <c r="AZ777" s="30">
        <v>0</v>
      </c>
      <c r="BA777" s="30" t="e">
        <f t="array" aca="1" ref="BA777" ca="1">_xludf.XLOOKUP(C777,'PL TOTAL D0'!A:A,'PL TOTAL D0'!C:C,"")</f>
        <v>#NAME?</v>
      </c>
    </row>
    <row r="778" spans="1:53" ht="15.75" customHeight="1">
      <c r="A778" s="23" t="s">
        <v>29</v>
      </c>
      <c r="B778" s="3" t="s">
        <v>2613</v>
      </c>
      <c r="C778" s="4" t="s">
        <v>2614</v>
      </c>
      <c r="D778" s="7" t="s">
        <v>19</v>
      </c>
      <c r="E778" s="7" t="s">
        <v>20</v>
      </c>
      <c r="F778" s="7" t="s">
        <v>199</v>
      </c>
      <c r="G778" s="7" t="e">
        <f t="shared" ca="1" si="34"/>
        <v>#NAME?</v>
      </c>
      <c r="H778" s="24" t="s">
        <v>152</v>
      </c>
      <c r="I778" s="24" t="s">
        <v>25</v>
      </c>
      <c r="J778" s="7" t="str">
        <f t="shared" si="36"/>
        <v>Não</v>
      </c>
      <c r="K778" s="25">
        <v>45565</v>
      </c>
      <c r="L778" s="25"/>
      <c r="M778" s="7" t="s">
        <v>42</v>
      </c>
      <c r="N778" s="26">
        <v>1.2E-2</v>
      </c>
      <c r="O778" s="7" t="s">
        <v>25</v>
      </c>
      <c r="P778" s="27">
        <v>0</v>
      </c>
      <c r="Q778" s="161"/>
      <c r="R778" s="90"/>
      <c r="S778" s="7" t="s">
        <v>145</v>
      </c>
      <c r="T778" s="7" t="s">
        <v>2615</v>
      </c>
      <c r="U778" s="7" t="s">
        <v>20</v>
      </c>
      <c r="V778" s="24" t="e">
        <f t="shared" ca="1" si="35"/>
        <v>#NAME?</v>
      </c>
      <c r="W778" s="7"/>
      <c r="X778" s="7" t="s">
        <v>91</v>
      </c>
      <c r="Y778" s="29"/>
      <c r="Z778" s="30"/>
      <c r="AA778" s="30"/>
      <c r="AB778" s="32"/>
      <c r="AC778" s="30"/>
      <c r="AD778" s="30"/>
      <c r="AE778" s="30"/>
      <c r="AF778" s="30"/>
      <c r="AG778" s="30"/>
      <c r="AH778" s="30"/>
      <c r="AI778" s="30"/>
      <c r="AJ778" s="30"/>
      <c r="AK778" s="30"/>
      <c r="AL778" s="30"/>
      <c r="AM778" s="30"/>
      <c r="AN778" s="30"/>
      <c r="AO778" s="30"/>
      <c r="AP778" s="30"/>
      <c r="AQ778" s="30"/>
      <c r="AR778" s="30"/>
      <c r="AS778" s="30"/>
      <c r="AT778" s="30"/>
      <c r="AU778" s="30"/>
      <c r="AV778" s="30"/>
      <c r="AW778" s="30"/>
      <c r="AX778" s="30"/>
      <c r="AY778" s="30"/>
      <c r="AZ778" s="30">
        <v>400090.08</v>
      </c>
      <c r="BA778" s="30" t="e">
        <f t="array" aca="1" ref="BA778" ca="1">_xludf.XLOOKUP(C778,'PL TOTAL D0'!A:A,'PL TOTAL D0'!C:C,"")</f>
        <v>#NAME?</v>
      </c>
    </row>
    <row r="779" spans="1:53" ht="15.75" customHeight="1">
      <c r="A779" s="23" t="s">
        <v>29</v>
      </c>
      <c r="B779" s="3" t="s">
        <v>2616</v>
      </c>
      <c r="C779" s="4" t="s">
        <v>2617</v>
      </c>
      <c r="D779" s="7" t="s">
        <v>19</v>
      </c>
      <c r="E779" s="7" t="s">
        <v>20</v>
      </c>
      <c r="F779" s="7" t="s">
        <v>210</v>
      </c>
      <c r="G779" s="7" t="e">
        <f t="shared" ca="1" si="34"/>
        <v>#NAME?</v>
      </c>
      <c r="H779" s="24" t="s">
        <v>161</v>
      </c>
      <c r="I779" s="24" t="s">
        <v>162</v>
      </c>
      <c r="J779" s="7" t="str">
        <f t="shared" si="36"/>
        <v>Não</v>
      </c>
      <c r="K779" s="25">
        <v>45520</v>
      </c>
      <c r="L779" s="7"/>
      <c r="M779" s="7" t="s">
        <v>42</v>
      </c>
      <c r="N779" s="26">
        <v>1.2E-2</v>
      </c>
      <c r="O779" s="7" t="s">
        <v>25</v>
      </c>
      <c r="P779" s="27">
        <v>0</v>
      </c>
      <c r="Q779" s="161"/>
      <c r="R779" s="90"/>
      <c r="S779" s="7" t="s">
        <v>145</v>
      </c>
      <c r="T779" s="7" t="s">
        <v>2618</v>
      </c>
      <c r="U779" s="7" t="s">
        <v>20</v>
      </c>
      <c r="V779" s="24" t="e">
        <f t="shared" ca="1" si="35"/>
        <v>#NAME?</v>
      </c>
      <c r="W779" s="7"/>
      <c r="X779" s="7" t="s">
        <v>91</v>
      </c>
      <c r="Y779" s="29" t="s">
        <v>253</v>
      </c>
      <c r="Z779" s="30"/>
      <c r="AA779" s="31">
        <v>45539</v>
      </c>
      <c r="AB779" s="32"/>
      <c r="AC779" s="30"/>
      <c r="AD779" s="30"/>
      <c r="AE779" s="30"/>
      <c r="AF779" s="30"/>
      <c r="AG779" s="30"/>
      <c r="AH779" s="30"/>
      <c r="AI779" s="30"/>
      <c r="AJ779" s="30"/>
      <c r="AK779" s="30"/>
      <c r="AL779" s="30"/>
      <c r="AM779" s="30"/>
      <c r="AN779" s="30"/>
      <c r="AO779" s="30"/>
      <c r="AP779" s="30"/>
      <c r="AQ779" s="30"/>
      <c r="AR779" s="30"/>
      <c r="AS779" s="30"/>
      <c r="AT779" s="30"/>
      <c r="AU779" s="30"/>
      <c r="AV779" s="30"/>
      <c r="AW779" s="30"/>
      <c r="AX779" s="30"/>
      <c r="AY779" s="30">
        <v>0</v>
      </c>
      <c r="AZ779" s="30">
        <v>30</v>
      </c>
      <c r="BA779" s="30" t="e">
        <f t="array" aca="1" ref="BA779" ca="1">_xludf.XLOOKUP(C779,'PL TOTAL D0'!A:A,'PL TOTAL D0'!C:C,"")</f>
        <v>#NAME?</v>
      </c>
    </row>
    <row r="780" spans="1:53" ht="15.75" customHeight="1">
      <c r="A780" s="23" t="s">
        <v>29</v>
      </c>
      <c r="B780" s="3" t="s">
        <v>2619</v>
      </c>
      <c r="C780" s="4" t="s">
        <v>2620</v>
      </c>
      <c r="D780" s="7" t="s">
        <v>19</v>
      </c>
      <c r="E780" s="7" t="s">
        <v>49</v>
      </c>
      <c r="F780" s="7" t="s">
        <v>50</v>
      </c>
      <c r="G780" s="7" t="e">
        <f t="shared" ca="1" si="34"/>
        <v>#NAME?</v>
      </c>
      <c r="H780" s="24" t="s">
        <v>161</v>
      </c>
      <c r="I780" s="24" t="s">
        <v>928</v>
      </c>
      <c r="J780" s="7" t="str">
        <f t="shared" si="36"/>
        <v>Não</v>
      </c>
      <c r="K780" s="25">
        <v>44994</v>
      </c>
      <c r="L780" s="7"/>
      <c r="M780" s="7" t="s">
        <v>200</v>
      </c>
      <c r="N780" s="26">
        <v>1.4999999999999999E-2</v>
      </c>
      <c r="O780" s="7" t="s">
        <v>37</v>
      </c>
      <c r="P780" s="27">
        <v>0.1</v>
      </c>
      <c r="Q780" s="90"/>
      <c r="R780" s="90"/>
      <c r="S780" s="7" t="s">
        <v>145</v>
      </c>
      <c r="T780" s="7" t="s">
        <v>2621</v>
      </c>
      <c r="U780" s="7" t="s">
        <v>49</v>
      </c>
      <c r="V780" s="24" t="e">
        <f t="shared" ca="1" si="35"/>
        <v>#NAME?</v>
      </c>
      <c r="W780" s="7"/>
      <c r="X780" s="7"/>
      <c r="Y780" s="29" t="s">
        <v>147</v>
      </c>
      <c r="Z780" s="30"/>
      <c r="AA780" s="31">
        <v>44994</v>
      </c>
      <c r="AB780" s="32">
        <v>49075100008159</v>
      </c>
      <c r="AC780" s="30"/>
      <c r="AD780" s="30"/>
      <c r="AE780" s="30"/>
      <c r="AF780" s="30"/>
      <c r="AG780" s="30">
        <v>0</v>
      </c>
      <c r="AH780" s="30">
        <v>317061.28000000003</v>
      </c>
      <c r="AI780" s="30">
        <v>318570.65000000002</v>
      </c>
      <c r="AJ780" s="30">
        <v>324898.95</v>
      </c>
      <c r="AK780" s="30">
        <v>353373.86</v>
      </c>
      <c r="AL780" s="30">
        <v>363060.22</v>
      </c>
      <c r="AM780" s="30">
        <v>325564.92</v>
      </c>
      <c r="AN780" s="30">
        <v>315676.05</v>
      </c>
      <c r="AO780" s="30">
        <v>263943.59000000003</v>
      </c>
      <c r="AP780" s="30">
        <v>218096.86</v>
      </c>
      <c r="AQ780" s="30">
        <v>221499.27</v>
      </c>
      <c r="AR780" s="30">
        <v>246251.74</v>
      </c>
      <c r="AS780" s="30">
        <v>248711.33</v>
      </c>
      <c r="AT780" s="30">
        <v>241158.97</v>
      </c>
      <c r="AU780" s="30">
        <v>239523.79</v>
      </c>
      <c r="AV780" s="30">
        <v>238803.5</v>
      </c>
      <c r="AW780" s="30">
        <v>239864</v>
      </c>
      <c r="AX780" s="30">
        <v>242943.7</v>
      </c>
      <c r="AY780" s="30">
        <v>205446.59</v>
      </c>
      <c r="AZ780" s="30">
        <v>21901.98</v>
      </c>
      <c r="BA780" s="30" t="e">
        <f t="array" aca="1" ref="BA780" ca="1">_xludf.XLOOKUP(C780,'PL TOTAL D0'!A:A,'PL TOTAL D0'!C:C,"")</f>
        <v>#NAME?</v>
      </c>
    </row>
    <row r="781" spans="1:53" ht="15.75" customHeight="1">
      <c r="A781" s="23" t="s">
        <v>29</v>
      </c>
      <c r="B781" s="37" t="s">
        <v>2622</v>
      </c>
      <c r="C781" s="4" t="s">
        <v>2623</v>
      </c>
      <c r="D781" s="7" t="s">
        <v>64</v>
      </c>
      <c r="E781" s="7" t="s">
        <v>20</v>
      </c>
      <c r="F781" s="7" t="s">
        <v>2329</v>
      </c>
      <c r="G781" s="7" t="e">
        <f t="shared" ca="1" si="34"/>
        <v>#NAME?</v>
      </c>
      <c r="H781" s="24" t="s">
        <v>143</v>
      </c>
      <c r="I781" s="24" t="s">
        <v>25</v>
      </c>
      <c r="J781" s="7" t="str">
        <f>IF(R781=0,"Não","Sim")</f>
        <v>Sim</v>
      </c>
      <c r="K781" s="25">
        <v>45013</v>
      </c>
      <c r="L781" s="25">
        <v>45415</v>
      </c>
      <c r="M781" s="7" t="s">
        <v>345</v>
      </c>
      <c r="N781" s="26">
        <v>0.02</v>
      </c>
      <c r="O781" s="7" t="s">
        <v>37</v>
      </c>
      <c r="P781" s="27">
        <v>0.2</v>
      </c>
      <c r="Q781" s="86"/>
      <c r="R781" s="28" t="s">
        <v>2624</v>
      </c>
      <c r="S781" s="7" t="s">
        <v>145</v>
      </c>
      <c r="T781" s="7" t="s">
        <v>2625</v>
      </c>
      <c r="U781" s="7" t="s">
        <v>20</v>
      </c>
      <c r="V781" s="24" t="e">
        <f t="shared" ca="1" si="35"/>
        <v>#NAME?</v>
      </c>
      <c r="W781" s="7"/>
      <c r="X781" s="7"/>
      <c r="Y781" s="29" t="s">
        <v>147</v>
      </c>
      <c r="Z781" s="30"/>
      <c r="AA781" s="31">
        <v>45013</v>
      </c>
      <c r="AB781" s="32">
        <v>49075100008884</v>
      </c>
      <c r="AC781" s="30"/>
      <c r="AD781" s="30"/>
      <c r="AE781" s="30"/>
      <c r="AF781" s="30"/>
      <c r="AG781" s="30"/>
      <c r="AH781" s="30">
        <v>0</v>
      </c>
      <c r="AI781" s="30">
        <v>499566.11</v>
      </c>
      <c r="AJ781" s="30">
        <v>509775.18</v>
      </c>
      <c r="AK781" s="30">
        <v>481161.13</v>
      </c>
      <c r="AL781" s="30">
        <v>447413.88</v>
      </c>
      <c r="AM781" s="30">
        <v>432606.19</v>
      </c>
      <c r="AN781" s="30">
        <v>430845.92</v>
      </c>
      <c r="AO781" s="30">
        <v>417626.06</v>
      </c>
      <c r="AP781" s="30">
        <v>435487.84</v>
      </c>
      <c r="AQ781" s="30">
        <v>447652.59</v>
      </c>
      <c r="AR781" s="30">
        <v>434688.5</v>
      </c>
      <c r="AS781" s="30">
        <v>437804.93</v>
      </c>
      <c r="AT781" s="30">
        <v>443417.86</v>
      </c>
      <c r="AU781" s="30">
        <v>432859.23</v>
      </c>
      <c r="AV781" s="30">
        <v>0</v>
      </c>
      <c r="AW781" s="30">
        <v>0</v>
      </c>
      <c r="AX781" s="30">
        <v>0</v>
      </c>
      <c r="AY781" s="30">
        <v>0</v>
      </c>
      <c r="AZ781" s="30">
        <v>0</v>
      </c>
      <c r="BA781" s="30" t="e">
        <f t="array" aca="1" ref="BA781" ca="1">_xludf.XLOOKUP(C781,'PL TOTAL D0'!A:A,'PL TOTAL D0'!C:C,"")</f>
        <v>#NAME?</v>
      </c>
    </row>
    <row r="782" spans="1:53" ht="15.75" customHeight="1">
      <c r="A782" s="23" t="s">
        <v>29</v>
      </c>
      <c r="B782" s="40" t="s">
        <v>2626</v>
      </c>
      <c r="C782" s="41" t="s">
        <v>2627</v>
      </c>
      <c r="D782" s="7" t="s">
        <v>19</v>
      </c>
      <c r="E782" s="7" t="s">
        <v>20</v>
      </c>
      <c r="F782" s="7" t="s">
        <v>199</v>
      </c>
      <c r="G782" s="7" t="e">
        <f t="shared" ca="1" si="34"/>
        <v>#NAME?</v>
      </c>
      <c r="H782" s="24" t="s">
        <v>152</v>
      </c>
      <c r="I782" s="24" t="s">
        <v>25</v>
      </c>
      <c r="J782" s="7" t="str">
        <f t="shared" ref="J782:J837" si="37">IF(Q782=0,"Não","Sim")</f>
        <v>Não</v>
      </c>
      <c r="K782" s="25">
        <v>45212</v>
      </c>
      <c r="L782" s="7"/>
      <c r="M782" s="7" t="s">
        <v>200</v>
      </c>
      <c r="N782" s="26">
        <v>1.4999999999999999E-2</v>
      </c>
      <c r="O782" s="7" t="s">
        <v>37</v>
      </c>
      <c r="P782" s="27">
        <v>0.1</v>
      </c>
      <c r="Q782" s="23"/>
      <c r="R782" s="82" t="s">
        <v>324</v>
      </c>
      <c r="S782" s="7" t="s">
        <v>145</v>
      </c>
      <c r="T782" s="7" t="s">
        <v>2628</v>
      </c>
      <c r="U782" s="7" t="s">
        <v>20</v>
      </c>
      <c r="V782" s="24" t="e">
        <f t="shared" ca="1" si="35"/>
        <v>#NAME?</v>
      </c>
      <c r="W782" s="7"/>
      <c r="X782" s="7"/>
      <c r="Y782" s="29" t="s">
        <v>147</v>
      </c>
      <c r="Z782" s="30"/>
      <c r="AA782" s="31">
        <v>45212</v>
      </c>
      <c r="AB782" s="32">
        <v>49075100012822</v>
      </c>
      <c r="AC782" s="30"/>
      <c r="AD782" s="30"/>
      <c r="AE782" s="30"/>
      <c r="AF782" s="30"/>
      <c r="AG782" s="30"/>
      <c r="AH782" s="30"/>
      <c r="AI782" s="30"/>
      <c r="AJ782" s="30"/>
      <c r="AK782" s="30"/>
      <c r="AL782" s="30"/>
      <c r="AM782" s="30"/>
      <c r="AN782" s="30"/>
      <c r="AO782" s="30">
        <v>28009.08</v>
      </c>
      <c r="AP782" s="30">
        <v>28195.49</v>
      </c>
      <c r="AQ782" s="30">
        <v>28455.38</v>
      </c>
      <c r="AR782" s="30">
        <v>136332.37</v>
      </c>
      <c r="AS782" s="30">
        <v>137648.03</v>
      </c>
      <c r="AT782" s="30">
        <v>139093.47</v>
      </c>
      <c r="AU782" s="30">
        <v>139534.82999999999</v>
      </c>
      <c r="AV782" s="30">
        <v>140632.29999999999</v>
      </c>
      <c r="AW782" s="30">
        <v>141638.29999999999</v>
      </c>
      <c r="AX782" s="30">
        <v>143522</v>
      </c>
      <c r="AY782" s="30">
        <v>145085.43</v>
      </c>
      <c r="AZ782" s="30">
        <v>145961.18</v>
      </c>
      <c r="BA782" s="30" t="e">
        <f t="array" aca="1" ref="BA782" ca="1">_xludf.XLOOKUP(C782,'PL TOTAL D0'!A:A,'PL TOTAL D0'!C:C,"")</f>
        <v>#NAME?</v>
      </c>
    </row>
    <row r="783" spans="1:53" ht="15.75" customHeight="1">
      <c r="A783" s="23" t="s">
        <v>29</v>
      </c>
      <c r="B783" s="3" t="s">
        <v>2629</v>
      </c>
      <c r="C783" s="4" t="s">
        <v>2630</v>
      </c>
      <c r="D783" s="7" t="s">
        <v>19</v>
      </c>
      <c r="E783" s="7" t="s">
        <v>20</v>
      </c>
      <c r="F783" s="7" t="s">
        <v>989</v>
      </c>
      <c r="G783" s="7" t="e">
        <f t="shared" ca="1" si="34"/>
        <v>#NAME?</v>
      </c>
      <c r="H783" s="24" t="s">
        <v>152</v>
      </c>
      <c r="I783" s="24" t="s">
        <v>25</v>
      </c>
      <c r="J783" s="7" t="str">
        <f t="shared" si="37"/>
        <v>Não</v>
      </c>
      <c r="K783" s="25">
        <v>45070</v>
      </c>
      <c r="L783" s="7"/>
      <c r="M783" s="7" t="s">
        <v>200</v>
      </c>
      <c r="N783" s="26">
        <v>1.2E-2</v>
      </c>
      <c r="O783" s="7" t="s">
        <v>37</v>
      </c>
      <c r="P783" s="27">
        <v>0.1</v>
      </c>
      <c r="Q783" s="90"/>
      <c r="R783" s="184" t="s">
        <v>2631</v>
      </c>
      <c r="S783" s="7" t="s">
        <v>145</v>
      </c>
      <c r="T783" s="7" t="s">
        <v>2632</v>
      </c>
      <c r="U783" s="7" t="s">
        <v>20</v>
      </c>
      <c r="V783" s="24" t="e">
        <f t="shared" ca="1" si="35"/>
        <v>#NAME?</v>
      </c>
      <c r="W783" s="7"/>
      <c r="X783" s="7"/>
      <c r="Y783" s="29" t="s">
        <v>147</v>
      </c>
      <c r="Z783" s="30"/>
      <c r="AA783" s="31">
        <v>45070</v>
      </c>
      <c r="AB783" s="32">
        <v>49075100007063</v>
      </c>
      <c r="AC783" s="30"/>
      <c r="AD783" s="30"/>
      <c r="AE783" s="30"/>
      <c r="AF783" s="30"/>
      <c r="AG783" s="30"/>
      <c r="AH783" s="30">
        <v>0</v>
      </c>
      <c r="AI783" s="30">
        <v>0</v>
      </c>
      <c r="AJ783" s="30">
        <v>227605.23</v>
      </c>
      <c r="AK783" s="30">
        <v>231139.98</v>
      </c>
      <c r="AL783" s="30">
        <v>233533.56</v>
      </c>
      <c r="AM783" s="30">
        <v>232386.73</v>
      </c>
      <c r="AN783" s="30">
        <v>233018.77</v>
      </c>
      <c r="AO783" s="30">
        <v>232632.7</v>
      </c>
      <c r="AP783" s="30">
        <v>238062.37</v>
      </c>
      <c r="AQ783" s="30">
        <v>243018.83</v>
      </c>
      <c r="AR783" s="30">
        <v>236737.14</v>
      </c>
      <c r="AS783" s="30">
        <v>238924.29</v>
      </c>
      <c r="AT783" s="30">
        <v>240651.02</v>
      </c>
      <c r="AU783" s="30">
        <v>238913.61</v>
      </c>
      <c r="AV783" s="30">
        <v>237844.1</v>
      </c>
      <c r="AW783" s="30">
        <v>239279.7</v>
      </c>
      <c r="AX783" s="30">
        <v>242601.3</v>
      </c>
      <c r="AY783" s="30">
        <v>245397.17</v>
      </c>
      <c r="AZ783" s="30">
        <v>245082.23999999999</v>
      </c>
      <c r="BA783" s="30" t="e">
        <f t="array" aca="1" ref="BA783" ca="1">_xludf.XLOOKUP(C783,'PL TOTAL D0'!A:A,'PL TOTAL D0'!C:C,"")</f>
        <v>#NAME?</v>
      </c>
    </row>
    <row r="784" spans="1:53" ht="15.75" customHeight="1">
      <c r="A784" s="23" t="s">
        <v>29</v>
      </c>
      <c r="B784" s="3" t="s">
        <v>2633</v>
      </c>
      <c r="C784" s="4" t="s">
        <v>2634</v>
      </c>
      <c r="D784" s="7" t="s">
        <v>19</v>
      </c>
      <c r="E784" s="7" t="s">
        <v>34</v>
      </c>
      <c r="F784" s="7" t="s">
        <v>35</v>
      </c>
      <c r="G784" s="7" t="e">
        <f t="shared" ca="1" si="34"/>
        <v>#NAME?</v>
      </c>
      <c r="H784" s="24" t="s">
        <v>143</v>
      </c>
      <c r="I784" s="24" t="s">
        <v>25</v>
      </c>
      <c r="J784" s="7" t="str">
        <f t="shared" si="37"/>
        <v>Não</v>
      </c>
      <c r="K784" s="25">
        <v>45163</v>
      </c>
      <c r="L784" s="25">
        <v>45383</v>
      </c>
      <c r="M784" s="7" t="s">
        <v>87</v>
      </c>
      <c r="N784" s="26">
        <v>2.5000000000000001E-2</v>
      </c>
      <c r="O784" s="7" t="s">
        <v>183</v>
      </c>
      <c r="P784" s="27">
        <v>0.2</v>
      </c>
      <c r="Q784" s="28"/>
      <c r="R784" s="28" t="s">
        <v>2635</v>
      </c>
      <c r="S784" s="7" t="s">
        <v>145</v>
      </c>
      <c r="T784" s="7" t="s">
        <v>2636</v>
      </c>
      <c r="U784" s="7" t="s">
        <v>39</v>
      </c>
      <c r="V784" s="24" t="e">
        <f t="shared" ca="1" si="35"/>
        <v>#NAME?</v>
      </c>
      <c r="W784" s="7"/>
      <c r="X784" s="7"/>
      <c r="Y784" s="29" t="s">
        <v>147</v>
      </c>
      <c r="Z784" s="30"/>
      <c r="AA784" s="31">
        <v>45163</v>
      </c>
      <c r="AB784" s="32"/>
      <c r="AC784" s="30"/>
      <c r="AD784" s="30"/>
      <c r="AE784" s="30"/>
      <c r="AF784" s="30"/>
      <c r="AG784" s="30"/>
      <c r="AH784" s="30"/>
      <c r="AI784" s="30"/>
      <c r="AJ784" s="30"/>
      <c r="AK784" s="30"/>
      <c r="AL784" s="30"/>
      <c r="AM784" s="30">
        <v>578158.38</v>
      </c>
      <c r="AN784" s="30">
        <v>333331.19</v>
      </c>
      <c r="AO784" s="30">
        <v>317180.27</v>
      </c>
      <c r="AP784" s="30">
        <v>327161.94</v>
      </c>
      <c r="AQ784" s="30">
        <v>344757</v>
      </c>
      <c r="AR784" s="30">
        <v>315702.28999999998</v>
      </c>
      <c r="AS784" s="30">
        <v>321907.65999999997</v>
      </c>
      <c r="AT784" s="30">
        <v>0</v>
      </c>
      <c r="AU784" s="30">
        <v>0</v>
      </c>
      <c r="AV784" s="30">
        <v>0</v>
      </c>
      <c r="AW784" s="30">
        <v>0</v>
      </c>
      <c r="AX784" s="30">
        <v>0</v>
      </c>
      <c r="AY784" s="30">
        <v>0</v>
      </c>
      <c r="AZ784" s="30">
        <v>0</v>
      </c>
      <c r="BA784" s="30" t="e">
        <f t="array" aca="1" ref="BA784" ca="1">_xludf.XLOOKUP(C784,'PL TOTAL D0'!A:A,'PL TOTAL D0'!C:C,"")</f>
        <v>#NAME?</v>
      </c>
    </row>
    <row r="785" spans="1:53" ht="15.75" customHeight="1">
      <c r="A785" s="23" t="s">
        <v>29</v>
      </c>
      <c r="B785" s="3" t="s">
        <v>2633</v>
      </c>
      <c r="C785" s="4" t="s">
        <v>2637</v>
      </c>
      <c r="D785" s="7" t="s">
        <v>19</v>
      </c>
      <c r="E785" s="7" t="s">
        <v>34</v>
      </c>
      <c r="F785" s="7" t="s">
        <v>35</v>
      </c>
      <c r="G785" s="7" t="e">
        <f t="shared" ca="1" si="34"/>
        <v>#NAME?</v>
      </c>
      <c r="H785" s="24" t="s">
        <v>143</v>
      </c>
      <c r="I785" s="24" t="s">
        <v>25</v>
      </c>
      <c r="J785" s="7" t="str">
        <f t="shared" si="37"/>
        <v>Não</v>
      </c>
      <c r="K785" s="25">
        <v>45163</v>
      </c>
      <c r="L785" s="25">
        <v>45383</v>
      </c>
      <c r="M785" s="7" t="s">
        <v>42</v>
      </c>
      <c r="N785" s="26">
        <v>1.2E-2</v>
      </c>
      <c r="O785" s="7" t="s">
        <v>25</v>
      </c>
      <c r="P785" s="27">
        <v>0</v>
      </c>
      <c r="Q785" s="36"/>
      <c r="R785" s="28" t="s">
        <v>2638</v>
      </c>
      <c r="S785" s="7" t="s">
        <v>145</v>
      </c>
      <c r="T785" s="7" t="s">
        <v>2636</v>
      </c>
      <c r="U785" s="7" t="s">
        <v>39</v>
      </c>
      <c r="V785" s="24" t="e">
        <f t="shared" ca="1" si="35"/>
        <v>#NAME?</v>
      </c>
      <c r="W785" s="7"/>
      <c r="X785" s="7"/>
      <c r="Y785" s="29" t="s">
        <v>147</v>
      </c>
      <c r="Z785" s="30"/>
      <c r="AA785" s="31">
        <v>45163</v>
      </c>
      <c r="AB785" s="32"/>
      <c r="AC785" s="30"/>
      <c r="AD785" s="30"/>
      <c r="AE785" s="30"/>
      <c r="AF785" s="30"/>
      <c r="AG785" s="30"/>
      <c r="AH785" s="30"/>
      <c r="AI785" s="30"/>
      <c r="AJ785" s="30"/>
      <c r="AK785" s="30"/>
      <c r="AL785" s="30"/>
      <c r="AM785" s="30">
        <v>342462.76</v>
      </c>
      <c r="AN785" s="30">
        <v>340811.61</v>
      </c>
      <c r="AO785" s="30">
        <v>344200.37</v>
      </c>
      <c r="AP785" s="30">
        <v>303898.86</v>
      </c>
      <c r="AQ785" s="30">
        <v>306622.99</v>
      </c>
      <c r="AR785" s="30">
        <v>309060.87</v>
      </c>
      <c r="AS785" s="30">
        <v>4351.46</v>
      </c>
      <c r="AT785" s="30">
        <v>0</v>
      </c>
      <c r="AU785" s="30">
        <v>0</v>
      </c>
      <c r="AV785" s="30">
        <v>0</v>
      </c>
      <c r="AW785" s="30">
        <v>0</v>
      </c>
      <c r="AX785" s="30">
        <v>0</v>
      </c>
      <c r="AY785" s="30">
        <v>0</v>
      </c>
      <c r="AZ785" s="30">
        <v>0</v>
      </c>
      <c r="BA785" s="30" t="e">
        <f t="array" aca="1" ref="BA785" ca="1">_xludf.XLOOKUP(C785,'PL TOTAL D0'!A:A,'PL TOTAL D0'!C:C,"")</f>
        <v>#NAME?</v>
      </c>
    </row>
    <row r="786" spans="1:53" ht="15.75" customHeight="1">
      <c r="A786" s="23" t="s">
        <v>29</v>
      </c>
      <c r="B786" s="40" t="s">
        <v>2633</v>
      </c>
      <c r="C786" s="41" t="s">
        <v>2639</v>
      </c>
      <c r="D786" s="7" t="s">
        <v>19</v>
      </c>
      <c r="E786" s="7" t="s">
        <v>34</v>
      </c>
      <c r="F786" s="7" t="s">
        <v>35</v>
      </c>
      <c r="G786" s="7" t="e">
        <f t="shared" ca="1" si="34"/>
        <v>#NAME?</v>
      </c>
      <c r="H786" s="24" t="s">
        <v>143</v>
      </c>
      <c r="I786" s="24" t="s">
        <v>25</v>
      </c>
      <c r="J786" s="7" t="str">
        <f t="shared" si="37"/>
        <v>Não</v>
      </c>
      <c r="K786" s="25">
        <v>45187</v>
      </c>
      <c r="L786" s="25">
        <v>45383</v>
      </c>
      <c r="M786" s="7" t="s">
        <v>31</v>
      </c>
      <c r="N786" s="26">
        <v>0</v>
      </c>
      <c r="O786" s="7" t="s">
        <v>25</v>
      </c>
      <c r="P786" s="27">
        <v>0</v>
      </c>
      <c r="Q786" s="28"/>
      <c r="R786" s="28"/>
      <c r="S786" s="7" t="s">
        <v>145</v>
      </c>
      <c r="T786" s="7" t="s">
        <v>2636</v>
      </c>
      <c r="U786" s="7" t="s">
        <v>39</v>
      </c>
      <c r="V786" s="24" t="e">
        <f t="shared" ca="1" si="35"/>
        <v>#NAME?</v>
      </c>
      <c r="W786" s="7"/>
      <c r="X786" s="7"/>
      <c r="Y786" s="29" t="s">
        <v>147</v>
      </c>
      <c r="Z786" s="30"/>
      <c r="AA786" s="31">
        <v>45187</v>
      </c>
      <c r="AB786" s="32"/>
      <c r="AC786" s="30"/>
      <c r="AD786" s="30"/>
      <c r="AE786" s="30"/>
      <c r="AF786" s="30"/>
      <c r="AG786" s="30"/>
      <c r="AH786" s="30"/>
      <c r="AI786" s="30"/>
      <c r="AJ786" s="30"/>
      <c r="AK786" s="30"/>
      <c r="AL786" s="30"/>
      <c r="AM786" s="30"/>
      <c r="AN786" s="30">
        <v>271055.88</v>
      </c>
      <c r="AO786" s="30">
        <v>268541.05</v>
      </c>
      <c r="AP786" s="30">
        <v>286445.02</v>
      </c>
      <c r="AQ786" s="30">
        <v>302609.96000000002</v>
      </c>
      <c r="AR786" s="30">
        <v>295032.11</v>
      </c>
      <c r="AS786" s="30">
        <v>294811.89</v>
      </c>
      <c r="AT786" s="30">
        <v>0</v>
      </c>
      <c r="AU786" s="30">
        <v>0</v>
      </c>
      <c r="AV786" s="30">
        <v>0</v>
      </c>
      <c r="AW786" s="30">
        <v>0</v>
      </c>
      <c r="AX786" s="30">
        <v>0</v>
      </c>
      <c r="AY786" s="30">
        <v>0</v>
      </c>
      <c r="AZ786" s="30">
        <v>0</v>
      </c>
      <c r="BA786" s="30" t="e">
        <f t="array" aca="1" ref="BA786" ca="1">_xludf.XLOOKUP(C786,'PL TOTAL D0'!A:A,'PL TOTAL D0'!C:C,"")</f>
        <v>#NAME?</v>
      </c>
    </row>
    <row r="787" spans="1:53" ht="15.75" customHeight="1">
      <c r="A787" s="23" t="s">
        <v>29</v>
      </c>
      <c r="B787" s="40" t="s">
        <v>2640</v>
      </c>
      <c r="C787" s="41" t="s">
        <v>2641</v>
      </c>
      <c r="D787" s="7" t="s">
        <v>19</v>
      </c>
      <c r="E787" s="7" t="s">
        <v>49</v>
      </c>
      <c r="F787" s="7" t="s">
        <v>277</v>
      </c>
      <c r="G787" s="7" t="e">
        <f t="shared" ca="1" si="34"/>
        <v>#NAME?</v>
      </c>
      <c r="H787" s="24" t="s">
        <v>152</v>
      </c>
      <c r="I787" s="24" t="s">
        <v>25</v>
      </c>
      <c r="J787" s="7" t="str">
        <f t="shared" si="37"/>
        <v>Não</v>
      </c>
      <c r="K787" s="25">
        <v>45189</v>
      </c>
      <c r="L787" s="7"/>
      <c r="M787" s="7" t="s">
        <v>42</v>
      </c>
      <c r="N787" s="26">
        <v>1.2E-2</v>
      </c>
      <c r="O787" s="7" t="s">
        <v>25</v>
      </c>
      <c r="P787" s="27">
        <v>0</v>
      </c>
      <c r="Q787" s="23"/>
      <c r="R787" s="69" t="s">
        <v>2642</v>
      </c>
      <c r="S787" s="7" t="s">
        <v>145</v>
      </c>
      <c r="T787" s="7" t="s">
        <v>2643</v>
      </c>
      <c r="U787" s="7" t="s">
        <v>49</v>
      </c>
      <c r="V787" s="24" t="e">
        <f t="shared" ca="1" si="35"/>
        <v>#NAME?</v>
      </c>
      <c r="W787" s="7"/>
      <c r="X787" s="7"/>
      <c r="Y787" s="29" t="s">
        <v>147</v>
      </c>
      <c r="Z787" s="30"/>
      <c r="AA787" s="31">
        <v>45189</v>
      </c>
      <c r="AB787" s="32">
        <v>49075100012059</v>
      </c>
      <c r="AC787" s="30"/>
      <c r="AD787" s="30"/>
      <c r="AE787" s="30"/>
      <c r="AF787" s="30"/>
      <c r="AG787" s="30"/>
      <c r="AH787" s="30"/>
      <c r="AI787" s="30"/>
      <c r="AJ787" s="30"/>
      <c r="AK787" s="30"/>
      <c r="AL787" s="30"/>
      <c r="AM787" s="30"/>
      <c r="AN787" s="30">
        <v>0</v>
      </c>
      <c r="AO787" s="30">
        <v>0</v>
      </c>
      <c r="AP787" s="30">
        <v>0</v>
      </c>
      <c r="AQ787" s="30">
        <v>51961.14</v>
      </c>
      <c r="AR787" s="30">
        <v>203719.11</v>
      </c>
      <c r="AS787" s="30">
        <v>205270.52</v>
      </c>
      <c r="AT787" s="30">
        <v>207011.53</v>
      </c>
      <c r="AU787" s="30">
        <v>208476.23</v>
      </c>
      <c r="AV787" s="30">
        <v>209902.7</v>
      </c>
      <c r="AW787" s="30">
        <v>211435.5</v>
      </c>
      <c r="AX787" s="30">
        <v>213102.6</v>
      </c>
      <c r="AY787" s="30">
        <v>214609.54</v>
      </c>
      <c r="AZ787" s="30">
        <v>215969.35</v>
      </c>
      <c r="BA787" s="30" t="e">
        <f t="array" aca="1" ref="BA787" ca="1">_xludf.XLOOKUP(C787,'PL TOTAL D0'!A:A,'PL TOTAL D0'!C:C,"")</f>
        <v>#NAME?</v>
      </c>
    </row>
    <row r="788" spans="1:53" ht="15.75" customHeight="1">
      <c r="A788" s="23" t="s">
        <v>29</v>
      </c>
      <c r="B788" s="40" t="s">
        <v>2644</v>
      </c>
      <c r="C788" s="41" t="s">
        <v>2645</v>
      </c>
      <c r="D788" s="7" t="s">
        <v>19</v>
      </c>
      <c r="E788" s="7" t="s">
        <v>49</v>
      </c>
      <c r="F788" s="7" t="s">
        <v>277</v>
      </c>
      <c r="G788" s="7" t="e">
        <f t="shared" ca="1" si="34"/>
        <v>#NAME?</v>
      </c>
      <c r="H788" s="24" t="s">
        <v>161</v>
      </c>
      <c r="I788" s="24" t="s">
        <v>222</v>
      </c>
      <c r="J788" s="7" t="str">
        <f t="shared" si="37"/>
        <v>Não</v>
      </c>
      <c r="K788" s="25">
        <v>45266</v>
      </c>
      <c r="L788" s="7"/>
      <c r="M788" s="7" t="s">
        <v>42</v>
      </c>
      <c r="N788" s="26">
        <v>1.2E-2</v>
      </c>
      <c r="O788" s="7" t="s">
        <v>25</v>
      </c>
      <c r="P788" s="27">
        <v>0</v>
      </c>
      <c r="Q788" s="86"/>
      <c r="R788" s="69"/>
      <c r="S788" s="7" t="s">
        <v>145</v>
      </c>
      <c r="T788" s="7" t="s">
        <v>2646</v>
      </c>
      <c r="U788" s="7" t="s">
        <v>49</v>
      </c>
      <c r="V788" s="24" t="e">
        <f t="shared" ca="1" si="35"/>
        <v>#NAME?</v>
      </c>
      <c r="W788" s="7"/>
      <c r="X788" s="7"/>
      <c r="Y788" s="29" t="s">
        <v>147</v>
      </c>
      <c r="Z788" s="30"/>
      <c r="AA788" s="31">
        <v>45266</v>
      </c>
      <c r="AB788" s="32">
        <v>49075100013063</v>
      </c>
      <c r="AC788" s="30"/>
      <c r="AD788" s="30"/>
      <c r="AE788" s="30"/>
      <c r="AF788" s="30"/>
      <c r="AG788" s="30"/>
      <c r="AH788" s="30"/>
      <c r="AI788" s="30"/>
      <c r="AJ788" s="30"/>
      <c r="AK788" s="30"/>
      <c r="AL788" s="30"/>
      <c r="AM788" s="30"/>
      <c r="AN788" s="30"/>
      <c r="AO788" s="30"/>
      <c r="AP788" s="30"/>
      <c r="AQ788" s="30">
        <v>0</v>
      </c>
      <c r="AR788" s="30">
        <v>0</v>
      </c>
      <c r="AS788" s="30">
        <v>0</v>
      </c>
      <c r="AT788" s="30">
        <v>0</v>
      </c>
      <c r="AU788" s="30">
        <v>0</v>
      </c>
      <c r="AV788" s="30">
        <v>0</v>
      </c>
      <c r="AW788" s="30">
        <v>0</v>
      </c>
      <c r="AX788" s="30">
        <v>0</v>
      </c>
      <c r="AY788" s="30">
        <v>0</v>
      </c>
      <c r="AZ788" s="30">
        <v>0</v>
      </c>
      <c r="BA788" s="30" t="e">
        <f t="array" aca="1" ref="BA788" ca="1">_xludf.XLOOKUP(C788,'PL TOTAL D0'!A:A,'PL TOTAL D0'!C:C,"")</f>
        <v>#NAME?</v>
      </c>
    </row>
    <row r="789" spans="1:53" ht="15.75" customHeight="1">
      <c r="A789" s="23" t="s">
        <v>29</v>
      </c>
      <c r="B789" s="3" t="s">
        <v>2647</v>
      </c>
      <c r="C789" s="4" t="s">
        <v>2648</v>
      </c>
      <c r="D789" s="7" t="s">
        <v>19</v>
      </c>
      <c r="E789" s="7" t="s">
        <v>20</v>
      </c>
      <c r="F789" s="7" t="s">
        <v>210</v>
      </c>
      <c r="G789" s="7" t="e">
        <f t="shared" ca="1" si="34"/>
        <v>#NAME?</v>
      </c>
      <c r="H789" s="24" t="s">
        <v>152</v>
      </c>
      <c r="I789" s="24" t="s">
        <v>25</v>
      </c>
      <c r="J789" s="7" t="str">
        <f t="shared" si="37"/>
        <v>Não</v>
      </c>
      <c r="K789" s="25">
        <v>45036</v>
      </c>
      <c r="L789" s="7"/>
      <c r="M789" s="7" t="s">
        <v>42</v>
      </c>
      <c r="N789" s="26">
        <v>1.2E-2</v>
      </c>
      <c r="O789" s="7" t="s">
        <v>25</v>
      </c>
      <c r="P789" s="27">
        <v>0</v>
      </c>
      <c r="Q789" s="90"/>
      <c r="R789" s="90"/>
      <c r="S789" s="7" t="s">
        <v>145</v>
      </c>
      <c r="T789" s="7" t="s">
        <v>2649</v>
      </c>
      <c r="U789" s="7" t="s">
        <v>886</v>
      </c>
      <c r="V789" s="24" t="e">
        <f t="shared" ca="1" si="35"/>
        <v>#NAME?</v>
      </c>
      <c r="W789" s="7"/>
      <c r="X789" s="7"/>
      <c r="Y789" s="29" t="s">
        <v>147</v>
      </c>
      <c r="Z789" s="30"/>
      <c r="AA789" s="31">
        <v>45036</v>
      </c>
      <c r="AB789" s="32">
        <v>49075100009953</v>
      </c>
      <c r="AC789" s="30"/>
      <c r="AD789" s="30"/>
      <c r="AE789" s="30"/>
      <c r="AF789" s="30"/>
      <c r="AG789" s="30"/>
      <c r="AH789" s="30">
        <v>0</v>
      </c>
      <c r="AI789" s="30">
        <v>85514.69</v>
      </c>
      <c r="AJ789" s="30">
        <v>86409.5</v>
      </c>
      <c r="AK789" s="30">
        <v>87159.14</v>
      </c>
      <c r="AL789" s="30">
        <v>82858.009999999995</v>
      </c>
      <c r="AM789" s="30">
        <v>62827.66</v>
      </c>
      <c r="AN789" s="30">
        <v>63325.05</v>
      </c>
      <c r="AO789" s="30">
        <v>63743.87</v>
      </c>
      <c r="AP789" s="30">
        <v>64221.09</v>
      </c>
      <c r="AQ789" s="30">
        <v>64717.11</v>
      </c>
      <c r="AR789" s="30">
        <v>60179.48</v>
      </c>
      <c r="AS789" s="30">
        <v>72562.69</v>
      </c>
      <c r="AT789" s="30">
        <v>73158.95</v>
      </c>
      <c r="AU789" s="30">
        <v>68289.39</v>
      </c>
      <c r="AV789" s="30">
        <v>62801.07</v>
      </c>
      <c r="AW789" s="30">
        <v>79304.91</v>
      </c>
      <c r="AX789" s="30">
        <v>104595.4</v>
      </c>
      <c r="AY789" s="30">
        <v>105467.55</v>
      </c>
      <c r="AZ789" s="30">
        <v>75533.95</v>
      </c>
      <c r="BA789" s="30" t="e">
        <f t="array" aca="1" ref="BA789" ca="1">_xludf.XLOOKUP(C789,'PL TOTAL D0'!A:A,'PL TOTAL D0'!C:C,"")</f>
        <v>#NAME?</v>
      </c>
    </row>
    <row r="790" spans="1:53" ht="15.75" customHeight="1">
      <c r="A790" s="23" t="s">
        <v>29</v>
      </c>
      <c r="B790" s="3" t="s">
        <v>2650</v>
      </c>
      <c r="C790" s="4" t="s">
        <v>2651</v>
      </c>
      <c r="D790" s="7" t="s">
        <v>19</v>
      </c>
      <c r="E790" s="7" t="s">
        <v>20</v>
      </c>
      <c r="F790" s="7" t="s">
        <v>199</v>
      </c>
      <c r="G790" s="7" t="e">
        <f t="shared" ca="1" si="34"/>
        <v>#NAME?</v>
      </c>
      <c r="H790" s="24" t="s">
        <v>152</v>
      </c>
      <c r="I790" s="24" t="s">
        <v>25</v>
      </c>
      <c r="J790" s="7" t="str">
        <f t="shared" si="37"/>
        <v>Não</v>
      </c>
      <c r="K790" s="25">
        <v>45007</v>
      </c>
      <c r="L790" s="7"/>
      <c r="M790" s="7" t="s">
        <v>42</v>
      </c>
      <c r="N790" s="26">
        <v>8.0000000000000002E-3</v>
      </c>
      <c r="O790" s="7" t="s">
        <v>25</v>
      </c>
      <c r="P790" s="27">
        <v>0</v>
      </c>
      <c r="Q790" s="90"/>
      <c r="R790" s="90"/>
      <c r="S790" s="7" t="s">
        <v>145</v>
      </c>
      <c r="T790" s="7" t="s">
        <v>2652</v>
      </c>
      <c r="U790" s="7" t="s">
        <v>20</v>
      </c>
      <c r="V790" s="24" t="e">
        <f t="shared" ca="1" si="35"/>
        <v>#NAME?</v>
      </c>
      <c r="W790" s="7"/>
      <c r="X790" s="7"/>
      <c r="Y790" s="29" t="s">
        <v>147</v>
      </c>
      <c r="Z790" s="30"/>
      <c r="AA790" s="31">
        <v>45007</v>
      </c>
      <c r="AB790" s="32">
        <v>49075100009570</v>
      </c>
      <c r="AC790" s="30"/>
      <c r="AD790" s="30"/>
      <c r="AE790" s="30"/>
      <c r="AF790" s="30"/>
      <c r="AG790" s="30">
        <v>0</v>
      </c>
      <c r="AH790" s="30">
        <v>1114382.73</v>
      </c>
      <c r="AI790" s="30">
        <v>1265154.49</v>
      </c>
      <c r="AJ790" s="30">
        <v>1292029.3899999999</v>
      </c>
      <c r="AK790" s="30">
        <v>1318217.79</v>
      </c>
      <c r="AL790" s="30">
        <v>1335930.6000000001</v>
      </c>
      <c r="AM790" s="30">
        <v>1353480.45</v>
      </c>
      <c r="AN790" s="30">
        <v>1357618.63</v>
      </c>
      <c r="AO790" s="30">
        <v>1363068.73</v>
      </c>
      <c r="AP790" s="30">
        <v>1374316.22</v>
      </c>
      <c r="AQ790" s="30">
        <v>1396649.65</v>
      </c>
      <c r="AR790" s="30">
        <v>1404760.32</v>
      </c>
      <c r="AS790" s="30">
        <v>1415066.32</v>
      </c>
      <c r="AT790" s="30">
        <v>1428887.09</v>
      </c>
      <c r="AU790" s="30">
        <v>1435742.86</v>
      </c>
      <c r="AV790" s="30">
        <v>1457062</v>
      </c>
      <c r="AW790" s="30">
        <v>1468738</v>
      </c>
      <c r="AX790" s="30">
        <v>1500159</v>
      </c>
      <c r="AY790" s="30">
        <v>1522481.91</v>
      </c>
      <c r="AZ790" s="30">
        <v>1532102.84</v>
      </c>
      <c r="BA790" s="30" t="e">
        <f t="array" aca="1" ref="BA790" ca="1">_xludf.XLOOKUP(C790,'PL TOTAL D0'!A:A,'PL TOTAL D0'!C:C,"")</f>
        <v>#NAME?</v>
      </c>
    </row>
    <row r="791" spans="1:53" ht="15.75" customHeight="1">
      <c r="A791" s="23" t="s">
        <v>29</v>
      </c>
      <c r="B791" s="3" t="s">
        <v>2653</v>
      </c>
      <c r="C791" s="4" t="s">
        <v>2654</v>
      </c>
      <c r="D791" s="7" t="s">
        <v>19</v>
      </c>
      <c r="E791" s="7" t="s">
        <v>20</v>
      </c>
      <c r="F791" s="7" t="s">
        <v>21</v>
      </c>
      <c r="G791" s="7" t="e">
        <f t="shared" ca="1" si="34"/>
        <v>#NAME?</v>
      </c>
      <c r="H791" s="24" t="s">
        <v>152</v>
      </c>
      <c r="I791" s="24" t="s">
        <v>25</v>
      </c>
      <c r="J791" s="7" t="str">
        <f t="shared" si="37"/>
        <v>Não</v>
      </c>
      <c r="K791" s="25">
        <v>44973</v>
      </c>
      <c r="L791" s="7"/>
      <c r="M791" s="7" t="s">
        <v>42</v>
      </c>
      <c r="N791" s="26">
        <v>1.2E-2</v>
      </c>
      <c r="O791" s="7" t="s">
        <v>25</v>
      </c>
      <c r="P791" s="27">
        <v>0</v>
      </c>
      <c r="Q791" s="90"/>
      <c r="R791" s="90"/>
      <c r="S791" s="7" t="s">
        <v>145</v>
      </c>
      <c r="T791" s="7" t="s">
        <v>2655</v>
      </c>
      <c r="U791" s="7" t="s">
        <v>20</v>
      </c>
      <c r="V791" s="24" t="e">
        <f t="shared" ca="1" si="35"/>
        <v>#NAME?</v>
      </c>
      <c r="W791" s="7"/>
      <c r="X791" s="7"/>
      <c r="Y791" s="29" t="s">
        <v>147</v>
      </c>
      <c r="Z791" s="30"/>
      <c r="AA791" s="31">
        <v>44973</v>
      </c>
      <c r="AB791" s="32">
        <v>49075100006393</v>
      </c>
      <c r="AC791" s="30"/>
      <c r="AD791" s="30"/>
      <c r="AE791" s="30"/>
      <c r="AF791" s="30">
        <v>300030.53000000003</v>
      </c>
      <c r="AG791" s="30">
        <v>594851.68999999994</v>
      </c>
      <c r="AH791" s="30">
        <v>600854.27</v>
      </c>
      <c r="AI791" s="30">
        <v>605246.44999999995</v>
      </c>
      <c r="AJ791" s="30">
        <v>611790</v>
      </c>
      <c r="AK791" s="30">
        <v>622860.35</v>
      </c>
      <c r="AL791" s="30">
        <v>628230.14</v>
      </c>
      <c r="AM791" s="30">
        <v>604525.29</v>
      </c>
      <c r="AN791" s="30">
        <v>609812.97</v>
      </c>
      <c r="AO791" s="30">
        <v>615699.79</v>
      </c>
      <c r="AP791" s="30">
        <v>620481.31999999995</v>
      </c>
      <c r="AQ791" s="30">
        <v>500838.24</v>
      </c>
      <c r="AR791" s="30">
        <v>504606.41</v>
      </c>
      <c r="AS791" s="30">
        <v>198582.56</v>
      </c>
      <c r="AT791" s="30">
        <v>200155.63</v>
      </c>
      <c r="AU791" s="30">
        <v>201749.15</v>
      </c>
      <c r="AV791" s="30">
        <v>137815</v>
      </c>
      <c r="AW791" s="30">
        <v>138793.5</v>
      </c>
      <c r="AX791" s="30">
        <v>140026.20000000001</v>
      </c>
      <c r="AY791" s="30">
        <v>141246.81</v>
      </c>
      <c r="AZ791" s="30">
        <v>141104.17000000001</v>
      </c>
      <c r="BA791" s="30" t="e">
        <f t="array" aca="1" ref="BA791" ca="1">_xludf.XLOOKUP(C791,'PL TOTAL D0'!A:A,'PL TOTAL D0'!C:C,"")</f>
        <v>#NAME?</v>
      </c>
    </row>
    <row r="792" spans="1:53" ht="15.75" customHeight="1">
      <c r="A792" s="23" t="s">
        <v>29</v>
      </c>
      <c r="B792" s="3" t="s">
        <v>2656</v>
      </c>
      <c r="C792" s="4" t="s">
        <v>2657</v>
      </c>
      <c r="D792" s="7" t="s">
        <v>64</v>
      </c>
      <c r="E792" s="7" t="s">
        <v>20</v>
      </c>
      <c r="F792" s="7" t="s">
        <v>921</v>
      </c>
      <c r="G792" s="7" t="e">
        <f t="shared" ca="1" si="34"/>
        <v>#NAME?</v>
      </c>
      <c r="H792" s="24" t="s">
        <v>143</v>
      </c>
      <c r="I792" s="24" t="s">
        <v>25</v>
      </c>
      <c r="J792" s="7" t="str">
        <f t="shared" si="37"/>
        <v>Não</v>
      </c>
      <c r="K792" s="25">
        <v>45068</v>
      </c>
      <c r="L792" s="25">
        <v>45126</v>
      </c>
      <c r="M792" s="7" t="s">
        <v>42</v>
      </c>
      <c r="N792" s="26">
        <v>1.2E-2</v>
      </c>
      <c r="O792" s="7" t="s">
        <v>25</v>
      </c>
      <c r="P792" s="27">
        <v>0</v>
      </c>
      <c r="Q792" s="45"/>
      <c r="R792" s="28"/>
      <c r="S792" s="7" t="s">
        <v>145</v>
      </c>
      <c r="T792" s="7" t="s">
        <v>2658</v>
      </c>
      <c r="U792" s="7" t="s">
        <v>20</v>
      </c>
      <c r="V792" s="24" t="e">
        <f t="shared" ca="1" si="35"/>
        <v>#NAME?</v>
      </c>
      <c r="W792" s="7"/>
      <c r="X792" s="7"/>
      <c r="Y792" s="29"/>
      <c r="Z792" s="30"/>
      <c r="AA792" s="31">
        <v>45068</v>
      </c>
      <c r="AB792" s="32"/>
      <c r="AC792" s="30"/>
      <c r="AD792" s="30"/>
      <c r="AE792" s="30"/>
      <c r="AF792" s="30"/>
      <c r="AG792" s="30"/>
      <c r="AH792" s="30"/>
      <c r="AI792" s="30">
        <v>0</v>
      </c>
      <c r="AJ792" s="30">
        <v>2455150.2200000002</v>
      </c>
      <c r="AK792" s="30">
        <v>2474330.36</v>
      </c>
      <c r="AL792" s="30">
        <v>0</v>
      </c>
      <c r="AM792" s="30">
        <v>0</v>
      </c>
      <c r="AN792" s="30">
        <v>0</v>
      </c>
      <c r="AO792" s="30">
        <v>0</v>
      </c>
      <c r="AP792" s="30">
        <v>0</v>
      </c>
      <c r="AQ792" s="30">
        <v>0</v>
      </c>
      <c r="AR792" s="30">
        <v>0</v>
      </c>
      <c r="AS792" s="30">
        <v>0</v>
      </c>
      <c r="AT792" s="30">
        <v>0</v>
      </c>
      <c r="AU792" s="30">
        <v>0</v>
      </c>
      <c r="AV792" s="30">
        <v>0</v>
      </c>
      <c r="AW792" s="30">
        <v>0</v>
      </c>
      <c r="AX792" s="30">
        <v>0</v>
      </c>
      <c r="AY792" s="30">
        <v>0</v>
      </c>
      <c r="AZ792" s="30">
        <v>0</v>
      </c>
      <c r="BA792" s="30" t="e">
        <f t="array" aca="1" ref="BA792" ca="1">_xludf.XLOOKUP(C792,'PL TOTAL D0'!A:A,'PL TOTAL D0'!C:C,"")</f>
        <v>#NAME?</v>
      </c>
    </row>
    <row r="793" spans="1:53" ht="15.75" customHeight="1">
      <c r="A793" s="23" t="s">
        <v>29</v>
      </c>
      <c r="B793" s="3" t="s">
        <v>2659</v>
      </c>
      <c r="C793" s="60" t="s">
        <v>2660</v>
      </c>
      <c r="D793" s="7" t="s">
        <v>80</v>
      </c>
      <c r="E793" s="7" t="s">
        <v>49</v>
      </c>
      <c r="F793" s="7" t="s">
        <v>81</v>
      </c>
      <c r="G793" s="7" t="e">
        <f t="shared" ca="1" si="34"/>
        <v>#NAME?</v>
      </c>
      <c r="H793" s="24" t="s">
        <v>152</v>
      </c>
      <c r="I793" s="24" t="s">
        <v>25</v>
      </c>
      <c r="J793" s="7" t="str">
        <f t="shared" si="37"/>
        <v>Não</v>
      </c>
      <c r="K793" s="25">
        <v>45463</v>
      </c>
      <c r="L793" s="25"/>
      <c r="M793" s="7" t="s">
        <v>42</v>
      </c>
      <c r="N793" s="26">
        <v>1.2E-2</v>
      </c>
      <c r="O793" s="7" t="s">
        <v>25</v>
      </c>
      <c r="P793" s="27">
        <v>0</v>
      </c>
      <c r="Q793" s="45"/>
      <c r="R793" s="28"/>
      <c r="S793" s="7" t="s">
        <v>145</v>
      </c>
      <c r="T793" s="7" t="s">
        <v>2661</v>
      </c>
      <c r="U793" s="7" t="s">
        <v>49</v>
      </c>
      <c r="V793" s="24" t="e">
        <f t="shared" ca="1" si="35"/>
        <v>#NAME?</v>
      </c>
      <c r="W793" s="7"/>
      <c r="X793" s="7" t="s">
        <v>91</v>
      </c>
      <c r="Y793" s="29" t="s">
        <v>147</v>
      </c>
      <c r="Z793" s="30"/>
      <c r="AA793" s="31">
        <v>45463</v>
      </c>
      <c r="AB793" s="32">
        <v>49075100015201</v>
      </c>
      <c r="AC793" s="30"/>
      <c r="AD793" s="30"/>
      <c r="AE793" s="30"/>
      <c r="AF793" s="30"/>
      <c r="AG793" s="30"/>
      <c r="AH793" s="30"/>
      <c r="AI793" s="30"/>
      <c r="AJ793" s="30"/>
      <c r="AK793" s="30"/>
      <c r="AL793" s="30"/>
      <c r="AM793" s="30"/>
      <c r="AN793" s="30"/>
      <c r="AO793" s="30"/>
      <c r="AP793" s="30"/>
      <c r="AQ793" s="30"/>
      <c r="AR793" s="30"/>
      <c r="AS793" s="30"/>
      <c r="AT793" s="30"/>
      <c r="AU793" s="30"/>
      <c r="AV793" s="30"/>
      <c r="AW793" s="30">
        <v>422558.4</v>
      </c>
      <c r="AX793" s="30">
        <v>748957.4</v>
      </c>
      <c r="AY793" s="30">
        <v>754509.47</v>
      </c>
      <c r="AZ793" s="30">
        <v>758747.25</v>
      </c>
      <c r="BA793" s="30" t="e">
        <f t="array" aca="1" ref="BA793" ca="1">_xludf.XLOOKUP(C793,'PL TOTAL D0'!A:A,'PL TOTAL D0'!C:C,"")</f>
        <v>#NAME?</v>
      </c>
    </row>
    <row r="794" spans="1:53" ht="15.75" customHeight="1">
      <c r="A794" s="23" t="s">
        <v>29</v>
      </c>
      <c r="B794" s="38" t="s">
        <v>2662</v>
      </c>
      <c r="C794" s="39" t="s">
        <v>2663</v>
      </c>
      <c r="D794" s="7" t="s">
        <v>19</v>
      </c>
      <c r="E794" s="7" t="s">
        <v>20</v>
      </c>
      <c r="F794" s="7" t="s">
        <v>989</v>
      </c>
      <c r="G794" s="7" t="e">
        <f t="shared" ca="1" si="34"/>
        <v>#NAME?</v>
      </c>
      <c r="H794" s="24" t="s">
        <v>161</v>
      </c>
      <c r="I794" s="24" t="s">
        <v>211</v>
      </c>
      <c r="J794" s="7" t="str">
        <f t="shared" si="37"/>
        <v>Não</v>
      </c>
      <c r="K794" s="25">
        <v>45386</v>
      </c>
      <c r="L794" s="25"/>
      <c r="M794" s="7" t="s">
        <v>42</v>
      </c>
      <c r="N794" s="26">
        <v>1.2E-2</v>
      </c>
      <c r="O794" s="7" t="s">
        <v>25</v>
      </c>
      <c r="P794" s="27">
        <v>0</v>
      </c>
      <c r="Q794" s="45"/>
      <c r="R794" s="28"/>
      <c r="S794" s="7" t="s">
        <v>145</v>
      </c>
      <c r="T794" s="7" t="s">
        <v>2664</v>
      </c>
      <c r="U794" s="7" t="s">
        <v>20</v>
      </c>
      <c r="V794" s="24" t="e">
        <f t="shared" ca="1" si="35"/>
        <v>#NAME?</v>
      </c>
      <c r="W794" s="7"/>
      <c r="X794" s="7"/>
      <c r="Y794" s="29" t="s">
        <v>147</v>
      </c>
      <c r="Z794" s="30"/>
      <c r="AA794" s="31">
        <v>45386</v>
      </c>
      <c r="AB794" s="32">
        <v>49075100014191</v>
      </c>
      <c r="AC794" s="30"/>
      <c r="AD794" s="30"/>
      <c r="AE794" s="30"/>
      <c r="AF794" s="30"/>
      <c r="AG794" s="30"/>
      <c r="AH794" s="30"/>
      <c r="AI794" s="30"/>
      <c r="AJ794" s="30"/>
      <c r="AK794" s="30"/>
      <c r="AL794" s="30"/>
      <c r="AM794" s="30"/>
      <c r="AN794" s="30"/>
      <c r="AO794" s="30"/>
      <c r="AP794" s="30"/>
      <c r="AQ794" s="30"/>
      <c r="AR794" s="30"/>
      <c r="AS794" s="30"/>
      <c r="AT794" s="30"/>
      <c r="AU794" s="30">
        <v>64232.480000000003</v>
      </c>
      <c r="AV794" s="30">
        <v>96419.98</v>
      </c>
      <c r="AW794" s="30">
        <v>117083.7</v>
      </c>
      <c r="AX794" s="30">
        <v>150002.4</v>
      </c>
      <c r="AY794" s="30">
        <v>180068.75</v>
      </c>
      <c r="AZ794" s="30">
        <v>181379.22</v>
      </c>
      <c r="BA794" s="30" t="e">
        <f t="array" aca="1" ref="BA794" ca="1">_xludf.XLOOKUP(C794,'PL TOTAL D0'!A:A,'PL TOTAL D0'!C:C,"")</f>
        <v>#NAME?</v>
      </c>
    </row>
    <row r="795" spans="1:53" ht="15.75" customHeight="1">
      <c r="A795" s="23" t="s">
        <v>29</v>
      </c>
      <c r="B795" s="3" t="s">
        <v>2665</v>
      </c>
      <c r="C795" s="4" t="s">
        <v>2666</v>
      </c>
      <c r="D795" s="7" t="s">
        <v>19</v>
      </c>
      <c r="E795" s="7" t="s">
        <v>34</v>
      </c>
      <c r="F795" s="7" t="s">
        <v>616</v>
      </c>
      <c r="G795" s="7" t="e">
        <f t="shared" ca="1" si="34"/>
        <v>#NAME?</v>
      </c>
      <c r="H795" s="24" t="s">
        <v>152</v>
      </c>
      <c r="I795" s="24" t="s">
        <v>25</v>
      </c>
      <c r="J795" s="7" t="str">
        <f t="shared" si="37"/>
        <v>Não</v>
      </c>
      <c r="K795" s="25">
        <v>45126</v>
      </c>
      <c r="L795" s="25"/>
      <c r="M795" s="7" t="s">
        <v>42</v>
      </c>
      <c r="N795" s="26">
        <v>7.0000000000000001E-3</v>
      </c>
      <c r="O795" s="7" t="s">
        <v>25</v>
      </c>
      <c r="P795" s="27">
        <v>0</v>
      </c>
      <c r="Q795" s="90"/>
      <c r="R795" s="90"/>
      <c r="S795" s="7" t="s">
        <v>145</v>
      </c>
      <c r="T795" s="7" t="s">
        <v>2667</v>
      </c>
      <c r="U795" s="7" t="s">
        <v>39</v>
      </c>
      <c r="V795" s="24" t="e">
        <f t="shared" ca="1" si="35"/>
        <v>#NAME?</v>
      </c>
      <c r="W795" s="7"/>
      <c r="X795" s="7"/>
      <c r="Y795" s="29" t="s">
        <v>147</v>
      </c>
      <c r="Z795" s="30"/>
      <c r="AA795" s="31">
        <v>45126</v>
      </c>
      <c r="AB795" s="32">
        <v>49075100008272</v>
      </c>
      <c r="AC795" s="30"/>
      <c r="AD795" s="30"/>
      <c r="AE795" s="30"/>
      <c r="AF795" s="30"/>
      <c r="AG795" s="30"/>
      <c r="AH795" s="30"/>
      <c r="AI795" s="30">
        <v>0</v>
      </c>
      <c r="AJ795" s="30">
        <v>0</v>
      </c>
      <c r="AK795" s="30">
        <v>0</v>
      </c>
      <c r="AL795" s="30">
        <v>86267.59</v>
      </c>
      <c r="AM795" s="30">
        <v>87219.24</v>
      </c>
      <c r="AN795" s="30">
        <v>88005.57</v>
      </c>
      <c r="AO795" s="30">
        <v>88869.13</v>
      </c>
      <c r="AP795" s="30">
        <v>87191.79</v>
      </c>
      <c r="AQ795" s="30">
        <v>87854.91</v>
      </c>
      <c r="AR795" s="30">
        <v>88648.81</v>
      </c>
      <c r="AS795" s="30">
        <v>89326.77</v>
      </c>
      <c r="AT795" s="30">
        <v>89547.54</v>
      </c>
      <c r="AU795" s="30">
        <v>90219.4</v>
      </c>
      <c r="AV795" s="30">
        <v>90937.61</v>
      </c>
      <c r="AW795" s="30">
        <v>91683.75</v>
      </c>
      <c r="AX795" s="30">
        <v>92458.72</v>
      </c>
      <c r="AY795" s="30">
        <v>93234.17</v>
      </c>
      <c r="AZ795" s="30">
        <v>93870.21</v>
      </c>
      <c r="BA795" s="30" t="e">
        <f t="array" aca="1" ref="BA795" ca="1">_xludf.XLOOKUP(C795,'PL TOTAL D0'!A:A,'PL TOTAL D0'!C:C,"")</f>
        <v>#NAME?</v>
      </c>
    </row>
    <row r="796" spans="1:53" ht="15.75" customHeight="1">
      <c r="A796" s="23" t="s">
        <v>29</v>
      </c>
      <c r="B796" s="3" t="s">
        <v>2668</v>
      </c>
      <c r="C796" s="4" t="s">
        <v>2669</v>
      </c>
      <c r="D796" s="7" t="s">
        <v>19</v>
      </c>
      <c r="E796" s="7" t="s">
        <v>20</v>
      </c>
      <c r="F796" s="7" t="s">
        <v>199</v>
      </c>
      <c r="G796" s="7" t="e">
        <f t="shared" ca="1" si="34"/>
        <v>#NAME?</v>
      </c>
      <c r="H796" s="24" t="s">
        <v>152</v>
      </c>
      <c r="I796" s="24" t="s">
        <v>25</v>
      </c>
      <c r="J796" s="7" t="str">
        <f t="shared" si="37"/>
        <v>Não</v>
      </c>
      <c r="K796" s="25">
        <v>44956</v>
      </c>
      <c r="L796" s="7"/>
      <c r="M796" s="7" t="s">
        <v>42</v>
      </c>
      <c r="N796" s="26">
        <v>0.01</v>
      </c>
      <c r="O796" s="7" t="s">
        <v>25</v>
      </c>
      <c r="P796" s="27">
        <v>0</v>
      </c>
      <c r="Q796" s="28"/>
      <c r="R796" s="90"/>
      <c r="S796" s="7" t="s">
        <v>145</v>
      </c>
      <c r="T796" s="7" t="s">
        <v>2670</v>
      </c>
      <c r="U796" s="7" t="s">
        <v>20</v>
      </c>
      <c r="V796" s="24" t="e">
        <f t="shared" ca="1" si="35"/>
        <v>#NAME?</v>
      </c>
      <c r="W796" s="7"/>
      <c r="X796" s="7"/>
      <c r="Y796" s="29" t="s">
        <v>147</v>
      </c>
      <c r="Z796" s="30"/>
      <c r="AA796" s="31">
        <v>44956</v>
      </c>
      <c r="AB796" s="32">
        <v>49075100006407</v>
      </c>
      <c r="AC796" s="30"/>
      <c r="AD796" s="30"/>
      <c r="AE796" s="30"/>
      <c r="AF796" s="30">
        <v>13533.31</v>
      </c>
      <c r="AG796" s="30">
        <v>176868.64</v>
      </c>
      <c r="AH796" s="30">
        <v>178713.53</v>
      </c>
      <c r="AI796" s="30">
        <v>179798.22</v>
      </c>
      <c r="AJ796" s="30">
        <v>181860.56</v>
      </c>
      <c r="AK796" s="30">
        <v>183302.19</v>
      </c>
      <c r="AL796" s="30">
        <v>184796.44</v>
      </c>
      <c r="AM796" s="30">
        <v>186334.77</v>
      </c>
      <c r="AN796" s="30">
        <v>187400.52</v>
      </c>
      <c r="AO796" s="30">
        <v>189010.76</v>
      </c>
      <c r="AP796" s="30">
        <v>190356.42</v>
      </c>
      <c r="AQ796" s="30">
        <v>191855.37</v>
      </c>
      <c r="AR796" s="30">
        <v>191282.94</v>
      </c>
      <c r="AS796" s="30">
        <v>192558.17</v>
      </c>
      <c r="AT796" s="30">
        <v>193588.35</v>
      </c>
      <c r="AU796" s="30">
        <v>301647.38</v>
      </c>
      <c r="AV796" s="30">
        <v>303817.7</v>
      </c>
      <c r="AW796" s="30">
        <v>285855.8</v>
      </c>
      <c r="AX796" s="30">
        <v>283108.5</v>
      </c>
      <c r="AY796" s="30">
        <v>285165.21999999997</v>
      </c>
      <c r="AZ796" s="30">
        <v>287003.26</v>
      </c>
      <c r="BA796" s="30" t="e">
        <f t="array" aca="1" ref="BA796" ca="1">_xludf.XLOOKUP(C796,'PL TOTAL D0'!A:A,'PL TOTAL D0'!C:C,"")</f>
        <v>#NAME?</v>
      </c>
    </row>
    <row r="797" spans="1:53" ht="15.75" customHeight="1">
      <c r="A797" s="23" t="s">
        <v>29</v>
      </c>
      <c r="B797" s="23" t="s">
        <v>2671</v>
      </c>
      <c r="C797" s="44" t="s">
        <v>2672</v>
      </c>
      <c r="D797" s="7" t="s">
        <v>19</v>
      </c>
      <c r="E797" s="7" t="s">
        <v>20</v>
      </c>
      <c r="F797" s="7" t="s">
        <v>199</v>
      </c>
      <c r="G797" s="7" t="e">
        <f t="shared" ca="1" si="34"/>
        <v>#NAME?</v>
      </c>
      <c r="H797" s="24" t="s">
        <v>152</v>
      </c>
      <c r="I797" s="24" t="s">
        <v>25</v>
      </c>
      <c r="J797" s="7" t="str">
        <f t="shared" si="37"/>
        <v>Não</v>
      </c>
      <c r="K797" s="25">
        <v>45371</v>
      </c>
      <c r="L797" s="25"/>
      <c r="M797" s="7" t="s">
        <v>42</v>
      </c>
      <c r="N797" s="26">
        <v>8.0000000000000002E-3</v>
      </c>
      <c r="O797" s="7" t="s">
        <v>25</v>
      </c>
      <c r="P797" s="27">
        <v>0</v>
      </c>
      <c r="Q797" s="90"/>
      <c r="R797" s="90"/>
      <c r="S797" s="7" t="s">
        <v>145</v>
      </c>
      <c r="T797" s="12" t="s">
        <v>2673</v>
      </c>
      <c r="U797" s="7" t="s">
        <v>20</v>
      </c>
      <c r="V797" s="24" t="e">
        <f t="shared" ca="1" si="35"/>
        <v>#NAME?</v>
      </c>
      <c r="W797" s="7"/>
      <c r="X797" s="7"/>
      <c r="Y797" s="29" t="s">
        <v>147</v>
      </c>
      <c r="Z797" s="30"/>
      <c r="AA797" s="31">
        <v>45371</v>
      </c>
      <c r="AB797" s="32">
        <v>49075100013901</v>
      </c>
      <c r="AC797" s="30"/>
      <c r="AD797" s="30"/>
      <c r="AE797" s="30"/>
      <c r="AF797" s="30"/>
      <c r="AG797" s="30"/>
      <c r="AH797" s="30"/>
      <c r="AI797" s="30"/>
      <c r="AJ797" s="30"/>
      <c r="AK797" s="30"/>
      <c r="AL797" s="30"/>
      <c r="AM797" s="30"/>
      <c r="AN797" s="30"/>
      <c r="AO797" s="30"/>
      <c r="AP797" s="30"/>
      <c r="AQ797" s="30"/>
      <c r="AR797" s="30"/>
      <c r="AS797" s="30"/>
      <c r="AT797" s="30">
        <v>0</v>
      </c>
      <c r="AU797" s="30">
        <v>0</v>
      </c>
      <c r="AV797" s="30">
        <v>29905.52</v>
      </c>
      <c r="AW797" s="30">
        <v>34100.730000000003</v>
      </c>
      <c r="AX797" s="30">
        <v>92983.26</v>
      </c>
      <c r="AY797" s="30">
        <v>481273.86</v>
      </c>
      <c r="AZ797" s="30">
        <v>486378.08</v>
      </c>
      <c r="BA797" s="30" t="e">
        <f t="array" aca="1" ref="BA797" ca="1">_xludf.XLOOKUP(C797,'PL TOTAL D0'!A:A,'PL TOTAL D0'!C:C,"")</f>
        <v>#NAME?</v>
      </c>
    </row>
    <row r="798" spans="1:53" ht="15.75" customHeight="1">
      <c r="A798" s="23" t="s">
        <v>29</v>
      </c>
      <c r="B798" s="3" t="s">
        <v>2674</v>
      </c>
      <c r="C798" s="4" t="s">
        <v>2675</v>
      </c>
      <c r="D798" s="7" t="s">
        <v>19</v>
      </c>
      <c r="E798" s="7" t="s">
        <v>20</v>
      </c>
      <c r="F798" s="7" t="s">
        <v>199</v>
      </c>
      <c r="G798" s="7" t="e">
        <f t="shared" ca="1" si="34"/>
        <v>#NAME?</v>
      </c>
      <c r="H798" s="24" t="s">
        <v>152</v>
      </c>
      <c r="I798" s="24" t="s">
        <v>25</v>
      </c>
      <c r="J798" s="7" t="str">
        <f t="shared" si="37"/>
        <v>Não</v>
      </c>
      <c r="K798" s="25">
        <v>45058</v>
      </c>
      <c r="L798" s="7"/>
      <c r="M798" s="7" t="s">
        <v>42</v>
      </c>
      <c r="N798" s="26">
        <v>1.2E-2</v>
      </c>
      <c r="O798" s="7" t="s">
        <v>25</v>
      </c>
      <c r="P798" s="27">
        <v>0</v>
      </c>
      <c r="Q798" s="90"/>
      <c r="R798" s="90"/>
      <c r="S798" s="7" t="s">
        <v>145</v>
      </c>
      <c r="T798" s="7" t="s">
        <v>2676</v>
      </c>
      <c r="U798" s="7" t="s">
        <v>20</v>
      </c>
      <c r="V798" s="24" t="e">
        <f t="shared" ca="1" si="35"/>
        <v>#NAME?</v>
      </c>
      <c r="W798" s="7"/>
      <c r="X798" s="7"/>
      <c r="Y798" s="29" t="s">
        <v>147</v>
      </c>
      <c r="Z798" s="30"/>
      <c r="AA798" s="31">
        <v>45058</v>
      </c>
      <c r="AB798" s="32">
        <v>49075100008973</v>
      </c>
      <c r="AC798" s="30"/>
      <c r="AD798" s="30"/>
      <c r="AE798" s="30"/>
      <c r="AF798" s="30"/>
      <c r="AG798" s="30"/>
      <c r="AH798" s="30"/>
      <c r="AI798" s="30">
        <v>0</v>
      </c>
      <c r="AJ798" s="30">
        <v>6409.45</v>
      </c>
      <c r="AK798" s="30">
        <v>6480.83</v>
      </c>
      <c r="AL798" s="30">
        <v>6541.24</v>
      </c>
      <c r="AM798" s="30">
        <v>6607.98</v>
      </c>
      <c r="AN798" s="30">
        <v>6628.61</v>
      </c>
      <c r="AO798" s="30">
        <v>6665.81</v>
      </c>
      <c r="AP798" s="30">
        <v>6712.71</v>
      </c>
      <c r="AQ798" s="30">
        <v>6764.48</v>
      </c>
      <c r="AR798" s="30">
        <v>6759.52</v>
      </c>
      <c r="AS798" s="30">
        <v>6808.05</v>
      </c>
      <c r="AT798" s="30">
        <v>6859.37</v>
      </c>
      <c r="AU798" s="30">
        <v>6911.44</v>
      </c>
      <c r="AV798" s="30">
        <v>6940.4</v>
      </c>
      <c r="AW798" s="30">
        <v>6988.19</v>
      </c>
      <c r="AX798" s="30">
        <v>7043.03</v>
      </c>
      <c r="AY798" s="30">
        <v>7094.1</v>
      </c>
      <c r="AZ798" s="30">
        <v>7141.16</v>
      </c>
      <c r="BA798" s="30" t="e">
        <f t="array" aca="1" ref="BA798" ca="1">_xludf.XLOOKUP(C798,'PL TOTAL D0'!A:A,'PL TOTAL D0'!C:C,"")</f>
        <v>#NAME?</v>
      </c>
    </row>
    <row r="799" spans="1:53" ht="15.75" customHeight="1">
      <c r="A799" s="23" t="s">
        <v>29</v>
      </c>
      <c r="B799" s="38" t="s">
        <v>2677</v>
      </c>
      <c r="C799" s="39" t="s">
        <v>2678</v>
      </c>
      <c r="D799" s="7" t="s">
        <v>19</v>
      </c>
      <c r="E799" s="7" t="s">
        <v>20</v>
      </c>
      <c r="F799" s="7" t="s">
        <v>989</v>
      </c>
      <c r="G799" s="7" t="e">
        <f t="shared" ca="1" si="34"/>
        <v>#NAME?</v>
      </c>
      <c r="H799" s="24" t="s">
        <v>152</v>
      </c>
      <c r="I799" s="24" t="s">
        <v>25</v>
      </c>
      <c r="J799" s="7" t="str">
        <f t="shared" si="37"/>
        <v>Não</v>
      </c>
      <c r="K799" s="25">
        <v>45401</v>
      </c>
      <c r="L799" s="7"/>
      <c r="M799" s="7" t="s">
        <v>42</v>
      </c>
      <c r="N799" s="26">
        <v>1.2E-2</v>
      </c>
      <c r="O799" s="7" t="s">
        <v>25</v>
      </c>
      <c r="P799" s="27">
        <v>0</v>
      </c>
      <c r="Q799" s="90"/>
      <c r="R799" s="90"/>
      <c r="S799" s="7" t="s">
        <v>145</v>
      </c>
      <c r="T799" s="12" t="s">
        <v>2679</v>
      </c>
      <c r="U799" s="7" t="s">
        <v>20</v>
      </c>
      <c r="V799" s="24" t="e">
        <f t="shared" ca="1" si="35"/>
        <v>#NAME?</v>
      </c>
      <c r="W799" s="7"/>
      <c r="X799" s="7" t="s">
        <v>52</v>
      </c>
      <c r="Y799" s="29" t="s">
        <v>147</v>
      </c>
      <c r="Z799" s="30"/>
      <c r="AA799" s="31">
        <v>45401</v>
      </c>
      <c r="AB799" s="32">
        <v>49075100014205</v>
      </c>
      <c r="AC799" s="30"/>
      <c r="AD799" s="30"/>
      <c r="AE799" s="30"/>
      <c r="AF799" s="30"/>
      <c r="AG799" s="30"/>
      <c r="AH799" s="30"/>
      <c r="AI799" s="30"/>
      <c r="AJ799" s="30"/>
      <c r="AK799" s="30"/>
      <c r="AL799" s="30"/>
      <c r="AM799" s="30"/>
      <c r="AN799" s="30"/>
      <c r="AO799" s="30"/>
      <c r="AP799" s="30"/>
      <c r="AQ799" s="30"/>
      <c r="AR799" s="30"/>
      <c r="AS799" s="30"/>
      <c r="AT799" s="30"/>
      <c r="AU799" s="30">
        <v>397692.95</v>
      </c>
      <c r="AV799" s="30">
        <v>441131.7</v>
      </c>
      <c r="AW799" s="30">
        <v>455070.1</v>
      </c>
      <c r="AX799" s="30">
        <v>439482.9</v>
      </c>
      <c r="AY799" s="30">
        <v>0</v>
      </c>
      <c r="AZ799" s="30">
        <v>0</v>
      </c>
      <c r="BA799" s="30" t="e">
        <f t="array" aca="1" ref="BA799" ca="1">_xludf.XLOOKUP(C799,'PL TOTAL D0'!A:A,'PL TOTAL D0'!C:C,"")</f>
        <v>#NAME?</v>
      </c>
    </row>
    <row r="800" spans="1:53" ht="15.75" customHeight="1">
      <c r="A800" s="23" t="s">
        <v>29</v>
      </c>
      <c r="B800" s="38" t="s">
        <v>2680</v>
      </c>
      <c r="C800" s="39" t="s">
        <v>2681</v>
      </c>
      <c r="D800" s="7" t="s">
        <v>19</v>
      </c>
      <c r="E800" s="7" t="s">
        <v>49</v>
      </c>
      <c r="F800" s="7" t="s">
        <v>166</v>
      </c>
      <c r="G800" s="7" t="e">
        <f t="shared" ca="1" si="34"/>
        <v>#NAME?</v>
      </c>
      <c r="H800" s="24" t="s">
        <v>152</v>
      </c>
      <c r="I800" s="24" t="s">
        <v>25</v>
      </c>
      <c r="J800" s="7" t="str">
        <f t="shared" si="37"/>
        <v>Sim</v>
      </c>
      <c r="K800" s="25">
        <v>45548</v>
      </c>
      <c r="L800" s="7"/>
      <c r="M800" s="7" t="s">
        <v>42</v>
      </c>
      <c r="N800" s="26">
        <v>1.2E-2</v>
      </c>
      <c r="O800" s="7" t="s">
        <v>25</v>
      </c>
      <c r="P800" s="27">
        <v>0</v>
      </c>
      <c r="Q800" s="28" t="s">
        <v>2682</v>
      </c>
      <c r="R800" s="90"/>
      <c r="S800" s="7" t="s">
        <v>145</v>
      </c>
      <c r="T800" s="12" t="s">
        <v>2683</v>
      </c>
      <c r="U800" s="7" t="s">
        <v>49</v>
      </c>
      <c r="V800" s="24" t="e">
        <f t="shared" ca="1" si="35"/>
        <v>#NAME?</v>
      </c>
      <c r="W800" s="7"/>
      <c r="X800" s="7" t="s">
        <v>91</v>
      </c>
      <c r="Y800" s="29"/>
      <c r="Z800" s="30"/>
      <c r="AA800" s="30"/>
      <c r="AB800" s="32"/>
      <c r="AC800" s="30"/>
      <c r="AD800" s="30"/>
      <c r="AE800" s="30"/>
      <c r="AF800" s="30"/>
      <c r="AG800" s="30"/>
      <c r="AH800" s="30"/>
      <c r="AI800" s="30"/>
      <c r="AJ800" s="30"/>
      <c r="AK800" s="30"/>
      <c r="AL800" s="30"/>
      <c r="AM800" s="30"/>
      <c r="AN800" s="30"/>
      <c r="AO800" s="30"/>
      <c r="AP800" s="30"/>
      <c r="AQ800" s="30"/>
      <c r="AR800" s="30"/>
      <c r="AS800" s="30"/>
      <c r="AT800" s="30"/>
      <c r="AU800" s="30"/>
      <c r="AV800" s="30"/>
      <c r="AW800" s="30"/>
      <c r="AX800" s="30"/>
      <c r="AY800" s="30"/>
      <c r="AZ800" s="30">
        <v>37116.94</v>
      </c>
      <c r="BA800" s="30" t="e">
        <f t="array" aca="1" ref="BA800" ca="1">_xludf.XLOOKUP(C800,'PL TOTAL D0'!A:A,'PL TOTAL D0'!C:C,"")</f>
        <v>#NAME?</v>
      </c>
    </row>
    <row r="801" spans="1:53" ht="15.75" customHeight="1">
      <c r="A801" s="23" t="s">
        <v>29</v>
      </c>
      <c r="B801" s="3" t="s">
        <v>2684</v>
      </c>
      <c r="C801" s="4" t="s">
        <v>2685</v>
      </c>
      <c r="D801" s="7" t="s">
        <v>64</v>
      </c>
      <c r="E801" s="7" t="s">
        <v>20</v>
      </c>
      <c r="F801" s="7" t="s">
        <v>273</v>
      </c>
      <c r="G801" s="7" t="e">
        <f t="shared" ca="1" si="34"/>
        <v>#NAME?</v>
      </c>
      <c r="H801" s="24" t="s">
        <v>143</v>
      </c>
      <c r="I801" s="24" t="s">
        <v>25</v>
      </c>
      <c r="J801" s="7" t="str">
        <f t="shared" si="37"/>
        <v>Não</v>
      </c>
      <c r="K801" s="25">
        <v>44959</v>
      </c>
      <c r="L801" s="25">
        <v>45021</v>
      </c>
      <c r="M801" s="7" t="s">
        <v>42</v>
      </c>
      <c r="N801" s="26">
        <v>1.2E-2</v>
      </c>
      <c r="O801" s="7" t="s">
        <v>25</v>
      </c>
      <c r="P801" s="27">
        <v>0</v>
      </c>
      <c r="Q801" s="45"/>
      <c r="R801" s="28"/>
      <c r="S801" s="7" t="s">
        <v>145</v>
      </c>
      <c r="T801" s="7" t="s">
        <v>2686</v>
      </c>
      <c r="U801" s="7" t="s">
        <v>20</v>
      </c>
      <c r="V801" s="24" t="e">
        <f t="shared" ca="1" si="35"/>
        <v>#NAME?</v>
      </c>
      <c r="W801" s="7"/>
      <c r="X801" s="7"/>
      <c r="Y801" s="29"/>
      <c r="Z801" s="30"/>
      <c r="AA801" s="31">
        <v>44959</v>
      </c>
      <c r="AB801" s="32"/>
      <c r="AC801" s="30"/>
      <c r="AD801" s="30"/>
      <c r="AE801" s="30"/>
      <c r="AF801" s="30">
        <v>50156.35</v>
      </c>
      <c r="AG801" s="30">
        <v>90779.199999999997</v>
      </c>
      <c r="AH801" s="30">
        <v>91750.46</v>
      </c>
      <c r="AI801" s="30">
        <v>0</v>
      </c>
      <c r="AJ801" s="30">
        <v>0</v>
      </c>
      <c r="AK801" s="30">
        <v>0</v>
      </c>
      <c r="AL801" s="30">
        <v>0</v>
      </c>
      <c r="AM801" s="30">
        <v>0</v>
      </c>
      <c r="AN801" s="30">
        <v>0</v>
      </c>
      <c r="AO801" s="30">
        <v>0</v>
      </c>
      <c r="AP801" s="30">
        <v>0</v>
      </c>
      <c r="AQ801" s="30">
        <v>0</v>
      </c>
      <c r="AR801" s="30">
        <v>0</v>
      </c>
      <c r="AS801" s="30">
        <v>0</v>
      </c>
      <c r="AT801" s="30">
        <v>0</v>
      </c>
      <c r="AU801" s="30">
        <v>0</v>
      </c>
      <c r="AV801" s="30">
        <v>0</v>
      </c>
      <c r="AW801" s="30">
        <v>0</v>
      </c>
      <c r="AX801" s="30">
        <v>0</v>
      </c>
      <c r="AY801" s="30">
        <v>0</v>
      </c>
      <c r="AZ801" s="30">
        <v>0</v>
      </c>
      <c r="BA801" s="30" t="e">
        <f t="array" aca="1" ref="BA801" ca="1">_xludf.XLOOKUP(C801,'PL TOTAL D0'!A:A,'PL TOTAL D0'!C:C,"")</f>
        <v>#NAME?</v>
      </c>
    </row>
    <row r="802" spans="1:53" ht="15.75" customHeight="1">
      <c r="A802" s="23" t="s">
        <v>29</v>
      </c>
      <c r="B802" s="3" t="s">
        <v>2687</v>
      </c>
      <c r="C802" s="4" t="s">
        <v>2688</v>
      </c>
      <c r="D802" s="7" t="s">
        <v>19</v>
      </c>
      <c r="E802" s="7" t="s">
        <v>20</v>
      </c>
      <c r="F802" s="7" t="s">
        <v>210</v>
      </c>
      <c r="G802" s="7" t="e">
        <f t="shared" ca="1" si="34"/>
        <v>#NAME?</v>
      </c>
      <c r="H802" s="24" t="s">
        <v>161</v>
      </c>
      <c r="I802" s="24" t="s">
        <v>211</v>
      </c>
      <c r="J802" s="7" t="str">
        <f t="shared" si="37"/>
        <v>Não</v>
      </c>
      <c r="K802" s="25">
        <v>45490</v>
      </c>
      <c r="L802" s="25"/>
      <c r="M802" s="7" t="s">
        <v>58</v>
      </c>
      <c r="N802" s="26">
        <v>1.2E-2</v>
      </c>
      <c r="O802" s="7" t="s">
        <v>37</v>
      </c>
      <c r="P802" s="27">
        <v>0.1</v>
      </c>
      <c r="Q802" s="45"/>
      <c r="R802" s="28"/>
      <c r="S802" s="7" t="s">
        <v>145</v>
      </c>
      <c r="T802" s="7" t="s">
        <v>2689</v>
      </c>
      <c r="U802" s="7" t="s">
        <v>20</v>
      </c>
      <c r="V802" s="24" t="e">
        <f t="shared" ca="1" si="35"/>
        <v>#NAME?</v>
      </c>
      <c r="W802" s="7"/>
      <c r="X802" s="7" t="s">
        <v>91</v>
      </c>
      <c r="Y802" s="29" t="s">
        <v>147</v>
      </c>
      <c r="Z802" s="30"/>
      <c r="AA802" s="31">
        <v>45490</v>
      </c>
      <c r="AB802" s="32">
        <v>49075100015392</v>
      </c>
      <c r="AC802" s="30"/>
      <c r="AD802" s="30"/>
      <c r="AE802" s="30"/>
      <c r="AF802" s="30"/>
      <c r="AG802" s="30"/>
      <c r="AH802" s="30"/>
      <c r="AI802" s="30"/>
      <c r="AJ802" s="30"/>
      <c r="AK802" s="30"/>
      <c r="AL802" s="30"/>
      <c r="AM802" s="30"/>
      <c r="AN802" s="30"/>
      <c r="AO802" s="30"/>
      <c r="AP802" s="30"/>
      <c r="AQ802" s="30"/>
      <c r="AR802" s="30"/>
      <c r="AS802" s="30"/>
      <c r="AT802" s="30"/>
      <c r="AU802" s="30"/>
      <c r="AV802" s="30"/>
      <c r="AW802" s="30"/>
      <c r="AX802" s="30">
        <v>464673.6</v>
      </c>
      <c r="AY802" s="30">
        <v>719743.28</v>
      </c>
      <c r="AZ802" s="30">
        <v>724878.46</v>
      </c>
      <c r="BA802" s="30" t="e">
        <f t="array" aca="1" ref="BA802" ca="1">_xludf.XLOOKUP(C802,'PL TOTAL D0'!A:A,'PL TOTAL D0'!C:C,"")</f>
        <v>#NAME?</v>
      </c>
    </row>
    <row r="803" spans="1:53" ht="15.75" customHeight="1">
      <c r="A803" s="23" t="s">
        <v>29</v>
      </c>
      <c r="B803" s="3" t="s">
        <v>2690</v>
      </c>
      <c r="C803" s="4" t="s">
        <v>2691</v>
      </c>
      <c r="D803" s="7" t="s">
        <v>19</v>
      </c>
      <c r="E803" s="7" t="s">
        <v>49</v>
      </c>
      <c r="F803" s="7" t="s">
        <v>166</v>
      </c>
      <c r="G803" s="7" t="e">
        <f t="shared" ca="1" si="34"/>
        <v>#NAME?</v>
      </c>
      <c r="H803" s="24" t="s">
        <v>152</v>
      </c>
      <c r="I803" s="24" t="s">
        <v>25</v>
      </c>
      <c r="J803" s="7" t="str">
        <f t="shared" si="37"/>
        <v>Não</v>
      </c>
      <c r="K803" s="25">
        <v>44895</v>
      </c>
      <c r="L803" s="7"/>
      <c r="M803" s="7" t="s">
        <v>42</v>
      </c>
      <c r="N803" s="26">
        <v>0.01</v>
      </c>
      <c r="O803" s="7" t="s">
        <v>25</v>
      </c>
      <c r="P803" s="27">
        <v>0</v>
      </c>
      <c r="Q803" s="90"/>
      <c r="R803" s="90"/>
      <c r="S803" s="7" t="s">
        <v>145</v>
      </c>
      <c r="T803" s="7" t="s">
        <v>2692</v>
      </c>
      <c r="U803" s="7" t="s">
        <v>49</v>
      </c>
      <c r="V803" s="24" t="e">
        <f t="shared" ca="1" si="35"/>
        <v>#NAME?</v>
      </c>
      <c r="W803" s="7"/>
      <c r="X803" s="7"/>
      <c r="Y803" s="29" t="s">
        <v>253</v>
      </c>
      <c r="Z803" s="30"/>
      <c r="AA803" s="31">
        <v>44895</v>
      </c>
      <c r="AB803" s="32">
        <v>49075100006423</v>
      </c>
      <c r="AC803" s="30"/>
      <c r="AD803" s="30"/>
      <c r="AE803" s="30">
        <v>101023.51</v>
      </c>
      <c r="AF803" s="30">
        <v>117061.16</v>
      </c>
      <c r="AG803" s="30">
        <v>118025.41</v>
      </c>
      <c r="AH803" s="30">
        <v>119332.76</v>
      </c>
      <c r="AI803" s="30">
        <v>120271.08</v>
      </c>
      <c r="AJ803" s="30">
        <v>121542.65</v>
      </c>
      <c r="AK803" s="30">
        <v>122676.85</v>
      </c>
      <c r="AL803" s="30">
        <v>123793.05</v>
      </c>
      <c r="AM803" s="30">
        <v>125031.02</v>
      </c>
      <c r="AN803" s="30">
        <v>126098.17</v>
      </c>
      <c r="AO803" s="30">
        <v>127288</v>
      </c>
      <c r="AP803" s="30">
        <v>138228.18</v>
      </c>
      <c r="AQ803" s="30">
        <v>139092.64000000001</v>
      </c>
      <c r="AR803" s="30">
        <v>149727.91</v>
      </c>
      <c r="AS803" s="30">
        <v>150850.99</v>
      </c>
      <c r="AT803" s="30">
        <v>152100.88</v>
      </c>
      <c r="AU803" s="30">
        <v>153294.17000000001</v>
      </c>
      <c r="AV803" s="30">
        <v>154447.70000000001</v>
      </c>
      <c r="AW803" s="30">
        <v>124094</v>
      </c>
      <c r="AX803" s="30">
        <v>124712</v>
      </c>
      <c r="AY803" s="30">
        <v>125761.59</v>
      </c>
      <c r="AZ803" s="30">
        <v>126650.75</v>
      </c>
      <c r="BA803" s="30" t="e">
        <f t="array" aca="1" ref="BA803" ca="1">_xludf.XLOOKUP(C803,'PL TOTAL D0'!A:A,'PL TOTAL D0'!C:C,"")</f>
        <v>#NAME?</v>
      </c>
    </row>
    <row r="804" spans="1:53" ht="15.75" customHeight="1">
      <c r="A804" s="23" t="s">
        <v>29</v>
      </c>
      <c r="B804" s="140" t="s">
        <v>2693</v>
      </c>
      <c r="C804" s="141" t="s">
        <v>2694</v>
      </c>
      <c r="D804" s="7" t="s">
        <v>19</v>
      </c>
      <c r="E804" s="7" t="s">
        <v>49</v>
      </c>
      <c r="F804" s="7" t="s">
        <v>166</v>
      </c>
      <c r="G804" s="7" t="e">
        <f t="shared" ca="1" si="34"/>
        <v>#NAME?</v>
      </c>
      <c r="H804" s="24" t="s">
        <v>161</v>
      </c>
      <c r="I804" s="24" t="s">
        <v>222</v>
      </c>
      <c r="J804" s="7" t="str">
        <f t="shared" si="37"/>
        <v>Não</v>
      </c>
      <c r="K804" s="25">
        <v>45163</v>
      </c>
      <c r="L804" s="25"/>
      <c r="M804" s="7" t="s">
        <v>42</v>
      </c>
      <c r="N804" s="26">
        <v>1.2E-2</v>
      </c>
      <c r="O804" s="7" t="s">
        <v>25</v>
      </c>
      <c r="P804" s="27">
        <v>0</v>
      </c>
      <c r="Q804" s="90"/>
      <c r="R804" s="90"/>
      <c r="S804" s="7" t="s">
        <v>145</v>
      </c>
      <c r="T804" s="7" t="s">
        <v>2695</v>
      </c>
      <c r="U804" s="7" t="s">
        <v>49</v>
      </c>
      <c r="V804" s="24" t="e">
        <f t="shared" ca="1" si="35"/>
        <v>#NAME?</v>
      </c>
      <c r="W804" s="7"/>
      <c r="X804" s="7"/>
      <c r="Y804" s="29" t="s">
        <v>147</v>
      </c>
      <c r="Z804" s="30"/>
      <c r="AA804" s="31">
        <v>45163</v>
      </c>
      <c r="AB804" s="32">
        <v>49075100007748</v>
      </c>
      <c r="AC804" s="30"/>
      <c r="AD804" s="30"/>
      <c r="AE804" s="30"/>
      <c r="AF804" s="30"/>
      <c r="AG804" s="30"/>
      <c r="AH804" s="30"/>
      <c r="AI804" s="30">
        <v>0</v>
      </c>
      <c r="AJ804" s="30">
        <v>0</v>
      </c>
      <c r="AK804" s="30">
        <v>0</v>
      </c>
      <c r="AL804" s="30">
        <v>0</v>
      </c>
      <c r="AM804" s="30">
        <v>0</v>
      </c>
      <c r="AN804" s="30">
        <v>0</v>
      </c>
      <c r="AO804" s="30">
        <v>0</v>
      </c>
      <c r="AP804" s="30">
        <v>0</v>
      </c>
      <c r="AQ804" s="30">
        <v>0</v>
      </c>
      <c r="AR804" s="30">
        <v>0</v>
      </c>
      <c r="AS804" s="30">
        <v>0</v>
      </c>
      <c r="AT804" s="30">
        <v>0</v>
      </c>
      <c r="AU804" s="30">
        <v>0</v>
      </c>
      <c r="AV804" s="30">
        <v>0</v>
      </c>
      <c r="AW804" s="30">
        <v>0</v>
      </c>
      <c r="AX804" s="30">
        <v>0</v>
      </c>
      <c r="AY804" s="30">
        <v>0</v>
      </c>
      <c r="AZ804" s="30">
        <v>0</v>
      </c>
      <c r="BA804" s="30" t="e">
        <f t="array" aca="1" ref="BA804" ca="1">_xludf.XLOOKUP(C804,'PL TOTAL D0'!A:A,'PL TOTAL D0'!C:C,"")</f>
        <v>#NAME?</v>
      </c>
    </row>
    <row r="805" spans="1:53" ht="15.75" customHeight="1">
      <c r="A805" s="23" t="s">
        <v>29</v>
      </c>
      <c r="B805" s="3" t="s">
        <v>2696</v>
      </c>
      <c r="C805" s="4" t="s">
        <v>2697</v>
      </c>
      <c r="D805" s="7" t="s">
        <v>19</v>
      </c>
      <c r="E805" s="7" t="s">
        <v>20</v>
      </c>
      <c r="F805" s="7" t="s">
        <v>21</v>
      </c>
      <c r="G805" s="7" t="e">
        <f t="shared" ca="1" si="34"/>
        <v>#NAME?</v>
      </c>
      <c r="H805" s="24" t="s">
        <v>152</v>
      </c>
      <c r="I805" s="24" t="s">
        <v>25</v>
      </c>
      <c r="J805" s="7" t="str">
        <f t="shared" si="37"/>
        <v>Não</v>
      </c>
      <c r="K805" s="25">
        <v>44986</v>
      </c>
      <c r="L805" s="7"/>
      <c r="M805" s="7" t="s">
        <v>42</v>
      </c>
      <c r="N805" s="26">
        <v>1.2E-2</v>
      </c>
      <c r="O805" s="7" t="s">
        <v>25</v>
      </c>
      <c r="P805" s="27">
        <v>0</v>
      </c>
      <c r="Q805" s="90"/>
      <c r="R805" s="90"/>
      <c r="S805" s="7" t="s">
        <v>145</v>
      </c>
      <c r="T805" s="7" t="s">
        <v>2698</v>
      </c>
      <c r="U805" s="7" t="s">
        <v>49</v>
      </c>
      <c r="V805" s="24" t="e">
        <f t="shared" ca="1" si="35"/>
        <v>#NAME?</v>
      </c>
      <c r="W805" s="7"/>
      <c r="X805" s="7"/>
      <c r="Y805" s="29" t="s">
        <v>147</v>
      </c>
      <c r="Z805" s="30"/>
      <c r="AA805" s="31">
        <v>44986</v>
      </c>
      <c r="AB805" s="32">
        <v>49075100009384</v>
      </c>
      <c r="AC805" s="30"/>
      <c r="AD805" s="30"/>
      <c r="AE805" s="30"/>
      <c r="AF805" s="30"/>
      <c r="AG805" s="30">
        <v>0</v>
      </c>
      <c r="AH805" s="30">
        <v>141660.29999999999</v>
      </c>
      <c r="AI805" s="30">
        <v>149651.12</v>
      </c>
      <c r="AJ805" s="30">
        <v>151242.98000000001</v>
      </c>
      <c r="AK805" s="30">
        <v>152615.25</v>
      </c>
      <c r="AL805" s="30">
        <v>154003.32</v>
      </c>
      <c r="AM805" s="30">
        <v>155535.53</v>
      </c>
      <c r="AN805" s="30">
        <v>156942.1</v>
      </c>
      <c r="AO805" s="30">
        <v>158432.57999999999</v>
      </c>
      <c r="AP805" s="30">
        <v>159543.84</v>
      </c>
      <c r="AQ805" s="30">
        <v>160836.32999999999</v>
      </c>
      <c r="AR805" s="30">
        <v>162179.09</v>
      </c>
      <c r="AS805" s="30">
        <v>163215.79999999999</v>
      </c>
      <c r="AT805" s="30">
        <v>164501.49</v>
      </c>
      <c r="AU805" s="30">
        <v>165735.37</v>
      </c>
      <c r="AV805" s="30">
        <v>166825.20000000001</v>
      </c>
      <c r="AW805" s="30">
        <v>167971.9</v>
      </c>
      <c r="AX805" s="30">
        <v>168839.5</v>
      </c>
      <c r="AY805" s="30">
        <v>170206.63</v>
      </c>
      <c r="AZ805" s="30">
        <v>171024.7</v>
      </c>
      <c r="BA805" s="30" t="e">
        <f t="array" aca="1" ref="BA805" ca="1">_xludf.XLOOKUP(C805,'PL TOTAL D0'!A:A,'PL TOTAL D0'!C:C,"")</f>
        <v>#NAME?</v>
      </c>
    </row>
    <row r="806" spans="1:53" ht="15.75" customHeight="1">
      <c r="A806" s="23" t="s">
        <v>29</v>
      </c>
      <c r="B806" s="3" t="s">
        <v>142</v>
      </c>
      <c r="C806" s="4" t="s">
        <v>2699</v>
      </c>
      <c r="D806" s="7" t="s">
        <v>64</v>
      </c>
      <c r="E806" s="7" t="s">
        <v>20</v>
      </c>
      <c r="F806" s="7" t="s">
        <v>142</v>
      </c>
      <c r="G806" s="7" t="e">
        <f t="shared" ca="1" si="34"/>
        <v>#NAME?</v>
      </c>
      <c r="H806" s="24" t="s">
        <v>143</v>
      </c>
      <c r="I806" s="24" t="s">
        <v>25</v>
      </c>
      <c r="J806" s="7" t="str">
        <f t="shared" si="37"/>
        <v>Não</v>
      </c>
      <c r="K806" s="25">
        <v>45140</v>
      </c>
      <c r="L806" s="25">
        <v>45525</v>
      </c>
      <c r="M806" s="7" t="s">
        <v>31</v>
      </c>
      <c r="N806" s="26">
        <v>0</v>
      </c>
      <c r="O806" s="7" t="s">
        <v>25</v>
      </c>
      <c r="P806" s="27">
        <v>0</v>
      </c>
      <c r="Q806" s="45"/>
      <c r="R806" s="45"/>
      <c r="S806" s="7" t="s">
        <v>145</v>
      </c>
      <c r="T806" s="7" t="s">
        <v>2700</v>
      </c>
      <c r="U806" s="29" t="s">
        <v>20</v>
      </c>
      <c r="V806" s="24" t="e">
        <f t="shared" ca="1" si="35"/>
        <v>#NAME?</v>
      </c>
      <c r="W806" s="7"/>
      <c r="X806" s="7"/>
      <c r="Y806" s="29" t="s">
        <v>253</v>
      </c>
      <c r="Z806" s="30"/>
      <c r="AA806" s="31">
        <v>45140</v>
      </c>
      <c r="AB806" s="32">
        <v>49075100007012</v>
      </c>
      <c r="AC806" s="30"/>
      <c r="AD806" s="30"/>
      <c r="AE806" s="30"/>
      <c r="AF806" s="30"/>
      <c r="AG806" s="30"/>
      <c r="AH806" s="30"/>
      <c r="AI806" s="30"/>
      <c r="AJ806" s="30"/>
      <c r="AK806" s="30"/>
      <c r="AL806" s="30"/>
      <c r="AM806" s="30">
        <v>157315.26999999999</v>
      </c>
      <c r="AN806" s="30">
        <v>151570.12</v>
      </c>
      <c r="AO806" s="30">
        <v>151948.12</v>
      </c>
      <c r="AP806" s="30">
        <v>195432.93</v>
      </c>
      <c r="AQ806" s="30">
        <v>198872.24</v>
      </c>
      <c r="AR806" s="30">
        <v>261540.82</v>
      </c>
      <c r="AS806" s="30">
        <v>264194.52</v>
      </c>
      <c r="AT806" s="30">
        <v>267336.43</v>
      </c>
      <c r="AU806" s="30">
        <v>265366.63</v>
      </c>
      <c r="AV806" s="30">
        <v>264471.09999999998</v>
      </c>
      <c r="AW806" s="30">
        <v>0</v>
      </c>
      <c r="AX806" s="30">
        <v>0</v>
      </c>
      <c r="AY806" s="30">
        <v>0</v>
      </c>
      <c r="AZ806" s="30">
        <v>0</v>
      </c>
      <c r="BA806" s="30" t="e">
        <f t="array" aca="1" ref="BA806" ca="1">_xludf.XLOOKUP(C806,'PL TOTAL D0'!A:A,'PL TOTAL D0'!C:C,"")</f>
        <v>#NAME?</v>
      </c>
    </row>
    <row r="807" spans="1:53" ht="15.75" customHeight="1">
      <c r="A807" s="23" t="s">
        <v>29</v>
      </c>
      <c r="B807" s="38" t="s">
        <v>2701</v>
      </c>
      <c r="C807" s="89" t="s">
        <v>2702</v>
      </c>
      <c r="D807" s="7" t="s">
        <v>64</v>
      </c>
      <c r="E807" s="7" t="s">
        <v>20</v>
      </c>
      <c r="F807" s="7" t="s">
        <v>289</v>
      </c>
      <c r="G807" s="7" t="e">
        <f t="shared" ca="1" si="34"/>
        <v>#NAME?</v>
      </c>
      <c r="H807" s="24" t="s">
        <v>161</v>
      </c>
      <c r="I807" s="24" t="s">
        <v>211</v>
      </c>
      <c r="J807" s="7" t="str">
        <f t="shared" si="37"/>
        <v>Não</v>
      </c>
      <c r="K807" s="25">
        <v>45419</v>
      </c>
      <c r="L807" s="25"/>
      <c r="M807" s="7" t="s">
        <v>58</v>
      </c>
      <c r="N807" s="26">
        <v>1.4E-2</v>
      </c>
      <c r="O807" s="7" t="s">
        <v>37</v>
      </c>
      <c r="P807" s="27">
        <v>0.1</v>
      </c>
      <c r="Q807" s="36"/>
      <c r="R807" s="28"/>
      <c r="S807" s="7" t="s">
        <v>145</v>
      </c>
      <c r="T807" s="7" t="s">
        <v>2703</v>
      </c>
      <c r="U807" s="7" t="s">
        <v>20</v>
      </c>
      <c r="V807" s="24" t="e">
        <f t="shared" ca="1" si="35"/>
        <v>#NAME?</v>
      </c>
      <c r="W807" s="7"/>
      <c r="X807" s="7" t="s">
        <v>52</v>
      </c>
      <c r="Y807" s="29" t="s">
        <v>147</v>
      </c>
      <c r="Z807" s="30"/>
      <c r="AA807" s="31">
        <v>45419</v>
      </c>
      <c r="AB807" s="32">
        <v>49075100014612</v>
      </c>
      <c r="AC807" s="30"/>
      <c r="AD807" s="30"/>
      <c r="AE807" s="30"/>
      <c r="AF807" s="30"/>
      <c r="AG807" s="30"/>
      <c r="AH807" s="30"/>
      <c r="AI807" s="30"/>
      <c r="AJ807" s="30"/>
      <c r="AK807" s="30"/>
      <c r="AL807" s="30"/>
      <c r="AM807" s="30"/>
      <c r="AN807" s="30"/>
      <c r="AO807" s="30"/>
      <c r="AP807" s="30"/>
      <c r="AQ807" s="30"/>
      <c r="AR807" s="30"/>
      <c r="AS807" s="30"/>
      <c r="AT807" s="30"/>
      <c r="AU807" s="30"/>
      <c r="AV807" s="30">
        <v>3741018</v>
      </c>
      <c r="AW807" s="30">
        <v>4327111</v>
      </c>
      <c r="AX807" s="30">
        <v>4453749</v>
      </c>
      <c r="AY807" s="30">
        <v>0</v>
      </c>
      <c r="AZ807" s="30">
        <v>0</v>
      </c>
      <c r="BA807" s="30" t="e">
        <f t="array" aca="1" ref="BA807" ca="1">_xludf.XLOOKUP(C807,'PL TOTAL D0'!A:A,'PL TOTAL D0'!C:C,"")</f>
        <v>#NAME?</v>
      </c>
    </row>
    <row r="808" spans="1:53" ht="15.75" customHeight="1">
      <c r="A808" s="23" t="s">
        <v>29</v>
      </c>
      <c r="B808" s="37" t="s">
        <v>2704</v>
      </c>
      <c r="C808" s="60" t="s">
        <v>2705</v>
      </c>
      <c r="D808" s="7" t="s">
        <v>64</v>
      </c>
      <c r="E808" s="7" t="s">
        <v>20</v>
      </c>
      <c r="F808" s="7" t="s">
        <v>289</v>
      </c>
      <c r="G808" s="7" t="e">
        <f t="shared" ca="1" si="34"/>
        <v>#NAME?</v>
      </c>
      <c r="H808" s="24" t="s">
        <v>152</v>
      </c>
      <c r="I808" s="24" t="s">
        <v>25</v>
      </c>
      <c r="J808" s="7" t="str">
        <f t="shared" si="37"/>
        <v>Não</v>
      </c>
      <c r="K808" s="25">
        <v>45042</v>
      </c>
      <c r="L808" s="25"/>
      <c r="M808" s="7" t="s">
        <v>345</v>
      </c>
      <c r="N808" s="26">
        <v>0.02</v>
      </c>
      <c r="O808" s="7" t="s">
        <v>37</v>
      </c>
      <c r="P808" s="27">
        <v>0.2</v>
      </c>
      <c r="Q808" s="28"/>
      <c r="R808" s="28"/>
      <c r="S808" s="7" t="s">
        <v>145</v>
      </c>
      <c r="T808" s="7" t="s">
        <v>2703</v>
      </c>
      <c r="U808" s="7" t="s">
        <v>20</v>
      </c>
      <c r="V808" s="24" t="e">
        <f t="shared" ca="1" si="35"/>
        <v>#NAME?</v>
      </c>
      <c r="W808" s="7"/>
      <c r="X808" s="7" t="s">
        <v>52</v>
      </c>
      <c r="Y808" s="29" t="s">
        <v>147</v>
      </c>
      <c r="Z808" s="30"/>
      <c r="AA808" s="31">
        <v>45042</v>
      </c>
      <c r="AB808" s="32">
        <v>49075100009392</v>
      </c>
      <c r="AC808" s="30"/>
      <c r="AD808" s="30"/>
      <c r="AE808" s="30"/>
      <c r="AF808" s="30"/>
      <c r="AG808" s="30"/>
      <c r="AH808" s="30">
        <v>0</v>
      </c>
      <c r="AI808" s="30">
        <v>616485.77</v>
      </c>
      <c r="AJ808" s="30">
        <v>628636.38</v>
      </c>
      <c r="AK808" s="30">
        <v>645478.28</v>
      </c>
      <c r="AL808" s="30">
        <v>661276.44999999995</v>
      </c>
      <c r="AM808" s="30">
        <v>648264.31999999995</v>
      </c>
      <c r="AN808" s="30">
        <v>648027.67000000004</v>
      </c>
      <c r="AO808" s="30">
        <v>638633.81999999995</v>
      </c>
      <c r="AP808" s="30">
        <v>660375.26</v>
      </c>
      <c r="AQ808" s="30">
        <v>679276.41</v>
      </c>
      <c r="AR808" s="30">
        <v>657821.24</v>
      </c>
      <c r="AS808" s="30">
        <v>663047.43000000005</v>
      </c>
      <c r="AT808" s="30">
        <v>668407.4</v>
      </c>
      <c r="AU808" s="30">
        <v>651517.16</v>
      </c>
      <c r="AV808" s="30">
        <v>643732.4</v>
      </c>
      <c r="AW808" s="30">
        <v>85879.26</v>
      </c>
      <c r="AX808" s="30">
        <v>2179.0500000000002</v>
      </c>
      <c r="AY808" s="30">
        <v>2215.1999999999998</v>
      </c>
      <c r="AZ808" s="30">
        <v>2217.48</v>
      </c>
      <c r="BA808" s="30" t="e">
        <f t="array" aca="1" ref="BA808" ca="1">_xludf.XLOOKUP(C808,'PL TOTAL D0'!A:A,'PL TOTAL D0'!C:C,"")</f>
        <v>#NAME?</v>
      </c>
    </row>
    <row r="809" spans="1:53" ht="15.75" customHeight="1">
      <c r="A809" s="23" t="s">
        <v>29</v>
      </c>
      <c r="B809" s="3" t="s">
        <v>2706</v>
      </c>
      <c r="C809" s="4" t="s">
        <v>2707</v>
      </c>
      <c r="D809" s="7" t="s">
        <v>64</v>
      </c>
      <c r="E809" s="7" t="s">
        <v>20</v>
      </c>
      <c r="F809" s="7" t="s">
        <v>289</v>
      </c>
      <c r="G809" s="7" t="e">
        <f t="shared" ca="1" si="34"/>
        <v>#NAME?</v>
      </c>
      <c r="H809" s="24" t="s">
        <v>143</v>
      </c>
      <c r="I809" s="24" t="s">
        <v>25</v>
      </c>
      <c r="J809" s="7" t="str">
        <f t="shared" si="37"/>
        <v>Não</v>
      </c>
      <c r="K809" s="25">
        <v>44874</v>
      </c>
      <c r="L809" s="79">
        <v>45278</v>
      </c>
      <c r="M809" s="7" t="s">
        <v>257</v>
      </c>
      <c r="N809" s="26">
        <v>8.0000000000000002E-3</v>
      </c>
      <c r="O809" s="7" t="s">
        <v>25</v>
      </c>
      <c r="P809" s="27">
        <v>0</v>
      </c>
      <c r="Q809" s="45"/>
      <c r="R809" s="28" t="s">
        <v>309</v>
      </c>
      <c r="S809" s="7" t="s">
        <v>145</v>
      </c>
      <c r="T809" s="7" t="s">
        <v>2708</v>
      </c>
      <c r="U809" s="7" t="s">
        <v>20</v>
      </c>
      <c r="V809" s="24" t="e">
        <f t="shared" ca="1" si="35"/>
        <v>#NAME?</v>
      </c>
      <c r="W809" s="7"/>
      <c r="X809" s="7"/>
      <c r="Y809" s="29"/>
      <c r="Z809" s="30"/>
      <c r="AA809" s="31">
        <v>44874</v>
      </c>
      <c r="AB809" s="32"/>
      <c r="AC809" s="30"/>
      <c r="AD809" s="30"/>
      <c r="AE809" s="30">
        <v>673366.33</v>
      </c>
      <c r="AF809" s="30">
        <v>663854.43000000005</v>
      </c>
      <c r="AG809" s="30">
        <v>648209.98</v>
      </c>
      <c r="AH809" s="30">
        <v>639901.80000000005</v>
      </c>
      <c r="AI809" s="30">
        <v>640706.5</v>
      </c>
      <c r="AJ809" s="30">
        <v>667808.17000000004</v>
      </c>
      <c r="AK809" s="30">
        <v>0</v>
      </c>
      <c r="AL809" s="30">
        <v>0</v>
      </c>
      <c r="AM809" s="30">
        <v>0</v>
      </c>
      <c r="AN809" s="30">
        <v>0</v>
      </c>
      <c r="AO809" s="30">
        <v>0</v>
      </c>
      <c r="AP809" s="30">
        <v>0</v>
      </c>
      <c r="AQ809" s="30">
        <v>0</v>
      </c>
      <c r="AR809" s="30">
        <v>0</v>
      </c>
      <c r="AS809" s="30">
        <v>0</v>
      </c>
      <c r="AT809" s="30">
        <v>0</v>
      </c>
      <c r="AU809" s="30">
        <v>0</v>
      </c>
      <c r="AV809" s="30">
        <v>0</v>
      </c>
      <c r="AW809" s="30">
        <v>0</v>
      </c>
      <c r="AX809" s="30">
        <v>0</v>
      </c>
      <c r="AY809" s="30">
        <v>0</v>
      </c>
      <c r="AZ809" s="30">
        <v>0</v>
      </c>
      <c r="BA809" s="30" t="e">
        <f t="array" aca="1" ref="BA809" ca="1">_xludf.XLOOKUP(C809,'PL TOTAL D0'!A:A,'PL TOTAL D0'!C:C,"")</f>
        <v>#NAME?</v>
      </c>
    </row>
    <row r="810" spans="1:53" ht="15.75" customHeight="1">
      <c r="A810" s="23" t="s">
        <v>29</v>
      </c>
      <c r="B810" s="37" t="s">
        <v>2709</v>
      </c>
      <c r="C810" s="4" t="s">
        <v>2710</v>
      </c>
      <c r="D810" s="7" t="s">
        <v>19</v>
      </c>
      <c r="E810" s="7" t="s">
        <v>20</v>
      </c>
      <c r="F810" s="7" t="s">
        <v>199</v>
      </c>
      <c r="G810" s="7" t="e">
        <f t="shared" ca="1" si="34"/>
        <v>#NAME?</v>
      </c>
      <c r="H810" s="24" t="s">
        <v>161</v>
      </c>
      <c r="I810" s="24" t="s">
        <v>162</v>
      </c>
      <c r="J810" s="7" t="str">
        <f t="shared" si="37"/>
        <v>Não</v>
      </c>
      <c r="K810" s="25">
        <v>44879</v>
      </c>
      <c r="L810" s="25"/>
      <c r="M810" s="7" t="s">
        <v>200</v>
      </c>
      <c r="N810" s="26">
        <v>0</v>
      </c>
      <c r="O810" s="7" t="s">
        <v>25</v>
      </c>
      <c r="P810" s="27">
        <v>0</v>
      </c>
      <c r="Q810" s="28"/>
      <c r="R810" s="28" t="s">
        <v>2711</v>
      </c>
      <c r="S810" s="7" t="s">
        <v>145</v>
      </c>
      <c r="T810" s="7" t="s">
        <v>2712</v>
      </c>
      <c r="U810" s="7" t="s">
        <v>20</v>
      </c>
      <c r="V810" s="24" t="e">
        <f t="shared" ca="1" si="35"/>
        <v>#NAME?</v>
      </c>
      <c r="W810" s="7"/>
      <c r="X810" s="7"/>
      <c r="Y810" s="29" t="s">
        <v>253</v>
      </c>
      <c r="Z810" s="30"/>
      <c r="AA810" s="31">
        <v>44879</v>
      </c>
      <c r="AB810" s="32">
        <v>49075100006441</v>
      </c>
      <c r="AC810" s="30"/>
      <c r="AD810" s="30"/>
      <c r="AE810" s="30">
        <v>119680.47</v>
      </c>
      <c r="AF810" s="30">
        <v>102763.73</v>
      </c>
      <c r="AG810" s="30">
        <v>97885.87</v>
      </c>
      <c r="AH810" s="30">
        <v>98175.52</v>
      </c>
      <c r="AI810" s="30">
        <v>102305.34</v>
      </c>
      <c r="AJ810" s="30">
        <v>87335.75</v>
      </c>
      <c r="AK810" s="30">
        <v>83184.679999999993</v>
      </c>
      <c r="AL810" s="30">
        <v>85646.080000000002</v>
      </c>
      <c r="AM810" s="30">
        <v>85868.25</v>
      </c>
      <c r="AN810" s="30">
        <v>8182.97</v>
      </c>
      <c r="AO810" s="30">
        <v>8255.6200000000008</v>
      </c>
      <c r="AP810" s="30">
        <v>37.119999999999997</v>
      </c>
      <c r="AQ810" s="30">
        <v>2750.49</v>
      </c>
      <c r="AR810" s="30">
        <v>18.32</v>
      </c>
      <c r="AS810" s="30">
        <v>3294.62</v>
      </c>
      <c r="AT810" s="30">
        <v>3322.39</v>
      </c>
      <c r="AU810" s="30">
        <v>18.32</v>
      </c>
      <c r="AV810" s="30">
        <v>1924.52</v>
      </c>
      <c r="AW810" s="30">
        <v>18.37</v>
      </c>
      <c r="AX810" s="30">
        <v>18.37</v>
      </c>
      <c r="AY810" s="30">
        <v>201.82</v>
      </c>
      <c r="AZ810" s="30">
        <v>1005.27</v>
      </c>
      <c r="BA810" s="30" t="e">
        <f t="array" aca="1" ref="BA810" ca="1">_xludf.XLOOKUP(C810,'PL TOTAL D0'!A:A,'PL TOTAL D0'!C:C,"")</f>
        <v>#NAME?</v>
      </c>
    </row>
    <row r="811" spans="1:53" ht="15.75" customHeight="1">
      <c r="A811" s="23" t="s">
        <v>29</v>
      </c>
      <c r="B811" s="40" t="s">
        <v>2713</v>
      </c>
      <c r="C811" s="44" t="s">
        <v>2714</v>
      </c>
      <c r="D811" s="7" t="s">
        <v>64</v>
      </c>
      <c r="E811" s="7" t="s">
        <v>20</v>
      </c>
      <c r="F811" s="7" t="s">
        <v>142</v>
      </c>
      <c r="G811" s="7" t="e">
        <f t="shared" ca="1" si="34"/>
        <v>#NAME?</v>
      </c>
      <c r="H811" s="24" t="s">
        <v>161</v>
      </c>
      <c r="I811" s="24" t="s">
        <v>211</v>
      </c>
      <c r="J811" s="7" t="str">
        <f t="shared" si="37"/>
        <v>Não</v>
      </c>
      <c r="K811" s="25">
        <v>45230</v>
      </c>
      <c r="L811" s="25"/>
      <c r="M811" s="7" t="s">
        <v>58</v>
      </c>
      <c r="N811" s="26">
        <v>1.2E-2</v>
      </c>
      <c r="O811" s="7" t="s">
        <v>37</v>
      </c>
      <c r="P811" s="27">
        <v>0.1</v>
      </c>
      <c r="Q811" s="28"/>
      <c r="R811" s="28"/>
      <c r="S811" s="7" t="s">
        <v>145</v>
      </c>
      <c r="T811" s="7" t="s">
        <v>2715</v>
      </c>
      <c r="U811" s="7" t="s">
        <v>20</v>
      </c>
      <c r="V811" s="24" t="e">
        <f t="shared" ca="1" si="35"/>
        <v>#NAME?</v>
      </c>
      <c r="W811" s="7"/>
      <c r="X811" s="7"/>
      <c r="Y811" s="29" t="s">
        <v>253</v>
      </c>
      <c r="Z811" s="30"/>
      <c r="AA811" s="31">
        <v>45230</v>
      </c>
      <c r="AB811" s="32">
        <v>49075100012830</v>
      </c>
      <c r="AC811" s="30"/>
      <c r="AD811" s="30"/>
      <c r="AE811" s="30"/>
      <c r="AF811" s="30"/>
      <c r="AG811" s="30"/>
      <c r="AH811" s="30"/>
      <c r="AI811" s="30"/>
      <c r="AJ811" s="30"/>
      <c r="AK811" s="30"/>
      <c r="AL811" s="30"/>
      <c r="AM811" s="30"/>
      <c r="AN811" s="30"/>
      <c r="AO811" s="30">
        <v>0</v>
      </c>
      <c r="AP811" s="30">
        <v>17527.810000000001</v>
      </c>
      <c r="AQ811" s="30">
        <v>67908.850000000006</v>
      </c>
      <c r="AR811" s="30">
        <v>67865.259999999995</v>
      </c>
      <c r="AS811" s="30">
        <v>68473.850000000006</v>
      </c>
      <c r="AT811" s="30">
        <v>67105.66</v>
      </c>
      <c r="AU811" s="30">
        <v>100413.4</v>
      </c>
      <c r="AV811" s="30">
        <v>67230.759999999995</v>
      </c>
      <c r="AW811" s="30">
        <v>67417.53</v>
      </c>
      <c r="AX811" s="30">
        <v>67929.03</v>
      </c>
      <c r="AY811" s="30">
        <v>0</v>
      </c>
      <c r="AZ811" s="30">
        <v>0</v>
      </c>
      <c r="BA811" s="30" t="e">
        <f t="array" aca="1" ref="BA811" ca="1">_xludf.XLOOKUP(C811,'PL TOTAL D0'!A:A,'PL TOTAL D0'!C:C,"")</f>
        <v>#NAME?</v>
      </c>
    </row>
    <row r="812" spans="1:53" ht="15.75" customHeight="1">
      <c r="A812" s="23" t="s">
        <v>29</v>
      </c>
      <c r="B812" s="37" t="s">
        <v>2716</v>
      </c>
      <c r="C812" s="4" t="s">
        <v>2717</v>
      </c>
      <c r="D812" s="7" t="s">
        <v>19</v>
      </c>
      <c r="E812" s="7" t="s">
        <v>20</v>
      </c>
      <c r="F812" s="7" t="s">
        <v>372</v>
      </c>
      <c r="G812" s="7" t="e">
        <f t="shared" ca="1" si="34"/>
        <v>#NAME?</v>
      </c>
      <c r="H812" s="24" t="s">
        <v>152</v>
      </c>
      <c r="I812" s="24" t="s">
        <v>25</v>
      </c>
      <c r="J812" s="7" t="str">
        <f t="shared" si="37"/>
        <v>Não</v>
      </c>
      <c r="K812" s="25">
        <v>44973</v>
      </c>
      <c r="L812" s="7"/>
      <c r="M812" s="7" t="s">
        <v>87</v>
      </c>
      <c r="N812" s="26">
        <v>2.5000000000000001E-2</v>
      </c>
      <c r="O812" s="7" t="s">
        <v>183</v>
      </c>
      <c r="P812" s="27">
        <v>0.2</v>
      </c>
      <c r="Q812" s="28"/>
      <c r="R812" s="28"/>
      <c r="S812" s="7" t="s">
        <v>145</v>
      </c>
      <c r="T812" s="4" t="s">
        <v>2718</v>
      </c>
      <c r="U812" s="7" t="s">
        <v>20</v>
      </c>
      <c r="V812" s="24" t="e">
        <f t="shared" ca="1" si="35"/>
        <v>#NAME?</v>
      </c>
      <c r="W812" s="7"/>
      <c r="X812" s="7"/>
      <c r="Y812" s="29" t="s">
        <v>147</v>
      </c>
      <c r="Z812" s="30"/>
      <c r="AA812" s="31">
        <v>44973</v>
      </c>
      <c r="AB812" s="32">
        <v>49075100009724</v>
      </c>
      <c r="AC812" s="30"/>
      <c r="AD812" s="30"/>
      <c r="AE812" s="30"/>
      <c r="AF812" s="30">
        <v>0</v>
      </c>
      <c r="AG812" s="30">
        <v>0</v>
      </c>
      <c r="AH812" s="30">
        <v>452250.65</v>
      </c>
      <c r="AI812" s="30">
        <v>448793.99</v>
      </c>
      <c r="AJ812" s="30">
        <v>468483.92</v>
      </c>
      <c r="AK812" s="30">
        <v>507653.15</v>
      </c>
      <c r="AL812" s="30">
        <v>534109.97</v>
      </c>
      <c r="AM812" s="30">
        <v>510876.26</v>
      </c>
      <c r="AN812" s="30">
        <v>509020.56</v>
      </c>
      <c r="AO812" s="30">
        <v>455605.43</v>
      </c>
      <c r="AP812" s="30">
        <v>489699.46</v>
      </c>
      <c r="AQ812" s="30">
        <v>513079.42</v>
      </c>
      <c r="AR812" s="30">
        <v>477677.57</v>
      </c>
      <c r="AS812" s="30">
        <v>484364.28</v>
      </c>
      <c r="AT812" s="30">
        <v>493164.06</v>
      </c>
      <c r="AU812" s="30">
        <v>473624.31</v>
      </c>
      <c r="AV812" s="30">
        <v>458234.4</v>
      </c>
      <c r="AW812" s="30">
        <v>407932.2</v>
      </c>
      <c r="AX812" s="30">
        <v>419132.5</v>
      </c>
      <c r="AY812" s="30">
        <v>428729.85</v>
      </c>
      <c r="AZ812" s="30">
        <v>420684.74</v>
      </c>
      <c r="BA812" s="30" t="e">
        <f t="array" aca="1" ref="BA812" ca="1">_xludf.XLOOKUP(C812,'PL TOTAL D0'!A:A,'PL TOTAL D0'!C:C,"")</f>
        <v>#NAME?</v>
      </c>
    </row>
    <row r="813" spans="1:53" ht="15.75" customHeight="1">
      <c r="A813" s="23" t="s">
        <v>29</v>
      </c>
      <c r="B813" s="37" t="s">
        <v>2719</v>
      </c>
      <c r="C813" s="4" t="s">
        <v>2720</v>
      </c>
      <c r="D813" s="7" t="s">
        <v>19</v>
      </c>
      <c r="E813" s="7" t="s">
        <v>49</v>
      </c>
      <c r="F813" s="7" t="s">
        <v>166</v>
      </c>
      <c r="G813" s="7" t="e">
        <f t="shared" ca="1" si="34"/>
        <v>#NAME?</v>
      </c>
      <c r="H813" s="24" t="s">
        <v>161</v>
      </c>
      <c r="I813" s="24" t="s">
        <v>1133</v>
      </c>
      <c r="J813" s="7" t="str">
        <f t="shared" si="37"/>
        <v>Sim</v>
      </c>
      <c r="K813" s="25">
        <v>44999</v>
      </c>
      <c r="L813" s="7"/>
      <c r="M813" s="7" t="s">
        <v>42</v>
      </c>
      <c r="N813" s="26">
        <v>0.01</v>
      </c>
      <c r="O813" s="7" t="s">
        <v>25</v>
      </c>
      <c r="P813" s="27">
        <v>0</v>
      </c>
      <c r="Q813" s="28" t="s">
        <v>2721</v>
      </c>
      <c r="R813" s="28"/>
      <c r="S813" s="7" t="s">
        <v>145</v>
      </c>
      <c r="T813" s="7" t="s">
        <v>2722</v>
      </c>
      <c r="U813" s="7" t="s">
        <v>46</v>
      </c>
      <c r="V813" s="24" t="e">
        <f t="shared" ca="1" si="35"/>
        <v>#NAME?</v>
      </c>
      <c r="W813" s="7"/>
      <c r="X813" s="7"/>
      <c r="Y813" s="29" t="s">
        <v>253</v>
      </c>
      <c r="Z813" s="30"/>
      <c r="AA813" s="31">
        <v>44999</v>
      </c>
      <c r="AB813" s="32">
        <v>49075100008752</v>
      </c>
      <c r="AC813" s="30"/>
      <c r="AD813" s="30"/>
      <c r="AE813" s="30"/>
      <c r="AF813" s="30">
        <v>0</v>
      </c>
      <c r="AG813" s="30">
        <v>0</v>
      </c>
      <c r="AH813" s="30">
        <v>62447.48</v>
      </c>
      <c r="AI813" s="30">
        <v>62942.91</v>
      </c>
      <c r="AJ813" s="30">
        <v>63991.85</v>
      </c>
      <c r="AK813" s="30">
        <v>64634.52</v>
      </c>
      <c r="AL813" s="30">
        <v>80567.8</v>
      </c>
      <c r="AM813" s="30">
        <v>105473.89</v>
      </c>
      <c r="AN813" s="30">
        <v>110320</v>
      </c>
      <c r="AO813" s="30">
        <v>111815.67</v>
      </c>
      <c r="AP813" s="30">
        <v>77587.7</v>
      </c>
      <c r="AQ813" s="30">
        <v>116259.59</v>
      </c>
      <c r="AR813" s="30">
        <v>118070.07</v>
      </c>
      <c r="AS813" s="30">
        <v>107765.73</v>
      </c>
      <c r="AT813" s="30">
        <v>103594.28</v>
      </c>
      <c r="AU813" s="30">
        <v>59743.94</v>
      </c>
      <c r="AV813" s="30">
        <v>59984.79</v>
      </c>
      <c r="AW813" s="30">
        <v>60083.86</v>
      </c>
      <c r="AX813" s="30">
        <v>60514.71</v>
      </c>
      <c r="AY813" s="30">
        <v>60905.440000000002</v>
      </c>
      <c r="AZ813" s="30">
        <v>61350.7</v>
      </c>
      <c r="BA813" s="30" t="e">
        <f t="array" aca="1" ref="BA813" ca="1">_xludf.XLOOKUP(C813,'PL TOTAL D0'!A:A,'PL TOTAL D0'!C:C,"")</f>
        <v>#NAME?</v>
      </c>
    </row>
    <row r="814" spans="1:53" ht="15.75" customHeight="1">
      <c r="A814" s="23" t="s">
        <v>29</v>
      </c>
      <c r="B814" s="37" t="s">
        <v>2723</v>
      </c>
      <c r="C814" s="4" t="s">
        <v>2724</v>
      </c>
      <c r="D814" s="7" t="s">
        <v>19</v>
      </c>
      <c r="E814" s="7" t="s">
        <v>49</v>
      </c>
      <c r="F814" s="7" t="s">
        <v>166</v>
      </c>
      <c r="G814" s="7" t="e">
        <f t="shared" ca="1" si="34"/>
        <v>#NAME?</v>
      </c>
      <c r="H814" s="24" t="s">
        <v>161</v>
      </c>
      <c r="I814" s="24" t="s">
        <v>994</v>
      </c>
      <c r="J814" s="7" t="str">
        <f t="shared" si="37"/>
        <v>Não</v>
      </c>
      <c r="K814" s="25">
        <v>45560</v>
      </c>
      <c r="L814" s="7"/>
      <c r="M814" s="7" t="s">
        <v>42</v>
      </c>
      <c r="N814" s="26">
        <v>1.2E-2</v>
      </c>
      <c r="O814" s="7" t="s">
        <v>25</v>
      </c>
      <c r="P814" s="27">
        <v>0</v>
      </c>
      <c r="Q814" s="28"/>
      <c r="R814" s="28"/>
      <c r="S814" s="7" t="s">
        <v>145</v>
      </c>
      <c r="T814" s="7" t="s">
        <v>2722</v>
      </c>
      <c r="U814" s="7" t="s">
        <v>49</v>
      </c>
      <c r="V814" s="24" t="e">
        <f t="shared" ca="1" si="35"/>
        <v>#NAME?</v>
      </c>
      <c r="W814" s="7"/>
      <c r="X814" s="7" t="s">
        <v>52</v>
      </c>
      <c r="Y814" s="29"/>
      <c r="Z814" s="30"/>
      <c r="AA814" s="30"/>
      <c r="AB814" s="32"/>
      <c r="AC814" s="30"/>
      <c r="AD814" s="30"/>
      <c r="AE814" s="30"/>
      <c r="AF814" s="30"/>
      <c r="AG814" s="30"/>
      <c r="AH814" s="30"/>
      <c r="AI814" s="30"/>
      <c r="AJ814" s="30"/>
      <c r="AK814" s="30"/>
      <c r="AL814" s="30"/>
      <c r="AM814" s="30"/>
      <c r="AN814" s="30"/>
      <c r="AO814" s="30"/>
      <c r="AP814" s="30"/>
      <c r="AQ814" s="30"/>
      <c r="AR814" s="30"/>
      <c r="AS814" s="30"/>
      <c r="AT814" s="30"/>
      <c r="AU814" s="30"/>
      <c r="AV814" s="30"/>
      <c r="AW814" s="30"/>
      <c r="AX814" s="30"/>
      <c r="AY814" s="30"/>
      <c r="AZ814" s="30">
        <v>0</v>
      </c>
      <c r="BA814" s="30" t="e">
        <f t="array" aca="1" ref="BA814" ca="1">_xludf.XLOOKUP(C814,'PL TOTAL D0'!A:A,'PL TOTAL D0'!C:C,"")</f>
        <v>#NAME?</v>
      </c>
    </row>
    <row r="815" spans="1:53" ht="15.75" customHeight="1">
      <c r="A815" s="23" t="s">
        <v>29</v>
      </c>
      <c r="B815" s="37" t="s">
        <v>2725</v>
      </c>
      <c r="C815" s="4" t="s">
        <v>2726</v>
      </c>
      <c r="D815" s="7" t="s">
        <v>64</v>
      </c>
      <c r="E815" s="7" t="s">
        <v>20</v>
      </c>
      <c r="F815" s="7" t="s">
        <v>1841</v>
      </c>
      <c r="G815" s="7" t="e">
        <f t="shared" ca="1" si="34"/>
        <v>#NAME?</v>
      </c>
      <c r="H815" s="24" t="s">
        <v>161</v>
      </c>
      <c r="I815" s="24" t="s">
        <v>162</v>
      </c>
      <c r="J815" s="7" t="str">
        <f t="shared" si="37"/>
        <v>Não</v>
      </c>
      <c r="K815" s="25">
        <v>44973</v>
      </c>
      <c r="L815" s="7"/>
      <c r="M815" s="7" t="s">
        <v>257</v>
      </c>
      <c r="N815" s="26">
        <v>8.0000000000000002E-3</v>
      </c>
      <c r="O815" s="7" t="s">
        <v>258</v>
      </c>
      <c r="P815" s="27">
        <v>0.1</v>
      </c>
      <c r="Q815" s="28"/>
      <c r="R815" s="28"/>
      <c r="S815" s="7" t="s">
        <v>145</v>
      </c>
      <c r="T815" s="7" t="s">
        <v>2727</v>
      </c>
      <c r="U815" s="7" t="s">
        <v>20</v>
      </c>
      <c r="V815" s="24" t="e">
        <f t="shared" ca="1" si="35"/>
        <v>#NAME?</v>
      </c>
      <c r="W815" s="7"/>
      <c r="X815" s="7"/>
      <c r="Y815" s="29" t="s">
        <v>147</v>
      </c>
      <c r="Z815" s="30"/>
      <c r="AA815" s="31">
        <v>44973</v>
      </c>
      <c r="AB815" s="32">
        <v>49075100012067</v>
      </c>
      <c r="AC815" s="30"/>
      <c r="AD815" s="30"/>
      <c r="AE815" s="30"/>
      <c r="AF815" s="30">
        <v>0</v>
      </c>
      <c r="AG815" s="30">
        <v>0</v>
      </c>
      <c r="AH815" s="30">
        <v>0</v>
      </c>
      <c r="AI815" s="30">
        <v>289978.59000000003</v>
      </c>
      <c r="AJ815" s="30">
        <v>306493.43</v>
      </c>
      <c r="AK815" s="30">
        <v>328944.06</v>
      </c>
      <c r="AL815" s="30">
        <v>341722.93</v>
      </c>
      <c r="AM815" s="30">
        <v>348232.2</v>
      </c>
      <c r="AN815" s="30">
        <v>353899.78</v>
      </c>
      <c r="AO815" s="30">
        <v>350742.28</v>
      </c>
      <c r="AP815" s="30">
        <v>357997.75</v>
      </c>
      <c r="AQ815" s="30">
        <v>366779.82</v>
      </c>
      <c r="AR815" s="30">
        <v>366822.72</v>
      </c>
      <c r="AS815" s="30">
        <v>374204.45</v>
      </c>
      <c r="AT815" s="30">
        <v>377147.44</v>
      </c>
      <c r="AU815" s="30">
        <v>372068.96</v>
      </c>
      <c r="AV815" s="30">
        <v>370458.7</v>
      </c>
      <c r="AW815" s="30">
        <v>367939.9</v>
      </c>
      <c r="AX815" s="30">
        <v>372067.9</v>
      </c>
      <c r="AY815" s="30">
        <v>4.8</v>
      </c>
      <c r="AZ815" s="30">
        <v>4.8</v>
      </c>
      <c r="BA815" s="30" t="e">
        <f t="array" aca="1" ref="BA815" ca="1">_xludf.XLOOKUP(C815,'PL TOTAL D0'!A:A,'PL TOTAL D0'!C:C,"")</f>
        <v>#NAME?</v>
      </c>
    </row>
    <row r="816" spans="1:53" ht="15.75" customHeight="1">
      <c r="A816" s="23" t="s">
        <v>29</v>
      </c>
      <c r="B816" s="3" t="s">
        <v>2728</v>
      </c>
      <c r="C816" s="4" t="s">
        <v>2729</v>
      </c>
      <c r="D816" s="7" t="s">
        <v>19</v>
      </c>
      <c r="E816" s="7" t="s">
        <v>34</v>
      </c>
      <c r="F816" s="7" t="s">
        <v>35</v>
      </c>
      <c r="G816" s="7" t="e">
        <f t="shared" ca="1" si="34"/>
        <v>#NAME?</v>
      </c>
      <c r="H816" s="24" t="s">
        <v>152</v>
      </c>
      <c r="I816" s="24" t="s">
        <v>25</v>
      </c>
      <c r="J816" s="7" t="str">
        <f t="shared" si="37"/>
        <v>Não</v>
      </c>
      <c r="K816" s="25">
        <v>45096</v>
      </c>
      <c r="L816" s="25"/>
      <c r="M816" s="7" t="s">
        <v>42</v>
      </c>
      <c r="N816" s="26">
        <v>1.2E-2</v>
      </c>
      <c r="O816" s="7" t="s">
        <v>25</v>
      </c>
      <c r="P816" s="27">
        <v>0</v>
      </c>
      <c r="Q816" s="28"/>
      <c r="R816" s="28"/>
      <c r="S816" s="7" t="s">
        <v>145</v>
      </c>
      <c r="T816" s="7" t="s">
        <v>2730</v>
      </c>
      <c r="U816" s="7" t="s">
        <v>39</v>
      </c>
      <c r="V816" s="24" t="e">
        <f t="shared" ca="1" si="35"/>
        <v>#NAME?</v>
      </c>
      <c r="W816" s="7"/>
      <c r="X816" s="7"/>
      <c r="Y816" s="29" t="s">
        <v>253</v>
      </c>
      <c r="Z816" s="30"/>
      <c r="AA816" s="31">
        <v>45096</v>
      </c>
      <c r="AB816" s="32">
        <v>49075100006717</v>
      </c>
      <c r="AC816" s="30"/>
      <c r="AD816" s="30"/>
      <c r="AE816" s="30"/>
      <c r="AF816" s="30"/>
      <c r="AG816" s="30"/>
      <c r="AH816" s="30"/>
      <c r="AI816" s="30">
        <v>0</v>
      </c>
      <c r="AJ816" s="30">
        <v>98581.04</v>
      </c>
      <c r="AK816" s="30">
        <v>111588.77</v>
      </c>
      <c r="AL816" s="30">
        <v>112674.22</v>
      </c>
      <c r="AM816" s="30">
        <v>113054.22</v>
      </c>
      <c r="AN816" s="30">
        <v>113905.94</v>
      </c>
      <c r="AO816" s="30">
        <v>114841.84</v>
      </c>
      <c r="AP816" s="30">
        <v>115658.22</v>
      </c>
      <c r="AQ816" s="30">
        <v>116571.81</v>
      </c>
      <c r="AR816" s="30">
        <v>117482.91</v>
      </c>
      <c r="AS816" s="30">
        <v>116711.03</v>
      </c>
      <c r="AT816" s="30">
        <v>115044.75</v>
      </c>
      <c r="AU816" s="30">
        <v>114847.27</v>
      </c>
      <c r="AV816" s="30">
        <v>115730</v>
      </c>
      <c r="AW816" s="30">
        <v>116620.2</v>
      </c>
      <c r="AX816" s="30">
        <v>117539.6</v>
      </c>
      <c r="AY816" s="30">
        <v>114233.78</v>
      </c>
      <c r="AZ816" s="30">
        <v>107854.04</v>
      </c>
      <c r="BA816" s="30" t="e">
        <f t="array" aca="1" ref="BA816" ca="1">_xludf.XLOOKUP(C816,'PL TOTAL D0'!A:A,'PL TOTAL D0'!C:C,"")</f>
        <v>#NAME?</v>
      </c>
    </row>
    <row r="817" spans="1:53" ht="15.75" customHeight="1">
      <c r="A817" s="23" t="s">
        <v>29</v>
      </c>
      <c r="B817" s="3" t="s">
        <v>2731</v>
      </c>
      <c r="C817" s="4" t="s">
        <v>2732</v>
      </c>
      <c r="D817" s="7" t="s">
        <v>19</v>
      </c>
      <c r="E817" s="7" t="s">
        <v>49</v>
      </c>
      <c r="F817" s="7" t="s">
        <v>50</v>
      </c>
      <c r="G817" s="7" t="e">
        <f t="shared" ca="1" si="34"/>
        <v>#NAME?</v>
      </c>
      <c r="H817" s="24" t="s">
        <v>152</v>
      </c>
      <c r="I817" s="24" t="s">
        <v>25</v>
      </c>
      <c r="J817" s="7" t="str">
        <f t="shared" si="37"/>
        <v>Não</v>
      </c>
      <c r="K817" s="25">
        <v>45520</v>
      </c>
      <c r="L817" s="7"/>
      <c r="M817" s="7" t="s">
        <v>257</v>
      </c>
      <c r="N817" s="26">
        <v>8.0000000000000002E-3</v>
      </c>
      <c r="O817" s="7" t="s">
        <v>258</v>
      </c>
      <c r="P817" s="27">
        <v>0.1</v>
      </c>
      <c r="Q817" s="90"/>
      <c r="R817" s="90"/>
      <c r="S817" s="7" t="s">
        <v>145</v>
      </c>
      <c r="T817" s="7" t="s">
        <v>2733</v>
      </c>
      <c r="U817" s="7" t="s">
        <v>49</v>
      </c>
      <c r="V817" s="24" t="e">
        <f t="shared" ca="1" si="35"/>
        <v>#NAME?</v>
      </c>
      <c r="W817" s="7"/>
      <c r="X817" s="7" t="s">
        <v>52</v>
      </c>
      <c r="Y817" s="29" t="s">
        <v>147</v>
      </c>
      <c r="Z817" s="30"/>
      <c r="AA817" s="30"/>
      <c r="AB817" s="32"/>
      <c r="AC817" s="30"/>
      <c r="AD817" s="30"/>
      <c r="AE817" s="30"/>
      <c r="AF817" s="30"/>
      <c r="AG817" s="30"/>
      <c r="AH817" s="30"/>
      <c r="AI817" s="30"/>
      <c r="AJ817" s="30"/>
      <c r="AK817" s="30"/>
      <c r="AL817" s="30"/>
      <c r="AM817" s="30"/>
      <c r="AN817" s="30"/>
      <c r="AO817" s="30"/>
      <c r="AP817" s="30"/>
      <c r="AQ817" s="30"/>
      <c r="AR817" s="30"/>
      <c r="AS817" s="30"/>
      <c r="AT817" s="30"/>
      <c r="AU817" s="30"/>
      <c r="AV817" s="30"/>
      <c r="AW817" s="30"/>
      <c r="AX817" s="30"/>
      <c r="AY817" s="30">
        <v>49889.84</v>
      </c>
      <c r="AZ817" s="30">
        <v>49077.47</v>
      </c>
      <c r="BA817" s="30" t="e">
        <f t="array" aca="1" ref="BA817" ca="1">_xludf.XLOOKUP(C817,'PL TOTAL D0'!A:A,'PL TOTAL D0'!C:C,"")</f>
        <v>#NAME?</v>
      </c>
    </row>
    <row r="818" spans="1:53" ht="15.75" customHeight="1">
      <c r="A818" s="23" t="s">
        <v>29</v>
      </c>
      <c r="B818" s="3" t="s">
        <v>2734</v>
      </c>
      <c r="C818" s="4" t="s">
        <v>2735</v>
      </c>
      <c r="D818" s="7" t="s">
        <v>19</v>
      </c>
      <c r="E818" s="7" t="s">
        <v>49</v>
      </c>
      <c r="F818" s="7" t="s">
        <v>50</v>
      </c>
      <c r="G818" s="7" t="e">
        <f t="shared" ca="1" si="34"/>
        <v>#NAME?</v>
      </c>
      <c r="H818" s="24" t="s">
        <v>152</v>
      </c>
      <c r="I818" s="24" t="s">
        <v>25</v>
      </c>
      <c r="J818" s="7" t="str">
        <f t="shared" si="37"/>
        <v>Não</v>
      </c>
      <c r="K818" s="25">
        <v>44979</v>
      </c>
      <c r="L818" s="7"/>
      <c r="M818" s="7" t="s">
        <v>42</v>
      </c>
      <c r="N818" s="26">
        <v>1.2E-2</v>
      </c>
      <c r="O818" s="7" t="s">
        <v>25</v>
      </c>
      <c r="P818" s="27">
        <v>0</v>
      </c>
      <c r="Q818" s="90"/>
      <c r="R818" s="90"/>
      <c r="S818" s="7" t="s">
        <v>145</v>
      </c>
      <c r="T818" s="7" t="s">
        <v>2733</v>
      </c>
      <c r="U818" s="7" t="s">
        <v>49</v>
      </c>
      <c r="V818" s="24" t="e">
        <f t="shared" ca="1" si="35"/>
        <v>#NAME?</v>
      </c>
      <c r="W818" s="7"/>
      <c r="X818" s="7"/>
      <c r="Y818" s="29" t="s">
        <v>147</v>
      </c>
      <c r="Z818" s="30"/>
      <c r="AA818" s="31">
        <v>44979</v>
      </c>
      <c r="AB818" s="32">
        <v>49075100006474</v>
      </c>
      <c r="AC818" s="30"/>
      <c r="AD818" s="30"/>
      <c r="AE818" s="30"/>
      <c r="AF818" s="30"/>
      <c r="AG818" s="30">
        <v>473873.6</v>
      </c>
      <c r="AH818" s="30">
        <v>481691.48</v>
      </c>
      <c r="AI818" s="30">
        <v>485613.74</v>
      </c>
      <c r="AJ818" s="30">
        <v>493663.84</v>
      </c>
      <c r="AK818" s="30">
        <v>500079.13</v>
      </c>
      <c r="AL818" s="30">
        <v>503634.65</v>
      </c>
      <c r="AM818" s="30">
        <v>506892.03</v>
      </c>
      <c r="AN818" s="30">
        <v>505887.98</v>
      </c>
      <c r="AO818" s="30">
        <v>509208.33</v>
      </c>
      <c r="AP818" s="30">
        <v>511261.68</v>
      </c>
      <c r="AQ818" s="30">
        <v>517830.29</v>
      </c>
      <c r="AR818" s="30">
        <v>520086.43</v>
      </c>
      <c r="AS818" s="30">
        <v>523896.73</v>
      </c>
      <c r="AT818" s="30">
        <v>525434.06999999995</v>
      </c>
      <c r="AU818" s="30">
        <v>521989.28</v>
      </c>
      <c r="AV818" s="30">
        <v>525225.69999999995</v>
      </c>
      <c r="AW818" s="30">
        <v>528962.30000000005</v>
      </c>
      <c r="AX818" s="30">
        <v>533792.5</v>
      </c>
      <c r="AY818" s="30">
        <v>542099.65</v>
      </c>
      <c r="AZ818" s="30">
        <v>545481.4</v>
      </c>
      <c r="BA818" s="30" t="e">
        <f t="array" aca="1" ref="BA818" ca="1">_xludf.XLOOKUP(C818,'PL TOTAL D0'!A:A,'PL TOTAL D0'!C:C,"")</f>
        <v>#NAME?</v>
      </c>
    </row>
    <row r="819" spans="1:53" ht="15.75" customHeight="1">
      <c r="A819" s="23" t="s">
        <v>29</v>
      </c>
      <c r="B819" s="3" t="s">
        <v>2736</v>
      </c>
      <c r="C819" s="4" t="s">
        <v>2737</v>
      </c>
      <c r="D819" s="7" t="s">
        <v>64</v>
      </c>
      <c r="E819" s="7" t="s">
        <v>20</v>
      </c>
      <c r="F819" s="7" t="s">
        <v>489</v>
      </c>
      <c r="G819" s="7" t="e">
        <f t="shared" ca="1" si="34"/>
        <v>#NAME?</v>
      </c>
      <c r="H819" s="24" t="s">
        <v>161</v>
      </c>
      <c r="I819" s="24" t="s">
        <v>211</v>
      </c>
      <c r="J819" s="7" t="str">
        <f t="shared" si="37"/>
        <v>Não</v>
      </c>
      <c r="K819" s="25">
        <v>45168</v>
      </c>
      <c r="L819" s="25"/>
      <c r="M819" s="7" t="s">
        <v>357</v>
      </c>
      <c r="N819" s="26">
        <v>5.0000000000000001E-3</v>
      </c>
      <c r="O819" s="7" t="s">
        <v>25</v>
      </c>
      <c r="P819" s="27">
        <v>0</v>
      </c>
      <c r="Q819" s="90"/>
      <c r="R819" s="28" t="s">
        <v>702</v>
      </c>
      <c r="S819" s="7" t="s">
        <v>145</v>
      </c>
      <c r="T819" s="7" t="s">
        <v>2738</v>
      </c>
      <c r="U819" s="7" t="s">
        <v>20</v>
      </c>
      <c r="V819" s="24" t="e">
        <f t="shared" ca="1" si="35"/>
        <v>#NAME?</v>
      </c>
      <c r="W819" s="7"/>
      <c r="X819" s="7"/>
      <c r="Y819" s="29" t="s">
        <v>253</v>
      </c>
      <c r="Z819" s="30"/>
      <c r="AA819" s="31">
        <v>45168</v>
      </c>
      <c r="AB819" s="32">
        <v>49075100006105</v>
      </c>
      <c r="AC819" s="30"/>
      <c r="AD819" s="30"/>
      <c r="AE819" s="30"/>
      <c r="AF819" s="30"/>
      <c r="AG819" s="30"/>
      <c r="AH819" s="30"/>
      <c r="AI819" s="30"/>
      <c r="AJ819" s="30"/>
      <c r="AK819" s="30"/>
      <c r="AL819" s="30"/>
      <c r="AM819" s="30">
        <v>1967966.43</v>
      </c>
      <c r="AN819" s="30">
        <v>1988281</v>
      </c>
      <c r="AO819" s="30">
        <v>3881924.48</v>
      </c>
      <c r="AP819" s="30">
        <v>3904486.3</v>
      </c>
      <c r="AQ819" s="30">
        <v>3938265.36</v>
      </c>
      <c r="AR819" s="30">
        <v>3974332.28</v>
      </c>
      <c r="AS819" s="30">
        <v>4004896.65</v>
      </c>
      <c r="AT819" s="30">
        <v>4039125.48</v>
      </c>
      <c r="AU819" s="30">
        <v>4073871.85</v>
      </c>
      <c r="AV819" s="30">
        <v>4106159</v>
      </c>
      <c r="AW819" s="30">
        <v>4136869</v>
      </c>
      <c r="AX819" s="30">
        <v>0</v>
      </c>
      <c r="AY819" s="30">
        <v>0</v>
      </c>
      <c r="AZ819" s="30">
        <v>0</v>
      </c>
      <c r="BA819" s="30" t="e">
        <f t="array" aca="1" ref="BA819" ca="1">_xludf.XLOOKUP(C819,'PL TOTAL D0'!A:A,'PL TOTAL D0'!C:C,"")</f>
        <v>#NAME?</v>
      </c>
    </row>
    <row r="820" spans="1:53" ht="15.75" customHeight="1">
      <c r="A820" s="23" t="s">
        <v>29</v>
      </c>
      <c r="B820" s="37" t="s">
        <v>2739</v>
      </c>
      <c r="C820" s="4" t="s">
        <v>2740</v>
      </c>
      <c r="D820" s="7" t="s">
        <v>19</v>
      </c>
      <c r="E820" s="7" t="s">
        <v>20</v>
      </c>
      <c r="F820" s="7" t="s">
        <v>199</v>
      </c>
      <c r="G820" s="7" t="e">
        <f t="shared" ca="1" si="34"/>
        <v>#NAME?</v>
      </c>
      <c r="H820" s="24" t="s">
        <v>161</v>
      </c>
      <c r="I820" s="24" t="s">
        <v>162</v>
      </c>
      <c r="J820" s="7" t="str">
        <f t="shared" si="37"/>
        <v>Não</v>
      </c>
      <c r="K820" s="25">
        <v>45163</v>
      </c>
      <c r="L820" s="25"/>
      <c r="M820" s="7" t="s">
        <v>466</v>
      </c>
      <c r="N820" s="26">
        <v>5.0000000000000001E-3</v>
      </c>
      <c r="O820" s="7" t="s">
        <v>25</v>
      </c>
      <c r="P820" s="27">
        <v>0</v>
      </c>
      <c r="Q820" s="28"/>
      <c r="R820" s="139" t="s">
        <v>2741</v>
      </c>
      <c r="S820" s="7" t="s">
        <v>187</v>
      </c>
      <c r="T820" s="7" t="s">
        <v>2742</v>
      </c>
      <c r="U820" s="7" t="s">
        <v>20</v>
      </c>
      <c r="V820" s="24" t="e">
        <f t="shared" ca="1" si="35"/>
        <v>#NAME?</v>
      </c>
      <c r="W820" s="7"/>
      <c r="X820" s="7"/>
      <c r="Y820" s="29" t="s">
        <v>433</v>
      </c>
      <c r="Z820" s="30"/>
      <c r="AA820" s="31">
        <v>45163</v>
      </c>
      <c r="AB820" s="32">
        <v>49075100012075</v>
      </c>
      <c r="AC820" s="30"/>
      <c r="AD820" s="30"/>
      <c r="AE820" s="30"/>
      <c r="AF820" s="30">
        <v>0</v>
      </c>
      <c r="AG820" s="30">
        <v>0</v>
      </c>
      <c r="AH820" s="30">
        <v>0</v>
      </c>
      <c r="AI820" s="30">
        <v>0</v>
      </c>
      <c r="AJ820" s="30">
        <v>0</v>
      </c>
      <c r="AK820" s="30">
        <v>0</v>
      </c>
      <c r="AL820" s="30">
        <v>0</v>
      </c>
      <c r="AM820" s="30">
        <v>0</v>
      </c>
      <c r="AN820" s="30">
        <v>0</v>
      </c>
      <c r="AO820" s="30">
        <v>0</v>
      </c>
      <c r="AP820" s="30">
        <v>0</v>
      </c>
      <c r="AQ820" s="30">
        <v>0</v>
      </c>
      <c r="AR820" s="30">
        <v>0</v>
      </c>
      <c r="AS820" s="30">
        <v>0</v>
      </c>
      <c r="AT820" s="30">
        <v>0</v>
      </c>
      <c r="AU820" s="30">
        <v>0</v>
      </c>
      <c r="AV820" s="30">
        <v>0</v>
      </c>
      <c r="AW820" s="30">
        <v>0</v>
      </c>
      <c r="AX820" s="30">
        <v>0</v>
      </c>
      <c r="AY820" s="30">
        <v>0</v>
      </c>
      <c r="AZ820" s="30">
        <v>0</v>
      </c>
      <c r="BA820" s="30" t="e">
        <f t="array" aca="1" ref="BA820" ca="1">_xludf.XLOOKUP(C820,'PL TOTAL D0'!A:A,'PL TOTAL D0'!C:C,"")</f>
        <v>#NAME?</v>
      </c>
    </row>
    <row r="821" spans="1:53" ht="15.75" customHeight="1">
      <c r="A821" s="23" t="s">
        <v>29</v>
      </c>
      <c r="B821" s="3" t="s">
        <v>2743</v>
      </c>
      <c r="C821" s="4" t="s">
        <v>2744</v>
      </c>
      <c r="D821" s="7" t="s">
        <v>80</v>
      </c>
      <c r="E821" s="7" t="s">
        <v>49</v>
      </c>
      <c r="F821" s="7" t="s">
        <v>81</v>
      </c>
      <c r="G821" s="7" t="e">
        <f t="shared" ca="1" si="34"/>
        <v>#NAME?</v>
      </c>
      <c r="H821" s="24" t="s">
        <v>152</v>
      </c>
      <c r="I821" s="24" t="s">
        <v>25</v>
      </c>
      <c r="J821" s="7" t="str">
        <f t="shared" si="37"/>
        <v>Não</v>
      </c>
      <c r="K821" s="25">
        <v>45252</v>
      </c>
      <c r="L821" s="25"/>
      <c r="M821" s="7" t="s">
        <v>42</v>
      </c>
      <c r="N821" s="26">
        <v>0.01</v>
      </c>
      <c r="O821" s="7" t="s">
        <v>25</v>
      </c>
      <c r="P821" s="27">
        <v>0</v>
      </c>
      <c r="Q821" s="28"/>
      <c r="R821" s="139"/>
      <c r="S821" s="7" t="s">
        <v>145</v>
      </c>
      <c r="T821" s="7" t="s">
        <v>2745</v>
      </c>
      <c r="U821" s="7" t="s">
        <v>49</v>
      </c>
      <c r="V821" s="24" t="e">
        <f t="shared" ca="1" si="35"/>
        <v>#NAME?</v>
      </c>
      <c r="W821" s="7"/>
      <c r="X821" s="7"/>
      <c r="Y821" s="29" t="s">
        <v>147</v>
      </c>
      <c r="Z821" s="30"/>
      <c r="AA821" s="31">
        <v>45252</v>
      </c>
      <c r="AB821" s="32">
        <v>49075100012849</v>
      </c>
      <c r="AC821" s="30"/>
      <c r="AD821" s="30"/>
      <c r="AE821" s="30"/>
      <c r="AF821" s="30"/>
      <c r="AG821" s="30"/>
      <c r="AH821" s="30"/>
      <c r="AI821" s="30"/>
      <c r="AJ821" s="30"/>
      <c r="AK821" s="30"/>
      <c r="AL821" s="30"/>
      <c r="AM821" s="30"/>
      <c r="AN821" s="30"/>
      <c r="AO821" s="30"/>
      <c r="AP821" s="30">
        <v>480118.49</v>
      </c>
      <c r="AQ821" s="30">
        <v>483878.05</v>
      </c>
      <c r="AR821" s="30">
        <v>487891.47</v>
      </c>
      <c r="AS821" s="30">
        <v>491356.64</v>
      </c>
      <c r="AT821" s="30">
        <v>494699.39</v>
      </c>
      <c r="AU821" s="30">
        <v>497748.6</v>
      </c>
      <c r="AV821" s="30">
        <v>501009.7</v>
      </c>
      <c r="AW821" s="30">
        <v>505061.2</v>
      </c>
      <c r="AX821" s="30">
        <v>726433.5</v>
      </c>
      <c r="AY821" s="30">
        <v>731133.86</v>
      </c>
      <c r="AZ821" s="30">
        <v>735417.95</v>
      </c>
      <c r="BA821" s="30" t="e">
        <f t="array" aca="1" ref="BA821" ca="1">_xludf.XLOOKUP(C821,'PL TOTAL D0'!A:A,'PL TOTAL D0'!C:C,"")</f>
        <v>#NAME?</v>
      </c>
    </row>
    <row r="822" spans="1:53" ht="15.75" customHeight="1">
      <c r="A822" s="23" t="s">
        <v>29</v>
      </c>
      <c r="B822" s="37" t="s">
        <v>2746</v>
      </c>
      <c r="C822" s="4" t="s">
        <v>2747</v>
      </c>
      <c r="D822" s="7" t="s">
        <v>19</v>
      </c>
      <c r="E822" s="7" t="s">
        <v>49</v>
      </c>
      <c r="F822" s="7" t="s">
        <v>50</v>
      </c>
      <c r="G822" s="7" t="e">
        <f t="shared" ca="1" si="34"/>
        <v>#NAME?</v>
      </c>
      <c r="H822" s="24" t="s">
        <v>152</v>
      </c>
      <c r="I822" s="24" t="s">
        <v>25</v>
      </c>
      <c r="J822" s="7" t="str">
        <f t="shared" si="37"/>
        <v>Sim</v>
      </c>
      <c r="K822" s="25">
        <v>44945</v>
      </c>
      <c r="L822" s="7"/>
      <c r="M822" s="7" t="s">
        <v>42</v>
      </c>
      <c r="N822" s="26">
        <v>1.2E-2</v>
      </c>
      <c r="O822" s="7" t="s">
        <v>25</v>
      </c>
      <c r="P822" s="27">
        <v>0</v>
      </c>
      <c r="Q822" s="28" t="s">
        <v>2748</v>
      </c>
      <c r="R822" s="28"/>
      <c r="S822" s="7" t="s">
        <v>145</v>
      </c>
      <c r="T822" s="7" t="s">
        <v>2749</v>
      </c>
      <c r="U822" s="7" t="s">
        <v>49</v>
      </c>
      <c r="V822" s="24" t="e">
        <f t="shared" ca="1" si="35"/>
        <v>#NAME?</v>
      </c>
      <c r="W822" s="7"/>
      <c r="X822" s="7"/>
      <c r="Y822" s="29" t="s">
        <v>147</v>
      </c>
      <c r="Z822" s="30"/>
      <c r="AA822" s="31">
        <v>44945</v>
      </c>
      <c r="AB822" s="32">
        <v>49075100006482</v>
      </c>
      <c r="AC822" s="30"/>
      <c r="AD822" s="30"/>
      <c r="AE822" s="30"/>
      <c r="AF822" s="30">
        <v>788175.45</v>
      </c>
      <c r="AG822" s="30">
        <v>794794.76</v>
      </c>
      <c r="AH822" s="30">
        <v>803301.69</v>
      </c>
      <c r="AI822" s="30">
        <v>808932.47</v>
      </c>
      <c r="AJ822" s="30">
        <v>817587.84</v>
      </c>
      <c r="AK822" s="30">
        <v>824932.72</v>
      </c>
      <c r="AL822" s="30">
        <v>831994.21</v>
      </c>
      <c r="AM822" s="30">
        <v>840143.99</v>
      </c>
      <c r="AN822" s="30">
        <v>846924.5</v>
      </c>
      <c r="AO822" s="30">
        <v>854397.79</v>
      </c>
      <c r="AP822" s="30">
        <v>860467.18</v>
      </c>
      <c r="AQ822" s="30">
        <v>866851.66</v>
      </c>
      <c r="AR822" s="30">
        <v>867115.02</v>
      </c>
      <c r="AS822" s="30">
        <v>873789.21</v>
      </c>
      <c r="AT822" s="30">
        <v>880475.5</v>
      </c>
      <c r="AU822" s="30">
        <v>884553.95</v>
      </c>
      <c r="AV822" s="30">
        <v>890839.1</v>
      </c>
      <c r="AW822" s="30">
        <v>927297.1</v>
      </c>
      <c r="AX822" s="30">
        <v>934293</v>
      </c>
      <c r="AY822" s="30">
        <v>88238.51</v>
      </c>
      <c r="AZ822" s="30">
        <v>88232.56</v>
      </c>
      <c r="BA822" s="30" t="e">
        <f t="array" aca="1" ref="BA822" ca="1">_xludf.XLOOKUP(C822,'PL TOTAL D0'!A:A,'PL TOTAL D0'!C:C,"")</f>
        <v>#NAME?</v>
      </c>
    </row>
    <row r="823" spans="1:53" ht="15.75" customHeight="1">
      <c r="A823" s="23" t="s">
        <v>29</v>
      </c>
      <c r="B823" s="38" t="s">
        <v>2750</v>
      </c>
      <c r="C823" s="39" t="s">
        <v>2751</v>
      </c>
      <c r="D823" s="7" t="s">
        <v>80</v>
      </c>
      <c r="E823" s="7" t="s">
        <v>49</v>
      </c>
      <c r="F823" s="7" t="s">
        <v>81</v>
      </c>
      <c r="G823" s="7" t="e">
        <f t="shared" ca="1" si="34"/>
        <v>#NAME?</v>
      </c>
      <c r="H823" s="24" t="s">
        <v>152</v>
      </c>
      <c r="I823" s="24" t="s">
        <v>25</v>
      </c>
      <c r="J823" s="7" t="str">
        <f t="shared" si="37"/>
        <v>Não</v>
      </c>
      <c r="K823" s="25">
        <v>45457</v>
      </c>
      <c r="L823" s="25"/>
      <c r="M823" s="7" t="s">
        <v>42</v>
      </c>
      <c r="N823" s="26">
        <v>1.2E-2</v>
      </c>
      <c r="O823" s="7" t="s">
        <v>25</v>
      </c>
      <c r="P823" s="27">
        <v>0</v>
      </c>
      <c r="Q823" s="28"/>
      <c r="R823" s="28"/>
      <c r="S823" s="7" t="s">
        <v>145</v>
      </c>
      <c r="T823" s="6" t="s">
        <v>2752</v>
      </c>
      <c r="U823" s="7" t="s">
        <v>49</v>
      </c>
      <c r="V823" s="24" t="e">
        <f t="shared" ca="1" si="35"/>
        <v>#NAME?</v>
      </c>
      <c r="W823" s="7"/>
      <c r="X823" s="7" t="s">
        <v>52</v>
      </c>
      <c r="Y823" s="29" t="s">
        <v>147</v>
      </c>
      <c r="Z823" s="30"/>
      <c r="AA823" s="31">
        <v>45457</v>
      </c>
      <c r="AB823" s="32">
        <v>49075100015155</v>
      </c>
      <c r="AC823" s="30"/>
      <c r="AD823" s="30"/>
      <c r="AE823" s="30"/>
      <c r="AF823" s="30"/>
      <c r="AG823" s="30"/>
      <c r="AH823" s="30"/>
      <c r="AI823" s="30"/>
      <c r="AJ823" s="30"/>
      <c r="AK823" s="30"/>
      <c r="AL823" s="30"/>
      <c r="AM823" s="30"/>
      <c r="AN823" s="30"/>
      <c r="AO823" s="30"/>
      <c r="AP823" s="30"/>
      <c r="AQ823" s="30"/>
      <c r="AR823" s="30"/>
      <c r="AS823" s="30"/>
      <c r="AT823" s="30"/>
      <c r="AU823" s="30"/>
      <c r="AV823" s="30"/>
      <c r="AW823" s="30">
        <v>314913.7</v>
      </c>
      <c r="AX823" s="30">
        <v>319047.40000000002</v>
      </c>
      <c r="AY823" s="30">
        <v>331479.13</v>
      </c>
      <c r="AZ823" s="30">
        <v>305005.90000000002</v>
      </c>
      <c r="BA823" s="30" t="e">
        <f t="array" aca="1" ref="BA823" ca="1">_xludf.XLOOKUP(C823,'PL TOTAL D0'!A:A,'PL TOTAL D0'!C:C,"")</f>
        <v>#NAME?</v>
      </c>
    </row>
    <row r="824" spans="1:53" ht="15.75" customHeight="1">
      <c r="A824" s="23" t="s">
        <v>29</v>
      </c>
      <c r="B824" s="38" t="s">
        <v>2750</v>
      </c>
      <c r="C824" s="39" t="s">
        <v>2753</v>
      </c>
      <c r="D824" s="7" t="s">
        <v>80</v>
      </c>
      <c r="E824" s="7" t="s">
        <v>49</v>
      </c>
      <c r="F824" s="7" t="s">
        <v>81</v>
      </c>
      <c r="G824" s="7" t="e">
        <f t="shared" ca="1" si="34"/>
        <v>#NAME?</v>
      </c>
      <c r="H824" s="24" t="s">
        <v>143</v>
      </c>
      <c r="I824" s="24" t="s">
        <v>25</v>
      </c>
      <c r="J824" s="7" t="str">
        <f t="shared" si="37"/>
        <v>Não</v>
      </c>
      <c r="K824" s="25">
        <v>45422</v>
      </c>
      <c r="L824" s="25">
        <v>45457</v>
      </c>
      <c r="M824" s="7" t="s">
        <v>42</v>
      </c>
      <c r="N824" s="26">
        <v>1.2E-2</v>
      </c>
      <c r="O824" s="7" t="s">
        <v>25</v>
      </c>
      <c r="P824" s="27">
        <v>0</v>
      </c>
      <c r="Q824" s="28"/>
      <c r="R824" s="28" t="s">
        <v>2754</v>
      </c>
      <c r="S824" s="7" t="s">
        <v>145</v>
      </c>
      <c r="T824" s="6" t="s">
        <v>2752</v>
      </c>
      <c r="U824" s="7" t="s">
        <v>49</v>
      </c>
      <c r="V824" s="24" t="e">
        <f t="shared" ca="1" si="35"/>
        <v>#NAME?</v>
      </c>
      <c r="W824" s="7"/>
      <c r="X824" s="7" t="s">
        <v>52</v>
      </c>
      <c r="Y824" s="29"/>
      <c r="Z824" s="30"/>
      <c r="AA824" s="31">
        <v>45422</v>
      </c>
      <c r="AB824" s="32"/>
      <c r="AC824" s="30"/>
      <c r="AD824" s="30"/>
      <c r="AE824" s="30"/>
      <c r="AF824" s="30"/>
      <c r="AG824" s="30"/>
      <c r="AH824" s="30"/>
      <c r="AI824" s="30"/>
      <c r="AJ824" s="30"/>
      <c r="AK824" s="30"/>
      <c r="AL824" s="30"/>
      <c r="AM824" s="30"/>
      <c r="AN824" s="30"/>
      <c r="AO824" s="30"/>
      <c r="AP824" s="30"/>
      <c r="AQ824" s="30"/>
      <c r="AR824" s="30"/>
      <c r="AS824" s="30"/>
      <c r="AT824" s="30"/>
      <c r="AU824" s="30"/>
      <c r="AV824" s="30">
        <v>0</v>
      </c>
      <c r="AW824" s="30">
        <v>0</v>
      </c>
      <c r="AX824" s="30">
        <v>0</v>
      </c>
      <c r="AY824" s="30">
        <v>0</v>
      </c>
      <c r="AZ824" s="30">
        <v>0</v>
      </c>
      <c r="BA824" s="30" t="e">
        <f t="array" aca="1" ref="BA824" ca="1">_xludf.XLOOKUP(C824,'PL TOTAL D0'!A:A,'PL TOTAL D0'!C:C,"")</f>
        <v>#NAME?</v>
      </c>
    </row>
    <row r="825" spans="1:53" ht="15.75" customHeight="1">
      <c r="A825" s="23" t="s">
        <v>29</v>
      </c>
      <c r="B825" s="3" t="s">
        <v>2755</v>
      </c>
      <c r="C825" s="4" t="s">
        <v>2756</v>
      </c>
      <c r="D825" s="7" t="s">
        <v>19</v>
      </c>
      <c r="E825" s="7" t="s">
        <v>34</v>
      </c>
      <c r="F825" s="7" t="s">
        <v>262</v>
      </c>
      <c r="G825" s="7" t="e">
        <f t="shared" ca="1" si="34"/>
        <v>#NAME?</v>
      </c>
      <c r="H825" s="24" t="s">
        <v>161</v>
      </c>
      <c r="I825" s="24" t="s">
        <v>211</v>
      </c>
      <c r="J825" s="7" t="str">
        <f t="shared" si="37"/>
        <v>Não</v>
      </c>
      <c r="K825" s="25">
        <v>45029</v>
      </c>
      <c r="L825" s="7"/>
      <c r="M825" s="7" t="s">
        <v>42</v>
      </c>
      <c r="N825" s="26">
        <v>1.2E-2</v>
      </c>
      <c r="O825" s="7" t="s">
        <v>25</v>
      </c>
      <c r="P825" s="27">
        <v>0</v>
      </c>
      <c r="Q825" s="28"/>
      <c r="R825" s="28" t="s">
        <v>2757</v>
      </c>
      <c r="S825" s="7" t="s">
        <v>145</v>
      </c>
      <c r="T825" s="7" t="s">
        <v>2758</v>
      </c>
      <c r="U825" s="7" t="s">
        <v>39</v>
      </c>
      <c r="V825" s="24" t="e">
        <f t="shared" ca="1" si="35"/>
        <v>#NAME?</v>
      </c>
      <c r="W825" s="7"/>
      <c r="X825" s="7"/>
      <c r="Y825" s="29" t="s">
        <v>147</v>
      </c>
      <c r="Z825" s="30"/>
      <c r="AA825" s="31">
        <v>45029</v>
      </c>
      <c r="AB825" s="32">
        <v>49075100009023</v>
      </c>
      <c r="AC825" s="30"/>
      <c r="AD825" s="30"/>
      <c r="AE825" s="30"/>
      <c r="AF825" s="30"/>
      <c r="AG825" s="30"/>
      <c r="AH825" s="30">
        <v>0</v>
      </c>
      <c r="AI825" s="30">
        <v>134455.91</v>
      </c>
      <c r="AJ825" s="30">
        <v>76467.350000000006</v>
      </c>
      <c r="AK825" s="30">
        <v>82627.98</v>
      </c>
      <c r="AL825" s="30">
        <v>83258.8</v>
      </c>
      <c r="AM825" s="30">
        <v>90781.64</v>
      </c>
      <c r="AN825" s="30">
        <v>91587.3</v>
      </c>
      <c r="AO825" s="30">
        <v>92396.3</v>
      </c>
      <c r="AP825" s="30">
        <v>120183.45</v>
      </c>
      <c r="AQ825" s="30">
        <v>121206.67</v>
      </c>
      <c r="AR825" s="30">
        <v>122210.89</v>
      </c>
      <c r="AS825" s="30">
        <v>133178.72</v>
      </c>
      <c r="AT825" s="30">
        <v>134379.96</v>
      </c>
      <c r="AU825" s="30">
        <v>135558.38</v>
      </c>
      <c r="AV825" s="30">
        <v>1160</v>
      </c>
      <c r="AW825" s="30">
        <v>0</v>
      </c>
      <c r="AX825" s="30">
        <v>0</v>
      </c>
      <c r="AY825" s="30">
        <v>0</v>
      </c>
      <c r="AZ825" s="30">
        <v>0</v>
      </c>
      <c r="BA825" s="30" t="e">
        <f t="array" aca="1" ref="BA825" ca="1">_xludf.XLOOKUP(C825,'PL TOTAL D0'!A:A,'PL TOTAL D0'!C:C,"")</f>
        <v>#NAME?</v>
      </c>
    </row>
    <row r="826" spans="1:53" ht="15.75" customHeight="1">
      <c r="A826" s="23" t="s">
        <v>29</v>
      </c>
      <c r="B826" s="3" t="s">
        <v>2759</v>
      </c>
      <c r="C826" s="4" t="s">
        <v>2760</v>
      </c>
      <c r="D826" s="7" t="s">
        <v>64</v>
      </c>
      <c r="E826" s="7" t="s">
        <v>20</v>
      </c>
      <c r="F826" s="7" t="s">
        <v>142</v>
      </c>
      <c r="G826" s="7" t="e">
        <f t="shared" ca="1" si="34"/>
        <v>#NAME?</v>
      </c>
      <c r="H826" s="24" t="s">
        <v>143</v>
      </c>
      <c r="I826" s="24" t="s">
        <v>25</v>
      </c>
      <c r="J826" s="7" t="str">
        <f t="shared" si="37"/>
        <v>Não</v>
      </c>
      <c r="K826" s="25">
        <v>45145</v>
      </c>
      <c r="L826" s="25">
        <v>45341</v>
      </c>
      <c r="M826" s="7" t="s">
        <v>58</v>
      </c>
      <c r="N826" s="26">
        <v>1.2E-2</v>
      </c>
      <c r="O826" s="7" t="s">
        <v>37</v>
      </c>
      <c r="P826" s="27">
        <v>0.1</v>
      </c>
      <c r="Q826" s="28"/>
      <c r="R826" s="28"/>
      <c r="S826" s="7" t="s">
        <v>145</v>
      </c>
      <c r="T826" s="7" t="s">
        <v>2761</v>
      </c>
      <c r="U826" s="7" t="s">
        <v>20</v>
      </c>
      <c r="V826" s="24" t="e">
        <f t="shared" ca="1" si="35"/>
        <v>#NAME?</v>
      </c>
      <c r="W826" s="7"/>
      <c r="X826" s="7"/>
      <c r="Y826" s="29"/>
      <c r="Z826" s="30"/>
      <c r="AA826" s="31">
        <v>45145</v>
      </c>
      <c r="AB826" s="32"/>
      <c r="AC826" s="30"/>
      <c r="AD826" s="30"/>
      <c r="AE826" s="30"/>
      <c r="AF826" s="30"/>
      <c r="AG826" s="30"/>
      <c r="AH826" s="30"/>
      <c r="AI826" s="30"/>
      <c r="AJ826" s="30"/>
      <c r="AK826" s="30"/>
      <c r="AL826" s="30"/>
      <c r="AM826" s="30">
        <v>847092.01</v>
      </c>
      <c r="AN826" s="30">
        <v>1054776.97</v>
      </c>
      <c r="AO826" s="30">
        <v>1054650.81</v>
      </c>
      <c r="AP826" s="30">
        <v>1072685.68</v>
      </c>
      <c r="AQ826" s="30">
        <v>1099271.98</v>
      </c>
      <c r="AR826" s="30">
        <v>1098794.75</v>
      </c>
      <c r="AS826" s="30">
        <v>0</v>
      </c>
      <c r="AT826" s="30">
        <v>0</v>
      </c>
      <c r="AU826" s="30">
        <v>0</v>
      </c>
      <c r="AV826" s="30">
        <v>0</v>
      </c>
      <c r="AW826" s="30">
        <v>0</v>
      </c>
      <c r="AX826" s="30">
        <v>0</v>
      </c>
      <c r="AY826" s="30">
        <v>0</v>
      </c>
      <c r="AZ826" s="30">
        <v>0</v>
      </c>
      <c r="BA826" s="30" t="e">
        <f t="array" aca="1" ref="BA826" ca="1">_xludf.XLOOKUP(C826,'PL TOTAL D0'!A:A,'PL TOTAL D0'!C:C,"")</f>
        <v>#NAME?</v>
      </c>
    </row>
    <row r="827" spans="1:53" ht="15.75" customHeight="1">
      <c r="A827" s="23" t="s">
        <v>29</v>
      </c>
      <c r="B827" s="40" t="s">
        <v>2759</v>
      </c>
      <c r="C827" s="44" t="s">
        <v>2762</v>
      </c>
      <c r="D827" s="7" t="s">
        <v>64</v>
      </c>
      <c r="E827" s="7" t="s">
        <v>20</v>
      </c>
      <c r="F827" s="7" t="s">
        <v>142</v>
      </c>
      <c r="G827" s="7" t="e">
        <f t="shared" ca="1" si="34"/>
        <v>#NAME?</v>
      </c>
      <c r="H827" s="24" t="s">
        <v>161</v>
      </c>
      <c r="I827" s="24" t="s">
        <v>162</v>
      </c>
      <c r="J827" s="7" t="str">
        <f t="shared" si="37"/>
        <v>Não</v>
      </c>
      <c r="K827" s="25">
        <v>45187</v>
      </c>
      <c r="L827" s="7"/>
      <c r="M827" s="7" t="s">
        <v>225</v>
      </c>
      <c r="N827" s="26">
        <v>1.4E-2</v>
      </c>
      <c r="O827" s="7" t="s">
        <v>37</v>
      </c>
      <c r="P827" s="27">
        <v>0.1</v>
      </c>
      <c r="Q827" s="28"/>
      <c r="R827" s="28"/>
      <c r="S827" s="7" t="s">
        <v>145</v>
      </c>
      <c r="T827" s="7" t="s">
        <v>2761</v>
      </c>
      <c r="U827" s="7" t="s">
        <v>20</v>
      </c>
      <c r="V827" s="24" t="e">
        <f t="shared" ca="1" si="35"/>
        <v>#NAME?</v>
      </c>
      <c r="W827" s="7"/>
      <c r="X827" s="7"/>
      <c r="Y827" s="29" t="s">
        <v>147</v>
      </c>
      <c r="Z827" s="30"/>
      <c r="AA827" s="31">
        <v>45187</v>
      </c>
      <c r="AB827" s="32">
        <v>49075100012083</v>
      </c>
      <c r="AC827" s="30"/>
      <c r="AD827" s="30"/>
      <c r="AE827" s="30"/>
      <c r="AF827" s="30"/>
      <c r="AG827" s="30"/>
      <c r="AH827" s="30"/>
      <c r="AI827" s="30"/>
      <c r="AJ827" s="30"/>
      <c r="AK827" s="30"/>
      <c r="AL827" s="30"/>
      <c r="AM827" s="30"/>
      <c r="AN827" s="30">
        <v>0</v>
      </c>
      <c r="AO827" s="30">
        <v>0</v>
      </c>
      <c r="AP827" s="30">
        <v>0</v>
      </c>
      <c r="AQ827" s="30">
        <v>0</v>
      </c>
      <c r="AR827" s="30">
        <v>0</v>
      </c>
      <c r="AS827" s="30">
        <v>0</v>
      </c>
      <c r="AT827" s="30">
        <v>0</v>
      </c>
      <c r="AU827" s="30">
        <v>0</v>
      </c>
      <c r="AV827" s="30">
        <v>0</v>
      </c>
      <c r="AW827" s="30">
        <v>0</v>
      </c>
      <c r="AX827" s="30">
        <v>0</v>
      </c>
      <c r="AY827" s="30">
        <v>0</v>
      </c>
      <c r="AZ827" s="30">
        <v>0</v>
      </c>
      <c r="BA827" s="30" t="e">
        <f t="array" aca="1" ref="BA827" ca="1">_xludf.XLOOKUP(C827,'PL TOTAL D0'!A:A,'PL TOTAL D0'!C:C,"")</f>
        <v>#NAME?</v>
      </c>
    </row>
    <row r="828" spans="1:53" ht="15.75" customHeight="1">
      <c r="A828" s="23" t="s">
        <v>29</v>
      </c>
      <c r="B828" s="3" t="s">
        <v>2763</v>
      </c>
      <c r="C828" s="4" t="s">
        <v>2764</v>
      </c>
      <c r="D828" s="7" t="s">
        <v>19</v>
      </c>
      <c r="E828" s="7" t="s">
        <v>49</v>
      </c>
      <c r="F828" s="7" t="s">
        <v>166</v>
      </c>
      <c r="G828" s="7" t="e">
        <f t="shared" ca="1" si="34"/>
        <v>#NAME?</v>
      </c>
      <c r="H828" s="24" t="s">
        <v>152</v>
      </c>
      <c r="I828" s="24" t="s">
        <v>25</v>
      </c>
      <c r="J828" s="7" t="str">
        <f t="shared" si="37"/>
        <v>Não</v>
      </c>
      <c r="K828" s="25">
        <v>45282</v>
      </c>
      <c r="L828" s="7"/>
      <c r="M828" s="9" t="s">
        <v>357</v>
      </c>
      <c r="N828" s="10">
        <v>7.0000000000000001E-3</v>
      </c>
      <c r="O828" s="6" t="s">
        <v>25</v>
      </c>
      <c r="P828" s="11">
        <v>0</v>
      </c>
      <c r="Q828" s="45"/>
      <c r="R828" s="45"/>
      <c r="S828" s="7" t="s">
        <v>145</v>
      </c>
      <c r="T828" s="7" t="s">
        <v>2765</v>
      </c>
      <c r="U828" s="7" t="s">
        <v>49</v>
      </c>
      <c r="V828" s="24" t="e">
        <f t="shared" ca="1" si="35"/>
        <v>#NAME?</v>
      </c>
      <c r="W828" s="7"/>
      <c r="X828" s="7"/>
      <c r="Y828" s="29" t="s">
        <v>147</v>
      </c>
      <c r="Z828" s="30"/>
      <c r="AA828" s="31">
        <v>45282</v>
      </c>
      <c r="AB828" s="32">
        <v>49075100013071</v>
      </c>
      <c r="AC828" s="30"/>
      <c r="AD828" s="30"/>
      <c r="AE828" s="30"/>
      <c r="AF828" s="30"/>
      <c r="AG828" s="30"/>
      <c r="AH828" s="30"/>
      <c r="AI828" s="30"/>
      <c r="AJ828" s="30"/>
      <c r="AK828" s="30"/>
      <c r="AL828" s="30"/>
      <c r="AM828" s="30"/>
      <c r="AN828" s="30"/>
      <c r="AO828" s="30"/>
      <c r="AP828" s="30"/>
      <c r="AQ828" s="30">
        <v>100024.17</v>
      </c>
      <c r="AR828" s="30">
        <v>101072.51</v>
      </c>
      <c r="AS828" s="30">
        <v>101920.12</v>
      </c>
      <c r="AT828" s="30">
        <v>102856.91</v>
      </c>
      <c r="AU828" s="30">
        <v>103752.78</v>
      </c>
      <c r="AV828" s="30">
        <v>104522.4</v>
      </c>
      <c r="AW828" s="30">
        <v>105388.7</v>
      </c>
      <c r="AX828" s="30">
        <v>106321.1</v>
      </c>
      <c r="AY828" s="30">
        <v>107321.01</v>
      </c>
      <c r="AZ828" s="30">
        <v>108175.63</v>
      </c>
      <c r="BA828" s="30" t="e">
        <f t="array" aca="1" ref="BA828" ca="1">_xludf.XLOOKUP(C828,'PL TOTAL D0'!A:A,'PL TOTAL D0'!C:C,"")</f>
        <v>#NAME?</v>
      </c>
    </row>
    <row r="829" spans="1:53" ht="15.75" customHeight="1">
      <c r="A829" s="23" t="s">
        <v>29</v>
      </c>
      <c r="B829" s="3" t="s">
        <v>2763</v>
      </c>
      <c r="C829" s="4" t="s">
        <v>2766</v>
      </c>
      <c r="D829" s="7" t="s">
        <v>19</v>
      </c>
      <c r="E829" s="7" t="s">
        <v>49</v>
      </c>
      <c r="F829" s="7" t="s">
        <v>166</v>
      </c>
      <c r="G829" s="7" t="e">
        <f t="shared" ca="1" si="34"/>
        <v>#NAME?</v>
      </c>
      <c r="H829" s="24" t="s">
        <v>152</v>
      </c>
      <c r="I829" s="24" t="s">
        <v>25</v>
      </c>
      <c r="J829" s="7" t="str">
        <f t="shared" si="37"/>
        <v>Sim</v>
      </c>
      <c r="K829" s="25">
        <v>45127</v>
      </c>
      <c r="L829" s="7"/>
      <c r="M829" s="7" t="s">
        <v>42</v>
      </c>
      <c r="N829" s="26">
        <v>1.2E-2</v>
      </c>
      <c r="O829" s="7" t="s">
        <v>25</v>
      </c>
      <c r="P829" s="27">
        <v>0</v>
      </c>
      <c r="Q829" s="45" t="s">
        <v>2767</v>
      </c>
      <c r="R829" s="45"/>
      <c r="S829" s="7" t="s">
        <v>145</v>
      </c>
      <c r="T829" s="7" t="s">
        <v>2765</v>
      </c>
      <c r="U829" s="7" t="s">
        <v>49</v>
      </c>
      <c r="V829" s="24" t="e">
        <f t="shared" ca="1" si="35"/>
        <v>#NAME?</v>
      </c>
      <c r="W829" s="7"/>
      <c r="X829" s="7"/>
      <c r="Y829" s="29" t="s">
        <v>147</v>
      </c>
      <c r="Z829" s="30"/>
      <c r="AA829" s="31">
        <v>45127</v>
      </c>
      <c r="AB829" s="32">
        <v>49075100008205</v>
      </c>
      <c r="AC829" s="30"/>
      <c r="AD829" s="30"/>
      <c r="AE829" s="30"/>
      <c r="AF829" s="30"/>
      <c r="AG829" s="30"/>
      <c r="AH829" s="30"/>
      <c r="AI829" s="30"/>
      <c r="AJ829" s="30"/>
      <c r="AK829" s="30">
        <v>0</v>
      </c>
      <c r="AL829" s="30">
        <v>1875447.01</v>
      </c>
      <c r="AM829" s="30">
        <v>1896446.3</v>
      </c>
      <c r="AN829" s="30">
        <v>1503271.83</v>
      </c>
      <c r="AO829" s="30">
        <v>1516384.23</v>
      </c>
      <c r="AP829" s="30">
        <v>1527561.79</v>
      </c>
      <c r="AQ829" s="30">
        <v>1800247.93</v>
      </c>
      <c r="AR829" s="30">
        <v>1809687.32</v>
      </c>
      <c r="AS829" s="30">
        <v>1813405.43</v>
      </c>
      <c r="AT829" s="30">
        <v>1823412.12</v>
      </c>
      <c r="AU829" s="30">
        <v>1826537.8</v>
      </c>
      <c r="AV829" s="30">
        <v>1833408</v>
      </c>
      <c r="AW829" s="30">
        <v>2138816</v>
      </c>
      <c r="AX829" s="30">
        <v>2099112</v>
      </c>
      <c r="AY829" s="30">
        <v>2112064.41</v>
      </c>
      <c r="AZ829" s="30">
        <v>1822305.67</v>
      </c>
      <c r="BA829" s="30" t="e">
        <f t="array" aca="1" ref="BA829" ca="1">_xludf.XLOOKUP(C829,'PL TOTAL D0'!A:A,'PL TOTAL D0'!C:C,"")</f>
        <v>#NAME?</v>
      </c>
    </row>
    <row r="830" spans="1:53" ht="15.75" customHeight="1">
      <c r="A830" s="23" t="s">
        <v>29</v>
      </c>
      <c r="B830" s="3" t="s">
        <v>2768</v>
      </c>
      <c r="C830" s="44" t="s">
        <v>2769</v>
      </c>
      <c r="D830" s="7" t="s">
        <v>19</v>
      </c>
      <c r="E830" s="7" t="s">
        <v>49</v>
      </c>
      <c r="F830" s="7" t="s">
        <v>50</v>
      </c>
      <c r="G830" s="7" t="e">
        <f t="shared" ca="1" si="34"/>
        <v>#NAME?</v>
      </c>
      <c r="H830" s="24" t="s">
        <v>152</v>
      </c>
      <c r="I830" s="24" t="s">
        <v>25</v>
      </c>
      <c r="J830" s="7" t="str">
        <f t="shared" si="37"/>
        <v>Não</v>
      </c>
      <c r="K830" s="25">
        <v>45246</v>
      </c>
      <c r="L830" s="7"/>
      <c r="M830" s="7" t="s">
        <v>200</v>
      </c>
      <c r="N830" s="26">
        <v>1.4999999999999999E-2</v>
      </c>
      <c r="O830" s="7" t="s">
        <v>37</v>
      </c>
      <c r="P830" s="27">
        <v>0.1</v>
      </c>
      <c r="Q830" s="45"/>
      <c r="R830" s="36" t="s">
        <v>2770</v>
      </c>
      <c r="S830" s="7" t="s">
        <v>145</v>
      </c>
      <c r="T830" s="7" t="s">
        <v>2771</v>
      </c>
      <c r="U830" s="7" t="s">
        <v>49</v>
      </c>
      <c r="V830" s="24" t="e">
        <f t="shared" ca="1" si="35"/>
        <v>#NAME?</v>
      </c>
      <c r="W830" s="7"/>
      <c r="X830" s="7"/>
      <c r="Y830" s="29" t="s">
        <v>147</v>
      </c>
      <c r="Z830" s="30"/>
      <c r="AA830" s="31">
        <v>45246</v>
      </c>
      <c r="AB830" s="32">
        <v>49075100012857</v>
      </c>
      <c r="AC830" s="30"/>
      <c r="AD830" s="30"/>
      <c r="AE830" s="30"/>
      <c r="AF830" s="30"/>
      <c r="AG830" s="30"/>
      <c r="AH830" s="30"/>
      <c r="AI830" s="30"/>
      <c r="AJ830" s="30"/>
      <c r="AK830" s="30"/>
      <c r="AL830" s="30"/>
      <c r="AM830" s="30"/>
      <c r="AN830" s="30"/>
      <c r="AO830" s="30"/>
      <c r="AP830" s="30">
        <v>0</v>
      </c>
      <c r="AQ830" s="30">
        <v>191604.91</v>
      </c>
      <c r="AR830" s="30">
        <v>231090.55</v>
      </c>
      <c r="AS830" s="30">
        <v>322944.63</v>
      </c>
      <c r="AT830" s="30">
        <v>325691.07</v>
      </c>
      <c r="AU830" s="30">
        <v>324436.52</v>
      </c>
      <c r="AV830" s="30">
        <v>323185.2</v>
      </c>
      <c r="AW830" s="30">
        <v>325243.3</v>
      </c>
      <c r="AX830" s="30">
        <v>241760.4</v>
      </c>
      <c r="AY830" s="30">
        <v>244551.64</v>
      </c>
      <c r="AZ830" s="30">
        <v>244230.5</v>
      </c>
      <c r="BA830" s="30" t="e">
        <f t="array" aca="1" ref="BA830" ca="1">_xludf.XLOOKUP(C830,'PL TOTAL D0'!A:A,'PL TOTAL D0'!C:C,"")</f>
        <v>#NAME?</v>
      </c>
    </row>
    <row r="831" spans="1:53" ht="15.75" customHeight="1">
      <c r="A831" s="23" t="s">
        <v>29</v>
      </c>
      <c r="B831" s="3" t="s">
        <v>2772</v>
      </c>
      <c r="C831" s="4" t="s">
        <v>2773</v>
      </c>
      <c r="D831" s="7" t="s">
        <v>19</v>
      </c>
      <c r="E831" s="7" t="s">
        <v>34</v>
      </c>
      <c r="F831" s="7" t="s">
        <v>35</v>
      </c>
      <c r="G831" s="7" t="e">
        <f t="shared" ca="1" si="34"/>
        <v>#NAME?</v>
      </c>
      <c r="H831" s="24" t="s">
        <v>152</v>
      </c>
      <c r="I831" s="24" t="s">
        <v>25</v>
      </c>
      <c r="J831" s="7" t="str">
        <f t="shared" si="37"/>
        <v>Não</v>
      </c>
      <c r="K831" s="25">
        <v>45163</v>
      </c>
      <c r="L831" s="25"/>
      <c r="M831" s="7" t="s">
        <v>880</v>
      </c>
      <c r="N831" s="26">
        <v>7.0000000000000001E-3</v>
      </c>
      <c r="O831" s="7" t="s">
        <v>25</v>
      </c>
      <c r="P831" s="27">
        <v>0</v>
      </c>
      <c r="Q831" s="28"/>
      <c r="R831" s="28"/>
      <c r="S831" s="7" t="s">
        <v>145</v>
      </c>
      <c r="T831" s="7" t="s">
        <v>2774</v>
      </c>
      <c r="U831" s="7" t="s">
        <v>46</v>
      </c>
      <c r="V831" s="24" t="e">
        <f t="shared" ca="1" si="35"/>
        <v>#NAME?</v>
      </c>
      <c r="W831" s="7"/>
      <c r="X831" s="7"/>
      <c r="Y831" s="29" t="s">
        <v>147</v>
      </c>
      <c r="Z831" s="30"/>
      <c r="AA831" s="31">
        <v>45163</v>
      </c>
      <c r="AB831" s="32">
        <v>49075100006301</v>
      </c>
      <c r="AC831" s="30"/>
      <c r="AD831" s="30"/>
      <c r="AE831" s="30"/>
      <c r="AF831" s="30"/>
      <c r="AG831" s="30"/>
      <c r="AH831" s="30"/>
      <c r="AI831" s="30"/>
      <c r="AJ831" s="30"/>
      <c r="AK831" s="30">
        <v>0</v>
      </c>
      <c r="AL831" s="30">
        <v>0</v>
      </c>
      <c r="AM831" s="30">
        <v>232512.44</v>
      </c>
      <c r="AN831" s="30">
        <v>234923.98</v>
      </c>
      <c r="AO831" s="30">
        <v>237389.47</v>
      </c>
      <c r="AP831" s="30">
        <v>239009.45</v>
      </c>
      <c r="AQ831" s="30">
        <v>241044.65</v>
      </c>
      <c r="AR831" s="30">
        <v>243169.14</v>
      </c>
      <c r="AS831" s="30">
        <v>244996.03</v>
      </c>
      <c r="AT831" s="30">
        <v>247051.88</v>
      </c>
      <c r="AU831" s="30">
        <v>249136.81</v>
      </c>
      <c r="AV831" s="30">
        <v>251061.3</v>
      </c>
      <c r="AW831" s="30">
        <v>252946.6</v>
      </c>
      <c r="AX831" s="30">
        <v>255031.7</v>
      </c>
      <c r="AY831" s="30">
        <v>257235.34</v>
      </c>
      <c r="AZ831" s="30">
        <v>259220.2</v>
      </c>
      <c r="BA831" s="30" t="e">
        <f t="array" aca="1" ref="BA831" ca="1">_xludf.XLOOKUP(C831,'PL TOTAL D0'!A:A,'PL TOTAL D0'!C:C,"")</f>
        <v>#NAME?</v>
      </c>
    </row>
    <row r="832" spans="1:53" ht="15.75" customHeight="1">
      <c r="A832" s="23" t="s">
        <v>29</v>
      </c>
      <c r="B832" s="185" t="s">
        <v>2775</v>
      </c>
      <c r="C832" s="41" t="s">
        <v>2776</v>
      </c>
      <c r="D832" s="7" t="s">
        <v>19</v>
      </c>
      <c r="E832" s="7" t="s">
        <v>34</v>
      </c>
      <c r="F832" s="7" t="s">
        <v>262</v>
      </c>
      <c r="G832" s="7" t="e">
        <f t="shared" ca="1" si="34"/>
        <v>#NAME?</v>
      </c>
      <c r="H832" s="24" t="s">
        <v>152</v>
      </c>
      <c r="I832" s="24" t="s">
        <v>25</v>
      </c>
      <c r="J832" s="7" t="str">
        <f t="shared" si="37"/>
        <v>Sim</v>
      </c>
      <c r="K832" s="25">
        <v>45190</v>
      </c>
      <c r="L832" s="25"/>
      <c r="M832" s="7" t="s">
        <v>42</v>
      </c>
      <c r="N832" s="26">
        <v>1.2E-2</v>
      </c>
      <c r="O832" s="7" t="s">
        <v>25</v>
      </c>
      <c r="P832" s="27">
        <v>0</v>
      </c>
      <c r="Q832" s="45" t="s">
        <v>2777</v>
      </c>
      <c r="R832" s="28"/>
      <c r="S832" s="7" t="s">
        <v>145</v>
      </c>
      <c r="T832" s="7" t="s">
        <v>2778</v>
      </c>
      <c r="U832" s="7" t="s">
        <v>60</v>
      </c>
      <c r="V832" s="24" t="e">
        <f t="shared" ca="1" si="35"/>
        <v>#NAME?</v>
      </c>
      <c r="W832" s="7"/>
      <c r="X832" s="7"/>
      <c r="Y832" s="29" t="s">
        <v>147</v>
      </c>
      <c r="Z832" s="30"/>
      <c r="AA832" s="31">
        <v>45190</v>
      </c>
      <c r="AB832" s="32">
        <v>49075100012091</v>
      </c>
      <c r="AC832" s="30"/>
      <c r="AD832" s="30"/>
      <c r="AE832" s="30"/>
      <c r="AF832" s="30"/>
      <c r="AG832" s="30"/>
      <c r="AH832" s="30"/>
      <c r="AI832" s="30"/>
      <c r="AJ832" s="30"/>
      <c r="AK832" s="30"/>
      <c r="AL832" s="30"/>
      <c r="AM832" s="30"/>
      <c r="AN832" s="30">
        <v>50021.25</v>
      </c>
      <c r="AO832" s="30">
        <v>450886.23</v>
      </c>
      <c r="AP832" s="30">
        <v>454556.5</v>
      </c>
      <c r="AQ832" s="30">
        <v>456141.06</v>
      </c>
      <c r="AR832" s="30">
        <v>459171.94</v>
      </c>
      <c r="AS832" s="30">
        <v>445108.27</v>
      </c>
      <c r="AT832" s="30">
        <v>438530.77</v>
      </c>
      <c r="AU832" s="30">
        <v>433722.6</v>
      </c>
      <c r="AV832" s="30">
        <v>411920.8</v>
      </c>
      <c r="AW832" s="30">
        <v>403187.20000000001</v>
      </c>
      <c r="AX832" s="30">
        <v>388234.7</v>
      </c>
      <c r="AY832" s="30">
        <v>377400.15</v>
      </c>
      <c r="AZ832" s="30">
        <v>364543.98</v>
      </c>
      <c r="BA832" s="30" t="e">
        <f t="array" aca="1" ref="BA832" ca="1">_xludf.XLOOKUP(C832,'PL TOTAL D0'!A:A,'PL TOTAL D0'!C:C,"")</f>
        <v>#NAME?</v>
      </c>
    </row>
    <row r="833" spans="1:53" ht="15.75" customHeight="1">
      <c r="A833" s="23" t="s">
        <v>29</v>
      </c>
      <c r="B833" s="185" t="s">
        <v>2779</v>
      </c>
      <c r="C833" s="41" t="s">
        <v>2780</v>
      </c>
      <c r="D833" s="7" t="s">
        <v>150</v>
      </c>
      <c r="E833" s="7" t="s">
        <v>49</v>
      </c>
      <c r="F833" s="7" t="s">
        <v>151</v>
      </c>
      <c r="G833" s="7" t="e">
        <f t="shared" ca="1" si="34"/>
        <v>#NAME?</v>
      </c>
      <c r="H833" s="24" t="s">
        <v>152</v>
      </c>
      <c r="I833" s="24" t="s">
        <v>25</v>
      </c>
      <c r="J833" s="7" t="str">
        <f t="shared" si="37"/>
        <v>Sim</v>
      </c>
      <c r="K833" s="25">
        <v>45566</v>
      </c>
      <c r="L833" s="25"/>
      <c r="M833" s="7" t="s">
        <v>42</v>
      </c>
      <c r="N833" s="26">
        <v>1.2E-2</v>
      </c>
      <c r="O833" s="7" t="s">
        <v>25</v>
      </c>
      <c r="P833" s="27">
        <v>0</v>
      </c>
      <c r="Q833" s="45" t="s">
        <v>2781</v>
      </c>
      <c r="R833" s="28"/>
      <c r="S833" s="7" t="s">
        <v>145</v>
      </c>
      <c r="T833" s="7" t="s">
        <v>2782</v>
      </c>
      <c r="U833" s="7" t="s">
        <v>49</v>
      </c>
      <c r="V833" s="24" t="e">
        <f t="shared" ca="1" si="35"/>
        <v>#NAME?</v>
      </c>
      <c r="W833" s="7"/>
      <c r="X833" s="7" t="s">
        <v>40</v>
      </c>
      <c r="Y833" s="29"/>
      <c r="Z833" s="30"/>
      <c r="AA833" s="30"/>
      <c r="AB833" s="32"/>
      <c r="AC833" s="30"/>
      <c r="AD833" s="30"/>
      <c r="AE833" s="30"/>
      <c r="AF833" s="30"/>
      <c r="AG833" s="30"/>
      <c r="AH833" s="30"/>
      <c r="AI833" s="30"/>
      <c r="AJ833" s="30"/>
      <c r="AK833" s="30"/>
      <c r="AL833" s="30"/>
      <c r="AM833" s="30"/>
      <c r="AN833" s="30"/>
      <c r="AO833" s="30"/>
      <c r="AP833" s="30"/>
      <c r="AQ833" s="30"/>
      <c r="AR833" s="30"/>
      <c r="AS833" s="30"/>
      <c r="AT833" s="30"/>
      <c r="AU833" s="30"/>
      <c r="AV833" s="30"/>
      <c r="AW833" s="30"/>
      <c r="AX833" s="30"/>
      <c r="AY833" s="30"/>
      <c r="AZ833" s="30"/>
      <c r="BA833" s="30" t="e">
        <f t="array" aca="1" ref="BA833" ca="1">_xludf.XLOOKUP(C833,'PL TOTAL D0'!A:A,'PL TOTAL D0'!C:C,"")</f>
        <v>#NAME?</v>
      </c>
    </row>
    <row r="834" spans="1:53" ht="15.75" customHeight="1">
      <c r="A834" s="23" t="s">
        <v>29</v>
      </c>
      <c r="B834" s="3" t="s">
        <v>2783</v>
      </c>
      <c r="C834" s="4" t="s">
        <v>2784</v>
      </c>
      <c r="D834" s="7" t="s">
        <v>19</v>
      </c>
      <c r="E834" s="7" t="s">
        <v>20</v>
      </c>
      <c r="F834" s="7" t="s">
        <v>210</v>
      </c>
      <c r="G834" s="7" t="e">
        <f t="shared" ca="1" si="34"/>
        <v>#NAME?</v>
      </c>
      <c r="H834" s="24" t="s">
        <v>152</v>
      </c>
      <c r="I834" s="24" t="s">
        <v>25</v>
      </c>
      <c r="J834" s="7" t="str">
        <f t="shared" si="37"/>
        <v>Não</v>
      </c>
      <c r="K834" s="25">
        <v>45042</v>
      </c>
      <c r="L834" s="7"/>
      <c r="M834" s="7" t="s">
        <v>200</v>
      </c>
      <c r="N834" s="26">
        <v>1.4999999999999999E-2</v>
      </c>
      <c r="O834" s="7" t="s">
        <v>37</v>
      </c>
      <c r="P834" s="27">
        <v>0.1</v>
      </c>
      <c r="Q834" s="28"/>
      <c r="R834" s="28"/>
      <c r="S834" s="7" t="s">
        <v>145</v>
      </c>
      <c r="T834" s="7" t="s">
        <v>2785</v>
      </c>
      <c r="U834" s="7" t="s">
        <v>20</v>
      </c>
      <c r="V834" s="24" t="e">
        <f t="shared" ca="1" si="35"/>
        <v>#NAME?</v>
      </c>
      <c r="W834" s="7"/>
      <c r="X834" s="7"/>
      <c r="Y834" s="29" t="s">
        <v>253</v>
      </c>
      <c r="Z834" s="30"/>
      <c r="AA834" s="31">
        <v>45042</v>
      </c>
      <c r="AB834" s="32">
        <v>49075100004692</v>
      </c>
      <c r="AC834" s="30"/>
      <c r="AD834" s="30"/>
      <c r="AE834" s="30"/>
      <c r="AF834" s="30"/>
      <c r="AG834" s="30"/>
      <c r="AH834" s="30"/>
      <c r="AI834" s="30">
        <v>112366.37</v>
      </c>
      <c r="AJ834" s="30">
        <v>113918.96</v>
      </c>
      <c r="AK834" s="30">
        <v>200612.93</v>
      </c>
      <c r="AL834" s="30">
        <v>282738</v>
      </c>
      <c r="AM834" s="30">
        <v>231160.19</v>
      </c>
      <c r="AN834" s="30">
        <v>181973.47</v>
      </c>
      <c r="AO834" s="30">
        <v>181576.12</v>
      </c>
      <c r="AP834" s="30">
        <v>134747.78</v>
      </c>
      <c r="AQ834" s="30">
        <v>87143.73</v>
      </c>
      <c r="AR834" s="30">
        <v>7174.63</v>
      </c>
      <c r="AS834" s="30">
        <v>7279.92</v>
      </c>
      <c r="AT834" s="30">
        <v>7323.91</v>
      </c>
      <c r="AU834" s="30">
        <v>7373.52</v>
      </c>
      <c r="AV834" s="30">
        <v>7413.53</v>
      </c>
      <c r="AW834" s="30">
        <v>7460.79</v>
      </c>
      <c r="AX834" s="30">
        <v>17560.939999999999</v>
      </c>
      <c r="AY834" s="30">
        <v>17693.52</v>
      </c>
      <c r="AZ834" s="30">
        <v>7725.91</v>
      </c>
      <c r="BA834" s="30" t="e">
        <f t="array" aca="1" ref="BA834" ca="1">_xludf.XLOOKUP(C834,'PL TOTAL D0'!A:A,'PL TOTAL D0'!C:C,"")</f>
        <v>#NAME?</v>
      </c>
    </row>
    <row r="835" spans="1:53" ht="15.75" customHeight="1">
      <c r="A835" s="23" t="s">
        <v>29</v>
      </c>
      <c r="B835" s="38" t="s">
        <v>2786</v>
      </c>
      <c r="C835" s="39" t="s">
        <v>2787</v>
      </c>
      <c r="D835" s="7" t="s">
        <v>19</v>
      </c>
      <c r="E835" s="7" t="s">
        <v>20</v>
      </c>
      <c r="F835" s="7" t="s">
        <v>199</v>
      </c>
      <c r="G835" s="7" t="e">
        <f t="shared" ca="1" si="34"/>
        <v>#NAME?</v>
      </c>
      <c r="H835" s="24" t="s">
        <v>143</v>
      </c>
      <c r="I835" s="24" t="s">
        <v>25</v>
      </c>
      <c r="J835" s="7" t="str">
        <f t="shared" si="37"/>
        <v>Não</v>
      </c>
      <c r="K835" s="25">
        <v>45385</v>
      </c>
      <c r="L835" s="25">
        <v>45414</v>
      </c>
      <c r="M835" s="7" t="s">
        <v>31</v>
      </c>
      <c r="N835" s="26">
        <v>0</v>
      </c>
      <c r="O835" s="7" t="s">
        <v>25</v>
      </c>
      <c r="P835" s="27">
        <v>0</v>
      </c>
      <c r="Q835" s="36"/>
      <c r="R835" s="28"/>
      <c r="S835" s="7" t="s">
        <v>145</v>
      </c>
      <c r="T835" s="12" t="s">
        <v>2788</v>
      </c>
      <c r="U835" s="7" t="s">
        <v>20</v>
      </c>
      <c r="V835" s="24" t="e">
        <f t="shared" ca="1" si="35"/>
        <v>#NAME?</v>
      </c>
      <c r="W835" s="7"/>
      <c r="X835" s="7"/>
      <c r="Y835" s="29"/>
      <c r="Z835" s="30"/>
      <c r="AA835" s="31">
        <v>45385</v>
      </c>
      <c r="AB835" s="32">
        <v>49075100014213</v>
      </c>
      <c r="AC835" s="30"/>
      <c r="AD835" s="30"/>
      <c r="AE835" s="30"/>
      <c r="AF835" s="30"/>
      <c r="AG835" s="30"/>
      <c r="AH835" s="30"/>
      <c r="AI835" s="30"/>
      <c r="AJ835" s="30"/>
      <c r="AK835" s="30"/>
      <c r="AL835" s="30"/>
      <c r="AM835" s="30"/>
      <c r="AN835" s="30"/>
      <c r="AO835" s="30"/>
      <c r="AP835" s="30"/>
      <c r="AQ835" s="30"/>
      <c r="AR835" s="30"/>
      <c r="AS835" s="30"/>
      <c r="AT835" s="30"/>
      <c r="AU835" s="30">
        <v>0</v>
      </c>
      <c r="AV835" s="30">
        <v>0</v>
      </c>
      <c r="AW835" s="30">
        <v>0</v>
      </c>
      <c r="AX835" s="30">
        <v>0</v>
      </c>
      <c r="AY835" s="30">
        <v>0</v>
      </c>
      <c r="AZ835" s="30">
        <v>0</v>
      </c>
      <c r="BA835" s="30" t="e">
        <f t="array" aca="1" ref="BA835" ca="1">_xludf.XLOOKUP(C835,'PL TOTAL D0'!A:A,'PL TOTAL D0'!C:C,"")</f>
        <v>#NAME?</v>
      </c>
    </row>
    <row r="836" spans="1:53" ht="15.75" customHeight="1">
      <c r="A836" s="23" t="s">
        <v>29</v>
      </c>
      <c r="B836" s="37" t="s">
        <v>2789</v>
      </c>
      <c r="C836" s="4" t="s">
        <v>2790</v>
      </c>
      <c r="D836" s="7" t="s">
        <v>19</v>
      </c>
      <c r="E836" s="7" t="s">
        <v>49</v>
      </c>
      <c r="F836" s="7" t="s">
        <v>2036</v>
      </c>
      <c r="G836" s="7" t="e">
        <f t="shared" ca="1" si="34"/>
        <v>#NAME?</v>
      </c>
      <c r="H836" s="24" t="s">
        <v>161</v>
      </c>
      <c r="I836" s="24" t="s">
        <v>162</v>
      </c>
      <c r="J836" s="7" t="str">
        <f t="shared" si="37"/>
        <v>Não</v>
      </c>
      <c r="K836" s="25">
        <v>45099</v>
      </c>
      <c r="L836" s="25"/>
      <c r="M836" s="7" t="s">
        <v>200</v>
      </c>
      <c r="N836" s="26">
        <v>1.4999999999999999E-2</v>
      </c>
      <c r="O836" s="7" t="s">
        <v>37</v>
      </c>
      <c r="P836" s="27">
        <v>0.1</v>
      </c>
      <c r="Q836" s="28"/>
      <c r="R836" s="28"/>
      <c r="S836" s="7" t="s">
        <v>145</v>
      </c>
      <c r="T836" s="7" t="s">
        <v>2791</v>
      </c>
      <c r="U836" s="7" t="s">
        <v>49</v>
      </c>
      <c r="V836" s="24" t="e">
        <f t="shared" ca="1" si="35"/>
        <v>#NAME?</v>
      </c>
      <c r="W836" s="7"/>
      <c r="X836" s="7"/>
      <c r="Y836" s="29" t="s">
        <v>147</v>
      </c>
      <c r="Z836" s="30"/>
      <c r="AA836" s="31">
        <v>45099</v>
      </c>
      <c r="AB836" s="32">
        <v>49075100013918</v>
      </c>
      <c r="AC836" s="30"/>
      <c r="AD836" s="30"/>
      <c r="AE836" s="30"/>
      <c r="AF836" s="30"/>
      <c r="AG836" s="30">
        <v>15000</v>
      </c>
      <c r="AH836" s="30">
        <v>15000</v>
      </c>
      <c r="AI836" s="30">
        <v>15000</v>
      </c>
      <c r="AJ836" s="30">
        <v>15000</v>
      </c>
      <c r="AK836" s="30">
        <v>15046.9</v>
      </c>
      <c r="AL836" s="30">
        <v>0.01</v>
      </c>
      <c r="AM836" s="30">
        <v>0</v>
      </c>
      <c r="AN836" s="30">
        <v>0</v>
      </c>
      <c r="AO836" s="30">
        <v>0</v>
      </c>
      <c r="AP836" s="30">
        <v>0.01</v>
      </c>
      <c r="AQ836" s="30">
        <v>0.01</v>
      </c>
      <c r="AR836" s="30">
        <v>0.01</v>
      </c>
      <c r="AS836" s="30">
        <v>0.01</v>
      </c>
      <c r="AT836" s="30">
        <v>0.01</v>
      </c>
      <c r="AU836" s="30">
        <v>0.01</v>
      </c>
      <c r="AV836" s="30">
        <v>0.01</v>
      </c>
      <c r="AW836" s="30">
        <v>0.01</v>
      </c>
      <c r="AX836" s="30">
        <v>0.01</v>
      </c>
      <c r="AY836" s="30">
        <v>0.01</v>
      </c>
      <c r="AZ836" s="30">
        <v>0.01</v>
      </c>
      <c r="BA836" s="30" t="e">
        <f t="array" aca="1" ref="BA836" ca="1">_xludf.XLOOKUP(C836,'PL TOTAL D0'!A:A,'PL TOTAL D0'!C:C,"")</f>
        <v>#NAME?</v>
      </c>
    </row>
    <row r="837" spans="1:53" ht="15.75" customHeight="1">
      <c r="A837" s="23" t="s">
        <v>29</v>
      </c>
      <c r="B837" s="37" t="s">
        <v>2792</v>
      </c>
      <c r="C837" s="4" t="s">
        <v>2793</v>
      </c>
      <c r="D837" s="7" t="s">
        <v>19</v>
      </c>
      <c r="E837" s="7" t="s">
        <v>34</v>
      </c>
      <c r="F837" s="7" t="s">
        <v>262</v>
      </c>
      <c r="G837" s="7" t="e">
        <f t="shared" ca="1" si="34"/>
        <v>#NAME?</v>
      </c>
      <c r="H837" s="24" t="s">
        <v>152</v>
      </c>
      <c r="I837" s="24" t="s">
        <v>25</v>
      </c>
      <c r="J837" s="7" t="str">
        <f t="shared" si="37"/>
        <v>Não</v>
      </c>
      <c r="K837" s="25">
        <v>45576</v>
      </c>
      <c r="L837" s="25"/>
      <c r="M837" s="7" t="s">
        <v>58</v>
      </c>
      <c r="N837" s="26">
        <v>1.2E-2</v>
      </c>
      <c r="O837" s="7" t="s">
        <v>37</v>
      </c>
      <c r="P837" s="27">
        <v>0.1</v>
      </c>
      <c r="Q837" s="28"/>
      <c r="R837" s="28"/>
      <c r="S837" s="7" t="s">
        <v>145</v>
      </c>
      <c r="T837" s="7" t="s">
        <v>2794</v>
      </c>
      <c r="U837" s="7" t="s">
        <v>39</v>
      </c>
      <c r="V837" s="24" t="e">
        <f t="shared" ca="1" si="35"/>
        <v>#NAME?</v>
      </c>
      <c r="W837" s="7"/>
      <c r="X837" s="7" t="s">
        <v>91</v>
      </c>
      <c r="Y837" s="29"/>
      <c r="Z837" s="30"/>
      <c r="AA837" s="31"/>
      <c r="AB837" s="32"/>
      <c r="AC837" s="30"/>
      <c r="AD837" s="30"/>
      <c r="AE837" s="30"/>
      <c r="AF837" s="30"/>
      <c r="AG837" s="30"/>
      <c r="AH837" s="30"/>
      <c r="AI837" s="30"/>
      <c r="AJ837" s="30"/>
      <c r="AK837" s="30"/>
      <c r="AL837" s="30"/>
      <c r="AM837" s="30"/>
      <c r="AN837" s="30"/>
      <c r="AO837" s="30"/>
      <c r="AP837" s="30"/>
      <c r="AQ837" s="30"/>
      <c r="AR837" s="30"/>
      <c r="AS837" s="30"/>
      <c r="AT837" s="30"/>
      <c r="AU837" s="30"/>
      <c r="AV837" s="30"/>
      <c r="AW837" s="30"/>
      <c r="AX837" s="30"/>
      <c r="AY837" s="30"/>
      <c r="AZ837" s="30"/>
      <c r="BA837" s="30" t="e">
        <f t="array" aca="1" ref="BA837" ca="1">_xludf.XLOOKUP(C837,'PL TOTAL D0'!A:A,'PL TOTAL D0'!C:C,"")</f>
        <v>#NAME?</v>
      </c>
    </row>
    <row r="838" spans="1:53" ht="15.75" customHeight="1">
      <c r="A838" s="23" t="s">
        <v>29</v>
      </c>
      <c r="B838" s="40" t="s">
        <v>2795</v>
      </c>
      <c r="C838" s="49" t="s">
        <v>2796</v>
      </c>
      <c r="D838" s="7" t="s">
        <v>19</v>
      </c>
      <c r="E838" s="7" t="s">
        <v>20</v>
      </c>
      <c r="F838" s="7" t="s">
        <v>199</v>
      </c>
      <c r="G838" s="7" t="e">
        <f t="shared" ca="1" si="34"/>
        <v>#NAME?</v>
      </c>
      <c r="H838" s="24" t="s">
        <v>143</v>
      </c>
      <c r="I838" s="24" t="s">
        <v>25</v>
      </c>
      <c r="J838" s="7" t="str">
        <f>IF(R838=0,"Não","Sim")</f>
        <v>Sim</v>
      </c>
      <c r="K838" s="25">
        <v>45175</v>
      </c>
      <c r="L838" s="25">
        <v>45411</v>
      </c>
      <c r="M838" s="7" t="s">
        <v>257</v>
      </c>
      <c r="N838" s="26">
        <v>8.0000000000000002E-3</v>
      </c>
      <c r="O838" s="7" t="s">
        <v>258</v>
      </c>
      <c r="P838" s="27">
        <v>0.1</v>
      </c>
      <c r="Q838" s="86"/>
      <c r="R838" s="28" t="s">
        <v>309</v>
      </c>
      <c r="S838" s="7" t="s">
        <v>145</v>
      </c>
      <c r="T838" s="7" t="s">
        <v>2797</v>
      </c>
      <c r="U838" s="7" t="s">
        <v>886</v>
      </c>
      <c r="V838" s="24" t="e">
        <f t="shared" ca="1" si="35"/>
        <v>#NAME?</v>
      </c>
      <c r="W838" s="7"/>
      <c r="X838" s="7"/>
      <c r="Y838" s="29" t="s">
        <v>147</v>
      </c>
      <c r="Z838" s="30"/>
      <c r="AA838" s="31">
        <v>45175</v>
      </c>
      <c r="AB838" s="32">
        <v>49075100012113</v>
      </c>
      <c r="AC838" s="30"/>
      <c r="AD838" s="30"/>
      <c r="AE838" s="30"/>
      <c r="AF838" s="30"/>
      <c r="AG838" s="30"/>
      <c r="AH838" s="30"/>
      <c r="AI838" s="30"/>
      <c r="AJ838" s="30"/>
      <c r="AK838" s="30"/>
      <c r="AL838" s="30"/>
      <c r="AM838" s="30">
        <v>0</v>
      </c>
      <c r="AN838" s="30">
        <v>193844.4</v>
      </c>
      <c r="AO838" s="30">
        <v>201445.17</v>
      </c>
      <c r="AP838" s="30">
        <v>205170</v>
      </c>
      <c r="AQ838" s="30">
        <v>209842.97</v>
      </c>
      <c r="AR838" s="30">
        <v>210504.58</v>
      </c>
      <c r="AS838" s="30">
        <v>0</v>
      </c>
      <c r="AT838" s="30">
        <v>0</v>
      </c>
      <c r="AU838" s="30">
        <v>0</v>
      </c>
      <c r="AV838" s="30">
        <v>0</v>
      </c>
      <c r="AW838" s="30">
        <v>0</v>
      </c>
      <c r="AX838" s="30">
        <v>0</v>
      </c>
      <c r="AY838" s="30">
        <v>0</v>
      </c>
      <c r="AZ838" s="30">
        <v>0</v>
      </c>
      <c r="BA838" s="30" t="e">
        <f t="array" aca="1" ref="BA838" ca="1">_xludf.XLOOKUP(C838,'PL TOTAL D0'!A:A,'PL TOTAL D0'!C:C,"")</f>
        <v>#NAME?</v>
      </c>
    </row>
    <row r="839" spans="1:53" ht="15.75" customHeight="1">
      <c r="A839" s="23" t="s">
        <v>29</v>
      </c>
      <c r="B839" s="37" t="s">
        <v>2798</v>
      </c>
      <c r="C839" s="4" t="s">
        <v>2799</v>
      </c>
      <c r="D839" s="7" t="s">
        <v>19</v>
      </c>
      <c r="E839" s="7" t="s">
        <v>49</v>
      </c>
      <c r="F839" s="7" t="s">
        <v>277</v>
      </c>
      <c r="G839" s="7" t="e">
        <f t="shared" ca="1" si="34"/>
        <v>#NAME?</v>
      </c>
      <c r="H839" s="24" t="s">
        <v>161</v>
      </c>
      <c r="I839" s="24" t="s">
        <v>162</v>
      </c>
      <c r="J839" s="7" t="str">
        <f>IF(Q839=0,"Não","Sim")</f>
        <v>Não</v>
      </c>
      <c r="K839" s="25">
        <v>44959</v>
      </c>
      <c r="L839" s="7"/>
      <c r="M839" s="7" t="s">
        <v>42</v>
      </c>
      <c r="N839" s="26">
        <v>1.2E-2</v>
      </c>
      <c r="O839" s="7" t="s">
        <v>25</v>
      </c>
      <c r="P839" s="27">
        <v>0</v>
      </c>
      <c r="Q839" s="28"/>
      <c r="R839" s="28"/>
      <c r="S839" s="7" t="s">
        <v>145</v>
      </c>
      <c r="T839" s="7" t="s">
        <v>2800</v>
      </c>
      <c r="U839" s="7" t="s">
        <v>49</v>
      </c>
      <c r="V839" s="24" t="e">
        <f t="shared" ca="1" si="35"/>
        <v>#NAME?</v>
      </c>
      <c r="W839" s="7"/>
      <c r="X839" s="7"/>
      <c r="Y839" s="29" t="s">
        <v>147</v>
      </c>
      <c r="Z839" s="30"/>
      <c r="AA839" s="31">
        <v>44959</v>
      </c>
      <c r="AB839" s="32">
        <v>49075100004651</v>
      </c>
      <c r="AC839" s="30"/>
      <c r="AD839" s="30"/>
      <c r="AE839" s="30"/>
      <c r="AF839" s="30">
        <v>0</v>
      </c>
      <c r="AG839" s="30">
        <v>2010017.61</v>
      </c>
      <c r="AH839" s="30">
        <v>2031340.41</v>
      </c>
      <c r="AI839" s="30">
        <v>2045094.56</v>
      </c>
      <c r="AJ839" s="30">
        <v>2066995.05</v>
      </c>
      <c r="AK839" s="30">
        <v>2086021.94</v>
      </c>
      <c r="AL839" s="30">
        <v>2104306.92</v>
      </c>
      <c r="AM839" s="30">
        <v>2124517.67</v>
      </c>
      <c r="AN839" s="30">
        <v>2141809.61</v>
      </c>
      <c r="AO839" s="30">
        <v>2160907.4900000002</v>
      </c>
      <c r="AP839" s="30">
        <v>2176880.2599999998</v>
      </c>
      <c r="AQ839" s="30">
        <v>2193936.2200000002</v>
      </c>
      <c r="AR839" s="30">
        <v>2213182.04</v>
      </c>
      <c r="AS839" s="30">
        <v>2224003.2799999998</v>
      </c>
      <c r="AT839" s="30">
        <v>2241552.06</v>
      </c>
      <c r="AU839" s="30">
        <v>1531733.78</v>
      </c>
      <c r="AV839" s="30">
        <v>1540547</v>
      </c>
      <c r="AW839" s="30">
        <v>1553698</v>
      </c>
      <c r="AX839" s="30">
        <v>0</v>
      </c>
      <c r="AY839" s="30">
        <v>1</v>
      </c>
      <c r="AZ839" s="30">
        <v>1</v>
      </c>
      <c r="BA839" s="30" t="e">
        <f t="array" aca="1" ref="BA839" ca="1">_xludf.XLOOKUP(C839,'PL TOTAL D0'!A:A,'PL TOTAL D0'!C:C,"")</f>
        <v>#NAME?</v>
      </c>
    </row>
    <row r="840" spans="1:53" ht="15.75" customHeight="1">
      <c r="A840" s="23" t="s">
        <v>29</v>
      </c>
      <c r="B840" s="37" t="s">
        <v>2801</v>
      </c>
      <c r="C840" s="4" t="s">
        <v>2802</v>
      </c>
      <c r="D840" s="7" t="s">
        <v>64</v>
      </c>
      <c r="E840" s="7" t="s">
        <v>20</v>
      </c>
      <c r="F840" s="7" t="s">
        <v>2803</v>
      </c>
      <c r="G840" s="7" t="e">
        <f t="shared" ca="1" si="34"/>
        <v>#NAME?</v>
      </c>
      <c r="H840" s="24" t="s">
        <v>143</v>
      </c>
      <c r="I840" s="24" t="s">
        <v>25</v>
      </c>
      <c r="J840" s="7" t="s">
        <v>1142</v>
      </c>
      <c r="K840" s="25">
        <v>45365</v>
      </c>
      <c r="L840" s="25">
        <v>45464</v>
      </c>
      <c r="M840" s="7" t="s">
        <v>1143</v>
      </c>
      <c r="N840" s="26">
        <v>0.01</v>
      </c>
      <c r="O840" s="7" t="s">
        <v>25</v>
      </c>
      <c r="P840" s="27">
        <v>0</v>
      </c>
      <c r="Q840" s="28"/>
      <c r="R840" s="28" t="s">
        <v>2804</v>
      </c>
      <c r="S840" s="7" t="s">
        <v>145</v>
      </c>
      <c r="T840" s="7" t="s">
        <v>2805</v>
      </c>
      <c r="U840" s="7" t="s">
        <v>20</v>
      </c>
      <c r="V840" s="24" t="e">
        <f t="shared" ca="1" si="35"/>
        <v>#NAME?</v>
      </c>
      <c r="W840" s="7"/>
      <c r="X840" s="7"/>
      <c r="Y840" s="29"/>
      <c r="Z840" s="30"/>
      <c r="AA840" s="31">
        <v>45365</v>
      </c>
      <c r="AB840" s="32">
        <v>49075100013969</v>
      </c>
      <c r="AC840" s="30"/>
      <c r="AD840" s="30"/>
      <c r="AE840" s="30"/>
      <c r="AF840" s="30"/>
      <c r="AG840" s="30"/>
      <c r="AH840" s="30"/>
      <c r="AI840" s="30"/>
      <c r="AJ840" s="30"/>
      <c r="AK840" s="30"/>
      <c r="AL840" s="30"/>
      <c r="AM840" s="30"/>
      <c r="AN840" s="30"/>
      <c r="AO840" s="30"/>
      <c r="AP840" s="30"/>
      <c r="AQ840" s="30"/>
      <c r="AR840" s="30"/>
      <c r="AS840" s="30"/>
      <c r="AT840" s="30">
        <v>759514.93</v>
      </c>
      <c r="AU840" s="30">
        <v>756778.1</v>
      </c>
      <c r="AV840" s="30">
        <v>655418.6</v>
      </c>
      <c r="AW840" s="30">
        <v>0</v>
      </c>
      <c r="AX840" s="30">
        <v>0</v>
      </c>
      <c r="AY840" s="30">
        <v>0</v>
      </c>
      <c r="AZ840" s="30">
        <v>0</v>
      </c>
      <c r="BA840" s="30" t="e">
        <f t="array" aca="1" ref="BA840" ca="1">_xludf.XLOOKUP(C840,'PL TOTAL D0'!A:A,'PL TOTAL D0'!C:C,"")</f>
        <v>#NAME?</v>
      </c>
    </row>
    <row r="841" spans="1:53" ht="15.75" customHeight="1">
      <c r="A841" s="23" t="s">
        <v>29</v>
      </c>
      <c r="B841" s="37" t="s">
        <v>2806</v>
      </c>
      <c r="C841" s="4" t="s">
        <v>2807</v>
      </c>
      <c r="D841" s="7" t="s">
        <v>19</v>
      </c>
      <c r="E841" s="7" t="s">
        <v>49</v>
      </c>
      <c r="F841" s="7" t="s">
        <v>50</v>
      </c>
      <c r="G841" s="7" t="e">
        <f t="shared" ca="1" si="34"/>
        <v>#NAME?</v>
      </c>
      <c r="H841" s="24" t="s">
        <v>161</v>
      </c>
      <c r="I841" s="24" t="s">
        <v>211</v>
      </c>
      <c r="J841" s="7" t="str">
        <f t="shared" ref="J841:J856" si="38">IF(Q841=0,"Não","Sim")</f>
        <v>Não</v>
      </c>
      <c r="K841" s="25">
        <v>44957</v>
      </c>
      <c r="L841" s="7"/>
      <c r="M841" s="7" t="s">
        <v>42</v>
      </c>
      <c r="N841" s="26">
        <v>0.01</v>
      </c>
      <c r="O841" s="7" t="s">
        <v>25</v>
      </c>
      <c r="P841" s="27">
        <v>0</v>
      </c>
      <c r="Q841" s="28"/>
      <c r="R841" s="28" t="s">
        <v>943</v>
      </c>
      <c r="S841" s="7" t="s">
        <v>145</v>
      </c>
      <c r="T841" s="7" t="s">
        <v>2808</v>
      </c>
      <c r="U841" s="7" t="s">
        <v>49</v>
      </c>
      <c r="V841" s="24" t="e">
        <f t="shared" ca="1" si="35"/>
        <v>#NAME?</v>
      </c>
      <c r="W841" s="7"/>
      <c r="X841" s="7"/>
      <c r="Y841" s="29" t="s">
        <v>253</v>
      </c>
      <c r="Z841" s="30"/>
      <c r="AA841" s="31">
        <v>44957</v>
      </c>
      <c r="AB841" s="32">
        <v>49075100006512</v>
      </c>
      <c r="AC841" s="30"/>
      <c r="AD841" s="30"/>
      <c r="AE841" s="30"/>
      <c r="AF841" s="30">
        <v>367453.7</v>
      </c>
      <c r="AG841" s="30">
        <v>371328.96</v>
      </c>
      <c r="AH841" s="30">
        <v>376736.61</v>
      </c>
      <c r="AI841" s="30">
        <v>377025.32</v>
      </c>
      <c r="AJ841" s="30">
        <v>378013.16</v>
      </c>
      <c r="AK841" s="30">
        <v>375411.82</v>
      </c>
      <c r="AL841" s="30">
        <v>376086.9</v>
      </c>
      <c r="AM841" s="30">
        <v>375895.74</v>
      </c>
      <c r="AN841" s="30">
        <v>373156.75</v>
      </c>
      <c r="AO841" s="30">
        <v>369535.58</v>
      </c>
      <c r="AP841" s="30">
        <v>368890.63</v>
      </c>
      <c r="AQ841" s="30">
        <v>370566.31</v>
      </c>
      <c r="AR841" s="30">
        <v>371332.54</v>
      </c>
      <c r="AS841" s="30">
        <v>360194.42</v>
      </c>
      <c r="AT841" s="30">
        <v>357875.71</v>
      </c>
      <c r="AU841" s="30">
        <v>302413.17</v>
      </c>
      <c r="AV841" s="30">
        <v>297869.3</v>
      </c>
      <c r="AW841" s="30">
        <v>280188.09999999998</v>
      </c>
      <c r="AX841" s="30">
        <v>0</v>
      </c>
      <c r="AY841" s="30">
        <v>0.16</v>
      </c>
      <c r="AZ841" s="30">
        <v>0.16</v>
      </c>
      <c r="BA841" s="30" t="e">
        <f t="array" aca="1" ref="BA841" ca="1">_xludf.XLOOKUP(C841,'PL TOTAL D0'!A:A,'PL TOTAL D0'!C:C,"")</f>
        <v>#NAME?</v>
      </c>
    </row>
    <row r="842" spans="1:53" ht="15.75" customHeight="1">
      <c r="A842" s="23" t="s">
        <v>29</v>
      </c>
      <c r="B842" s="37" t="s">
        <v>2809</v>
      </c>
      <c r="C842" s="4" t="s">
        <v>2810</v>
      </c>
      <c r="D842" s="7" t="s">
        <v>19</v>
      </c>
      <c r="E842" s="7" t="s">
        <v>20</v>
      </c>
      <c r="F842" s="7" t="s">
        <v>989</v>
      </c>
      <c r="G842" s="7" t="e">
        <f t="shared" ca="1" si="34"/>
        <v>#NAME?</v>
      </c>
      <c r="H842" s="24" t="s">
        <v>152</v>
      </c>
      <c r="I842" s="24" t="s">
        <v>25</v>
      </c>
      <c r="J842" s="7" t="str">
        <f t="shared" si="38"/>
        <v>Não</v>
      </c>
      <c r="K842" s="25">
        <v>45518</v>
      </c>
      <c r="L842" s="7"/>
      <c r="M842" s="7" t="s">
        <v>42</v>
      </c>
      <c r="N842" s="26">
        <v>1.2E-2</v>
      </c>
      <c r="O842" s="7" t="s">
        <v>25</v>
      </c>
      <c r="P842" s="27">
        <v>0</v>
      </c>
      <c r="Q842" s="28"/>
      <c r="R842" s="28"/>
      <c r="S842" s="7" t="s">
        <v>145</v>
      </c>
      <c r="T842" s="7" t="s">
        <v>2811</v>
      </c>
      <c r="U842" s="7" t="s">
        <v>20</v>
      </c>
      <c r="V842" s="24" t="e">
        <f t="shared" ca="1" si="35"/>
        <v>#NAME?</v>
      </c>
      <c r="W842" s="7"/>
      <c r="X842" s="7" t="s">
        <v>40</v>
      </c>
      <c r="Y842" s="29" t="s">
        <v>253</v>
      </c>
      <c r="Z842" s="30"/>
      <c r="AA842" s="30"/>
      <c r="AB842" s="32"/>
      <c r="AC842" s="30"/>
      <c r="AD842" s="30"/>
      <c r="AE842" s="30"/>
      <c r="AF842" s="30"/>
      <c r="AG842" s="30"/>
      <c r="AH842" s="30"/>
      <c r="AI842" s="30"/>
      <c r="AJ842" s="30"/>
      <c r="AK842" s="30"/>
      <c r="AL842" s="30"/>
      <c r="AM842" s="30"/>
      <c r="AN842" s="30"/>
      <c r="AO842" s="30"/>
      <c r="AP842" s="30"/>
      <c r="AQ842" s="30"/>
      <c r="AR842" s="30"/>
      <c r="AS842" s="30"/>
      <c r="AT842" s="30"/>
      <c r="AU842" s="30"/>
      <c r="AV842" s="30"/>
      <c r="AW842" s="30"/>
      <c r="AX842" s="30"/>
      <c r="AY842" s="30">
        <v>30130.639999999999</v>
      </c>
      <c r="AZ842" s="30">
        <v>30356.36</v>
      </c>
      <c r="BA842" s="30" t="e">
        <f t="array" aca="1" ref="BA842" ca="1">_xludf.XLOOKUP(C842,'PL TOTAL D0'!A:A,'PL TOTAL D0'!C:C,"")</f>
        <v>#NAME?</v>
      </c>
    </row>
    <row r="843" spans="1:53" ht="15.75" customHeight="1">
      <c r="A843" s="23" t="s">
        <v>29</v>
      </c>
      <c r="B843" s="3" t="s">
        <v>2812</v>
      </c>
      <c r="C843" s="4" t="s">
        <v>2813</v>
      </c>
      <c r="D843" s="7" t="s">
        <v>19</v>
      </c>
      <c r="E843" s="7" t="s">
        <v>49</v>
      </c>
      <c r="F843" s="7" t="s">
        <v>50</v>
      </c>
      <c r="G843" s="7" t="e">
        <f t="shared" ca="1" si="34"/>
        <v>#NAME?</v>
      </c>
      <c r="H843" s="24" t="s">
        <v>152</v>
      </c>
      <c r="I843" s="24" t="s">
        <v>25</v>
      </c>
      <c r="J843" s="7" t="str">
        <f t="shared" si="38"/>
        <v>Não</v>
      </c>
      <c r="K843" s="25">
        <v>45163</v>
      </c>
      <c r="L843" s="7"/>
      <c r="M843" s="7" t="s">
        <v>42</v>
      </c>
      <c r="N843" s="26">
        <v>1.2E-2</v>
      </c>
      <c r="O843" s="7" t="s">
        <v>25</v>
      </c>
      <c r="P843" s="27">
        <v>0</v>
      </c>
      <c r="Q843" s="28"/>
      <c r="R843" s="28"/>
      <c r="S843" s="7" t="s">
        <v>145</v>
      </c>
      <c r="T843" s="7" t="s">
        <v>2814</v>
      </c>
      <c r="U843" s="7" t="s">
        <v>49</v>
      </c>
      <c r="V843" s="24" t="e">
        <f t="shared" ca="1" si="35"/>
        <v>#NAME?</v>
      </c>
      <c r="W843" s="7"/>
      <c r="X843" s="7"/>
      <c r="Y843" s="29" t="s">
        <v>147</v>
      </c>
      <c r="Z843" s="30"/>
      <c r="AA843" s="31">
        <v>45163</v>
      </c>
      <c r="AB843" s="32">
        <v>49075100009473</v>
      </c>
      <c r="AC843" s="30"/>
      <c r="AD843" s="30"/>
      <c r="AE843" s="30"/>
      <c r="AF843" s="30"/>
      <c r="AG843" s="30"/>
      <c r="AH843" s="30"/>
      <c r="AI843" s="30"/>
      <c r="AJ843" s="30"/>
      <c r="AK843" s="30"/>
      <c r="AL843" s="30">
        <v>0</v>
      </c>
      <c r="AM843" s="30">
        <v>47901.55</v>
      </c>
      <c r="AN843" s="30">
        <v>48256.88</v>
      </c>
      <c r="AO843" s="30">
        <v>48591.25</v>
      </c>
      <c r="AP843" s="30">
        <v>48964.38</v>
      </c>
      <c r="AQ843" s="30">
        <v>49359</v>
      </c>
      <c r="AR843" s="30">
        <v>59863.5</v>
      </c>
      <c r="AS843" s="30">
        <v>68398.09</v>
      </c>
      <c r="AT843" s="30">
        <v>69000.88</v>
      </c>
      <c r="AU843" s="30">
        <v>69574.13</v>
      </c>
      <c r="AV843" s="30">
        <v>70142.12</v>
      </c>
      <c r="AW843" s="30">
        <v>70349.279999999999</v>
      </c>
      <c r="AX843" s="30">
        <v>70956.52</v>
      </c>
      <c r="AY843" s="30">
        <v>71537.66</v>
      </c>
      <c r="AZ843" s="30">
        <v>71986.240000000005</v>
      </c>
      <c r="BA843" s="30" t="e">
        <f t="array" aca="1" ref="BA843" ca="1">_xludf.XLOOKUP(C843,'PL TOTAL D0'!A:A,'PL TOTAL D0'!C:C,"")</f>
        <v>#NAME?</v>
      </c>
    </row>
    <row r="844" spans="1:53" ht="15.75" customHeight="1">
      <c r="A844" s="23" t="s">
        <v>29</v>
      </c>
      <c r="B844" s="38" t="s">
        <v>2815</v>
      </c>
      <c r="C844" s="39" t="s">
        <v>2816</v>
      </c>
      <c r="D844" s="7" t="s">
        <v>19</v>
      </c>
      <c r="E844" s="7" t="s">
        <v>49</v>
      </c>
      <c r="F844" s="7" t="s">
        <v>277</v>
      </c>
      <c r="G844" s="7" t="e">
        <f t="shared" ca="1" si="34"/>
        <v>#NAME?</v>
      </c>
      <c r="H844" s="24" t="s">
        <v>152</v>
      </c>
      <c r="I844" s="24" t="s">
        <v>25</v>
      </c>
      <c r="J844" s="7" t="str">
        <f t="shared" si="38"/>
        <v>Sim</v>
      </c>
      <c r="K844" s="25">
        <v>45446</v>
      </c>
      <c r="L844" s="7"/>
      <c r="M844" s="85" t="s">
        <v>466</v>
      </c>
      <c r="N844" s="56">
        <v>7.0000000000000001E-3</v>
      </c>
      <c r="O844" s="57" t="s">
        <v>25</v>
      </c>
      <c r="P844" s="58">
        <v>0</v>
      </c>
      <c r="Q844" s="28" t="s">
        <v>2817</v>
      </c>
      <c r="R844" s="28"/>
      <c r="S844" s="7" t="s">
        <v>187</v>
      </c>
      <c r="T844" s="12" t="s">
        <v>2818</v>
      </c>
      <c r="U844" s="7" t="s">
        <v>49</v>
      </c>
      <c r="V844" s="24" t="e">
        <f t="shared" ca="1" si="35"/>
        <v>#NAME?</v>
      </c>
      <c r="W844" s="7"/>
      <c r="X844" s="7" t="s">
        <v>40</v>
      </c>
      <c r="Y844" s="29" t="s">
        <v>147</v>
      </c>
      <c r="Z844" s="30"/>
      <c r="AA844" s="31">
        <v>45446</v>
      </c>
      <c r="AB844" s="32">
        <v>49075100014991</v>
      </c>
      <c r="AC844" s="30"/>
      <c r="AD844" s="30"/>
      <c r="AE844" s="30"/>
      <c r="AF844" s="30"/>
      <c r="AG844" s="30"/>
      <c r="AH844" s="30"/>
      <c r="AI844" s="30"/>
      <c r="AJ844" s="30"/>
      <c r="AK844" s="30"/>
      <c r="AL844" s="30"/>
      <c r="AM844" s="30"/>
      <c r="AN844" s="30"/>
      <c r="AO844" s="30"/>
      <c r="AP844" s="30"/>
      <c r="AQ844" s="30"/>
      <c r="AR844" s="30"/>
      <c r="AS844" s="30"/>
      <c r="AT844" s="30"/>
      <c r="AU844" s="30"/>
      <c r="AV844" s="30"/>
      <c r="AW844" s="30">
        <v>503028.1</v>
      </c>
      <c r="AX844" s="30">
        <v>2017493</v>
      </c>
      <c r="AY844" s="30">
        <v>1529108.38</v>
      </c>
      <c r="AZ844" s="30">
        <v>531056.89</v>
      </c>
      <c r="BA844" s="30" t="e">
        <f t="array" aca="1" ref="BA844" ca="1">_xludf.XLOOKUP(C844,'PL TOTAL D0'!A:A,'PL TOTAL D0'!C:C,"")</f>
        <v>#NAME?</v>
      </c>
    </row>
    <row r="845" spans="1:53" ht="15.75" customHeight="1">
      <c r="A845" s="23" t="s">
        <v>29</v>
      </c>
      <c r="B845" s="37" t="s">
        <v>2819</v>
      </c>
      <c r="C845" s="4" t="s">
        <v>2820</v>
      </c>
      <c r="D845" s="7" t="s">
        <v>19</v>
      </c>
      <c r="E845" s="7" t="s">
        <v>60</v>
      </c>
      <c r="F845" s="7" t="s">
        <v>661</v>
      </c>
      <c r="G845" s="7" t="e">
        <f t="shared" ca="1" si="34"/>
        <v>#NAME?</v>
      </c>
      <c r="H845" s="24" t="s">
        <v>152</v>
      </c>
      <c r="I845" s="24" t="s">
        <v>25</v>
      </c>
      <c r="J845" s="7" t="str">
        <f t="shared" si="38"/>
        <v>Não</v>
      </c>
      <c r="K845" s="25">
        <v>45348</v>
      </c>
      <c r="L845" s="7"/>
      <c r="M845" s="7" t="s">
        <v>87</v>
      </c>
      <c r="N845" s="26">
        <v>2.5000000000000001E-2</v>
      </c>
      <c r="O845" s="7" t="s">
        <v>183</v>
      </c>
      <c r="P845" s="27">
        <v>0.2</v>
      </c>
      <c r="Q845" s="28"/>
      <c r="R845" s="28" t="s">
        <v>2821</v>
      </c>
      <c r="S845" s="7" t="s">
        <v>145</v>
      </c>
      <c r="T845" s="7" t="s">
        <v>2822</v>
      </c>
      <c r="U845" s="7" t="s">
        <v>60</v>
      </c>
      <c r="V845" s="24" t="e">
        <f t="shared" ca="1" si="35"/>
        <v>#NAME?</v>
      </c>
      <c r="W845" s="7"/>
      <c r="X845" s="7"/>
      <c r="Y845" s="29" t="s">
        <v>147</v>
      </c>
      <c r="Z845" s="30"/>
      <c r="AA845" s="31">
        <v>45348</v>
      </c>
      <c r="AB845" s="32">
        <v>49075100013527</v>
      </c>
      <c r="AC845" s="30"/>
      <c r="AD845" s="30"/>
      <c r="AE845" s="30"/>
      <c r="AF845" s="30"/>
      <c r="AG845" s="30"/>
      <c r="AH845" s="30"/>
      <c r="AI845" s="30"/>
      <c r="AJ845" s="30"/>
      <c r="AK845" s="30"/>
      <c r="AL845" s="30"/>
      <c r="AM845" s="30"/>
      <c r="AN845" s="30"/>
      <c r="AO845" s="30"/>
      <c r="AP845" s="30"/>
      <c r="AQ845" s="30"/>
      <c r="AR845" s="30"/>
      <c r="AS845" s="30">
        <v>177833.16</v>
      </c>
      <c r="AT845" s="30">
        <v>180938.03</v>
      </c>
      <c r="AU845" s="30">
        <v>173455.26</v>
      </c>
      <c r="AV845" s="30">
        <v>168089.1</v>
      </c>
      <c r="AW845" s="30">
        <v>168367.9</v>
      </c>
      <c r="AX845" s="30">
        <v>172973.9</v>
      </c>
      <c r="AY845" s="30">
        <v>176604.23</v>
      </c>
      <c r="AZ845" s="30">
        <v>173034.9</v>
      </c>
      <c r="BA845" s="30" t="e">
        <f t="array" aca="1" ref="BA845" ca="1">_xludf.XLOOKUP(C845,'PL TOTAL D0'!A:A,'PL TOTAL D0'!C:C,"")</f>
        <v>#NAME?</v>
      </c>
    </row>
    <row r="846" spans="1:53" ht="15.75" customHeight="1">
      <c r="A846" s="23" t="s">
        <v>29</v>
      </c>
      <c r="B846" s="37" t="s">
        <v>2819</v>
      </c>
      <c r="C846" s="4" t="s">
        <v>2823</v>
      </c>
      <c r="D846" s="7" t="s">
        <v>19</v>
      </c>
      <c r="E846" s="7" t="s">
        <v>60</v>
      </c>
      <c r="F846" s="7" t="s">
        <v>661</v>
      </c>
      <c r="G846" s="7" t="e">
        <f t="shared" ca="1" si="34"/>
        <v>#NAME?</v>
      </c>
      <c r="H846" s="24" t="s">
        <v>152</v>
      </c>
      <c r="I846" s="24" t="s">
        <v>25</v>
      </c>
      <c r="J846" s="7" t="str">
        <f t="shared" si="38"/>
        <v>Não</v>
      </c>
      <c r="K846" s="25">
        <v>44998</v>
      </c>
      <c r="L846" s="7"/>
      <c r="M846" s="7" t="s">
        <v>42</v>
      </c>
      <c r="N846" s="26">
        <v>1.2E-2</v>
      </c>
      <c r="O846" s="7" t="s">
        <v>25</v>
      </c>
      <c r="P846" s="27">
        <v>0</v>
      </c>
      <c r="Q846" s="28"/>
      <c r="R846" s="28" t="s">
        <v>2824</v>
      </c>
      <c r="S846" s="7" t="s">
        <v>145</v>
      </c>
      <c r="T846" s="7" t="s">
        <v>2825</v>
      </c>
      <c r="U846" s="7" t="s">
        <v>60</v>
      </c>
      <c r="V846" s="24" t="e">
        <f t="shared" ca="1" si="35"/>
        <v>#NAME?</v>
      </c>
      <c r="W846" s="7"/>
      <c r="X846" s="7"/>
      <c r="Y846" s="29" t="s">
        <v>147</v>
      </c>
      <c r="Z846" s="30"/>
      <c r="AA846" s="31">
        <v>44998</v>
      </c>
      <c r="AB846" s="32">
        <v>49075100008728</v>
      </c>
      <c r="AC846" s="30"/>
      <c r="AD846" s="30"/>
      <c r="AE846" s="30"/>
      <c r="AF846" s="30"/>
      <c r="AG846" s="30">
        <v>4066.02</v>
      </c>
      <c r="AH846" s="30">
        <v>119885.32</v>
      </c>
      <c r="AI846" s="30">
        <v>120387.26</v>
      </c>
      <c r="AJ846" s="30">
        <v>122550.79</v>
      </c>
      <c r="AK846" s="30">
        <v>124736.01</v>
      </c>
      <c r="AL846" s="30">
        <v>126205.58</v>
      </c>
      <c r="AM846" s="30">
        <v>126009.64</v>
      </c>
      <c r="AN846" s="30">
        <v>238439.05</v>
      </c>
      <c r="AO846" s="30">
        <v>238416.3</v>
      </c>
      <c r="AP846" s="30">
        <v>243583.02</v>
      </c>
      <c r="AQ846" s="30">
        <v>248332.55</v>
      </c>
      <c r="AR846" s="30">
        <v>244038.43</v>
      </c>
      <c r="AS846" s="30">
        <v>167467.49</v>
      </c>
      <c r="AT846" s="30">
        <v>168695.58</v>
      </c>
      <c r="AU846" s="30">
        <v>169793.89</v>
      </c>
      <c r="AV846" s="30">
        <v>171131.9</v>
      </c>
      <c r="AW846" s="30">
        <v>172418.8</v>
      </c>
      <c r="AX846" s="30">
        <v>173808.5</v>
      </c>
      <c r="AY846" s="30">
        <v>174320.1</v>
      </c>
      <c r="AZ846" s="30">
        <v>175086.26</v>
      </c>
      <c r="BA846" s="30" t="e">
        <f t="array" aca="1" ref="BA846" ca="1">_xludf.XLOOKUP(C846,'PL TOTAL D0'!A:A,'PL TOTAL D0'!C:C,"")</f>
        <v>#NAME?</v>
      </c>
    </row>
    <row r="847" spans="1:53" ht="15.75" customHeight="1">
      <c r="A847" s="23" t="s">
        <v>29</v>
      </c>
      <c r="B847" s="3" t="s">
        <v>2826</v>
      </c>
      <c r="C847" s="4" t="s">
        <v>2827</v>
      </c>
      <c r="D847" s="7" t="s">
        <v>80</v>
      </c>
      <c r="E847" s="7" t="s">
        <v>49</v>
      </c>
      <c r="F847" s="7" t="s">
        <v>81</v>
      </c>
      <c r="G847" s="7" t="e">
        <f t="shared" ca="1" si="34"/>
        <v>#NAME?</v>
      </c>
      <c r="H847" s="24" t="s">
        <v>161</v>
      </c>
      <c r="I847" s="24" t="s">
        <v>162</v>
      </c>
      <c r="J847" s="7" t="str">
        <f t="shared" si="38"/>
        <v>Não</v>
      </c>
      <c r="K847" s="25">
        <v>45253</v>
      </c>
      <c r="L847" s="7"/>
      <c r="M847" s="7" t="s">
        <v>42</v>
      </c>
      <c r="N847" s="10">
        <v>1.2E-2</v>
      </c>
      <c r="O847" s="6" t="s">
        <v>25</v>
      </c>
      <c r="P847" s="11">
        <v>0</v>
      </c>
      <c r="Q847" s="28"/>
      <c r="R847" s="28"/>
      <c r="S847" s="7" t="s">
        <v>145</v>
      </c>
      <c r="T847" s="7" t="s">
        <v>2828</v>
      </c>
      <c r="U847" s="7" t="s">
        <v>49</v>
      </c>
      <c r="V847" s="24" t="e">
        <f t="shared" ca="1" si="35"/>
        <v>#NAME?</v>
      </c>
      <c r="W847" s="7"/>
      <c r="X847" s="7"/>
      <c r="Y847" s="29" t="s">
        <v>147</v>
      </c>
      <c r="Z847" s="30"/>
      <c r="AA847" s="31">
        <v>45253</v>
      </c>
      <c r="AB847" s="32">
        <v>49075100012865</v>
      </c>
      <c r="AC847" s="30"/>
      <c r="AD847" s="30"/>
      <c r="AE847" s="30"/>
      <c r="AF847" s="30"/>
      <c r="AG847" s="30"/>
      <c r="AH847" s="30"/>
      <c r="AI847" s="30"/>
      <c r="AJ847" s="30"/>
      <c r="AK847" s="30"/>
      <c r="AL847" s="30"/>
      <c r="AM847" s="30"/>
      <c r="AN847" s="30"/>
      <c r="AO847" s="30"/>
      <c r="AP847" s="30">
        <v>170070.52</v>
      </c>
      <c r="AQ847" s="30">
        <v>171445.43</v>
      </c>
      <c r="AR847" s="30">
        <v>607050.12</v>
      </c>
      <c r="AS847" s="30">
        <v>615015.19999999995</v>
      </c>
      <c r="AT847" s="30">
        <v>623702.06999999995</v>
      </c>
      <c r="AU847" s="30">
        <v>977080.97</v>
      </c>
      <c r="AV847" s="30">
        <v>990953.2</v>
      </c>
      <c r="AW847" s="30">
        <v>1003964</v>
      </c>
      <c r="AX847" s="30">
        <v>1008605</v>
      </c>
      <c r="AY847" s="30">
        <v>1031201.35</v>
      </c>
      <c r="AZ847" s="30">
        <v>1032975.68</v>
      </c>
      <c r="BA847" s="30" t="e">
        <f t="array" aca="1" ref="BA847" ca="1">_xludf.XLOOKUP(C847,'PL TOTAL D0'!A:A,'PL TOTAL D0'!C:C,"")</f>
        <v>#NAME?</v>
      </c>
    </row>
    <row r="848" spans="1:53" ht="15.75" customHeight="1">
      <c r="A848" s="23" t="s">
        <v>29</v>
      </c>
      <c r="B848" s="37" t="s">
        <v>2829</v>
      </c>
      <c r="C848" s="4" t="s">
        <v>2830</v>
      </c>
      <c r="D848" s="7" t="s">
        <v>19</v>
      </c>
      <c r="E848" s="7" t="s">
        <v>34</v>
      </c>
      <c r="F848" s="7" t="s">
        <v>35</v>
      </c>
      <c r="G848" s="7" t="e">
        <f t="shared" ca="1" si="34"/>
        <v>#NAME?</v>
      </c>
      <c r="H848" s="24" t="s">
        <v>161</v>
      </c>
      <c r="I848" s="24" t="s">
        <v>162</v>
      </c>
      <c r="J848" s="7" t="str">
        <f t="shared" si="38"/>
        <v>Não</v>
      </c>
      <c r="K848" s="25">
        <v>45008</v>
      </c>
      <c r="L848" s="7"/>
      <c r="M848" s="7" t="s">
        <v>257</v>
      </c>
      <c r="N848" s="26">
        <v>8.0000000000000002E-3</v>
      </c>
      <c r="O848" s="7" t="s">
        <v>258</v>
      </c>
      <c r="P848" s="27">
        <v>0.1</v>
      </c>
      <c r="Q848" s="28"/>
      <c r="R848" s="28"/>
      <c r="S848" s="7" t="s">
        <v>145</v>
      </c>
      <c r="T848" s="7" t="s">
        <v>2831</v>
      </c>
      <c r="U848" s="7" t="s">
        <v>39</v>
      </c>
      <c r="V848" s="24" t="e">
        <f t="shared" ca="1" si="35"/>
        <v>#NAME?</v>
      </c>
      <c r="W848" s="7"/>
      <c r="X848" s="7"/>
      <c r="Y848" s="29" t="s">
        <v>147</v>
      </c>
      <c r="Z848" s="30"/>
      <c r="AA848" s="31">
        <v>45008</v>
      </c>
      <c r="AB848" s="32">
        <v>49075100007128</v>
      </c>
      <c r="AC848" s="30"/>
      <c r="AD848" s="30"/>
      <c r="AE848" s="30"/>
      <c r="AF848" s="30"/>
      <c r="AG848" s="30"/>
      <c r="AH848" s="30">
        <v>163277.32999999999</v>
      </c>
      <c r="AI848" s="30">
        <v>169594.56</v>
      </c>
      <c r="AJ848" s="30">
        <v>180521.59</v>
      </c>
      <c r="AK848" s="30">
        <v>184229.48</v>
      </c>
      <c r="AL848" s="30">
        <v>191310.25</v>
      </c>
      <c r="AM848" s="30">
        <v>207176.92</v>
      </c>
      <c r="AN848" s="30">
        <v>205472.06</v>
      </c>
      <c r="AO848" s="30">
        <v>200959.98</v>
      </c>
      <c r="AP848" s="30">
        <v>204814.37</v>
      </c>
      <c r="AQ848" s="30">
        <v>213492.69</v>
      </c>
      <c r="AR848" s="30">
        <v>213961.05</v>
      </c>
      <c r="AS848" s="30">
        <v>214669.12</v>
      </c>
      <c r="AT848" s="30">
        <v>214690.42</v>
      </c>
      <c r="AU848" s="30">
        <v>213125.79</v>
      </c>
      <c r="AV848" s="30">
        <v>213944.5</v>
      </c>
      <c r="AW848" s="30">
        <v>214275</v>
      </c>
      <c r="AX848" s="30">
        <v>214050.8</v>
      </c>
      <c r="AY848" s="30">
        <v>216666.14</v>
      </c>
      <c r="AZ848" s="30">
        <v>211925.88</v>
      </c>
      <c r="BA848" s="30" t="e">
        <f t="array" aca="1" ref="BA848" ca="1">_xludf.XLOOKUP(C848,'PL TOTAL D0'!A:A,'PL TOTAL D0'!C:C,"")</f>
        <v>#NAME?</v>
      </c>
    </row>
    <row r="849" spans="1:53" ht="15.75" customHeight="1">
      <c r="A849" s="23" t="s">
        <v>29</v>
      </c>
      <c r="B849" s="37" t="s">
        <v>2829</v>
      </c>
      <c r="C849" s="4" t="s">
        <v>2832</v>
      </c>
      <c r="D849" s="7" t="s">
        <v>19</v>
      </c>
      <c r="E849" s="7" t="s">
        <v>34</v>
      </c>
      <c r="F849" s="7" t="s">
        <v>35</v>
      </c>
      <c r="G849" s="7" t="e">
        <f t="shared" ca="1" si="34"/>
        <v>#NAME?</v>
      </c>
      <c r="H849" s="24" t="s">
        <v>152</v>
      </c>
      <c r="I849" s="24" t="s">
        <v>25</v>
      </c>
      <c r="J849" s="7" t="str">
        <f t="shared" si="38"/>
        <v>Não</v>
      </c>
      <c r="K849" s="25">
        <v>45065</v>
      </c>
      <c r="L849" s="7"/>
      <c r="M849" s="7" t="s">
        <v>87</v>
      </c>
      <c r="N849" s="26">
        <v>2.5000000000000001E-2</v>
      </c>
      <c r="O849" s="7" t="s">
        <v>183</v>
      </c>
      <c r="P849" s="27">
        <v>0.2</v>
      </c>
      <c r="Q849" s="28"/>
      <c r="R849" s="28"/>
      <c r="S849" s="7" t="s">
        <v>145</v>
      </c>
      <c r="T849" s="7" t="s">
        <v>2831</v>
      </c>
      <c r="U849" s="7" t="s">
        <v>39</v>
      </c>
      <c r="V849" s="24" t="e">
        <f t="shared" ca="1" si="35"/>
        <v>#NAME?</v>
      </c>
      <c r="W849" s="7"/>
      <c r="X849" s="7"/>
      <c r="Y849" s="29" t="s">
        <v>147</v>
      </c>
      <c r="Z849" s="30"/>
      <c r="AA849" s="31">
        <v>45065</v>
      </c>
      <c r="AB849" s="32">
        <v>49075100008469</v>
      </c>
      <c r="AC849" s="30"/>
      <c r="AD849" s="30"/>
      <c r="AE849" s="30"/>
      <c r="AF849" s="30"/>
      <c r="AG849" s="30"/>
      <c r="AH849" s="30">
        <v>0</v>
      </c>
      <c r="AI849" s="30">
        <v>0</v>
      </c>
      <c r="AJ849" s="30">
        <v>36143.78</v>
      </c>
      <c r="AK849" s="30">
        <v>149606.67000000001</v>
      </c>
      <c r="AL849" s="30">
        <v>196044.31</v>
      </c>
      <c r="AM849" s="30">
        <v>200551.99</v>
      </c>
      <c r="AN849" s="30">
        <v>200139.34</v>
      </c>
      <c r="AO849" s="30">
        <v>191279.63</v>
      </c>
      <c r="AP849" s="30">
        <v>205527</v>
      </c>
      <c r="AQ849" s="30">
        <v>215348.53</v>
      </c>
      <c r="AR849" s="30">
        <v>200476.15</v>
      </c>
      <c r="AS849" s="30">
        <v>203263.17</v>
      </c>
      <c r="AT849" s="30">
        <v>206222.73</v>
      </c>
      <c r="AU849" s="30">
        <v>197992.05</v>
      </c>
      <c r="AV849" s="30">
        <v>192081.4</v>
      </c>
      <c r="AW849" s="30">
        <v>192412.9</v>
      </c>
      <c r="AX849" s="30">
        <v>197680.9</v>
      </c>
      <c r="AY849" s="30">
        <v>201835.32</v>
      </c>
      <c r="AZ849" s="30">
        <v>197764.74</v>
      </c>
      <c r="BA849" s="30" t="e">
        <f t="array" aca="1" ref="BA849" ca="1">_xludf.XLOOKUP(C849,'PL TOTAL D0'!A:A,'PL TOTAL D0'!C:C,"")</f>
        <v>#NAME?</v>
      </c>
    </row>
    <row r="850" spans="1:53" ht="15.75" customHeight="1">
      <c r="A850" s="23" t="s">
        <v>29</v>
      </c>
      <c r="B850" s="37" t="s">
        <v>2829</v>
      </c>
      <c r="C850" s="4" t="s">
        <v>2833</v>
      </c>
      <c r="D850" s="7" t="s">
        <v>19</v>
      </c>
      <c r="E850" s="7" t="s">
        <v>34</v>
      </c>
      <c r="F850" s="7" t="s">
        <v>35</v>
      </c>
      <c r="G850" s="7" t="e">
        <f t="shared" ca="1" si="34"/>
        <v>#NAME?</v>
      </c>
      <c r="H850" s="24" t="s">
        <v>152</v>
      </c>
      <c r="I850" s="24" t="s">
        <v>25</v>
      </c>
      <c r="J850" s="7" t="str">
        <f t="shared" si="38"/>
        <v>Não</v>
      </c>
      <c r="K850" s="25">
        <v>45008</v>
      </c>
      <c r="L850" s="7"/>
      <c r="M850" s="7" t="s">
        <v>42</v>
      </c>
      <c r="N850" s="26">
        <v>1.2E-2</v>
      </c>
      <c r="O850" s="7" t="s">
        <v>25</v>
      </c>
      <c r="P850" s="27">
        <v>0</v>
      </c>
      <c r="Q850" s="28"/>
      <c r="R850" s="28"/>
      <c r="S850" s="7" t="s">
        <v>145</v>
      </c>
      <c r="T850" s="7" t="s">
        <v>2831</v>
      </c>
      <c r="U850" s="7" t="s">
        <v>39</v>
      </c>
      <c r="V850" s="24" t="e">
        <f t="shared" ca="1" si="35"/>
        <v>#NAME?</v>
      </c>
      <c r="W850" s="7"/>
      <c r="X850" s="7"/>
      <c r="Y850" s="29" t="s">
        <v>147</v>
      </c>
      <c r="Z850" s="30"/>
      <c r="AA850" s="31">
        <v>45008</v>
      </c>
      <c r="AB850" s="32">
        <v>49075100009791</v>
      </c>
      <c r="AC850" s="30"/>
      <c r="AD850" s="30"/>
      <c r="AE850" s="30"/>
      <c r="AF850" s="30"/>
      <c r="AG850" s="30"/>
      <c r="AH850" s="30">
        <v>521621.68</v>
      </c>
      <c r="AI850" s="30">
        <v>532518.37</v>
      </c>
      <c r="AJ850" s="30">
        <v>507006.42</v>
      </c>
      <c r="AK850" s="30">
        <v>431627.77</v>
      </c>
      <c r="AL850" s="30">
        <v>435468.55</v>
      </c>
      <c r="AM850" s="30">
        <v>439899.37</v>
      </c>
      <c r="AN850" s="30">
        <v>442964.55</v>
      </c>
      <c r="AO850" s="30">
        <v>446342.96</v>
      </c>
      <c r="AP850" s="30">
        <v>449986.5</v>
      </c>
      <c r="AQ850" s="30">
        <v>453760.24</v>
      </c>
      <c r="AR850" s="30">
        <v>457488.96</v>
      </c>
      <c r="AS850" s="30">
        <v>456700.32</v>
      </c>
      <c r="AT850" s="30">
        <v>460657.48</v>
      </c>
      <c r="AU850" s="30">
        <v>462071.8</v>
      </c>
      <c r="AV850" s="30">
        <v>463926.1</v>
      </c>
      <c r="AW850" s="30">
        <v>467784.5</v>
      </c>
      <c r="AX850" s="30">
        <v>470653.2</v>
      </c>
      <c r="AY850" s="30">
        <v>474704.32</v>
      </c>
      <c r="AZ850" s="30">
        <v>477128.01</v>
      </c>
      <c r="BA850" s="30" t="e">
        <f t="array" aca="1" ref="BA850" ca="1">_xludf.XLOOKUP(C850,'PL TOTAL D0'!A:A,'PL TOTAL D0'!C:C,"")</f>
        <v>#NAME?</v>
      </c>
    </row>
    <row r="851" spans="1:53" ht="15.75" customHeight="1">
      <c r="A851" s="23" t="s">
        <v>29</v>
      </c>
      <c r="B851" s="37" t="s">
        <v>2834</v>
      </c>
      <c r="C851" s="4" t="s">
        <v>2835</v>
      </c>
      <c r="D851" s="7" t="s">
        <v>19</v>
      </c>
      <c r="E851" s="7" t="s">
        <v>49</v>
      </c>
      <c r="F851" s="7" t="s">
        <v>50</v>
      </c>
      <c r="G851" s="7" t="e">
        <f t="shared" ca="1" si="34"/>
        <v>#NAME?</v>
      </c>
      <c r="H851" s="24" t="s">
        <v>152</v>
      </c>
      <c r="I851" s="24" t="s">
        <v>25</v>
      </c>
      <c r="J851" s="7" t="str">
        <f t="shared" si="38"/>
        <v>Não</v>
      </c>
      <c r="K851" s="25">
        <v>44952</v>
      </c>
      <c r="L851" s="7"/>
      <c r="M851" s="7" t="s">
        <v>42</v>
      </c>
      <c r="N851" s="26">
        <v>1.2E-2</v>
      </c>
      <c r="O851" s="7" t="s">
        <v>25</v>
      </c>
      <c r="P851" s="27">
        <v>0</v>
      </c>
      <c r="Q851" s="23"/>
      <c r="R851" s="28" t="s">
        <v>2836</v>
      </c>
      <c r="S851" s="7" t="s">
        <v>145</v>
      </c>
      <c r="T851" s="7" t="s">
        <v>2837</v>
      </c>
      <c r="U851" s="7" t="s">
        <v>49</v>
      </c>
      <c r="V851" s="24" t="e">
        <f t="shared" ca="1" si="35"/>
        <v>#NAME?</v>
      </c>
      <c r="W851" s="7"/>
      <c r="X851" s="7"/>
      <c r="Y851" s="29" t="s">
        <v>253</v>
      </c>
      <c r="Z851" s="30"/>
      <c r="AA851" s="31">
        <v>44952</v>
      </c>
      <c r="AB851" s="32">
        <v>49075100006520</v>
      </c>
      <c r="AC851" s="30"/>
      <c r="AD851" s="30"/>
      <c r="AE851" s="30"/>
      <c r="AF851" s="30">
        <v>579196.03</v>
      </c>
      <c r="AG851" s="30">
        <v>798318.68</v>
      </c>
      <c r="AH851" s="30">
        <v>807877.6</v>
      </c>
      <c r="AI851" s="30">
        <v>813726.89</v>
      </c>
      <c r="AJ851" s="30">
        <v>887588.24</v>
      </c>
      <c r="AK851" s="30">
        <v>843575.38</v>
      </c>
      <c r="AL851" s="30">
        <v>832895.88</v>
      </c>
      <c r="AM851" s="30">
        <v>839324.22</v>
      </c>
      <c r="AN851" s="30">
        <v>793669.27</v>
      </c>
      <c r="AO851" s="30">
        <v>798873.52</v>
      </c>
      <c r="AP851" s="30">
        <v>804218.39</v>
      </c>
      <c r="AQ851" s="30">
        <v>799945.06</v>
      </c>
      <c r="AR851" s="30">
        <v>806505.87</v>
      </c>
      <c r="AS851" s="30">
        <v>452576.47</v>
      </c>
      <c r="AT851" s="30">
        <v>456589.58</v>
      </c>
      <c r="AU851" s="30">
        <v>428573.93</v>
      </c>
      <c r="AV851" s="30">
        <v>431991.8</v>
      </c>
      <c r="AW851" s="30">
        <v>435329.3</v>
      </c>
      <c r="AX851" s="30">
        <v>391287.7</v>
      </c>
      <c r="AY851" s="30">
        <v>391444.78</v>
      </c>
      <c r="AZ851" s="30">
        <v>394091.61</v>
      </c>
      <c r="BA851" s="30" t="e">
        <f t="array" aca="1" ref="BA851" ca="1">_xludf.XLOOKUP(C851,'PL TOTAL D0'!A:A,'PL TOTAL D0'!C:C,"")</f>
        <v>#NAME?</v>
      </c>
    </row>
    <row r="852" spans="1:53" ht="15.75" customHeight="1">
      <c r="A852" s="23" t="s">
        <v>29</v>
      </c>
      <c r="B852" s="37" t="s">
        <v>2838</v>
      </c>
      <c r="C852" s="4" t="s">
        <v>2839</v>
      </c>
      <c r="D852" s="7" t="s">
        <v>19</v>
      </c>
      <c r="E852" s="7" t="s">
        <v>49</v>
      </c>
      <c r="F852" s="7" t="s">
        <v>328</v>
      </c>
      <c r="G852" s="7" t="e">
        <f t="shared" ca="1" si="34"/>
        <v>#NAME?</v>
      </c>
      <c r="H852" s="24" t="s">
        <v>161</v>
      </c>
      <c r="I852" s="24" t="s">
        <v>222</v>
      </c>
      <c r="J852" s="7" t="str">
        <f t="shared" si="38"/>
        <v>Não</v>
      </c>
      <c r="K852" s="25">
        <v>44986</v>
      </c>
      <c r="L852" s="7"/>
      <c r="M852" s="7" t="s">
        <v>42</v>
      </c>
      <c r="N852" s="26">
        <v>1.2E-2</v>
      </c>
      <c r="O852" s="7" t="s">
        <v>25</v>
      </c>
      <c r="P852" s="27">
        <v>0</v>
      </c>
      <c r="Q852" s="28"/>
      <c r="R852" s="28"/>
      <c r="S852" s="7" t="s">
        <v>145</v>
      </c>
      <c r="T852" s="7" t="s">
        <v>2840</v>
      </c>
      <c r="U852" s="7" t="s">
        <v>49</v>
      </c>
      <c r="V852" s="24" t="e">
        <f t="shared" ca="1" si="35"/>
        <v>#NAME?</v>
      </c>
      <c r="W852" s="7"/>
      <c r="X852" s="7"/>
      <c r="Y852" s="29" t="s">
        <v>147</v>
      </c>
      <c r="Z852" s="30"/>
      <c r="AA852" s="31">
        <v>44986</v>
      </c>
      <c r="AB852" s="32">
        <v>49075100010226</v>
      </c>
      <c r="AC852" s="30"/>
      <c r="AD852" s="30"/>
      <c r="AE852" s="30"/>
      <c r="AF852" s="30"/>
      <c r="AG852" s="30">
        <v>0</v>
      </c>
      <c r="AH852" s="30">
        <v>302924.14</v>
      </c>
      <c r="AI852" s="30">
        <v>305070.15000000002</v>
      </c>
      <c r="AJ852" s="30">
        <v>308282</v>
      </c>
      <c r="AK852" s="30">
        <v>277.8</v>
      </c>
      <c r="AL852" s="30">
        <v>14.67</v>
      </c>
      <c r="AM852" s="30">
        <v>14.67</v>
      </c>
      <c r="AN852" s="30">
        <v>14.67</v>
      </c>
      <c r="AO852" s="30">
        <v>14.67</v>
      </c>
      <c r="AP852" s="30">
        <v>14.67</v>
      </c>
      <c r="AQ852" s="30">
        <v>14.67</v>
      </c>
      <c r="AR852" s="30">
        <v>14.67</v>
      </c>
      <c r="AS852" s="30">
        <v>14.67</v>
      </c>
      <c r="AT852" s="30">
        <v>14.67</v>
      </c>
      <c r="AU852" s="30">
        <v>14.67</v>
      </c>
      <c r="AV852" s="30">
        <v>14.67</v>
      </c>
      <c r="AW852" s="30">
        <v>14.67</v>
      </c>
      <c r="AX852" s="30">
        <v>14.67</v>
      </c>
      <c r="AY852" s="30">
        <v>14.67</v>
      </c>
      <c r="AZ852" s="30">
        <v>14.67</v>
      </c>
      <c r="BA852" s="30" t="e">
        <f t="array" aca="1" ref="BA852" ca="1">_xludf.XLOOKUP(C852,'PL TOTAL D0'!A:A,'PL TOTAL D0'!C:C,"")</f>
        <v>#NAME?</v>
      </c>
    </row>
    <row r="853" spans="1:53" ht="15.75" customHeight="1">
      <c r="A853" s="23" t="s">
        <v>29</v>
      </c>
      <c r="B853" s="3" t="s">
        <v>2841</v>
      </c>
      <c r="C853" s="4" t="s">
        <v>2842</v>
      </c>
      <c r="D853" s="7" t="s">
        <v>64</v>
      </c>
      <c r="E853" s="7" t="s">
        <v>20</v>
      </c>
      <c r="F853" s="7" t="s">
        <v>142</v>
      </c>
      <c r="G853" s="7" t="e">
        <f t="shared" ca="1" si="34"/>
        <v>#NAME?</v>
      </c>
      <c r="H853" s="24" t="s">
        <v>143</v>
      </c>
      <c r="I853" s="24" t="s">
        <v>25</v>
      </c>
      <c r="J853" s="7" t="str">
        <f t="shared" si="38"/>
        <v>Não</v>
      </c>
      <c r="K853" s="25">
        <v>45315</v>
      </c>
      <c r="L853" s="25">
        <v>45530</v>
      </c>
      <c r="M853" s="7" t="s">
        <v>200</v>
      </c>
      <c r="N853" s="26">
        <v>1.4999999999999999E-2</v>
      </c>
      <c r="O853" s="7" t="s">
        <v>37</v>
      </c>
      <c r="P853" s="27">
        <v>0.1</v>
      </c>
      <c r="Q853" s="28"/>
      <c r="R853" s="28"/>
      <c r="S853" s="7" t="s">
        <v>145</v>
      </c>
      <c r="T853" s="7" t="s">
        <v>2843</v>
      </c>
      <c r="U853" s="7" t="s">
        <v>20</v>
      </c>
      <c r="V853" s="24" t="e">
        <f t="shared" ca="1" si="35"/>
        <v>#NAME?</v>
      </c>
      <c r="W853" s="7"/>
      <c r="X853" s="7"/>
      <c r="Y853" s="29" t="s">
        <v>253</v>
      </c>
      <c r="Z853" s="30"/>
      <c r="AA853" s="31">
        <v>45315</v>
      </c>
      <c r="AB853" s="32">
        <v>49075100013251</v>
      </c>
      <c r="AC853" s="30"/>
      <c r="AD853" s="30"/>
      <c r="AE853" s="30"/>
      <c r="AF853" s="30"/>
      <c r="AG853" s="30"/>
      <c r="AH853" s="30"/>
      <c r="AI853" s="30"/>
      <c r="AJ853" s="30"/>
      <c r="AK853" s="30"/>
      <c r="AL853" s="30"/>
      <c r="AM853" s="30"/>
      <c r="AN853" s="30"/>
      <c r="AO853" s="30"/>
      <c r="AP853" s="30"/>
      <c r="AQ853" s="30"/>
      <c r="AR853" s="30">
        <v>249493.29</v>
      </c>
      <c r="AS853" s="30">
        <v>252033.87</v>
      </c>
      <c r="AT853" s="30">
        <v>254560.55</v>
      </c>
      <c r="AU853" s="30">
        <v>252704.25</v>
      </c>
      <c r="AV853" s="30">
        <v>251759.9</v>
      </c>
      <c r="AW853" s="30">
        <v>253263.5</v>
      </c>
      <c r="AX853" s="30">
        <v>216286.8</v>
      </c>
      <c r="AY853" s="30">
        <v>0</v>
      </c>
      <c r="AZ853" s="30">
        <v>0</v>
      </c>
      <c r="BA853" s="30" t="e">
        <f t="array" aca="1" ref="BA853" ca="1">_xludf.XLOOKUP(C853,'PL TOTAL D0'!A:A,'PL TOTAL D0'!C:C,"")</f>
        <v>#NAME?</v>
      </c>
    </row>
    <row r="854" spans="1:53" ht="16.5" customHeight="1">
      <c r="A854" s="23" t="s">
        <v>29</v>
      </c>
      <c r="B854" s="40" t="s">
        <v>2844</v>
      </c>
      <c r="C854" s="41" t="s">
        <v>2845</v>
      </c>
      <c r="D854" s="7" t="s">
        <v>19</v>
      </c>
      <c r="E854" s="7" t="s">
        <v>20</v>
      </c>
      <c r="F854" s="7" t="s">
        <v>199</v>
      </c>
      <c r="G854" s="7" t="e">
        <f t="shared" ca="1" si="34"/>
        <v>#NAME?</v>
      </c>
      <c r="H854" s="24" t="s">
        <v>152</v>
      </c>
      <c r="I854" s="24" t="s">
        <v>25</v>
      </c>
      <c r="J854" s="7" t="str">
        <f t="shared" si="38"/>
        <v>Não</v>
      </c>
      <c r="K854" s="25">
        <v>45182</v>
      </c>
      <c r="L854" s="7"/>
      <c r="M854" s="7" t="s">
        <v>42</v>
      </c>
      <c r="N854" s="26">
        <v>1.2E-2</v>
      </c>
      <c r="O854" s="7" t="s">
        <v>25</v>
      </c>
      <c r="P854" s="27">
        <v>0</v>
      </c>
      <c r="Q854" s="28"/>
      <c r="R854" s="28"/>
      <c r="S854" s="7" t="s">
        <v>145</v>
      </c>
      <c r="T854" s="7" t="s">
        <v>2846</v>
      </c>
      <c r="U854" s="7" t="s">
        <v>20</v>
      </c>
      <c r="V854" s="24" t="e">
        <f t="shared" ca="1" si="35"/>
        <v>#NAME?</v>
      </c>
      <c r="W854" s="7"/>
      <c r="X854" s="7"/>
      <c r="Y854" s="29" t="s">
        <v>147</v>
      </c>
      <c r="Z854" s="30"/>
      <c r="AA854" s="31">
        <v>45182</v>
      </c>
      <c r="AB854" s="32">
        <v>49075100012121</v>
      </c>
      <c r="AC854" s="30"/>
      <c r="AD854" s="30"/>
      <c r="AE854" s="30"/>
      <c r="AF854" s="30"/>
      <c r="AG854" s="30"/>
      <c r="AH854" s="30"/>
      <c r="AI854" s="30"/>
      <c r="AJ854" s="30"/>
      <c r="AK854" s="30"/>
      <c r="AL854" s="30"/>
      <c r="AM854" s="30"/>
      <c r="AN854" s="30">
        <v>131676.6</v>
      </c>
      <c r="AO854" s="30">
        <v>142546.85</v>
      </c>
      <c r="AP854" s="30">
        <v>144758.67000000001</v>
      </c>
      <c r="AQ854" s="30">
        <v>146016.85999999999</v>
      </c>
      <c r="AR854" s="30">
        <v>147259.54999999999</v>
      </c>
      <c r="AS854" s="30">
        <v>148387.20000000001</v>
      </c>
      <c r="AT854" s="30">
        <v>149376.34</v>
      </c>
      <c r="AU854" s="30">
        <v>150548.75</v>
      </c>
      <c r="AV854" s="30">
        <v>151824.5</v>
      </c>
      <c r="AW854" s="30">
        <v>153021.29999999999</v>
      </c>
      <c r="AX854" s="30">
        <v>160893</v>
      </c>
      <c r="AY854" s="30">
        <v>162149.82</v>
      </c>
      <c r="AZ854" s="30">
        <v>163340.62</v>
      </c>
      <c r="BA854" s="30" t="e">
        <f t="array" aca="1" ref="BA854" ca="1">_xludf.XLOOKUP(C854,'PL TOTAL D0'!A:A,'PL TOTAL D0'!C:C,"")</f>
        <v>#NAME?</v>
      </c>
    </row>
    <row r="855" spans="1:53" ht="16.5" customHeight="1">
      <c r="A855" s="23" t="s">
        <v>29</v>
      </c>
      <c r="B855" s="3" t="s">
        <v>2847</v>
      </c>
      <c r="C855" s="4" t="s">
        <v>2848</v>
      </c>
      <c r="D855" s="7" t="s">
        <v>19</v>
      </c>
      <c r="E855" s="7" t="s">
        <v>20</v>
      </c>
      <c r="F855" s="7" t="s">
        <v>210</v>
      </c>
      <c r="G855" s="7" t="e">
        <f t="shared" ca="1" si="34"/>
        <v>#NAME?</v>
      </c>
      <c r="H855" s="24" t="s">
        <v>143</v>
      </c>
      <c r="I855" s="24" t="s">
        <v>25</v>
      </c>
      <c r="J855" s="7" t="str">
        <f t="shared" si="38"/>
        <v>Não</v>
      </c>
      <c r="K855" s="25">
        <v>45051</v>
      </c>
      <c r="L855" s="25">
        <v>45449</v>
      </c>
      <c r="M855" s="7" t="s">
        <v>42</v>
      </c>
      <c r="N855" s="26">
        <v>0.01</v>
      </c>
      <c r="O855" s="7" t="s">
        <v>25</v>
      </c>
      <c r="P855" s="27">
        <v>0</v>
      </c>
      <c r="Q855" s="28"/>
      <c r="R855" s="28" t="s">
        <v>309</v>
      </c>
      <c r="S855" s="7" t="s">
        <v>145</v>
      </c>
      <c r="T855" s="7" t="s">
        <v>2849</v>
      </c>
      <c r="U855" s="7" t="s">
        <v>46</v>
      </c>
      <c r="V855" s="24" t="e">
        <f t="shared" ca="1" si="35"/>
        <v>#NAME?</v>
      </c>
      <c r="W855" s="7"/>
      <c r="X855" s="7"/>
      <c r="Y855" s="29" t="s">
        <v>147</v>
      </c>
      <c r="Z855" s="30"/>
      <c r="AA855" s="31">
        <v>45051</v>
      </c>
      <c r="AB855" s="32">
        <v>49075100012131</v>
      </c>
      <c r="AC855" s="30"/>
      <c r="AD855" s="30"/>
      <c r="AE855" s="30"/>
      <c r="AF855" s="30"/>
      <c r="AG855" s="30"/>
      <c r="AH855" s="30"/>
      <c r="AI855" s="30">
        <v>1689189.64</v>
      </c>
      <c r="AJ855" s="30">
        <v>1696169.83</v>
      </c>
      <c r="AK855" s="30">
        <v>1715562.2</v>
      </c>
      <c r="AL855" s="30">
        <v>1374140.03</v>
      </c>
      <c r="AM855" s="30">
        <v>0</v>
      </c>
      <c r="AN855" s="30">
        <v>0</v>
      </c>
      <c r="AO855" s="30">
        <v>0</v>
      </c>
      <c r="AP855" s="30">
        <v>0</v>
      </c>
      <c r="AQ855" s="30">
        <v>0</v>
      </c>
      <c r="AR855" s="30">
        <v>0</v>
      </c>
      <c r="AS855" s="30">
        <v>0</v>
      </c>
      <c r="AT855" s="30">
        <v>0</v>
      </c>
      <c r="AU855" s="30">
        <v>0</v>
      </c>
      <c r="AV855" s="30">
        <v>0</v>
      </c>
      <c r="AW855" s="30">
        <v>0</v>
      </c>
      <c r="AX855" s="30">
        <v>0</v>
      </c>
      <c r="AY855" s="30">
        <v>0</v>
      </c>
      <c r="AZ855" s="30">
        <v>0</v>
      </c>
      <c r="BA855" s="30" t="e">
        <f t="array" aca="1" ref="BA855" ca="1">_xludf.XLOOKUP(C855,'PL TOTAL D0'!A:A,'PL TOTAL D0'!C:C,"")</f>
        <v>#NAME?</v>
      </c>
    </row>
    <row r="856" spans="1:53" ht="16.5" customHeight="1">
      <c r="A856" s="23" t="s">
        <v>29</v>
      </c>
      <c r="B856" s="3" t="s">
        <v>2850</v>
      </c>
      <c r="C856" s="35" t="s">
        <v>2851</v>
      </c>
      <c r="D856" s="7" t="s">
        <v>64</v>
      </c>
      <c r="E856" s="7" t="s">
        <v>20</v>
      </c>
      <c r="F856" s="7" t="s">
        <v>142</v>
      </c>
      <c r="G856" s="7" t="e">
        <f t="shared" ca="1" si="34"/>
        <v>#NAME?</v>
      </c>
      <c r="H856" s="24" t="s">
        <v>143</v>
      </c>
      <c r="I856" s="24" t="s">
        <v>25</v>
      </c>
      <c r="J856" s="7" t="str">
        <f t="shared" si="38"/>
        <v>Não</v>
      </c>
      <c r="K856" s="25">
        <v>45359</v>
      </c>
      <c r="L856" s="25">
        <v>45539</v>
      </c>
      <c r="M856" s="7" t="s">
        <v>31</v>
      </c>
      <c r="N856" s="26">
        <v>0</v>
      </c>
      <c r="O856" s="7" t="s">
        <v>25</v>
      </c>
      <c r="P856" s="27">
        <v>0</v>
      </c>
      <c r="Q856" s="28"/>
      <c r="R856" s="28" t="s">
        <v>309</v>
      </c>
      <c r="S856" s="7" t="s">
        <v>145</v>
      </c>
      <c r="T856" s="6" t="s">
        <v>2852</v>
      </c>
      <c r="U856" s="7" t="s">
        <v>60</v>
      </c>
      <c r="V856" s="24" t="e">
        <f t="shared" ca="1" si="35"/>
        <v>#NAME?</v>
      </c>
      <c r="W856" s="7"/>
      <c r="X856" s="7"/>
      <c r="Y856" s="29" t="s">
        <v>147</v>
      </c>
      <c r="Z856" s="30"/>
      <c r="AA856" s="31">
        <v>45359</v>
      </c>
      <c r="AB856" s="32">
        <v>49075100014620</v>
      </c>
      <c r="AC856" s="30"/>
      <c r="AD856" s="30"/>
      <c r="AE856" s="30"/>
      <c r="AF856" s="30"/>
      <c r="AG856" s="30"/>
      <c r="AH856" s="30"/>
      <c r="AI856" s="30"/>
      <c r="AJ856" s="30"/>
      <c r="AK856" s="30"/>
      <c r="AL856" s="30"/>
      <c r="AM856" s="30"/>
      <c r="AN856" s="30"/>
      <c r="AO856" s="30"/>
      <c r="AP856" s="30"/>
      <c r="AQ856" s="30"/>
      <c r="AR856" s="30"/>
      <c r="AS856" s="30"/>
      <c r="AT856" s="30">
        <v>536257.18000000005</v>
      </c>
      <c r="AU856" s="30">
        <v>560300.31000000006</v>
      </c>
      <c r="AV856" s="30">
        <v>564711.30000000005</v>
      </c>
      <c r="AW856" s="30">
        <v>563857.4</v>
      </c>
      <c r="AX856" s="30">
        <v>0</v>
      </c>
      <c r="AY856" s="30">
        <v>0</v>
      </c>
      <c r="AZ856" s="30">
        <v>0</v>
      </c>
      <c r="BA856" s="30" t="e">
        <f t="array" aca="1" ref="BA856" ca="1">_xludf.XLOOKUP(C856,'PL TOTAL D0'!A:A,'PL TOTAL D0'!C:C,"")</f>
        <v>#NAME?</v>
      </c>
    </row>
    <row r="857" spans="1:53" ht="16.5" customHeight="1">
      <c r="A857" s="23" t="s">
        <v>29</v>
      </c>
      <c r="B857" s="3" t="s">
        <v>2850</v>
      </c>
      <c r="C857" s="35" t="s">
        <v>2853</v>
      </c>
      <c r="D857" s="7" t="s">
        <v>64</v>
      </c>
      <c r="E857" s="7" t="s">
        <v>20</v>
      </c>
      <c r="F857" s="7" t="s">
        <v>142</v>
      </c>
      <c r="G857" s="7" t="e">
        <f t="shared" ca="1" si="34"/>
        <v>#NAME?</v>
      </c>
      <c r="H857" s="24" t="s">
        <v>143</v>
      </c>
      <c r="I857" s="24" t="s">
        <v>25</v>
      </c>
      <c r="J857" s="7" t="s">
        <v>181</v>
      </c>
      <c r="K857" s="25">
        <v>45308</v>
      </c>
      <c r="L857" s="25">
        <v>45539</v>
      </c>
      <c r="M857" s="7" t="s">
        <v>284</v>
      </c>
      <c r="N857" s="26">
        <v>6.0000000000000001E-3</v>
      </c>
      <c r="O857" s="7" t="s">
        <v>25</v>
      </c>
      <c r="P857" s="27">
        <v>0</v>
      </c>
      <c r="Q857" s="28"/>
      <c r="R857" s="28" t="s">
        <v>2854</v>
      </c>
      <c r="S857" s="7" t="s">
        <v>145</v>
      </c>
      <c r="T857" s="6" t="s">
        <v>2852</v>
      </c>
      <c r="U857" s="7"/>
      <c r="V857" s="24" t="e">
        <f t="shared" ca="1" si="35"/>
        <v>#NAME?</v>
      </c>
      <c r="W857" s="7"/>
      <c r="X857" s="7"/>
      <c r="Y857" s="29"/>
      <c r="Z857" s="30"/>
      <c r="AA857" s="31">
        <v>45308</v>
      </c>
      <c r="AB857" s="32">
        <v>49075100013624</v>
      </c>
      <c r="AC857" s="30"/>
      <c r="AD857" s="30"/>
      <c r="AE857" s="30"/>
      <c r="AF857" s="30"/>
      <c r="AG857" s="30"/>
      <c r="AH857" s="30"/>
      <c r="AI857" s="30"/>
      <c r="AJ857" s="30"/>
      <c r="AK857" s="30"/>
      <c r="AL857" s="30"/>
      <c r="AM857" s="30"/>
      <c r="AN857" s="30"/>
      <c r="AO857" s="30"/>
      <c r="AP857" s="30"/>
      <c r="AQ857" s="30"/>
      <c r="AR857" s="30">
        <v>4330001.9400000004</v>
      </c>
      <c r="AS857" s="30">
        <v>4359086.67</v>
      </c>
      <c r="AT857" s="30">
        <v>3755707.41</v>
      </c>
      <c r="AU857" s="30">
        <v>3923725.93</v>
      </c>
      <c r="AV857" s="30">
        <v>3948084</v>
      </c>
      <c r="AW857" s="30">
        <v>4118178</v>
      </c>
      <c r="AX857" s="30">
        <v>0</v>
      </c>
      <c r="AY857" s="30">
        <v>0</v>
      </c>
      <c r="AZ857" s="30">
        <v>0</v>
      </c>
      <c r="BA857" s="30" t="e">
        <f t="array" aca="1" ref="BA857" ca="1">_xludf.XLOOKUP(C857,'PL TOTAL D0'!A:A,'PL TOTAL D0'!C:C,"")</f>
        <v>#NAME?</v>
      </c>
    </row>
    <row r="858" spans="1:53" ht="15.75" customHeight="1">
      <c r="A858" s="23" t="s">
        <v>29</v>
      </c>
      <c r="B858" s="37" t="s">
        <v>2855</v>
      </c>
      <c r="C858" s="4" t="s">
        <v>2856</v>
      </c>
      <c r="D858" s="7" t="s">
        <v>19</v>
      </c>
      <c r="E858" s="7" t="s">
        <v>49</v>
      </c>
      <c r="F858" s="7" t="s">
        <v>50</v>
      </c>
      <c r="G858" s="7" t="e">
        <f t="shared" ca="1" si="34"/>
        <v>#NAME?</v>
      </c>
      <c r="H858" s="24" t="s">
        <v>161</v>
      </c>
      <c r="I858" s="24" t="s">
        <v>162</v>
      </c>
      <c r="J858" s="7" t="str">
        <f t="shared" ref="J858:J864" si="39">IF(Q858=0,"Não","Sim")</f>
        <v>Não</v>
      </c>
      <c r="K858" s="25">
        <v>44992</v>
      </c>
      <c r="L858" s="7"/>
      <c r="M858" s="7" t="s">
        <v>42</v>
      </c>
      <c r="N858" s="26">
        <v>0.01</v>
      </c>
      <c r="O858" s="7" t="s">
        <v>25</v>
      </c>
      <c r="P858" s="27">
        <v>0</v>
      </c>
      <c r="Q858" s="28"/>
      <c r="R858" s="28"/>
      <c r="S858" s="7" t="s">
        <v>145</v>
      </c>
      <c r="T858" s="7" t="s">
        <v>2857</v>
      </c>
      <c r="U858" s="7" t="s">
        <v>49</v>
      </c>
      <c r="V858" s="24" t="e">
        <f t="shared" ca="1" si="35"/>
        <v>#NAME?</v>
      </c>
      <c r="W858" s="7"/>
      <c r="X858" s="7"/>
      <c r="Y858" s="29" t="s">
        <v>147</v>
      </c>
      <c r="Z858" s="30"/>
      <c r="AA858" s="31">
        <v>44992</v>
      </c>
      <c r="AB858" s="32">
        <v>49075100009422</v>
      </c>
      <c r="AC858" s="30"/>
      <c r="AD858" s="30"/>
      <c r="AE858" s="30"/>
      <c r="AF858" s="30"/>
      <c r="AG858" s="30">
        <v>68740.039999999994</v>
      </c>
      <c r="AH858" s="30">
        <v>69255.53</v>
      </c>
      <c r="AI858" s="30">
        <v>69786.2</v>
      </c>
      <c r="AJ858" s="30">
        <v>70572.13</v>
      </c>
      <c r="AK858" s="30">
        <v>71251.350000000006</v>
      </c>
      <c r="AL858" s="30">
        <v>61652.23</v>
      </c>
      <c r="AM858" s="30">
        <v>62276.69</v>
      </c>
      <c r="AN858" s="30">
        <v>62797.85</v>
      </c>
      <c r="AO858" s="30">
        <v>63368.38</v>
      </c>
      <c r="AP858" s="30">
        <v>63801.15</v>
      </c>
      <c r="AQ858" s="30">
        <v>64203.199999999997</v>
      </c>
      <c r="AR858" s="30">
        <v>64745.13</v>
      </c>
      <c r="AS858" s="30">
        <v>65189.27</v>
      </c>
      <c r="AT858" s="30">
        <v>65158.14</v>
      </c>
      <c r="AU858" s="30">
        <v>65720.44</v>
      </c>
      <c r="AV858" s="30">
        <v>0</v>
      </c>
      <c r="AW858" s="30">
        <v>20.89</v>
      </c>
      <c r="AX858" s="30">
        <v>20.89</v>
      </c>
      <c r="AY858" s="30">
        <v>20.89</v>
      </c>
      <c r="AZ858" s="30">
        <v>20.89</v>
      </c>
      <c r="BA858" s="30" t="e">
        <f t="array" aca="1" ref="BA858" ca="1">_xludf.XLOOKUP(C858,'PL TOTAL D0'!A:A,'PL TOTAL D0'!C:C,"")</f>
        <v>#NAME?</v>
      </c>
    </row>
    <row r="859" spans="1:53" ht="15.75" customHeight="1">
      <c r="A859" s="186" t="s">
        <v>29</v>
      </c>
      <c r="B859" s="187" t="s">
        <v>2858</v>
      </c>
      <c r="C859" s="188" t="s">
        <v>2859</v>
      </c>
      <c r="D859" s="189" t="s">
        <v>19</v>
      </c>
      <c r="E859" s="189" t="s">
        <v>20</v>
      </c>
      <c r="F859" s="189" t="s">
        <v>199</v>
      </c>
      <c r="G859" s="7" t="e">
        <f t="shared" ca="1" si="34"/>
        <v>#NAME?</v>
      </c>
      <c r="H859" s="190" t="s">
        <v>161</v>
      </c>
      <c r="I859" s="190" t="s">
        <v>162</v>
      </c>
      <c r="J859" s="7" t="str">
        <f t="shared" si="39"/>
        <v>Não</v>
      </c>
      <c r="K859" s="191">
        <v>44894</v>
      </c>
      <c r="L859" s="189"/>
      <c r="M859" s="189" t="s">
        <v>466</v>
      </c>
      <c r="N859" s="192">
        <v>7.0000000000000001E-3</v>
      </c>
      <c r="O859" s="189" t="s">
        <v>25</v>
      </c>
      <c r="P859" s="193">
        <v>0</v>
      </c>
      <c r="Q859" s="28"/>
      <c r="R859" s="194"/>
      <c r="S859" s="189" t="s">
        <v>187</v>
      </c>
      <c r="T859" s="189" t="s">
        <v>2860</v>
      </c>
      <c r="U859" s="189" t="s">
        <v>46</v>
      </c>
      <c r="V859" s="24" t="e">
        <f t="shared" ca="1" si="35"/>
        <v>#NAME?</v>
      </c>
      <c r="W859" s="189"/>
      <c r="X859" s="189"/>
      <c r="Y859" s="195" t="s">
        <v>253</v>
      </c>
      <c r="Z859" s="196"/>
      <c r="AA859" s="197">
        <v>44894</v>
      </c>
      <c r="AB859" s="198">
        <v>49075100006539</v>
      </c>
      <c r="AC859" s="196"/>
      <c r="AD859" s="196"/>
      <c r="AE859" s="196">
        <v>2655155.41</v>
      </c>
      <c r="AF859" s="196">
        <v>2675570.11</v>
      </c>
      <c r="AG859" s="196">
        <v>2699231.96</v>
      </c>
      <c r="AH859" s="196">
        <v>2728008.19</v>
      </c>
      <c r="AI859" s="196">
        <v>2738653.68</v>
      </c>
      <c r="AJ859" s="196">
        <v>2770866.74</v>
      </c>
      <c r="AK859" s="196">
        <v>2798261.37</v>
      </c>
      <c r="AL859" s="196">
        <v>2825569.34</v>
      </c>
      <c r="AM859" s="196">
        <v>2851375.93</v>
      </c>
      <c r="AN859" s="196">
        <v>2873474.15</v>
      </c>
      <c r="AO859" s="196">
        <v>2892360.45</v>
      </c>
      <c r="AP859" s="196">
        <v>360671.84</v>
      </c>
      <c r="AQ859" s="196">
        <v>362643.08</v>
      </c>
      <c r="AR859" s="196">
        <v>220</v>
      </c>
      <c r="AS859" s="30">
        <v>170.04</v>
      </c>
      <c r="AT859" s="30">
        <v>170.67</v>
      </c>
      <c r="AU859" s="30">
        <v>172.16</v>
      </c>
      <c r="AV859" s="30">
        <v>173.05</v>
      </c>
      <c r="AW859" s="30">
        <v>174.41</v>
      </c>
      <c r="AX859" s="30">
        <v>175.98</v>
      </c>
      <c r="AY859" s="30">
        <v>177.51</v>
      </c>
      <c r="AZ859" s="30">
        <v>178.99</v>
      </c>
      <c r="BA859" s="30" t="e">
        <f t="array" aca="1" ref="BA859" ca="1">_xludf.XLOOKUP(C859,'PL TOTAL D0'!A:A,'PL TOTAL D0'!C:C,"")</f>
        <v>#NAME?</v>
      </c>
    </row>
    <row r="860" spans="1:53" ht="15.75" customHeight="1">
      <c r="A860" s="186" t="s">
        <v>29</v>
      </c>
      <c r="B860" s="38" t="s">
        <v>2861</v>
      </c>
      <c r="C860" s="39" t="s">
        <v>2862</v>
      </c>
      <c r="D860" s="189" t="s">
        <v>80</v>
      </c>
      <c r="E860" s="189" t="s">
        <v>49</v>
      </c>
      <c r="F860" s="7" t="s">
        <v>81</v>
      </c>
      <c r="G860" s="7" t="e">
        <f t="shared" ca="1" si="34"/>
        <v>#NAME?</v>
      </c>
      <c r="H860" s="190" t="s">
        <v>152</v>
      </c>
      <c r="I860" s="190" t="s">
        <v>25</v>
      </c>
      <c r="J860" s="7" t="str">
        <f t="shared" si="39"/>
        <v>Não</v>
      </c>
      <c r="K860" s="191">
        <v>45376</v>
      </c>
      <c r="L860" s="189"/>
      <c r="M860" s="189" t="s">
        <v>42</v>
      </c>
      <c r="N860" s="192">
        <v>1.2E-2</v>
      </c>
      <c r="O860" s="189" t="s">
        <v>25</v>
      </c>
      <c r="P860" s="193">
        <v>0</v>
      </c>
      <c r="Q860" s="28"/>
      <c r="R860" s="194"/>
      <c r="S860" s="189" t="s">
        <v>145</v>
      </c>
      <c r="T860" s="6" t="s">
        <v>2863</v>
      </c>
      <c r="U860" s="189" t="s">
        <v>49</v>
      </c>
      <c r="V860" s="24" t="e">
        <f t="shared" ca="1" si="35"/>
        <v>#NAME?</v>
      </c>
      <c r="W860" s="189"/>
      <c r="X860" s="189"/>
      <c r="Y860" s="195" t="s">
        <v>147</v>
      </c>
      <c r="Z860" s="196"/>
      <c r="AA860" s="197">
        <v>45376</v>
      </c>
      <c r="AB860" s="198">
        <v>49075100013934</v>
      </c>
      <c r="AC860" s="196"/>
      <c r="AD860" s="196"/>
      <c r="AE860" s="196"/>
      <c r="AF860" s="196"/>
      <c r="AG860" s="196"/>
      <c r="AH860" s="196"/>
      <c r="AI860" s="196"/>
      <c r="AJ860" s="196"/>
      <c r="AK860" s="196"/>
      <c r="AL860" s="196"/>
      <c r="AM860" s="196"/>
      <c r="AN860" s="196"/>
      <c r="AO860" s="196"/>
      <c r="AP860" s="196"/>
      <c r="AQ860" s="196"/>
      <c r="AR860" s="196"/>
      <c r="AS860" s="30"/>
      <c r="AT860" s="30">
        <v>0</v>
      </c>
      <c r="AU860" s="30">
        <v>201422.5</v>
      </c>
      <c r="AV860" s="30">
        <v>203080.1</v>
      </c>
      <c r="AW860" s="30">
        <v>204808.8</v>
      </c>
      <c r="AX860" s="30">
        <v>206568.3</v>
      </c>
      <c r="AY860" s="30">
        <v>208312.85</v>
      </c>
      <c r="AZ860" s="30">
        <v>209380.72</v>
      </c>
      <c r="BA860" s="30" t="e">
        <f t="array" aca="1" ref="BA860" ca="1">_xludf.XLOOKUP(C860,'PL TOTAL D0'!A:A,'PL TOTAL D0'!C:C,"")</f>
        <v>#NAME?</v>
      </c>
    </row>
    <row r="861" spans="1:53" ht="15.75" customHeight="1">
      <c r="A861" s="23" t="s">
        <v>29</v>
      </c>
      <c r="B861" s="37" t="s">
        <v>2864</v>
      </c>
      <c r="C861" s="199" t="s">
        <v>2865</v>
      </c>
      <c r="D861" s="7" t="s">
        <v>19</v>
      </c>
      <c r="E861" s="7" t="s">
        <v>34</v>
      </c>
      <c r="F861" s="7" t="s">
        <v>262</v>
      </c>
      <c r="G861" s="7" t="e">
        <f t="shared" ca="1" si="34"/>
        <v>#NAME?</v>
      </c>
      <c r="H861" s="24" t="s">
        <v>161</v>
      </c>
      <c r="I861" s="24" t="s">
        <v>211</v>
      </c>
      <c r="J861" s="7" t="str">
        <f t="shared" si="39"/>
        <v>Não</v>
      </c>
      <c r="K861" s="25">
        <v>45159</v>
      </c>
      <c r="L861" s="25"/>
      <c r="M861" s="7" t="s">
        <v>42</v>
      </c>
      <c r="N861" s="26">
        <v>1.2E-2</v>
      </c>
      <c r="O861" s="7" t="s">
        <v>25</v>
      </c>
      <c r="P861" s="27">
        <v>0</v>
      </c>
      <c r="Q861" s="45"/>
      <c r="R861" s="28" t="s">
        <v>2866</v>
      </c>
      <c r="S861" s="7" t="s">
        <v>145</v>
      </c>
      <c r="T861" s="7" t="s">
        <v>2867</v>
      </c>
      <c r="U861" s="7" t="s">
        <v>39</v>
      </c>
      <c r="V861" s="24" t="e">
        <f t="shared" ca="1" si="35"/>
        <v>#NAME?</v>
      </c>
      <c r="W861" s="7"/>
      <c r="X861" s="7"/>
      <c r="Y861" s="29" t="s">
        <v>147</v>
      </c>
      <c r="Z861" s="30"/>
      <c r="AA861" s="31">
        <v>45159</v>
      </c>
      <c r="AB861" s="32">
        <v>49075100012148</v>
      </c>
      <c r="AC861" s="30"/>
      <c r="AD861" s="30"/>
      <c r="AE861" s="30"/>
      <c r="AF861" s="30"/>
      <c r="AG861" s="30"/>
      <c r="AH861" s="30"/>
      <c r="AI861" s="30">
        <v>0</v>
      </c>
      <c r="AJ861" s="30">
        <v>0</v>
      </c>
      <c r="AK861" s="30">
        <v>0</v>
      </c>
      <c r="AL861" s="30">
        <v>0</v>
      </c>
      <c r="AM861" s="30">
        <v>211510.28</v>
      </c>
      <c r="AN861" s="30">
        <v>213108.31</v>
      </c>
      <c r="AO861" s="30">
        <v>214818.17</v>
      </c>
      <c r="AP861" s="30">
        <v>233600.15</v>
      </c>
      <c r="AQ861" s="30">
        <v>234755.16</v>
      </c>
      <c r="AR861" s="30">
        <v>236867.04</v>
      </c>
      <c r="AS861" s="30">
        <v>238650.84</v>
      </c>
      <c r="AT861" s="30">
        <v>240282.31</v>
      </c>
      <c r="AU861" s="30">
        <v>242157.27</v>
      </c>
      <c r="AV861" s="30">
        <v>244070.6</v>
      </c>
      <c r="AW861" s="30">
        <v>245977.1</v>
      </c>
      <c r="AX861" s="30">
        <v>247556</v>
      </c>
      <c r="AY861" s="30">
        <v>249318.85</v>
      </c>
      <c r="AZ861" s="30">
        <v>0</v>
      </c>
      <c r="BA861" s="30" t="e">
        <f t="array" aca="1" ref="BA861" ca="1">_xludf.XLOOKUP(C861,'PL TOTAL D0'!A:A,'PL TOTAL D0'!C:C,"")</f>
        <v>#NAME?</v>
      </c>
    </row>
    <row r="862" spans="1:53" ht="15.75" customHeight="1">
      <c r="A862" s="23" t="s">
        <v>29</v>
      </c>
      <c r="B862" s="38" t="s">
        <v>2868</v>
      </c>
      <c r="C862" s="39" t="s">
        <v>2869</v>
      </c>
      <c r="D862" s="7" t="s">
        <v>72</v>
      </c>
      <c r="E862" s="7" t="s">
        <v>20</v>
      </c>
      <c r="F862" s="7" t="s">
        <v>386</v>
      </c>
      <c r="G862" s="7" t="e">
        <f t="shared" ca="1" si="34"/>
        <v>#NAME?</v>
      </c>
      <c r="H862" s="24" t="s">
        <v>152</v>
      </c>
      <c r="I862" s="24" t="s">
        <v>25</v>
      </c>
      <c r="J862" s="7" t="str">
        <f t="shared" si="39"/>
        <v>Sim</v>
      </c>
      <c r="K862" s="25">
        <v>45407</v>
      </c>
      <c r="L862" s="25"/>
      <c r="M862" s="7" t="s">
        <v>42</v>
      </c>
      <c r="N862" s="26">
        <v>1.2E-2</v>
      </c>
      <c r="O862" s="7" t="s">
        <v>25</v>
      </c>
      <c r="P862" s="27">
        <v>0</v>
      </c>
      <c r="Q862" s="36" t="s">
        <v>2870</v>
      </c>
      <c r="R862" s="28"/>
      <c r="S862" s="7" t="s">
        <v>145</v>
      </c>
      <c r="T862" s="6" t="s">
        <v>2871</v>
      </c>
      <c r="U862" s="7" t="s">
        <v>20</v>
      </c>
      <c r="V862" s="24" t="e">
        <f t="shared" ca="1" si="35"/>
        <v>#NAME?</v>
      </c>
      <c r="W862" s="7"/>
      <c r="X862" s="7" t="s">
        <v>91</v>
      </c>
      <c r="Y862" s="29" t="s">
        <v>147</v>
      </c>
      <c r="Z862" s="30"/>
      <c r="AA862" s="31">
        <v>45407</v>
      </c>
      <c r="AB862" s="32">
        <v>49075100014221</v>
      </c>
      <c r="AC862" s="30"/>
      <c r="AD862" s="30"/>
      <c r="AE862" s="30"/>
      <c r="AF862" s="30"/>
      <c r="AG862" s="30"/>
      <c r="AH862" s="30"/>
      <c r="AI862" s="30"/>
      <c r="AJ862" s="30"/>
      <c r="AK862" s="30"/>
      <c r="AL862" s="30"/>
      <c r="AM862" s="30"/>
      <c r="AN862" s="30"/>
      <c r="AO862" s="30"/>
      <c r="AP862" s="30"/>
      <c r="AQ862" s="30"/>
      <c r="AR862" s="30"/>
      <c r="AS862" s="30"/>
      <c r="AT862" s="30"/>
      <c r="AU862" s="30">
        <v>130756.33</v>
      </c>
      <c r="AV862" s="30">
        <v>131987.1</v>
      </c>
      <c r="AW862" s="30">
        <v>132528.1</v>
      </c>
      <c r="AX862" s="30">
        <v>133374.9</v>
      </c>
      <c r="AY862" s="30">
        <v>149390.70000000001</v>
      </c>
      <c r="AZ862" s="30">
        <v>150338.15</v>
      </c>
      <c r="BA862" s="30" t="e">
        <f t="array" aca="1" ref="BA862" ca="1">_xludf.XLOOKUP(C862,'PL TOTAL D0'!A:A,'PL TOTAL D0'!C:C,"")</f>
        <v>#NAME?</v>
      </c>
    </row>
    <row r="863" spans="1:53" ht="15.75" customHeight="1">
      <c r="A863" s="23" t="s">
        <v>29</v>
      </c>
      <c r="B863" s="38" t="s">
        <v>2872</v>
      </c>
      <c r="C863" s="39" t="s">
        <v>2873</v>
      </c>
      <c r="D863" s="7" t="s">
        <v>55</v>
      </c>
      <c r="E863" s="7" t="s">
        <v>34</v>
      </c>
      <c r="F863" s="7" t="s">
        <v>56</v>
      </c>
      <c r="G863" s="7" t="e">
        <f t="shared" ca="1" si="34"/>
        <v>#NAME?</v>
      </c>
      <c r="H863" s="24" t="s">
        <v>152</v>
      </c>
      <c r="I863" s="24" t="s">
        <v>25</v>
      </c>
      <c r="J863" s="7" t="str">
        <f t="shared" si="39"/>
        <v>Não</v>
      </c>
      <c r="K863" s="25">
        <v>45421</v>
      </c>
      <c r="L863" s="25"/>
      <c r="M863" s="7" t="s">
        <v>42</v>
      </c>
      <c r="N863" s="26">
        <v>1.2E-2</v>
      </c>
      <c r="O863" s="7" t="s">
        <v>25</v>
      </c>
      <c r="P863" s="27">
        <v>0</v>
      </c>
      <c r="Q863" s="36"/>
      <c r="R863" s="28"/>
      <c r="S863" s="7" t="s">
        <v>145</v>
      </c>
      <c r="T863" s="12" t="s">
        <v>2874</v>
      </c>
      <c r="U863" s="7" t="s">
        <v>60</v>
      </c>
      <c r="V863" s="24" t="e">
        <f t="shared" ca="1" si="35"/>
        <v>#NAME?</v>
      </c>
      <c r="W863" s="7"/>
      <c r="X863" s="7" t="s">
        <v>52</v>
      </c>
      <c r="Y863" s="29" t="s">
        <v>147</v>
      </c>
      <c r="Z863" s="30"/>
      <c r="AA863" s="31">
        <v>45421</v>
      </c>
      <c r="AB863" s="32">
        <v>49075100014639</v>
      </c>
      <c r="AC863" s="30"/>
      <c r="AD863" s="30"/>
      <c r="AE863" s="30"/>
      <c r="AF863" s="30"/>
      <c r="AG863" s="30"/>
      <c r="AH863" s="30"/>
      <c r="AI863" s="30"/>
      <c r="AJ863" s="30"/>
      <c r="AK863" s="30"/>
      <c r="AL863" s="30"/>
      <c r="AM863" s="30"/>
      <c r="AN863" s="30"/>
      <c r="AO863" s="30"/>
      <c r="AP863" s="30"/>
      <c r="AQ863" s="30"/>
      <c r="AR863" s="30"/>
      <c r="AS863" s="30"/>
      <c r="AT863" s="30"/>
      <c r="AU863" s="30"/>
      <c r="AV863" s="30">
        <v>100722.2</v>
      </c>
      <c r="AW863" s="30">
        <v>101684.2</v>
      </c>
      <c r="AX863" s="30">
        <v>102729.3</v>
      </c>
      <c r="AY863" s="30">
        <v>103610.52</v>
      </c>
      <c r="AZ863" s="30">
        <v>104323.39</v>
      </c>
      <c r="BA863" s="30" t="e">
        <f t="array" aca="1" ref="BA863" ca="1">_xludf.XLOOKUP(C863,'PL TOTAL D0'!A:A,'PL TOTAL D0'!C:C,"")</f>
        <v>#NAME?</v>
      </c>
    </row>
    <row r="864" spans="1:53" ht="15.75" customHeight="1">
      <c r="A864" s="23" t="s">
        <v>29</v>
      </c>
      <c r="B864" s="38" t="s">
        <v>2875</v>
      </c>
      <c r="C864" s="39" t="s">
        <v>2876</v>
      </c>
      <c r="D864" s="7" t="s">
        <v>19</v>
      </c>
      <c r="E864" s="7" t="s">
        <v>20</v>
      </c>
      <c r="F864" s="7" t="s">
        <v>989</v>
      </c>
      <c r="G864" s="7" t="e">
        <f t="shared" ca="1" si="34"/>
        <v>#NAME?</v>
      </c>
      <c r="H864" s="24" t="s">
        <v>161</v>
      </c>
      <c r="I864" s="24" t="s">
        <v>211</v>
      </c>
      <c r="J864" s="7" t="str">
        <f t="shared" si="39"/>
        <v>Não</v>
      </c>
      <c r="K864" s="25">
        <v>45394</v>
      </c>
      <c r="L864" s="25"/>
      <c r="M864" s="7" t="s">
        <v>31</v>
      </c>
      <c r="N864" s="26">
        <v>0</v>
      </c>
      <c r="O864" s="7" t="s">
        <v>25</v>
      </c>
      <c r="P864" s="27">
        <v>0</v>
      </c>
      <c r="Q864" s="45"/>
      <c r="R864" s="28"/>
      <c r="S864" s="7" t="s">
        <v>145</v>
      </c>
      <c r="T864" s="6" t="s">
        <v>2877</v>
      </c>
      <c r="U864" s="7" t="s">
        <v>1678</v>
      </c>
      <c r="V864" s="24" t="e">
        <f t="shared" ca="1" si="35"/>
        <v>#NAME?</v>
      </c>
      <c r="W864" s="7"/>
      <c r="X864" s="7" t="s">
        <v>52</v>
      </c>
      <c r="Y864" s="29" t="s">
        <v>147</v>
      </c>
      <c r="Z864" s="30"/>
      <c r="AA864" s="31">
        <v>45394</v>
      </c>
      <c r="AB864" s="32">
        <v>49075100014231</v>
      </c>
      <c r="AC864" s="30"/>
      <c r="AD864" s="30"/>
      <c r="AE864" s="30"/>
      <c r="AF864" s="30"/>
      <c r="AG864" s="30"/>
      <c r="AH864" s="30"/>
      <c r="AI864" s="30"/>
      <c r="AJ864" s="30"/>
      <c r="AK864" s="30"/>
      <c r="AL864" s="30"/>
      <c r="AM864" s="30"/>
      <c r="AN864" s="30"/>
      <c r="AO864" s="30"/>
      <c r="AP864" s="30"/>
      <c r="AQ864" s="30"/>
      <c r="AR864" s="30"/>
      <c r="AS864" s="30"/>
      <c r="AT864" s="30"/>
      <c r="AU864" s="30">
        <v>40169.61</v>
      </c>
      <c r="AV864" s="30">
        <v>45573.03</v>
      </c>
      <c r="AW864" s="30">
        <v>51030.45</v>
      </c>
      <c r="AX864" s="30">
        <v>61618.31</v>
      </c>
      <c r="AY864" s="30">
        <v>70288.259999999995</v>
      </c>
      <c r="AZ864" s="30">
        <v>85004.61</v>
      </c>
      <c r="BA864" s="30" t="e">
        <f t="array" aca="1" ref="BA864" ca="1">_xludf.XLOOKUP(C864,'PL TOTAL D0'!A:A,'PL TOTAL D0'!C:C,"")</f>
        <v>#NAME?</v>
      </c>
    </row>
    <row r="865" spans="1:53" ht="15.75" customHeight="1">
      <c r="A865" s="200"/>
      <c r="B865" s="200"/>
      <c r="C865" s="46"/>
      <c r="D865" s="201"/>
      <c r="E865" s="201"/>
      <c r="F865" s="119"/>
      <c r="G865" s="119"/>
      <c r="H865" s="202"/>
      <c r="I865" s="203"/>
      <c r="J865" s="202"/>
      <c r="K865" s="204"/>
      <c r="L865" s="204"/>
      <c r="M865" s="119"/>
      <c r="N865" s="205"/>
      <c r="O865" s="205"/>
      <c r="P865" s="206"/>
      <c r="Q865" s="82"/>
      <c r="R865" s="82"/>
      <c r="S865" s="119"/>
      <c r="T865" s="119"/>
      <c r="U865" s="119"/>
      <c r="V865" s="119"/>
      <c r="W865" s="204"/>
      <c r="X865" s="204"/>
      <c r="Y865" s="204"/>
      <c r="Z865" s="207"/>
      <c r="AA865" s="207"/>
      <c r="AB865" s="207"/>
      <c r="AC865" s="208"/>
      <c r="AD865" s="208"/>
      <c r="AE865" s="208"/>
      <c r="AF865" s="208"/>
      <c r="AG865" s="208"/>
      <c r="AH865" s="208"/>
      <c r="AI865" s="208"/>
      <c r="AJ865" s="208"/>
      <c r="AK865" s="208"/>
      <c r="AL865" s="208"/>
      <c r="AM865" s="208"/>
      <c r="AN865" s="208"/>
      <c r="AO865" s="208"/>
      <c r="AP865" s="208"/>
      <c r="AQ865" s="208"/>
      <c r="AR865" s="208"/>
      <c r="AS865" s="208"/>
      <c r="AT865" s="208"/>
      <c r="AU865" s="208"/>
      <c r="AV865" s="208"/>
      <c r="AW865" s="208"/>
      <c r="AX865" s="208"/>
      <c r="AY865" s="208"/>
      <c r="AZ865" s="208"/>
      <c r="BA865" s="208"/>
    </row>
    <row r="866" spans="1:53" ht="15.75" customHeight="1">
      <c r="A866" s="200"/>
      <c r="B866" s="200"/>
      <c r="C866" s="46"/>
      <c r="D866" s="201"/>
      <c r="E866" s="201"/>
      <c r="F866" s="119"/>
      <c r="G866" s="119"/>
      <c r="H866" s="202"/>
      <c r="I866" s="203"/>
      <c r="J866" s="202"/>
      <c r="K866" s="204"/>
      <c r="L866" s="204"/>
      <c r="M866" s="119"/>
      <c r="N866" s="205"/>
      <c r="O866" s="205"/>
      <c r="P866" s="206"/>
      <c r="Q866" s="82"/>
      <c r="R866" s="82"/>
      <c r="S866" s="119"/>
      <c r="T866" s="119"/>
      <c r="U866" s="119"/>
      <c r="V866" s="119"/>
      <c r="W866" s="204"/>
      <c r="X866" s="204"/>
      <c r="Y866" s="204"/>
      <c r="Z866" s="207"/>
      <c r="AA866" s="207"/>
      <c r="AB866" s="207"/>
      <c r="AC866" s="208"/>
      <c r="AD866" s="208"/>
      <c r="AE866" s="208"/>
      <c r="AF866" s="208"/>
      <c r="AG866" s="208"/>
      <c r="AH866" s="208"/>
      <c r="AI866" s="208"/>
      <c r="AJ866" s="208"/>
      <c r="AK866" s="208"/>
      <c r="AL866" s="208"/>
      <c r="AM866" s="208"/>
      <c r="AN866" s="208"/>
      <c r="AO866" s="208"/>
      <c r="AP866" s="208"/>
      <c r="AQ866" s="208"/>
      <c r="AR866" s="208"/>
      <c r="AS866" s="208"/>
      <c r="AT866" s="208"/>
      <c r="AU866" s="208"/>
      <c r="AV866" s="208"/>
      <c r="AW866" s="208"/>
      <c r="AX866" s="208"/>
      <c r="AY866" s="208"/>
      <c r="AZ866" s="208"/>
      <c r="BA866" s="208"/>
    </row>
    <row r="867" spans="1:53" ht="15.75" customHeight="1">
      <c r="A867" s="209"/>
      <c r="B867" s="210" t="s">
        <v>2878</v>
      </c>
      <c r="C867" s="211">
        <f>COUNTIF(H:H,"Ativo")</f>
        <v>448</v>
      </c>
      <c r="D867" s="145"/>
      <c r="E867" s="119"/>
      <c r="F867" s="119"/>
      <c r="G867" s="119"/>
      <c r="H867" s="119"/>
      <c r="I867" s="212"/>
      <c r="J867" s="119"/>
      <c r="K867" s="204"/>
      <c r="L867" s="204"/>
      <c r="M867" s="119"/>
      <c r="N867" s="205"/>
      <c r="O867" s="205"/>
      <c r="P867" s="206"/>
      <c r="Q867" s="82"/>
      <c r="R867" s="82"/>
      <c r="S867" s="119"/>
      <c r="T867" s="145"/>
      <c r="U867" s="145"/>
      <c r="V867" s="119"/>
      <c r="W867" s="204"/>
      <c r="X867" s="204"/>
      <c r="Y867" s="204"/>
      <c r="Z867" s="207"/>
      <c r="AA867" s="207"/>
      <c r="AB867" s="207"/>
      <c r="AC867" s="213">
        <f t="shared" ref="AC867:BA867" si="40">SUM(AC3:AC866)</f>
        <v>0</v>
      </c>
      <c r="AD867" s="213">
        <f t="shared" si="40"/>
        <v>0</v>
      </c>
      <c r="AE867" s="213">
        <f t="shared" si="40"/>
        <v>11487265.990000002</v>
      </c>
      <c r="AF867" s="213">
        <f t="shared" si="40"/>
        <v>27095720.269999996</v>
      </c>
      <c r="AG867" s="213">
        <f t="shared" si="40"/>
        <v>67316998.840000018</v>
      </c>
      <c r="AH867" s="213">
        <f t="shared" si="40"/>
        <v>121282813.75999999</v>
      </c>
      <c r="AI867" s="213">
        <f t="shared" si="40"/>
        <v>158453126.59000015</v>
      </c>
      <c r="AJ867" s="213">
        <f t="shared" si="40"/>
        <v>176485810.24999979</v>
      </c>
      <c r="AK867" s="213">
        <f t="shared" si="40"/>
        <v>200973916.1500001</v>
      </c>
      <c r="AL867" s="213">
        <f t="shared" si="40"/>
        <v>222922707.53000033</v>
      </c>
      <c r="AM867" s="213">
        <f t="shared" si="40"/>
        <v>249214850.52999991</v>
      </c>
      <c r="AN867" s="213">
        <f t="shared" si="40"/>
        <v>250660649.13999984</v>
      </c>
      <c r="AO867" s="213">
        <f t="shared" si="40"/>
        <v>258435640.85000002</v>
      </c>
      <c r="AP867" s="213">
        <f t="shared" si="40"/>
        <v>266732383.14000031</v>
      </c>
      <c r="AQ867" s="213">
        <f t="shared" si="40"/>
        <v>274974231.5000003</v>
      </c>
      <c r="AR867" s="213">
        <f t="shared" si="40"/>
        <v>299068989.77000034</v>
      </c>
      <c r="AS867" s="213">
        <f t="shared" si="40"/>
        <v>307067992.60000002</v>
      </c>
      <c r="AT867" s="213">
        <f t="shared" si="40"/>
        <v>306041920.26999986</v>
      </c>
      <c r="AU867" s="213">
        <f t="shared" si="40"/>
        <v>321232242.9600001</v>
      </c>
      <c r="AV867" s="213">
        <f t="shared" si="40"/>
        <v>330549753.52000016</v>
      </c>
      <c r="AW867" s="213">
        <f t="shared" si="40"/>
        <v>337087157.53000009</v>
      </c>
      <c r="AX867" s="213">
        <f t="shared" si="40"/>
        <v>282806423.22999972</v>
      </c>
      <c r="AY867" s="213">
        <f t="shared" si="40"/>
        <v>262292402.17000008</v>
      </c>
      <c r="AZ867" s="213">
        <f t="shared" si="40"/>
        <v>256341962.20999986</v>
      </c>
      <c r="BA867" s="213" t="e">
        <f t="shared" ca="1" si="40"/>
        <v>#NAME?</v>
      </c>
    </row>
    <row r="868" spans="1:53" ht="15.75" customHeight="1">
      <c r="A868" s="214"/>
      <c r="B868" s="215" t="s">
        <v>2879</v>
      </c>
      <c r="C868" s="216">
        <f>COUNTIF(H:H,"Inativo")</f>
        <v>263</v>
      </c>
      <c r="D868" s="145"/>
      <c r="E868" s="202"/>
      <c r="F868" s="202"/>
      <c r="G868" s="202"/>
      <c r="H868" s="201"/>
      <c r="I868" s="217"/>
      <c r="J868" s="201"/>
      <c r="K868" s="218"/>
      <c r="L868" s="219"/>
      <c r="M868" s="201"/>
      <c r="N868" s="205"/>
      <c r="O868" s="205"/>
      <c r="P868" s="206"/>
      <c r="Q868" s="82"/>
      <c r="R868" s="82"/>
      <c r="S868" s="119"/>
      <c r="T868" s="145"/>
      <c r="U868" s="145"/>
      <c r="V868" s="119"/>
      <c r="W868" s="219"/>
      <c r="X868" s="219"/>
      <c r="Y868" s="219"/>
      <c r="Z868" s="207"/>
      <c r="AA868" s="207"/>
      <c r="AB868" s="207"/>
      <c r="AC868" s="208"/>
      <c r="AD868" s="208"/>
      <c r="AE868" s="208"/>
      <c r="AF868" s="208"/>
      <c r="AG868" s="208"/>
      <c r="AH868" s="208"/>
      <c r="AI868" s="208"/>
      <c r="AJ868" s="208"/>
      <c r="AK868" s="208"/>
      <c r="AL868" s="208"/>
      <c r="AM868" s="208"/>
      <c r="AN868" s="208"/>
      <c r="AO868" s="208"/>
      <c r="AP868" s="208"/>
      <c r="AQ868" s="208"/>
      <c r="AR868" s="208"/>
      <c r="AS868" s="208"/>
      <c r="AT868" s="208"/>
      <c r="AU868" s="208"/>
      <c r="AV868" s="208"/>
      <c r="AW868" s="208"/>
      <c r="AX868" s="208"/>
      <c r="AY868" s="208"/>
      <c r="AZ868" s="208"/>
      <c r="BA868" s="208"/>
    </row>
    <row r="869" spans="1:53" ht="15.75" customHeight="1">
      <c r="A869" s="214"/>
      <c r="B869" s="215" t="s">
        <v>2880</v>
      </c>
      <c r="C869" s="216">
        <f>COUNTIF(H:H,"Encerrado")</f>
        <v>139</v>
      </c>
      <c r="D869" s="145"/>
      <c r="E869" s="202"/>
      <c r="F869" s="202"/>
      <c r="G869" s="202"/>
      <c r="H869" s="201"/>
      <c r="I869" s="217"/>
      <c r="J869" s="201"/>
      <c r="K869" s="218"/>
      <c r="L869" s="219"/>
      <c r="M869" s="201"/>
      <c r="N869" s="205"/>
      <c r="O869" s="205"/>
      <c r="P869" s="206"/>
      <c r="Q869" s="82"/>
      <c r="R869" s="82"/>
      <c r="S869" s="119"/>
      <c r="T869" s="145"/>
      <c r="U869" s="145"/>
      <c r="V869" s="119"/>
      <c r="W869" s="219"/>
      <c r="X869" s="219"/>
      <c r="Y869" s="219"/>
      <c r="Z869" s="207"/>
      <c r="AA869" s="207"/>
      <c r="AB869" s="207"/>
      <c r="AC869" s="208"/>
      <c r="AD869" s="208"/>
      <c r="AE869" s="208"/>
      <c r="AF869" s="208"/>
      <c r="AG869" s="208"/>
      <c r="AH869" s="208"/>
      <c r="AI869" s="208"/>
      <c r="AJ869" s="208"/>
      <c r="AK869" s="208"/>
      <c r="AL869" s="208"/>
      <c r="AM869" s="208"/>
      <c r="AN869" s="208"/>
      <c r="AO869" s="208"/>
      <c r="AP869" s="208"/>
      <c r="AQ869" s="208"/>
      <c r="AR869" s="208"/>
      <c r="AS869" s="208"/>
      <c r="AT869" s="208"/>
      <c r="AU869" s="208"/>
      <c r="AV869" s="208"/>
      <c r="AW869" s="208"/>
      <c r="AX869" s="208"/>
      <c r="AY869" s="208"/>
      <c r="AZ869" s="208"/>
      <c r="BA869" s="208"/>
    </row>
    <row r="870" spans="1:53" ht="15.75" customHeight="1">
      <c r="A870" s="220"/>
      <c r="B870" s="221" t="s">
        <v>2881</v>
      </c>
      <c r="C870" s="222">
        <f>COUNTIF(H:H,"Pode Operar")</f>
        <v>12</v>
      </c>
      <c r="D870" s="145"/>
      <c r="E870" s="202"/>
      <c r="F870" s="202"/>
      <c r="G870" s="202"/>
      <c r="H870" s="201"/>
      <c r="I870" s="217"/>
      <c r="J870" s="201"/>
      <c r="K870" s="218"/>
      <c r="L870" s="219"/>
      <c r="M870" s="201"/>
      <c r="N870" s="205"/>
      <c r="O870" s="205"/>
      <c r="P870" s="206"/>
      <c r="Q870" s="82"/>
      <c r="R870" s="82"/>
      <c r="S870" s="119"/>
      <c r="T870" s="145"/>
      <c r="U870" s="145"/>
      <c r="V870" s="119"/>
      <c r="W870" s="219"/>
      <c r="X870" s="219"/>
      <c r="Y870" s="219"/>
      <c r="Z870" s="207"/>
      <c r="AA870" s="207"/>
      <c r="AB870" s="207"/>
      <c r="AC870" s="208"/>
      <c r="AD870" s="208"/>
      <c r="AE870" s="208"/>
      <c r="AF870" s="208"/>
      <c r="AG870" s="208"/>
      <c r="AH870" s="208"/>
      <c r="AI870" s="208"/>
      <c r="AJ870" s="208"/>
      <c r="AK870" s="208"/>
      <c r="AL870" s="208"/>
      <c r="AM870" s="208"/>
      <c r="AN870" s="208"/>
      <c r="AO870" s="208"/>
      <c r="AP870" s="208"/>
      <c r="AQ870" s="208"/>
      <c r="AR870" s="208"/>
      <c r="AS870" s="208"/>
      <c r="AT870" s="208"/>
      <c r="AU870" s="208"/>
      <c r="AV870" s="208"/>
      <c r="AW870" s="208"/>
      <c r="AX870" s="208"/>
      <c r="AY870" s="208"/>
      <c r="AZ870" s="208"/>
      <c r="BA870" s="208"/>
    </row>
    <row r="871" spans="1:53" ht="15.75" customHeight="1">
      <c r="A871" s="223"/>
      <c r="B871" s="223"/>
      <c r="C871" s="224"/>
      <c r="D871" s="202"/>
      <c r="E871" s="202"/>
      <c r="F871" s="225"/>
      <c r="G871" s="225"/>
      <c r="H871" s="201"/>
      <c r="I871" s="217"/>
      <c r="J871" s="201"/>
      <c r="K871" s="218"/>
      <c r="L871" s="204"/>
      <c r="M871" s="119"/>
      <c r="N871" s="205"/>
      <c r="O871" s="205"/>
      <c r="P871" s="206"/>
      <c r="Q871" s="82"/>
      <c r="R871" s="82"/>
      <c r="S871" s="119"/>
      <c r="T871" s="226"/>
      <c r="U871" s="119"/>
      <c r="V871" s="119"/>
      <c r="W871" s="204"/>
      <c r="X871" s="204"/>
      <c r="Y871" s="204"/>
      <c r="Z871" s="207"/>
      <c r="AA871" s="207"/>
      <c r="AB871" s="207"/>
      <c r="AC871" s="208"/>
      <c r="AD871" s="208"/>
      <c r="AE871" s="208"/>
      <c r="AF871" s="208"/>
      <c r="AG871" s="208"/>
      <c r="AH871" s="208"/>
      <c r="AI871" s="208"/>
      <c r="AJ871" s="208"/>
      <c r="AK871" s="208"/>
      <c r="AL871" s="208"/>
      <c r="AM871" s="208"/>
      <c r="AN871" s="208"/>
      <c r="AO871" s="208"/>
      <c r="AP871" s="208"/>
      <c r="AQ871" s="208"/>
      <c r="AR871" s="208"/>
      <c r="AS871" s="208"/>
      <c r="AT871" s="208"/>
      <c r="AU871" s="208"/>
      <c r="AV871" s="208"/>
      <c r="AW871" s="208"/>
      <c r="AX871" s="208"/>
      <c r="AY871" s="208"/>
      <c r="AZ871" s="208"/>
      <c r="BA871" s="208"/>
    </row>
    <row r="872" spans="1:53" ht="15.75" customHeight="1">
      <c r="A872" s="223"/>
      <c r="B872" s="223"/>
      <c r="C872" s="224"/>
      <c r="D872" s="202"/>
      <c r="E872" s="202"/>
      <c r="F872" s="225"/>
      <c r="G872" s="225"/>
      <c r="H872" s="201"/>
      <c r="I872" s="217"/>
      <c r="J872" s="201"/>
      <c r="K872" s="218"/>
      <c r="L872" s="204"/>
      <c r="M872" s="119"/>
      <c r="N872" s="205"/>
      <c r="O872" s="205"/>
      <c r="P872" s="206"/>
      <c r="Q872" s="82"/>
      <c r="R872" s="82"/>
      <c r="S872" s="119"/>
      <c r="T872" s="226"/>
      <c r="U872" s="119"/>
      <c r="V872" s="119"/>
      <c r="W872" s="204"/>
      <c r="X872" s="204"/>
      <c r="Y872" s="204"/>
      <c r="Z872" s="207"/>
      <c r="AA872" s="207"/>
      <c r="AB872" s="207"/>
      <c r="AC872" s="208"/>
      <c r="AD872" s="208"/>
      <c r="AE872" s="208"/>
      <c r="AF872" s="208"/>
      <c r="AG872" s="208"/>
      <c r="AH872" s="208"/>
      <c r="AI872" s="208"/>
      <c r="AJ872" s="208"/>
      <c r="AK872" s="208"/>
      <c r="AL872" s="208"/>
      <c r="AM872" s="208"/>
      <c r="AN872" s="208"/>
      <c r="AO872" s="208"/>
      <c r="AP872" s="208"/>
      <c r="AQ872" s="208"/>
      <c r="AR872" s="208"/>
      <c r="AS872" s="208"/>
      <c r="AT872" s="208"/>
      <c r="AU872" s="208"/>
      <c r="AV872" s="208"/>
      <c r="AW872" s="208"/>
      <c r="AX872" s="208"/>
      <c r="AY872" s="208"/>
      <c r="AZ872" s="208"/>
      <c r="BA872" s="208"/>
    </row>
    <row r="873" spans="1:53" ht="15.75" customHeight="1">
      <c r="A873" s="223"/>
      <c r="B873" s="223"/>
      <c r="C873" s="224"/>
      <c r="D873" s="202"/>
      <c r="E873" s="202"/>
      <c r="F873" s="225"/>
      <c r="G873" s="225"/>
      <c r="H873" s="201"/>
      <c r="I873" s="217"/>
      <c r="J873" s="201"/>
      <c r="K873" s="218"/>
      <c r="L873" s="204"/>
      <c r="M873" s="119"/>
      <c r="N873" s="205"/>
      <c r="O873" s="205"/>
      <c r="P873" s="206"/>
      <c r="Q873" s="82"/>
      <c r="R873" s="82"/>
      <c r="S873" s="119"/>
      <c r="T873" s="226"/>
      <c r="U873" s="119"/>
      <c r="V873" s="119"/>
      <c r="W873" s="204"/>
      <c r="X873" s="204"/>
      <c r="Y873" s="204"/>
      <c r="Z873" s="207"/>
      <c r="AA873" s="207"/>
      <c r="AB873" s="207"/>
      <c r="AC873" s="208"/>
      <c r="AD873" s="208"/>
      <c r="AE873" s="208"/>
      <c r="AF873" s="208"/>
      <c r="AG873" s="208"/>
      <c r="AH873" s="208"/>
      <c r="AI873" s="208"/>
      <c r="AJ873" s="208"/>
      <c r="AK873" s="208"/>
      <c r="AL873" s="208"/>
      <c r="AM873" s="208"/>
      <c r="AN873" s="208"/>
      <c r="AO873" s="208"/>
      <c r="AP873" s="208"/>
      <c r="AQ873" s="208"/>
      <c r="AR873" s="208"/>
      <c r="AS873" s="208"/>
      <c r="AT873" s="208"/>
      <c r="AU873" s="208"/>
      <c r="AV873" s="208"/>
      <c r="AW873" s="208"/>
      <c r="AX873" s="208"/>
      <c r="AY873" s="208"/>
      <c r="AZ873" s="208"/>
      <c r="BA873" s="208"/>
    </row>
    <row r="874" spans="1:53" ht="15.75" customHeight="1">
      <c r="A874" s="223"/>
      <c r="B874" s="223"/>
      <c r="C874" s="224"/>
      <c r="D874" s="202"/>
      <c r="E874" s="202"/>
      <c r="F874" s="225"/>
      <c r="G874" s="225"/>
      <c r="H874" s="201"/>
      <c r="I874" s="217"/>
      <c r="J874" s="201"/>
      <c r="K874" s="218"/>
      <c r="L874" s="204"/>
      <c r="M874" s="119"/>
      <c r="N874" s="205"/>
      <c r="O874" s="205"/>
      <c r="P874" s="206"/>
      <c r="Q874" s="82"/>
      <c r="R874" s="82"/>
      <c r="S874" s="119"/>
      <c r="T874" s="226"/>
      <c r="U874" s="119"/>
      <c r="V874" s="119"/>
      <c r="W874" s="204"/>
      <c r="X874" s="204"/>
      <c r="Y874" s="204"/>
      <c r="Z874" s="207"/>
      <c r="AA874" s="207"/>
      <c r="AB874" s="207"/>
      <c r="AC874" s="208"/>
      <c r="AD874" s="208"/>
      <c r="AE874" s="208"/>
      <c r="AF874" s="208"/>
      <c r="AG874" s="208"/>
      <c r="AH874" s="208"/>
      <c r="AI874" s="208"/>
      <c r="AJ874" s="208"/>
      <c r="AK874" s="208"/>
      <c r="AL874" s="208"/>
      <c r="AM874" s="208"/>
      <c r="AN874" s="208"/>
      <c r="AO874" s="208"/>
      <c r="AP874" s="208"/>
      <c r="AQ874" s="208"/>
      <c r="AR874" s="208"/>
      <c r="AS874" s="208"/>
      <c r="AT874" s="208"/>
      <c r="AU874" s="208"/>
      <c r="AV874" s="208"/>
      <c r="AW874" s="208"/>
      <c r="AX874" s="208"/>
      <c r="AY874" s="208"/>
      <c r="AZ874" s="208"/>
      <c r="BA874" s="208"/>
    </row>
    <row r="875" spans="1:53" ht="15.75" customHeight="1">
      <c r="A875" s="223"/>
      <c r="B875" s="223"/>
      <c r="C875" s="224"/>
      <c r="D875" s="202"/>
      <c r="E875" s="202"/>
      <c r="F875" s="225"/>
      <c r="G875" s="225"/>
      <c r="H875" s="201"/>
      <c r="I875" s="217"/>
      <c r="J875" s="201"/>
      <c r="K875" s="218"/>
      <c r="L875" s="204"/>
      <c r="M875" s="119"/>
      <c r="N875" s="205"/>
      <c r="O875" s="205"/>
      <c r="P875" s="206"/>
      <c r="Q875" s="82"/>
      <c r="R875" s="82"/>
      <c r="S875" s="119"/>
      <c r="T875" s="226"/>
      <c r="U875" s="119"/>
      <c r="V875" s="119"/>
      <c r="W875" s="204"/>
      <c r="X875" s="204"/>
      <c r="Y875" s="204"/>
      <c r="Z875" s="207"/>
      <c r="AA875" s="207"/>
      <c r="AB875" s="207"/>
      <c r="AC875" s="208"/>
      <c r="AD875" s="208"/>
      <c r="AE875" s="208"/>
      <c r="AF875" s="208"/>
      <c r="AG875" s="208"/>
      <c r="AH875" s="208"/>
      <c r="AI875" s="208"/>
      <c r="AJ875" s="208"/>
      <c r="AK875" s="208"/>
      <c r="AL875" s="208"/>
      <c r="AM875" s="208"/>
      <c r="AN875" s="208"/>
      <c r="AO875" s="208"/>
      <c r="AP875" s="208"/>
      <c r="AQ875" s="208"/>
      <c r="AR875" s="208"/>
      <c r="AS875" s="208"/>
      <c r="AT875" s="208"/>
      <c r="AU875" s="208"/>
      <c r="AV875" s="208"/>
      <c r="AW875" s="208"/>
      <c r="AX875" s="208"/>
      <c r="AY875" s="208"/>
      <c r="AZ875" s="208"/>
      <c r="BA875" s="208"/>
    </row>
    <row r="876" spans="1:53" ht="15.75" customHeight="1">
      <c r="A876" s="223"/>
      <c r="B876" s="223"/>
      <c r="C876" s="224"/>
      <c r="D876" s="202"/>
      <c r="E876" s="202"/>
      <c r="F876" s="225"/>
      <c r="G876" s="225"/>
      <c r="H876" s="201"/>
      <c r="I876" s="217"/>
      <c r="J876" s="201"/>
      <c r="K876" s="218"/>
      <c r="L876" s="204"/>
      <c r="M876" s="119"/>
      <c r="N876" s="205"/>
      <c r="O876" s="205"/>
      <c r="P876" s="206"/>
      <c r="Q876" s="82"/>
      <c r="R876" s="82"/>
      <c r="S876" s="119"/>
      <c r="T876" s="226"/>
      <c r="U876" s="119"/>
      <c r="V876" s="119"/>
      <c r="W876" s="204"/>
      <c r="X876" s="204"/>
      <c r="Y876" s="204"/>
      <c r="Z876" s="207"/>
      <c r="AA876" s="207"/>
      <c r="AB876" s="207"/>
      <c r="AC876" s="208"/>
      <c r="AD876" s="208"/>
      <c r="AE876" s="208"/>
      <c r="AF876" s="208"/>
      <c r="AG876" s="208"/>
      <c r="AH876" s="208"/>
      <c r="AI876" s="208"/>
      <c r="AJ876" s="208"/>
      <c r="AK876" s="208"/>
      <c r="AL876" s="208"/>
      <c r="AM876" s="208"/>
      <c r="AN876" s="208"/>
      <c r="AO876" s="208"/>
      <c r="AP876" s="208"/>
      <c r="AQ876" s="208"/>
      <c r="AR876" s="208"/>
      <c r="AS876" s="208"/>
      <c r="AT876" s="208"/>
      <c r="AU876" s="208"/>
      <c r="AV876" s="208"/>
      <c r="AW876" s="208"/>
      <c r="AX876" s="208"/>
      <c r="AY876" s="208"/>
      <c r="AZ876" s="208"/>
      <c r="BA876" s="208"/>
    </row>
    <row r="877" spans="1:53" ht="15.75" customHeight="1">
      <c r="A877" s="223"/>
      <c r="B877" s="223"/>
      <c r="C877" s="224"/>
      <c r="D877" s="202"/>
      <c r="E877" s="202"/>
      <c r="F877" s="225"/>
      <c r="G877" s="225"/>
      <c r="H877" s="201"/>
      <c r="I877" s="217"/>
      <c r="J877" s="201"/>
      <c r="K877" s="218"/>
      <c r="L877" s="204"/>
      <c r="M877" s="119"/>
      <c r="N877" s="205"/>
      <c r="O877" s="205"/>
      <c r="P877" s="206"/>
      <c r="Q877" s="82"/>
      <c r="R877" s="82"/>
      <c r="S877" s="119"/>
      <c r="T877" s="226"/>
      <c r="U877" s="119"/>
      <c r="V877" s="119"/>
      <c r="W877" s="204"/>
      <c r="X877" s="204"/>
      <c r="Y877" s="204"/>
      <c r="Z877" s="207"/>
      <c r="AA877" s="207"/>
      <c r="AB877" s="207"/>
      <c r="AC877" s="208"/>
      <c r="AD877" s="208"/>
      <c r="AE877" s="208"/>
      <c r="AF877" s="208"/>
      <c r="AG877" s="208"/>
      <c r="AH877" s="208"/>
      <c r="AI877" s="208"/>
      <c r="AJ877" s="208"/>
      <c r="AK877" s="208"/>
      <c r="AL877" s="208"/>
      <c r="AM877" s="208"/>
      <c r="AN877" s="208"/>
      <c r="AO877" s="208"/>
      <c r="AP877" s="208"/>
      <c r="AQ877" s="208"/>
      <c r="AR877" s="208"/>
      <c r="AS877" s="208"/>
      <c r="AT877" s="208"/>
      <c r="AU877" s="208"/>
      <c r="AV877" s="208"/>
      <c r="AW877" s="208"/>
      <c r="AX877" s="208"/>
      <c r="AY877" s="208"/>
      <c r="AZ877" s="208"/>
      <c r="BA877" s="208"/>
    </row>
    <row r="878" spans="1:53" ht="15.75" customHeight="1">
      <c r="A878" s="223"/>
      <c r="B878" s="223"/>
      <c r="C878" s="224"/>
      <c r="D878" s="202"/>
      <c r="E878" s="202"/>
      <c r="F878" s="225"/>
      <c r="G878" s="225"/>
      <c r="H878" s="201"/>
      <c r="I878" s="217"/>
      <c r="J878" s="201"/>
      <c r="K878" s="218"/>
      <c r="L878" s="204"/>
      <c r="M878" s="119"/>
      <c r="N878" s="205"/>
      <c r="O878" s="205"/>
      <c r="P878" s="206"/>
      <c r="Q878" s="82"/>
      <c r="R878" s="82"/>
      <c r="S878" s="119"/>
      <c r="T878" s="226"/>
      <c r="U878" s="119"/>
      <c r="V878" s="119"/>
      <c r="W878" s="204"/>
      <c r="X878" s="204"/>
      <c r="Y878" s="204"/>
      <c r="Z878" s="207"/>
      <c r="AA878" s="207"/>
      <c r="AB878" s="207"/>
      <c r="AC878" s="208"/>
      <c r="AD878" s="208"/>
      <c r="AE878" s="208"/>
      <c r="AF878" s="208"/>
      <c r="AG878" s="208"/>
      <c r="AH878" s="208"/>
      <c r="AI878" s="208"/>
      <c r="AJ878" s="208"/>
      <c r="AK878" s="208"/>
      <c r="AL878" s="208"/>
      <c r="AM878" s="208"/>
      <c r="AN878" s="208"/>
      <c r="AO878" s="208"/>
      <c r="AP878" s="208"/>
      <c r="AQ878" s="208"/>
      <c r="AR878" s="208"/>
      <c r="AS878" s="208"/>
      <c r="AT878" s="208"/>
      <c r="AU878" s="208"/>
      <c r="AV878" s="208"/>
      <c r="AW878" s="208"/>
      <c r="AX878" s="208"/>
      <c r="AY878" s="208"/>
      <c r="AZ878" s="208"/>
      <c r="BA878" s="208"/>
    </row>
    <row r="879" spans="1:53" ht="15.75" customHeight="1">
      <c r="A879" s="223"/>
      <c r="B879" s="223"/>
      <c r="C879" s="224"/>
      <c r="D879" s="202"/>
      <c r="E879" s="202"/>
      <c r="F879" s="225"/>
      <c r="G879" s="225"/>
      <c r="H879" s="201"/>
      <c r="I879" s="217"/>
      <c r="J879" s="201"/>
      <c r="K879" s="218"/>
      <c r="L879" s="204"/>
      <c r="M879" s="119"/>
      <c r="N879" s="205"/>
      <c r="O879" s="205"/>
      <c r="P879" s="206"/>
      <c r="Q879" s="82"/>
      <c r="R879" s="82"/>
      <c r="S879" s="119"/>
      <c r="T879" s="226"/>
      <c r="U879" s="119"/>
      <c r="V879" s="119"/>
      <c r="W879" s="204"/>
      <c r="X879" s="204"/>
      <c r="Y879" s="204"/>
      <c r="Z879" s="207"/>
      <c r="AA879" s="207"/>
      <c r="AB879" s="207"/>
      <c r="AC879" s="208"/>
      <c r="AD879" s="208"/>
      <c r="AE879" s="208"/>
      <c r="AF879" s="208"/>
      <c r="AG879" s="208"/>
      <c r="AH879" s="208"/>
      <c r="AI879" s="208"/>
      <c r="AJ879" s="208"/>
      <c r="AK879" s="208"/>
      <c r="AL879" s="208"/>
      <c r="AM879" s="208"/>
      <c r="AN879" s="208"/>
      <c r="AO879" s="208"/>
      <c r="AP879" s="208"/>
      <c r="AQ879" s="208"/>
      <c r="AR879" s="208"/>
      <c r="AS879" s="208"/>
      <c r="AT879" s="208"/>
      <c r="AU879" s="208"/>
      <c r="AV879" s="208"/>
      <c r="AW879" s="208"/>
      <c r="AX879" s="208"/>
      <c r="AY879" s="208"/>
      <c r="AZ879" s="208"/>
      <c r="BA879" s="208"/>
    </row>
    <row r="880" spans="1:53" ht="15.75" customHeight="1">
      <c r="A880" s="223"/>
      <c r="B880" s="223"/>
      <c r="C880" s="224"/>
      <c r="D880" s="202"/>
      <c r="E880" s="202"/>
      <c r="F880" s="225"/>
      <c r="G880" s="225"/>
      <c r="H880" s="201"/>
      <c r="I880" s="217"/>
      <c r="J880" s="201"/>
      <c r="K880" s="218"/>
      <c r="L880" s="204"/>
      <c r="M880" s="119"/>
      <c r="N880" s="205"/>
      <c r="O880" s="205"/>
      <c r="P880" s="206"/>
      <c r="Q880" s="82"/>
      <c r="R880" s="82"/>
      <c r="S880" s="119"/>
      <c r="T880" s="226"/>
      <c r="U880" s="119"/>
      <c r="V880" s="119"/>
      <c r="W880" s="204"/>
      <c r="X880" s="204"/>
      <c r="Y880" s="204"/>
      <c r="Z880" s="207"/>
      <c r="AA880" s="207"/>
      <c r="AB880" s="207"/>
      <c r="AC880" s="208"/>
      <c r="AD880" s="208"/>
      <c r="AE880" s="208"/>
      <c r="AF880" s="208"/>
      <c r="AG880" s="208"/>
      <c r="AH880" s="208"/>
      <c r="AI880" s="208"/>
      <c r="AJ880" s="208"/>
      <c r="AK880" s="208"/>
      <c r="AL880" s="208"/>
      <c r="AM880" s="208"/>
      <c r="AN880" s="208"/>
      <c r="AO880" s="208"/>
      <c r="AP880" s="208"/>
      <c r="AQ880" s="208"/>
      <c r="AR880" s="208"/>
      <c r="AS880" s="208"/>
      <c r="AT880" s="208"/>
      <c r="AU880" s="208"/>
      <c r="AV880" s="208"/>
      <c r="AW880" s="208"/>
      <c r="AX880" s="208"/>
      <c r="AY880" s="208"/>
      <c r="AZ880" s="208"/>
      <c r="BA880" s="208"/>
    </row>
    <row r="881" spans="1:53" ht="15.75" customHeight="1">
      <c r="A881" s="223"/>
      <c r="B881" s="223"/>
      <c r="C881" s="224"/>
      <c r="D881" s="202"/>
      <c r="E881" s="202"/>
      <c r="F881" s="225"/>
      <c r="G881" s="225"/>
      <c r="H881" s="201"/>
      <c r="I881" s="217"/>
      <c r="J881" s="201"/>
      <c r="K881" s="218"/>
      <c r="L881" s="204"/>
      <c r="M881" s="119"/>
      <c r="N881" s="205"/>
      <c r="O881" s="205"/>
      <c r="P881" s="206"/>
      <c r="Q881" s="82"/>
      <c r="R881" s="82"/>
      <c r="S881" s="119"/>
      <c r="T881" s="226"/>
      <c r="U881" s="119"/>
      <c r="V881" s="119"/>
      <c r="W881" s="204"/>
      <c r="X881" s="204"/>
      <c r="Y881" s="204"/>
      <c r="Z881" s="207"/>
      <c r="AA881" s="207"/>
      <c r="AB881" s="207"/>
      <c r="AC881" s="208"/>
      <c r="AD881" s="208"/>
      <c r="AE881" s="208"/>
      <c r="AF881" s="208"/>
      <c r="AG881" s="208"/>
      <c r="AH881" s="208"/>
      <c r="AI881" s="208"/>
      <c r="AJ881" s="208"/>
      <c r="AK881" s="208"/>
      <c r="AL881" s="208"/>
      <c r="AM881" s="208"/>
      <c r="AN881" s="208"/>
      <c r="AO881" s="208"/>
      <c r="AP881" s="208"/>
      <c r="AQ881" s="208"/>
      <c r="AR881" s="208"/>
      <c r="AS881" s="208"/>
      <c r="AT881" s="208"/>
      <c r="AU881" s="208"/>
      <c r="AV881" s="208"/>
      <c r="AW881" s="208"/>
      <c r="AX881" s="208"/>
      <c r="AY881" s="208"/>
      <c r="AZ881" s="208"/>
      <c r="BA881" s="208"/>
    </row>
  </sheetData>
  <autoFilter ref="A1:BA864" xr:uid="{00000000-0009-0000-0000-000001000000}"/>
  <customSheetViews>
    <customSheetView guid="{2FCABD4C-1224-414F-A616-D681368D7A4F}" filter="1" showAutoFilter="1">
      <pageMargins left="0.511811024" right="0.511811024" top="0.78740157499999996" bottom="0.78740157499999996" header="0.31496062000000002" footer="0.31496062000000002"/>
      <autoFilter ref="K2:K871" xr:uid="{7A7A18CE-91E2-4351-B259-40ED1CD40D9B}"/>
    </customSheetView>
    <customSheetView guid="{640FAB0F-2934-4C3B-BD33-6FD8BEDDCF8A}" filter="1" showAutoFilter="1">
      <pageMargins left="0.511811024" right="0.511811024" top="0.78740157499999996" bottom="0.78740157499999996" header="0.31496062000000002" footer="0.31496062000000002"/>
      <autoFilter ref="B2:AL871" xr:uid="{22E44807-5A99-4575-93DD-CE6CEE0EB2F0}">
        <filterColumn colId="36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22,707.53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14088F7B-BBEE-4F0D-AAD4-350484FAD177}" filter="1" showAutoFilter="1">
      <pageMargins left="0.511811024" right="0.511811024" top="0.78740157499999996" bottom="0.78740157499999996" header="0.31496062000000002" footer="0.31496062000000002"/>
      <autoFilter ref="A2:AR862" xr:uid="{33551B50-235E-4C66-840F-4F3BBB53A30D}"/>
    </customSheetView>
    <customSheetView guid="{19F79A77-F05F-43B9-88BE-32F735A84DA3}" filter="1" showAutoFilter="1">
      <pageMargins left="0.511811024" right="0.511811024" top="0.78740157499999996" bottom="0.78740157499999996" header="0.31496062000000002" footer="0.31496062000000002"/>
      <autoFilter ref="A2:AT862" xr:uid="{25F129DA-E09C-4D07-908F-4EF384CF7A32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Alteração de C.A"/>
            <filter val="Resgate"/>
            <filter val="Resgate Total"/>
            <filter val="Sem Saldo"/>
            <filter val="STVM Entrada"/>
            <filter val="STVM Saída"/>
            <filter val="Troca de Assessoria"/>
          </filters>
        </filterColumn>
        <filterColumn colId="12">
          <filters>
            <filter val="ARR"/>
            <filter val="CON"/>
            <filter val="CON/ COADM"/>
            <filter val="CON/ GR"/>
            <filter val="CORP"/>
            <filter val="CRIP"/>
            <filter val="DIV"/>
            <filter val="EQT"/>
            <filter val="EQT/ COADM"/>
            <filter val="FII"/>
            <filter val="INC/ COADM"/>
            <filter val="MOD"/>
            <filter val="MOD/ COADM"/>
            <filter val="MOD/ GR"/>
            <filter val="MOD/ PREV MOD/ COADM"/>
            <filter val="MONT/ COADM"/>
            <filter val="MULT PRIV"/>
            <filter val="PREV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B012B0CF-ACA6-451F-9B21-9249A650F47F}" filter="1" showAutoFilter="1">
      <pageMargins left="0.511811024" right="0.511811024" top="0.78740157499999996" bottom="0.78740157499999996" header="0.31496062000000002" footer="0.31496062000000002"/>
      <autoFilter ref="A1:AN866" xr:uid="{E4EC7266-64AF-4F23-84CA-A3F6F29FE04A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Alteração de C.A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EB0AF947-149A-4058-8FD1-4C2DFC03BAE3}" filter="1" showAutoFilter="1">
      <pageMargins left="0.511811024" right="0.511811024" top="0.78740157499999996" bottom="0.78740157499999996" header="0.31496062000000002" footer="0.31496062000000002"/>
      <autoFilter ref="A1:AQ862" xr:uid="{4A8D2C05-6965-4B00-B28F-3ABFA2CB53F6}"/>
    </customSheetView>
    <customSheetView guid="{784428B3-B63A-40CE-BD93-DE3A100A7773}" filter="1" showAutoFilter="1">
      <pageMargins left="0.511811024" right="0.511811024" top="0.78740157499999996" bottom="0.78740157499999996" header="0.31496062000000002" footer="0.31496062000000002"/>
      <autoFilter ref="AK2:AK871" xr:uid="{5A6A160B-56D0-4583-92B5-AC0014C5915D}">
        <filterColumn colId="0">
          <filters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0,973,916.15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</autoFilter>
    </customSheetView>
    <customSheetView guid="{655F01EF-CABD-48B5-8071-3F96E313EE9B}" filter="1" showAutoFilter="1">
      <pageMargins left="0.511811024" right="0.511811024" top="0.78740157499999996" bottom="0.78740157499999996" header="0.31496062000000002" footer="0.31496062000000002"/>
      <autoFilter ref="D2:F871" xr:uid="{E0DCE370-6BE7-4034-8F79-D2060E272AD2}"/>
    </customSheetView>
    <customSheetView guid="{2FF8F613-A7E1-45DF-8A10-A57931A18845}" filter="1" showAutoFilter="1">
      <pageMargins left="0.511811024" right="0.511811024" top="0.78740157499999996" bottom="0.78740157499999996" header="0.31496062000000002" footer="0.31496062000000002"/>
      <autoFilter ref="B2:AK866" xr:uid="{803472C5-15C3-4D84-B6BD-A9CA684F3C72}"/>
    </customSheetView>
    <customSheetView guid="{789A79FB-FAF2-4AE5-BD36-133FD8E897B3}" filter="1" showAutoFilter="1">
      <pageMargins left="0.511811024" right="0.511811024" top="0.78740157499999996" bottom="0.78740157499999996" header="0.31496062000000002" footer="0.31496062000000002"/>
      <autoFilter ref="A1:AN866" xr:uid="{D4D4F8FC-F32F-40ED-BAFA-14967FF87A77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1310835A-36BE-4F17-BAD3-AC11A5621FFD}" filter="1" showAutoFilter="1">
      <pageMargins left="0.511811024" right="0.511811024" top="0.78740157499999996" bottom="0.78740157499999996" header="0.31496062000000002" footer="0.31496062000000002"/>
      <autoFilter ref="A1:AT862" xr:uid="{A2C4A178-75D7-424A-A4C9-45AEF93520F0}">
        <filterColumn colId="3">
          <filters>
            <filter val="Altum"/>
            <filter val="Bluemetrix"/>
            <filter val="Bluemetrix (MI)"/>
            <filter val="Escritório"/>
            <filter val="Poupinvista"/>
            <filter val="Solution For Life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18BFDA86-90C9-43E5-9671-B80AFF35F44F}" filter="1" showAutoFilter="1">
      <pageMargins left="0.511811024" right="0.511811024" top="0.78740157499999996" bottom="0.78740157499999996" header="0.31496062000000002" footer="0.31496062000000002"/>
      <autoFilter ref="B2:AK871" xr:uid="{FD26B3AA-6E5D-4DC8-AD18-36A73A7460CE}"/>
    </customSheetView>
    <customSheetView guid="{B2BFE901-B4B4-4393-861D-055AD1BB086D}" filter="1" showAutoFilter="1">
      <pageMargins left="0.511811024" right="0.511811024" top="0.78740157499999996" bottom="0.78740157499999996" header="0.31496062000000002" footer="0.31496062000000002"/>
      <autoFilter ref="B2:AI866" xr:uid="{28CC0B98-0F9A-41BD-83C9-ACA4AC162BEC}"/>
    </customSheetView>
    <customSheetView guid="{781F9191-CBD1-41EF-9AE1-CD4B888FAD0C}" filter="1" showAutoFilter="1">
      <pageMargins left="0.511811024" right="0.511811024" top="0.78740157499999996" bottom="0.78740157499999996" header="0.31496062000000002" footer="0.31496062000000002"/>
      <autoFilter ref="B2:AL866" xr:uid="{132BC9F5-ED1D-4D85-8CCF-A6168A1F1F76}"/>
    </customSheetView>
    <customSheetView guid="{590023CF-253C-4167-AB12-70BB5EEDAB0A}" filter="1" showAutoFilter="1">
      <pageMargins left="0.511811024" right="0.511811024" top="0.78740157499999996" bottom="0.78740157499999996" header="0.31496062000000002" footer="0.31496062000000002"/>
      <autoFilter ref="J1:P861" xr:uid="{A87B13CC-01FB-40AE-A08D-BF95BBDE15B1}"/>
    </customSheetView>
    <customSheetView guid="{4B506129-F12F-4933-8B44-715BF967596B}" filter="1" showAutoFilter="1">
      <pageMargins left="0.511811024" right="0.511811024" top="0.78740157499999996" bottom="0.78740157499999996" header="0.31496062000000002" footer="0.31496062000000002"/>
      <autoFilter ref="B2:AK866" xr:uid="{7468A2F5-2ED2-4F46-BCB3-84142FCA3CAB}"/>
    </customSheetView>
    <customSheetView guid="{76A50631-E853-47C0-97A7-B44DDD6611FA}" filter="1" showAutoFilter="1">
      <pageMargins left="0.511811024" right="0.511811024" top="0.78740157499999996" bottom="0.78740157499999996" header="0.31496062000000002" footer="0.31496062000000002"/>
      <autoFilter ref="B2:AL866" xr:uid="{975304A8-B3C4-4A2D-BDF6-5E1538D3BCDF}"/>
    </customSheetView>
    <customSheetView guid="{15A9AB4A-7CDD-457A-9D26-0CDDF224CDB8}" filter="1" showAutoFilter="1">
      <pageMargins left="0.511811024" right="0.511811024" top="0.78740157499999996" bottom="0.78740157499999996" header="0.31496062000000002" footer="0.31496062000000002"/>
      <autoFilter ref="A1:AQ862" xr:uid="{0A0F12FF-AB34-45F5-86C4-5B1E8E0F60F3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7/10/2024"/>
            <filter val="08/02/2024"/>
            <filter val="08/03/2024"/>
            <filter val="08/04/2024"/>
            <filter val="08/10/2024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1/03/2023"/>
            <filter val="11/03/2024"/>
            <filter val="11/04/2024"/>
            <filter val="11/06/2024"/>
            <filter val="11/09/2024"/>
            <filter val="11/10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4/10/2024"/>
            <filter val="15/0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1/10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8/02/2024"/>
            <filter val="28/05/2024"/>
            <filter val="29/05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65B0B82D-30AD-47A4-90D7-4A167F2F9F67}" filter="1" showAutoFilter="1">
      <pageMargins left="0.511811024" right="0.511811024" top="0.78740157499999996" bottom="0.78740157499999996" header="0.31496062000000002" footer="0.31496062000000002"/>
      <autoFilter ref="A1:AS862" xr:uid="{1D45B022-F4D2-4434-82A7-5FE5115F73C5}"/>
    </customSheetView>
    <customSheetView guid="{56F1DB6B-A539-48C4-B4F6-4EB9B8604673}" filter="1" showAutoFilter="1">
      <pageMargins left="0.511811024" right="0.511811024" top="0.78740157499999996" bottom="0.78740157499999996" header="0.31496062000000002" footer="0.31496062000000002"/>
      <autoFilter ref="A2:AT862" xr:uid="{051B6E57-8673-4E66-8391-6BB6BCB48428}">
        <filterColumn colId="8">
          <filters>
            <filter val="Alteração de C.A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969AF11A-79B7-40DA-A547-4C4BEC66A4EF}" filter="1" showAutoFilter="1">
      <pageMargins left="0.511811024" right="0.511811024" top="0.78740157499999996" bottom="0.78740157499999996" header="0.31496062000000002" footer="0.31496062000000002"/>
      <autoFilter ref="A2:AS862" xr:uid="{2767FFB2-5177-47AF-AB0F-567E0CB01765}">
        <filterColumn colId="8">
          <filters>
            <filter val="Alteração de C.A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1690DE4E-F726-4612-9469-601C6561985D}" filter="1" showAutoFilter="1">
      <pageMargins left="0.511811024" right="0.511811024" top="0.78740157499999996" bottom="0.78740157499999996" header="0.31496062000000002" footer="0.31496062000000002"/>
      <autoFilter ref="K2:K871" xr:uid="{BD3905C8-9434-472F-861B-3605724F81A6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56A9FFAE-38AF-46C2-9D87-07B80DF5A8DB}" filter="1" showAutoFilter="1">
      <pageMargins left="0.511811024" right="0.511811024" top="0.78740157499999996" bottom="0.78740157499999996" header="0.31496062000000002" footer="0.31496062000000002"/>
      <autoFilter ref="A1:AS862" xr:uid="{75ED86E3-E97C-4552-B718-D6F092ECBF2F}">
        <filterColumn colId="21">
          <filters>
            <filter val="Inativo"/>
          </filters>
        </filterColumn>
      </autoFilter>
    </customSheetView>
    <customSheetView guid="{ED1070BE-D844-4B37-B23D-CEFF997DFBD9}" filter="1" showAutoFilter="1">
      <pageMargins left="0.511811024" right="0.511811024" top="0.78740157499999996" bottom="0.78740157499999996" header="0.31496062000000002" footer="0.31496062000000002"/>
      <autoFilter ref="F2:F871" xr:uid="{E9898ACC-F9DD-4361-BCA9-8F1E21D44AE2}"/>
    </customSheetView>
    <customSheetView guid="{2E1416A6-9DDF-4D62-8611-D2C31DEDB1C6}" filter="1" showAutoFilter="1">
      <pageMargins left="0.511811024" right="0.511811024" top="0.78740157499999996" bottom="0.78740157499999996" header="0.31496062000000002" footer="0.31496062000000002"/>
      <autoFilter ref="A1:AQ871" xr:uid="{2CACB67B-7A87-4688-B559-70BD0139EDB1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94DCB17C-70F1-47DA-B8BB-EA307041BFE5}" filter="1" showAutoFilter="1">
      <pageMargins left="0.511811024" right="0.511811024" top="0.78740157499999996" bottom="0.78740157499999996" header="0.31496062000000002" footer="0.31496062000000002"/>
      <autoFilter ref="H1:I864" xr:uid="{0F81F86E-C60A-45E6-893E-4352F0ACE46A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Alteração de C.A"/>
            <filter val="Bloquead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E18A2C6A-994E-4AA9-8E92-1F0A7462C416}" filter="1" showAutoFilter="1">
      <pageMargins left="0.511811024" right="0.511811024" top="0.78740157499999996" bottom="0.78740157499999996" header="0.31496062000000002" footer="0.31496062000000002"/>
      <autoFilter ref="A1:AQ862" xr:uid="{DBF478A1-2B12-416E-9F47-1D681F5F5F08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Rodrigo Milanez"/>
            <filter val="Victor Hugo"/>
          </filters>
        </filterColumn>
      </autoFilter>
    </customSheetView>
    <customSheetView guid="{B72A137F-6618-472B-B31F-A228496BFEFE}" filter="1" showAutoFilter="1">
      <pageMargins left="0.511811024" right="0.511811024" top="0.78740157499999996" bottom="0.78740157499999996" header="0.31496062000000002" footer="0.31496062000000002"/>
      <autoFilter ref="B2:AI866" xr:uid="{CA9D37C5-EE43-4CF3-BB87-30176FABBF02}"/>
    </customSheetView>
    <customSheetView guid="{49792FEA-CF16-44D8-A830-4C89AED8A6DE}" filter="1" showAutoFilter="1">
      <pageMargins left="0.511811024" right="0.511811024" top="0.78740157499999996" bottom="0.78740157499999996" header="0.31496062000000002" footer="0.31496062000000002"/>
      <autoFilter ref="B2:AI866" xr:uid="{8E37E83C-EF25-4C67-B299-53A88F2A4515}"/>
    </customSheetView>
    <customSheetView guid="{6D98A759-6E69-4B12-821F-B20048AD2646}" filter="1" showAutoFilter="1">
      <pageMargins left="0.511811024" right="0.511811024" top="0.78740157499999996" bottom="0.78740157499999996" header="0.31496062000000002" footer="0.31496062000000002"/>
      <autoFilter ref="A1:AR862" xr:uid="{A0917005-357C-4532-93C2-03265A98FF0E}">
        <filterColumn colId="21">
          <filters>
            <filter val="Ativo"/>
          </filters>
        </filterColumn>
      </autoFilter>
    </customSheetView>
    <customSheetView guid="{E77E0D1B-6AF3-42A0-997E-781E1A6E2A5C}" filter="1" showAutoFilter="1">
      <pageMargins left="0.511811024" right="0.511811024" top="0.78740157499999996" bottom="0.78740157499999996" header="0.31496062000000002" footer="0.31496062000000002"/>
      <autoFilter ref="A1:AR862" xr:uid="{6EDF7474-4FEF-4EC0-9295-0F07F409470B}">
        <filterColumn colId="3">
          <filters>
            <filter val="Altum"/>
            <filter val="Bluemetrix"/>
            <filter val="Bluemetrix (MI)"/>
            <filter val="Poupinvista"/>
            <filter val="Solution For Life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na Miccoli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Oliveira"/>
            <filter val="Lucas Zambrin"/>
            <filter val="Lucio Guimaraes Moscareli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AL"/>
            <filter val="ES"/>
            <filter val="GP"/>
            <filter val="MT"/>
            <filter val="PA"/>
            <filter val="UF cliente"/>
          </filters>
        </filterColumn>
      </autoFilter>
    </customSheetView>
    <customSheetView guid="{4AA370D1-9D82-4650-94D1-B899FD1CF272}" filter="1" showAutoFilter="1">
      <pageMargins left="0.511811024" right="0.511811024" top="0.78740157499999996" bottom="0.78740157499999996" header="0.31496062000000002" footer="0.31496062000000002"/>
      <autoFilter ref="Q2:Q871" xr:uid="{3972402D-C6B9-4561-B60E-229CCC987394}">
        <filterColumn colId="0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0% D+0 (07/06/2024)"/>
            <filter val="100K Fundo RF Ativo (26/07/2024)"/>
            <filter val="10K D+0 / Manter o CRA BTG (29/04/2024)"/>
            <filter val="15% Fundo RF Ativo (13/09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% em D+0 (03/06/2024)"/>
            <filter val="200K D+2 (19/08/2024)"/>
            <filter val="200K em D+0/ 7,5% de EQT (09/08/2024)"/>
            <filter val="20K D+0 (20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25/09/2024)"/>
            <filter val="30K D+0 (26/08/2024)"/>
            <filter val="30K Fundo RF Ativo (13/05/2024)"/>
            <filter val="35K Fundo RF Ativo (21/05/2024)"/>
            <filter val="36K D+0 (25/09/2024)"/>
            <filter val="40K até D+1 (17/10/2024)"/>
            <filter val="50% D+0 . Aplicações com vencimento máximo de 6 meses (18/08/2024)"/>
            <filter val="50% do valor líquido aplicar em ativos de no max 1 ano (06/06/2024)"/>
            <filter val="50K D+0 (06/06/2024)"/>
            <filter val="50K D+0 (17/06/2024)"/>
            <filter val="50K D+0 (30/09/2024)"/>
            <filter val="50K D+0/ 100K D+2 (28/08/2024)"/>
            <filter val="50K D+1 (19/08/2024)"/>
            <filter val="50K em D+0 (13/09/2024)"/>
            <filter val="50K em D+0 (27/06/2024)"/>
            <filter val="50K Fundo RF ATIVO (29/05/2024)"/>
            <filter val="55K D+0 (14/08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/ Manter os investimentos dos ativos: HASH11 ; BITH11 ; QDFL11. (13/05/2024)"/>
            <filter val="Manter BTC na carteira (04/10/2024)"/>
            <filter val="Manter em D+0, até apresentar plano de alocação com o cliente (31/07/2024)"/>
            <filter val="Manter ETF CRIP (24/10/2024)"/>
            <filter val="Manter JURO11 (25/04/2024)"/>
            <filter val="Manter o CRA BTG e o fundo de RF BNP Paribas Match DI na carteira/ 30% D+0 9 (06/06/2024)"/>
            <filter val="Manter RV (29/04/2024)"/>
            <filter val="Máx 5% em RV (14/08/2024)"/>
            <filter val="Monitorar ativos fora da estratégia montada anteriormente pela gestão, com Renan (21/05/2024)"/>
            <filter val="Não aplicar CDB de vencimento 21/10/2024 (10/09/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RECOMPRAR AÇÕES/ MANTER SALDO EM LIQUIDEZ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RF: máx. 1 ano (10/10/2024)"/>
            <filter val="Sem renda variável (16/05/2024)"/>
            <filter val="Sem RV até aumento de PL (Renda Variável RV até 10% do PL) (30/04/2024)"/>
            <filter val="Todo recurso em D+0 até atualização F.A (24/09/2024)"/>
            <filter val="Vencimento aplicar em D+0 (30/10/2024)"/>
            <filter val="Vencimento máximo inicial: 6 meses. (17/06/2024)"/>
            <filter val="Vencimentos aplicar em D+0 (19/09/2024)"/>
            <filter val="Vencimentos aplicar em D+0(08/08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09/09/2024)"/>
            <filter val="Vender ações com ágio (18/03/2024)"/>
            <filter val="Vender ações com ágio e alterar carteira para INCOME (12/07/2024)"/>
          </filters>
        </filterColumn>
      </autoFilter>
    </customSheetView>
    <customSheetView guid="{33F6ADEF-2E38-429C-80FB-024724DFBF41}" filter="1" showAutoFilter="1">
      <pageMargins left="0.511811024" right="0.511811024" top="0.78740157499999996" bottom="0.78740157499999996" header="0.31496062000000002" footer="0.31496062000000002"/>
      <autoFilter ref="B2:AL866" xr:uid="{421D02F1-5F68-4FB1-B42F-A6454382DFA2}"/>
    </customSheetView>
    <customSheetView guid="{02DB027B-88D5-4067-9DF3-1E71C48C0F90}" filter="1" showAutoFilter="1">
      <pageMargins left="0.511811024" right="0.511811024" top="0.78740157499999996" bottom="0.78740157499999996" header="0.31496062000000002" footer="0.31496062000000002"/>
      <autoFilter ref="K2:K871" xr:uid="{BEADAA29-883C-441F-B7E2-02ED33D734D2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5C12079A-CE41-4946-B5B8-7C527CC984F1}" filter="1" showAutoFilter="1">
      <pageMargins left="0.511811024" right="0.511811024" top="0.78740157499999996" bottom="0.78740157499999996" header="0.31496062000000002" footer="0.31496062000000002"/>
      <autoFilter ref="A2:AT862" xr:uid="{0DA7723D-44D4-4D21-811E-3B2B0A2B51C6}">
        <filterColumn colId="12">
          <filters>
            <filter val="CON/ COADM"/>
            <filter val="EQT/ COADM"/>
            <filter val="INC"/>
            <filter val="INC/ COADM"/>
            <filter val="MOD/ COADM"/>
            <filter val="MOD/ PREV MOD/ COADM"/>
            <filter val="MONT/ COADM"/>
            <filter val="MULT PRIV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15827669-B1AF-4ADA-B298-B87572DA3A5A}" filter="1" showAutoFilter="1">
      <pageMargins left="0.511811024" right="0.511811024" top="0.78740157499999996" bottom="0.78740157499999996" header="0.31496062000000002" footer="0.31496062000000002"/>
      <autoFilter ref="A2:AR862" xr:uid="{E33ACD04-10E4-4B02-9040-37F2BDD6DECB}"/>
    </customSheetView>
    <customSheetView guid="{0C8CE539-F9BE-4908-B262-B6E702076E6F}" filter="1" showAutoFilter="1">
      <pageMargins left="0.511811024" right="0.511811024" top="0.78740157499999996" bottom="0.78740157499999996" header="0.31496062000000002" footer="0.31496062000000002"/>
      <autoFilter ref="A2:AS862" xr:uid="{706527A1-5763-45FD-8DFB-4491952E811A}">
        <filterColumn colId="7">
          <filters>
            <filter val="Inativo"/>
          </filters>
        </filterColumn>
        <filterColumn colId="8">
          <filters>
            <filter val="------"/>
            <filter val="Resgate"/>
            <filter val="Resgate Total"/>
            <filter val="Troca de Assessoria"/>
          </filters>
        </filterColumn>
      </autoFilter>
    </customSheetView>
    <customSheetView guid="{7B0BEB0B-B983-42F1-97BD-38C11EE79955}" filter="1" showAutoFilter="1">
      <pageMargins left="0.511811024" right="0.511811024" top="0.78740157499999996" bottom="0.78740157499999996" header="0.31496062000000002" footer="0.31496062000000002"/>
      <autoFilter ref="A1:AS862" xr:uid="{5DE8AF23-04AE-41E6-8659-3A4C962F9187}">
        <filterColumn colId="21">
          <filters>
            <filter val="Inativo"/>
          </filters>
        </filterColumn>
      </autoFilter>
    </customSheetView>
    <customSheetView guid="{7C7A4BB4-DCB9-4182-8741-357D9B800F13}" filter="1" showAutoFilter="1">
      <pageMargins left="0.511811024" right="0.511811024" top="0.78740157499999996" bottom="0.78740157499999996" header="0.31496062000000002" footer="0.31496062000000002"/>
      <autoFilter ref="A1:AQ862" xr:uid="{024E73EC-D155-456B-8172-8ACF96717021}"/>
    </customSheetView>
    <customSheetView guid="{476AFC24-5531-429C-A073-D286CD41620D}" filter="1" showAutoFilter="1">
      <pageMargins left="0.511811024" right="0.511811024" top="0.78740157499999996" bottom="0.78740157499999996" header="0.31496062000000002" footer="0.31496062000000002"/>
      <autoFilter ref="A1:AR862" xr:uid="{AC262202-67B4-4F07-B3C4-A769255DE3B8}">
        <filterColumn colId="21">
          <filters>
            <filter val="Inativo"/>
          </filters>
        </filterColumn>
      </autoFilter>
    </customSheetView>
    <customSheetView guid="{BE28687F-7898-466B-BF0D-F26A9F386BF1}" filter="1" showAutoFilter="1">
      <pageMargins left="0.511811024" right="0.511811024" top="0.78740157499999996" bottom="0.78740157499999996" header="0.31496062000000002" footer="0.31496062000000002"/>
      <autoFilter ref="A2:AS862" xr:uid="{82370D4C-3A31-468A-8ADE-8D4750C76929}">
        <filterColumn colId="8">
          <filters>
            <filter val="Monitoramento"/>
            <filter val="Resgate"/>
            <filter val="Resgate Total"/>
            <filter val="Troca de Assessoria"/>
          </filters>
        </filterColumn>
      </autoFilter>
    </customSheetView>
    <customSheetView guid="{D780AA3F-0B02-4BF5-935A-8516BD852644}" filter="1" showAutoFilter="1">
      <pageMargins left="0.511811024" right="0.511811024" top="0.78740157499999996" bottom="0.78740157499999996" header="0.31496062000000002" footer="0.31496062000000002"/>
      <autoFilter ref="B2:AL866" xr:uid="{C399655A-0CA4-4D99-B720-78518DE3A066}"/>
    </customSheetView>
    <customSheetView guid="{187F2E37-1D08-401F-B6CA-29F69C34600B}" filter="1" showAutoFilter="1">
      <pageMargins left="0.511811024" right="0.511811024" top="0.78740157499999996" bottom="0.78740157499999996" header="0.31496062000000002" footer="0.31496062000000002"/>
      <autoFilter ref="B2:AK866" xr:uid="{0DA80CA7-8DDA-4CAF-8E84-EC7D4FCA78DD}"/>
    </customSheetView>
    <customSheetView guid="{9CA858E8-8765-423C-A4B2-89BFDEC286E3}" filter="1" showAutoFilter="1">
      <pageMargins left="0.511811024" right="0.511811024" top="0.78740157499999996" bottom="0.78740157499999996" header="0.31496062000000002" footer="0.31496062000000002"/>
      <autoFilter ref="F2:F871" xr:uid="{3E5E3110-BAB7-4881-A8BB-68239DDC4E24}"/>
    </customSheetView>
    <customSheetView guid="{A1EFF1DE-3FA0-4210-98FB-193B242B91F7}" filter="1" showAutoFilter="1">
      <pageMargins left="0.511811024" right="0.511811024" top="0.78740157499999996" bottom="0.78740157499999996" header="0.31496062000000002" footer="0.31496062000000002"/>
      <autoFilter ref="K2:K871" xr:uid="{95A19FC5-5A69-467B-BC32-0346ACEBD019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6/2024"/>
            <filter val="17/07/2023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07/2023"/>
            <filter val="26/10/2023"/>
            <filter val="27/01/2023"/>
            <filter val="27/02/2024"/>
            <filter val="27/05/2024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7/2023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A7BEA640-BDD3-4407-AB98-564FD149040A}" filter="1" showAutoFilter="1">
      <pageMargins left="0.511811024" right="0.511811024" top="0.78740157499999996" bottom="0.78740157499999996" header="0.31496062000000002" footer="0.31496062000000002"/>
      <autoFilter ref="A1:AT862" xr:uid="{D006A3C7-DFE4-4B42-8E89-C13283BBAEEC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6B0F1D7B-A8CA-4F80-BBF1-EEC1D73AB5FD}" filter="1" showAutoFilter="1">
      <pageMargins left="0.511811024" right="0.511811024" top="0.78740157499999996" bottom="0.78740157499999996" header="0.31496062000000002" footer="0.31496062000000002"/>
      <autoFilter ref="A2:AR862" xr:uid="{383B364B-E9D8-47D9-984B-4900C9D8B07B}">
        <filterColumn colId="21">
          <filters>
            <filter val="Ativo"/>
          </filters>
        </filterColumn>
        <filterColumn colId="43">
          <filters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089.0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92AFCDE9-DBED-498D-9FC1-F7814E493E29}" filter="1" showAutoFilter="1">
      <pageMargins left="0.511811024" right="0.511811024" top="0.78740157499999996" bottom="0.78740157499999996" header="0.31496062000000002" footer="0.31496062000000002"/>
      <autoFilter ref="B2:AL866" xr:uid="{57616FD1-C9BC-43E1-85D4-9CCDC2AD0E50}"/>
    </customSheetView>
    <customSheetView guid="{BB552302-83D7-4E75-9721-4A908E1DD9C4}" filter="1" showAutoFilter="1">
      <pageMargins left="0.511811024" right="0.511811024" top="0.78740157499999996" bottom="0.78740157499999996" header="0.31496062000000002" footer="0.31496062000000002"/>
      <autoFilter ref="K2:L871" xr:uid="{30BD7A5D-857A-4A21-A2A8-2C5A5E2123AE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FC98CAF0-9F48-42E3-A761-FB59321A7810}" filter="1" showAutoFilter="1">
      <pageMargins left="0.511811024" right="0.511811024" top="0.78740157499999996" bottom="0.78740157499999996" header="0.31496062000000002" footer="0.31496062000000002"/>
      <autoFilter ref="A1:AR862" xr:uid="{5371D444-5D8A-4830-8A68-41918312952D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00E34851-6D10-466B-B70C-0B21589C11D6}" filter="1" showAutoFilter="1">
      <pageMargins left="0.511811024" right="0.511811024" top="0.78740157499999996" bottom="0.78740157499999996" header="0.31496062000000002" footer="0.31496062000000002"/>
      <autoFilter ref="A1:AO871" xr:uid="{25E03B64-3F7E-4013-B538-A47CE5687CBA}"/>
    </customSheetView>
    <customSheetView guid="{BBB60758-302D-42F3-99C1-27EE80466B7D}" filter="1" showAutoFilter="1">
      <pageMargins left="0.511811024" right="0.511811024" top="0.78740157499999996" bottom="0.78740157499999996" header="0.31496062000000002" footer="0.31496062000000002"/>
      <autoFilter ref="AD2:AD871" xr:uid="{67FE9D5A-2223-43B3-A69D-D74F31AA6FB7}"/>
    </customSheetView>
    <customSheetView guid="{64E5F6BA-7475-4F33-A780-3812F4FD3ECD}" filter="1" showAutoFilter="1">
      <pageMargins left="0.511811024" right="0.511811024" top="0.78740157499999996" bottom="0.78740157499999996" header="0.31496062000000002" footer="0.31496062000000002"/>
      <autoFilter ref="A1:AO871" xr:uid="{5D6CACCB-91A0-410B-B506-BEB38D27A47B}">
        <filterColumn colId="7">
          <filters>
            <filter val="Ativo"/>
          </filters>
        </filterColumn>
        <filterColumn colId="12">
          <filters blank="1">
            <filter val="Carteira"/>
            <filter val="CON/ COADM"/>
            <filter val="CON/ GR"/>
            <filter val="EQT/ COADM"/>
            <filter val="FUND"/>
            <filter val="INC/ COADM"/>
            <filter val="MOD/ COADM"/>
            <filter val="MOD/ GR"/>
            <filter val="MOD/ PREV MOD/ COADM"/>
            <filter val="MONT"/>
            <filter val="MONT/ COADM"/>
            <filter val="MULT PRIV"/>
          </filters>
        </filterColumn>
      </autoFilter>
    </customSheetView>
    <customSheetView guid="{EA70FF54-3AC9-42A0-9E22-8B7FD551F1D5}" filter="1" showAutoFilter="1">
      <pageMargins left="0.511811024" right="0.511811024" top="0.78740157499999996" bottom="0.78740157499999996" header="0.31496062000000002" footer="0.31496062000000002"/>
      <autoFilter ref="A1:AO862" xr:uid="{8E7EAFB8-F967-471C-89AB-ABE9724AC16E}"/>
    </customSheetView>
    <customSheetView guid="{41819020-BF88-4272-BD63-29F4CC0F6276}" filter="1" showAutoFilter="1">
      <pageMargins left="0.511811024" right="0.511811024" top="0.78740157499999996" bottom="0.78740157499999996" header="0.31496062000000002" footer="0.31496062000000002"/>
      <autoFilter ref="A1:AN866" xr:uid="{E2E8F1ED-A704-4B28-A1AD-27DA3F034A4D}">
        <filterColumn colId="6">
          <filters>
            <filter val="Bruno"/>
          </filters>
        </filterColumn>
        <filterColumn colId="12">
          <filters blank="1">
            <filter val="Carteira"/>
            <filter val="CON/ COADM"/>
            <filter val="CON/ GR"/>
            <filter val="DIV"/>
            <filter val="EQT/ COADM"/>
            <filter val="FII"/>
            <filter val="FUND"/>
            <filter val="INC/ COADM"/>
            <filter val="MOD/ COADM"/>
            <filter val="MOD/ GR"/>
            <filter val="MOD/ PREV MOD/ COADM"/>
            <filter val="MONT"/>
            <filter val="MONT/ COADM"/>
            <filter val="MULT PRIV"/>
            <filter val="PREV ARR"/>
            <filter val="SMLL"/>
          </filters>
        </filterColumn>
      </autoFilter>
    </customSheetView>
    <customSheetView guid="{90BB7BCB-A56E-4BFE-85E7-3D541F30B5EA}" filter="1" showAutoFilter="1">
      <pageMargins left="0.511811024" right="0.511811024" top="0.78740157499999996" bottom="0.78740157499999996" header="0.31496062000000002" footer="0.31496062000000002"/>
      <autoFilter ref="A2:AT862" xr:uid="{E0EE3150-797A-4D03-9CB8-1A69513E3FC7}">
        <filterColumn colId="7">
          <filters>
            <filter val="Ativo"/>
            <filter val="Encerrado"/>
            <filter val="Pode Operar"/>
          </filters>
        </filterColumn>
        <filterColumn colId="12">
          <filters>
            <filter val="CON/ COADM"/>
            <filter val="EQT/ COADM"/>
            <filter val="INC"/>
            <filter val="INC/ COADM"/>
            <filter val="MOD/ COADM"/>
            <filter val="MOD/ PREV MOD/ COADM"/>
            <filter val="MONT/ COADM"/>
            <filter val="MULT PRIV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C96A395F-B60F-4372-9BC3-59217864722C}" filter="1" showAutoFilter="1">
      <pageMargins left="0.511811024" right="0.511811024" top="0.78740157499999996" bottom="0.78740157499999996" header="0.31496062000000002" footer="0.31496062000000002"/>
      <autoFilter ref="K2:K871" xr:uid="{89A0DC5E-4EFC-4160-95D7-F72837061E63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8/2024"/>
            <filter val="14/09/2023"/>
            <filter val="14/10/2024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6/2024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8/2023"/>
            <filter val="21/09/2023"/>
            <filter val="21/10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10/2023"/>
            <filter val="27/01/2023"/>
            <filter val="27/02/2024"/>
            <filter val="27/05/2024"/>
            <filter val="27/06/2024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0FF7BE7B-59E6-4B98-8328-2F8D1FEC51AF}" filter="1" showAutoFilter="1">
      <pageMargins left="0.511811024" right="0.511811024" top="0.78740157499999996" bottom="0.78740157499999996" header="0.31496062000000002" footer="0.31496062000000002"/>
      <autoFilter ref="A1:AT862" xr:uid="{498E7F70-18DF-4F28-A1AE-D692E7EA9432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  <filterColumn colId="12">
          <filters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FII"/>
            <filter val="FUND"/>
            <filter val="INC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CON"/>
            <filter val="PREV MOD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D29B7F3D-93C1-40B7-B650-971358D6E2A8}" filter="1" showAutoFilter="1">
      <pageMargins left="0.511811024" right="0.511811024" top="0.78740157499999996" bottom="0.78740157499999996" header="0.31496062000000002" footer="0.31496062000000002"/>
      <autoFilter ref="E2:F871" xr:uid="{B0CD709A-FD79-46AB-A6A1-6F13C7889DAF}"/>
    </customSheetView>
    <customSheetView guid="{465AA09F-DCCE-4A6C-9357-B7D8D3EE1D55}" filter="1" showAutoFilter="1">
      <pageMargins left="0.511811024" right="0.511811024" top="0.78740157499999996" bottom="0.78740157499999996" header="0.31496062000000002" footer="0.31496062000000002"/>
      <autoFilter ref="A1:AT866" xr:uid="{AF13384B-C76E-4EF9-8F50-5AD8A2663648}">
        <filterColumn colId="5">
          <filters blank="1"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10CC955F-CF83-44D2-A593-38FFA91206BF}" filter="1" showAutoFilter="1">
      <pageMargins left="0.511811024" right="0.511811024" top="0.78740157499999996" bottom="0.78740157499999996" header="0.31496062000000002" footer="0.31496062000000002"/>
      <autoFilter ref="A1:AR862" xr:uid="{A1F127E0-E948-4168-AA7A-11950F960AAE}">
        <filterColumn colId="21">
          <filters>
            <filter val="Inativo"/>
          </filters>
        </filterColumn>
      </autoFilter>
    </customSheetView>
    <customSheetView guid="{CB4D2828-18B3-430C-BACC-7DC15410ECCD}" filter="1" showAutoFilter="1">
      <pageMargins left="0.511811024" right="0.511811024" top="0.78740157499999996" bottom="0.78740157499999996" header="0.31496062000000002" footer="0.31496062000000002"/>
      <autoFilter ref="A1:AT862" xr:uid="{A95CC87F-E092-4BF6-881F-61191C673B7C}">
        <filterColumn colId="7">
          <filters>
            <filter val="Pode Operar"/>
          </filters>
        </filterColumn>
      </autoFilter>
    </customSheetView>
    <customSheetView guid="{36522B2C-2FE1-46A8-A7B9-DE88F890D0AD}" filter="1" showAutoFilter="1">
      <pageMargins left="0.511811024" right="0.511811024" top="0.78740157499999996" bottom="0.78740157499999996" header="0.31496062000000002" footer="0.31496062000000002"/>
      <autoFilter ref="A1:AR862" xr:uid="{133282AB-6EF6-44FB-87D7-9894C5A82F1C}"/>
    </customSheetView>
    <customSheetView guid="{0FF3049F-31F6-40EE-8B94-98781F25FC5B}" filter="1" showAutoFilter="1">
      <pageMargins left="0.511811024" right="0.511811024" top="0.78740157499999996" bottom="0.78740157499999996" header="0.31496062000000002" footer="0.31496062000000002"/>
      <autoFilter ref="A1:AO871" xr:uid="{84534E9B-8F9F-4A22-B49F-5CF4A5DA0E20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Henrique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3DDF7DA9-C407-40EA-8349-A8128D23F1DD}" filter="1" showAutoFilter="1">
      <pageMargins left="0.511811024" right="0.511811024" top="0.78740157499999996" bottom="0.78740157499999996" header="0.31496062000000002" footer="0.31496062000000002"/>
      <autoFilter ref="A1:AO870" xr:uid="{5C714CBE-836E-4960-8368-227BFED47FF4}">
        <filterColumn colId="12">
          <filters>
            <filter val="CON/ COADM"/>
            <filter val="CON/ GR"/>
            <filter val="DIV"/>
            <filter val="EQT/ COADM"/>
            <filter val="INC/ COADM"/>
            <filter val="MOD/ COADM"/>
            <filter val="MOD/ GR"/>
            <filter val="MOD/ PREV MOD/ COADM"/>
            <filter val="MONT/ COADM"/>
            <filter val="MULT PRIV"/>
          </filters>
        </filterColumn>
      </autoFilter>
    </customSheetView>
    <customSheetView guid="{FF54D59C-B38D-483E-922B-6B491E7CC269}" filter="1" showAutoFilter="1">
      <pageMargins left="0.511811024" right="0.511811024" top="0.78740157499999996" bottom="0.78740157499999996" header="0.31496062000000002" footer="0.31496062000000002"/>
      <autoFilter ref="A1:AR862" xr:uid="{1564262C-01D0-44A0-9BE9-246325DF5F49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3236FA0F-5BED-4A7B-A23F-EACF6040CF7B}" filter="1" showAutoFilter="1">
      <pageMargins left="0.511811024" right="0.511811024" top="0.78740157499999996" bottom="0.78740157499999996" header="0.31496062000000002" footer="0.31496062000000002"/>
      <autoFilter ref="A1:AR862" xr:uid="{D5C441E4-050E-409F-A30E-024A9816CCE4}"/>
    </customSheetView>
    <customSheetView guid="{3C1919D2-3766-49CD-BCB3-6FC578924078}" filter="1" showAutoFilter="1">
      <pageMargins left="0.511811024" right="0.511811024" top="0.78740157499999996" bottom="0.78740157499999996" header="0.31496062000000002" footer="0.31496062000000002"/>
      <autoFilter ref="B2:AL866" xr:uid="{4B609ECF-64A4-4FDC-BC27-01D0E7FF9DCB}">
        <filterColumn colId="15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0% D+0 (07/06/2024)"/>
            <filter val="100K Fundo RF Ativo (26/07/2024)"/>
            <filter val="10K D+0 / Manter o CRA BTG (29/04/2024)"/>
            <filter val="15% Fundo RF Ativo (13/09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% em D+0 (03/06/2024)"/>
            <filter val="200K D+2 (19/08/2024)"/>
            <filter val="200K em D+0/ 7,5% de EQT (09/08/2024)"/>
            <filter val="20K D+0 (20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25/09/2024)"/>
            <filter val="30K D+0 (26/08/2024)"/>
            <filter val="30K Fundo RF Ativo (13/05/2024)"/>
            <filter val="35K Fundo RF Ativo (21/05/2024)"/>
            <filter val="36K D+0 (25/09/2024)"/>
            <filter val="40K até D+1 (17/10/2024)"/>
            <filter val="50% D+0 . Aplicações com vencimento máximo de 6 meses (18/08/2024)"/>
            <filter val="50% do valor líquido aplicar em ativos de no max 1 ano (06/06/2024)"/>
            <filter val="50K D+0 (06/06/2024)"/>
            <filter val="50K D+0 (17/06/2024)"/>
            <filter val="50K D+0 (30/09/2024)"/>
            <filter val="50K D+0/ 100K D+2 (28/08/2024)"/>
            <filter val="50K D+1 (19/08/2024)"/>
            <filter val="50K em D+0 (13/09/2024)"/>
            <filter val="50K em D+0 (27/06/2024)"/>
            <filter val="50K Fundo RF ATIVO (29/05/2024)"/>
            <filter val="55K D+0 (14/08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/ Manter os investimentos dos ativos: HASH11 ; BITH11 ; QDFL11. (13/05/2024)"/>
            <filter val="Manter BTC na carteira (04/10/2024)"/>
            <filter val="Manter em D+0, até apresentar plano de alocação com o cliente (31/07/2024)"/>
            <filter val="Manter ETF CRIP (24/10/2024)"/>
            <filter val="Manter JURO11 (25/04/2024)"/>
            <filter val="Manter o CRA BTG e o fundo de RF BNP Paribas Match DI na carteira/ 30% D+0 9 (06/06/2024)"/>
            <filter val="Manter RV (29/04/2024)"/>
            <filter val="Máx 5% em RV (14/08/2024)"/>
            <filter val="Monitorar ativos fora da estratégia montada anteriormente pela gestão, com Renan (21/05/2024)"/>
            <filter val="Não aplicar CDB de vencimento 21/10/2024 (10/09/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RECOMPRAR AÇÕES/ MANTER SALDO EM LIQUIDEZ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RF: máx. 1 ano (10/10/2024)"/>
            <filter val="Sem renda variável (16/05/2024)"/>
            <filter val="Sem RV até aumento de PL (Renda Variável RV até 10% do PL) (30/04/2024)"/>
            <filter val="Todo recurso em D+0 até atualização F.A (24/09/2024)"/>
            <filter val="Vencimento aplicar em D+0 (30/10/2024)"/>
            <filter val="Vencimento máximo inicial: 6 meses. (17/06/2024)"/>
            <filter val="Vencimentos aplicar em D+0 (19/09/2024)"/>
            <filter val="Vencimentos aplicar em D+0(08/08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09/09/2024)"/>
            <filter val="Vender ações com ágio (18/03/2024)"/>
            <filter val="Vender ações com ágio e alterar carteira para INCOME (12/07/2024)"/>
          </filters>
        </filterColumn>
      </autoFilter>
    </customSheetView>
    <customSheetView guid="{DB74581B-83E5-4A49-9B3E-048B49B7E78E}" filter="1" showAutoFilter="1">
      <pageMargins left="0.511811024" right="0.511811024" top="0.78740157499999996" bottom="0.78740157499999996" header="0.31496062000000002" footer="0.31496062000000002"/>
      <autoFilter ref="A1:AT866" xr:uid="{DFFA5CFE-2400-4C57-9B75-E6A6A51F91B6}">
        <filterColumn colId="7">
          <filters blank="1">
            <filter val="Ativo"/>
          </filters>
        </filterColumn>
      </autoFilter>
    </customSheetView>
    <customSheetView guid="{1C817462-83A1-43F0-BF7C-966B2B856F7F}" filter="1" showAutoFilter="1">
      <pageMargins left="0.511811024" right="0.511811024" top="0.78740157499999996" bottom="0.78740157499999996" header="0.31496062000000002" footer="0.31496062000000002"/>
      <autoFilter ref="D2:F871" xr:uid="{E50EAB0C-9A0B-405F-B6F2-8C1E27EFB131}"/>
    </customSheetView>
    <customSheetView guid="{91E7A462-D5A1-4210-BCE0-60696957307A}" filter="1" showAutoFilter="1">
      <pageMargins left="0.511811024" right="0.511811024" top="0.78740157499999996" bottom="0.78740157499999996" header="0.31496062000000002" footer="0.31496062000000002"/>
      <autoFilter ref="A1:AT862" xr:uid="{0D9F5E3A-084F-4109-A2E2-08CE29DE2219}"/>
    </customSheetView>
    <customSheetView guid="{EAD43875-4E45-49D9-A7B0-C9250FAB6020}" filter="1" showAutoFilter="1">
      <pageMargins left="0.511811024" right="0.511811024" top="0.78740157499999996" bottom="0.78740157499999996" header="0.31496062000000002" footer="0.31496062000000002"/>
      <autoFilter ref="A1:AT862" xr:uid="{DEF1CE6E-8F75-4247-BA4C-28177106A0C0}">
        <filterColumn colId="8">
          <filters>
            <filter val="Bloqueado"/>
            <filter val="Resgate"/>
            <filter val="Resgate Total"/>
            <filter val="Troca de Assessoria"/>
          </filters>
        </filterColumn>
      </autoFilter>
    </customSheetView>
    <customSheetView guid="{F493BEFD-7C46-47E1-B095-5B5A31D66205}" filter="1" showAutoFilter="1">
      <pageMargins left="0.511811024" right="0.511811024" top="0.78740157499999996" bottom="0.78740157499999996" header="0.31496062000000002" footer="0.31496062000000002"/>
      <autoFilter ref="A1:AN866" xr:uid="{C4C3D11B-280C-4717-95D7-AFC676DC6FDA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/ COADM"/>
            <filter val="FUND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FA344799-C027-418F-BEA1-82C5C82A4E24}" filter="1" showAutoFilter="1">
      <pageMargins left="0.511811024" right="0.511811024" top="0.78740157499999996" bottom="0.78740157499999996" header="0.31496062000000002" footer="0.31496062000000002"/>
      <autoFilter ref="F2:F871" xr:uid="{959585F2-73F0-4959-81B8-8F8A0AAC3985}"/>
    </customSheetView>
    <customSheetView guid="{37E2DCA0-870F-45B5-8ADA-2998F27F6F0D}" filter="1" showAutoFilter="1">
      <pageMargins left="0.511811024" right="0.511811024" top="0.78740157499999996" bottom="0.78740157499999996" header="0.31496062000000002" footer="0.31496062000000002"/>
      <autoFilter ref="B2:AK866" xr:uid="{68A5DA4D-22D6-4677-B5C6-0B37CA54836D}"/>
    </customSheetView>
    <customSheetView guid="{52B8EA4E-D7FD-4600-86D7-B8AEB7679182}" filter="1" showAutoFilter="1">
      <pageMargins left="0.511811024" right="0.511811024" top="0.78740157499999996" bottom="0.78740157499999996" header="0.31496062000000002" footer="0.31496062000000002"/>
      <autoFilter ref="A1:BA866" xr:uid="{64ABC933-7A76-455D-826B-1B3D8A54F7F7}"/>
    </customSheetView>
    <customSheetView guid="{F599E123-4B2C-4FC2-8B97-2E165BA8D0FE}" filter="1" showAutoFilter="1">
      <pageMargins left="0.511811024" right="0.511811024" top="0.78740157499999996" bottom="0.78740157499999996" header="0.31496062000000002" footer="0.31496062000000002"/>
      <autoFilter ref="B2:Q866" xr:uid="{C016223D-370C-48DF-8969-E8FF6D5C795C}"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CAC3EAA7-5BC7-4B69-BFEA-4F3765C59590}" filter="1" showAutoFilter="1">
      <pageMargins left="0.511811024" right="0.511811024" top="0.78740157499999996" bottom="0.78740157499999996" header="0.31496062000000002" footer="0.31496062000000002"/>
      <autoFilter ref="A1:AR862" xr:uid="{B57AC95F-8EAC-4099-9C19-4C3F6D30C7BA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4)"/>
            <filter val="Alteração de carteira finalizada (05/03/2024)"/>
            <filter val="Alteração de carteira finalizada (09/08/2024)"/>
            <filter val="Alteração de carteira finalizada (13/05/2024)"/>
            <filter val="Alteração de carteira finalizada (14/06/2024)"/>
            <filter val="Alteração de carteira finalizada (15/03/2024)"/>
            <filter val="Alteração de carteira finalizada (17/06/2024)"/>
            <filter val="Alteração de carteira finalizada (21/10/2024)"/>
            <filter val="Alteração de carteira finalizada (22/07/2024)"/>
            <filter val="Alteração de carteira finalizada (27/03/2024)"/>
            <filter val="Alteração de carteira finalizada (27/06/2024)"/>
            <filter val="Alteração de carteira finalizada (28/03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E85EF604-B4E4-46A4-BD8E-A25442CE7DFC}" filter="1" showAutoFilter="1">
      <pageMargins left="0.511811024" right="0.511811024" top="0.78740157499999996" bottom="0.78740157499999996" header="0.31496062000000002" footer="0.31496062000000002"/>
      <autoFilter ref="M2:M871" xr:uid="{FAA5C902-2B80-4C67-9902-DF97294873D4}">
        <filterColumn colId="0">
          <filters>
            <filter val="CON/ COADM"/>
            <filter val="CON/ GR"/>
            <filter val="CON/ PREV CON"/>
            <filter val="CON/ PREV MOD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A9B28D02-D9FC-423B-AD09-B6949DCE09BF}" filter="1" showAutoFilter="1">
      <pageMargins left="0.511811024" right="0.511811024" top="0.78740157499999996" bottom="0.78740157499999996" header="0.31496062000000002" footer="0.31496062000000002"/>
      <autoFilter ref="A1:AS862" xr:uid="{2E22C0C2-8D35-4D36-8846-116F5A8B6A3C}">
        <filterColumn colId="8">
          <filters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2FF61B21-4B07-496A-9823-45752FDDEC31}" filter="1" showAutoFilter="1">
      <pageMargins left="0.511811024" right="0.511811024" top="0.78740157499999996" bottom="0.78740157499999996" header="0.31496062000000002" footer="0.31496062000000002"/>
      <autoFilter ref="B2:AL866" xr:uid="{910FA0E5-E8F2-47F2-8A1C-7E11AB82DF92}">
        <filterColumn colId="15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0% D+0 (07/06/2024)"/>
            <filter val="100K Fundo RF Ativo (26/07/2024)"/>
            <filter val="10K D+0 / Manter o CRA BTG (29/04/2024)"/>
            <filter val="15% Fundo RF Ativo (13/09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% em D+0 (03/06/2024)"/>
            <filter val="200K D+2 (19/08/2024)"/>
            <filter val="200K em D+0/ 7,5% de EQT (09/08/2024)"/>
            <filter val="20K D+0 (20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25/09/2024)"/>
            <filter val="30K D+0 (26/08/2024)"/>
            <filter val="30K Fundo RF Ativo (13/05/2024)"/>
            <filter val="35K Fundo RF Ativo (21/05/2024)"/>
            <filter val="36K D+0 (25/09/2024)"/>
            <filter val="40K até D+1 (17/10/2024)"/>
            <filter val="50% D+0 . Aplicações com vencimento máximo de 6 meses (18/08/2024)"/>
            <filter val="50% do valor líquido aplicar em ativos de no max 1 ano (06/06/2024)"/>
            <filter val="50K D+0 (06/06/2024)"/>
            <filter val="50K D+0 (17/06/2024)"/>
            <filter val="50K D+0 (30/09/2024)"/>
            <filter val="50K D+0/ 100K D+2 (28/08/2024)"/>
            <filter val="50K D+1 (19/08/2024)"/>
            <filter val="50K em D+0 (13/09/2024)"/>
            <filter val="50K em D+0 (27/06/2024)"/>
            <filter val="50K Fundo RF ATIVO (29/05/2024)"/>
            <filter val="55K D+0 (14/08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/ Manter os investimentos dos ativos: HASH11 ; BITH11 ; QDFL11. (13/05/2024)"/>
            <filter val="Manter BTC na carteira (04/10/2024)"/>
            <filter val="Manter em D+0, até apresentar plano de alocação com o cliente (31/07/2024)"/>
            <filter val="Manter ETF CRIP (24/10/2024)"/>
            <filter val="Manter JURO11 (25/04/2024)"/>
            <filter val="Manter o CRA BTG e o fundo de RF BNP Paribas Match DI na carteira/ 30% D+0 9 (06/06/2024)"/>
            <filter val="Manter RV (29/04/2024)"/>
            <filter val="Máx 5% em RV (14/08/2024)"/>
            <filter val="Monitorar ativos fora da estratégia montada anteriormente pela gestão, com Renan (21/05/2024)"/>
            <filter val="Não aplicar CDB de vencimento 21/10/2024 (10/09/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RECOMPRAR AÇÕES/ MANTER SALDO EM LIQUIDEZ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RF: máx. 1 ano (10/10/2024)"/>
            <filter val="Sem renda variável (16/05/2024)"/>
            <filter val="Sem RV até aumento de PL (Renda Variável RV até 10% do PL) (30/04/2024)"/>
            <filter val="Todo recurso em D+0 até atualização F.A (24/09/2024)"/>
            <filter val="Vencimento aplicar em D+0 (30/10/2024)"/>
            <filter val="Vencimento máximo inicial: 6 meses. (17/06/2024)"/>
            <filter val="Vencimentos aplicar em D+0 (19/09/2024)"/>
            <filter val="Vencimentos aplicar em D+0(08/08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09/09/2024)"/>
            <filter val="Vender ações com ágio (18/03/2024)"/>
            <filter val="Vender ações com ágio e alterar carteira para INCOME (12/07/2024)"/>
          </filters>
        </filterColumn>
      </autoFilter>
    </customSheetView>
    <customSheetView guid="{14FDAB6E-4950-4297-AFB6-3D0254510B44}" filter="1" showAutoFilter="1">
      <pageMargins left="0.511811024" right="0.511811024" top="0.78740157499999996" bottom="0.78740157499999996" header="0.31496062000000002" footer="0.31496062000000002"/>
      <autoFilter ref="D2:AK871" xr:uid="{3964DEDD-A349-4BAD-A2D1-5EC0AC888B62}"/>
    </customSheetView>
    <customSheetView guid="{6BD8C679-CB27-4D52-BB94-8BC37DFBBEE8}" filter="1" showAutoFilter="1">
      <pageMargins left="0.511811024" right="0.511811024" top="0.78740157499999996" bottom="0.78740157499999996" header="0.31496062000000002" footer="0.31496062000000002"/>
      <autoFilter ref="A1:AN866" xr:uid="{880A60AF-DB12-4337-9E66-6DC2471A2F99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87DE2AE3-A5F0-4587-9B4E-271A7BB8EB3E}" filter="1" showAutoFilter="1">
      <pageMargins left="0.511811024" right="0.511811024" top="0.78740157499999996" bottom="0.78740157499999996" header="0.31496062000000002" footer="0.31496062000000002"/>
      <autoFilter ref="D2:K871" xr:uid="{5DBCEE8F-3F07-4782-A76D-EA5C5FE21993}">
        <filterColumn colId="7">
          <filters>
            <filter val="01/02/2023"/>
            <filter val="01/02/2024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2"/>
            <filter val="13/02/2023"/>
            <filter val="13/03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575232E1-5EF4-46D9-BCBB-E0A44E0E44C4}" filter="1" showAutoFilter="1">
      <pageMargins left="0.511811024" right="0.511811024" top="0.78740157499999996" bottom="0.78740157499999996" header="0.31496062000000002" footer="0.31496062000000002"/>
      <autoFilter ref="B2:AL866" xr:uid="{54BBE7E6-A960-4283-9057-98A48BC2C268}"/>
    </customSheetView>
    <customSheetView guid="{4DC4A6A4-A2D6-4D5D-9D2E-378E1B8AB498}" filter="1" showAutoFilter="1">
      <pageMargins left="0.511811024" right="0.511811024" top="0.78740157499999996" bottom="0.78740157499999996" header="0.31496062000000002" footer="0.31496062000000002"/>
      <autoFilter ref="B2:AK866" xr:uid="{64E563E0-FC33-4B68-A53B-6AD81C29ACF3}"/>
    </customSheetView>
    <customSheetView guid="{86DDA1FA-1917-4C5E-BBFA-B2B7D5F2B6FB}" filter="1" showAutoFilter="1">
      <pageMargins left="0.511811024" right="0.511811024" top="0.78740157499999996" bottom="0.78740157499999996" header="0.31496062000000002" footer="0.31496062000000002"/>
      <autoFilter ref="A1:AT862" xr:uid="{FA1CBA22-A565-45D3-9E2D-9B9CAD2D5C69}">
        <filterColumn colId="7">
          <filters>
            <filter val="Encerrado"/>
          </filters>
        </filterColumn>
        <filterColumn colId="11">
          <filters blank="1">
            <filter val="01/10/2024"/>
            <filter val="02/05/2024"/>
            <filter val="02/08/2024"/>
            <filter val="02/09/2024"/>
            <filter val="03/05/2024"/>
            <filter val="04/09/2024"/>
            <filter val="05/03/2024"/>
            <filter val="05/07/2024"/>
            <filter val="05/09/2024"/>
            <filter val="06/06/2024"/>
            <filter val="07/06/2024"/>
            <filter val="07/10/2024"/>
            <filter val="09/08/2024"/>
            <filter val="11/04/2024"/>
            <filter val="11/10/2024"/>
            <filter val="12/08/2024"/>
            <filter val="13/08/2024"/>
            <filter val="14/06/2024"/>
            <filter val="14/08/2024"/>
            <filter val="14/10/2024"/>
            <filter val="16/08/2024"/>
            <filter val="17/07/2024"/>
            <filter val="17/08/2024"/>
            <filter val="17/09/2024"/>
            <filter val="17/10/2024"/>
            <filter val="18/09/2024"/>
            <filter val="18/12/2023"/>
            <filter val="19/04/2024"/>
            <filter val="19/07/2024"/>
            <filter val="19/08/2024"/>
            <filter val="20/08/2024"/>
            <filter val="20/09/2024"/>
            <filter val="21/05/2024"/>
            <filter val="21/06/2024"/>
            <filter val="21/08/2024"/>
            <filter val="21/8/2024"/>
            <filter val="22/07/2024"/>
            <filter val="22/08/2024"/>
            <filter val="23/08/2024"/>
            <filter val="24/09/2024"/>
            <filter val="24/10/2024"/>
            <filter val="25/04/2024"/>
            <filter val="25/10/2024"/>
            <filter val="26/08/2024"/>
            <filter val="27/08/2024"/>
            <filter val="28/05/2024"/>
            <filter val="28/08/2024"/>
            <filter val="29/04/2024"/>
            <filter val="30/09/2024"/>
            <filter val="Data distrato"/>
          </filters>
        </filterColumn>
      </autoFilter>
    </customSheetView>
    <customSheetView guid="{82ED4851-3DA2-4458-BD2D-989931D72E98}" filter="1" showAutoFilter="1">
      <pageMargins left="0.511811024" right="0.511811024" top="0.78740157499999996" bottom="0.78740157499999996" header="0.31496062000000002" footer="0.31496062000000002"/>
      <autoFilter ref="F2:AK871" xr:uid="{9FFF9466-417B-4670-84A3-65A22881DD50}">
        <filterColumn colId="30">
          <filters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154.39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6,485,810.25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</autoFilter>
    </customSheetView>
    <customSheetView guid="{2F5B4967-5DBD-46DD-B005-7E9FE69A6F8D}" filter="1" showAutoFilter="1">
      <pageMargins left="0.511811024" right="0.511811024" top="0.78740157499999996" bottom="0.78740157499999996" header="0.31496062000000002" footer="0.31496062000000002"/>
      <autoFilter ref="A1:AO871" xr:uid="{45D8ADEC-64DD-4AB6-8B95-F87258CE67BE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Ribeiro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49B5D05B-3779-40EA-AF9A-F4C0AC90CAB6}" filter="1" showAutoFilter="1">
      <pageMargins left="0.511811024" right="0.511811024" top="0.78740157499999996" bottom="0.78740157499999996" header="0.31496062000000002" footer="0.31496062000000002"/>
      <autoFilter ref="A2:AT862" xr:uid="{DD47F51D-8B19-416B-B2D1-A8B3D24B55CF}">
        <filterColumn colId="7">
          <filters>
            <filter val="Inativo"/>
            <filter val="Ativo"/>
          </filters>
        </filterColumn>
        <filterColumn colId="8">
          <filters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E6296B3E-8CFB-480B-B156-C1A3E9CD09B6}" filter="1" showAutoFilter="1">
      <pageMargins left="0.511811024" right="0.511811024" top="0.78740157499999996" bottom="0.78740157499999996" header="0.31496062000000002" footer="0.31496062000000002"/>
      <autoFilter ref="A2:AS862" xr:uid="{53D6B697-213D-4E0F-8631-1275CCB2905A}">
        <filterColumn colId="8">
          <filters>
            <filter val="Bloquead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E95DA332-0B7A-4F89-8F65-41E7B3C2DC67}" filter="1" showAutoFilter="1">
      <pageMargins left="0.511811024" right="0.511811024" top="0.78740157499999996" bottom="0.78740157499999996" header="0.31496062000000002" footer="0.31496062000000002"/>
      <autoFilter ref="A1:AN866" xr:uid="{160A27AB-53E2-4D58-8A21-434DDC06F446}"/>
    </customSheetView>
    <customSheetView guid="{26704F7C-C74F-45EC-98C2-61DDB4F67DCC}" filter="1" showAutoFilter="1">
      <pageMargins left="0.511811024" right="0.511811024" top="0.78740157499999996" bottom="0.78740157499999996" header="0.31496062000000002" footer="0.31496062000000002"/>
      <autoFilter ref="D2:F871" xr:uid="{51DD8EA1-9CFA-400C-A282-475BE8CAB36E}"/>
    </customSheetView>
    <customSheetView guid="{B359C7B2-3604-4BAF-9DE3-2EFB33C2CB66}" filter="1" showAutoFilter="1">
      <pageMargins left="0.511811024" right="0.511811024" top="0.78740157499999996" bottom="0.78740157499999996" header="0.31496062000000002" footer="0.31496062000000002"/>
      <autoFilter ref="AT8:AT859" xr:uid="{4AB4EB56-0727-4C8F-A9A8-B9B301CB1EAA}"/>
    </customSheetView>
    <customSheetView guid="{87E4A958-CDC6-4EF1-BDE3-FF72B2C36669}" filter="1" showAutoFilter="1">
      <pageMargins left="0.511811024" right="0.511811024" top="0.78740157499999996" bottom="0.78740157499999996" header="0.31496062000000002" footer="0.31496062000000002"/>
      <autoFilter ref="B2:AK866" xr:uid="{C56F20D8-EC11-45A5-9333-884BC2D489A3}"/>
    </customSheetView>
    <customSheetView guid="{9E552739-72DD-45E8-8C7B-29F9FBD3645B}" filter="1" showAutoFilter="1">
      <pageMargins left="0.511811024" right="0.511811024" top="0.78740157499999996" bottom="0.78740157499999996" header="0.31496062000000002" footer="0.31496062000000002"/>
      <autoFilter ref="B2:AI866" xr:uid="{CF5724C7-938D-49DC-8140-B6556B972831}"/>
    </customSheetView>
    <customSheetView guid="{F6E5FCDB-B8CB-4BE9-95F1-F7D06B1C07C7}" filter="1" showAutoFilter="1">
      <pageMargins left="0.511811024" right="0.511811024" top="0.78740157499999996" bottom="0.78740157499999996" header="0.31496062000000002" footer="0.31496062000000002"/>
      <autoFilter ref="A2:AT862" xr:uid="{4664FBC9-86B0-4F64-9679-EB58E7A3BBAB}">
        <filterColumn colId="7">
          <filters>
            <filter val="Ativo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DA07D26C-8134-4098-9060-4124AE59455C}" filter="1" showAutoFilter="1">
      <pageMargins left="0.511811024" right="0.511811024" top="0.78740157499999996" bottom="0.78740157499999996" header="0.31496062000000002" footer="0.31496062000000002"/>
      <autoFilter ref="A1:AN866" xr:uid="{D1F2AC1E-D163-45C3-9421-0D24FDF137D8}"/>
    </customSheetView>
    <customSheetView guid="{9314C9A5-618C-49A2-B154-291D865D305F}" filter="1" showAutoFilter="1">
      <pageMargins left="0.511811024" right="0.511811024" top="0.78740157499999996" bottom="0.78740157499999996" header="0.31496062000000002" footer="0.31496062000000002"/>
      <autoFilter ref="A1:AQ862" xr:uid="{EC452827-6D93-47A8-A4FE-C73C6ACA02A2}">
        <filterColumn colId="10">
          <filters>
            <filter val="01/02/2024"/>
            <filter val="01/04/2024"/>
            <filter val="01/07/2024"/>
            <filter val="01/10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7/10/2024"/>
            <filter val="08/02/2024"/>
            <filter val="08/03/2024"/>
            <filter val="08/04/2024"/>
            <filter val="08/10/2024"/>
            <filter val="09/02/2024"/>
            <filter val="09/04/2024"/>
            <filter val="09/05/2024"/>
            <filter val="09/08/2024"/>
            <filter val="09/09/2024"/>
            <filter val="09/10/2024"/>
            <filter val="10/04/2024"/>
            <filter val="10/05/2024"/>
            <filter val="10/06/2024"/>
            <filter val="10/07/2024"/>
            <filter val="10/09/2024"/>
            <filter val="10/10/2024"/>
            <filter val="11/03/2023"/>
            <filter val="11/03/2024"/>
            <filter val="11/04/2024"/>
            <filter val="11/06/2024"/>
            <filter val="11/09/2024"/>
            <filter val="11/10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4/10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7/06/2024"/>
            <filter val="17/07/2024"/>
            <filter val="17/09/2024"/>
            <filter val="17/10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1/10/2024"/>
            <filter val="22/02/2024"/>
            <filter val="22/03/2024"/>
            <filter val="22/07/2024"/>
            <filter val="22/10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8/02/2024"/>
            <filter val="28/05/2024"/>
            <filter val="29/05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36A6B0CA-EE31-4FBF-8D64-D076CD8CC124}" filter="1" showAutoFilter="1">
      <pageMargins left="0.511811024" right="0.511811024" top="0.78740157499999996" bottom="0.78740157499999996" header="0.31496062000000002" footer="0.31496062000000002"/>
      <autoFilter ref="B2:AL866" xr:uid="{EA93BC6B-6E05-47D5-96F9-26D63D370FD7}"/>
    </customSheetView>
    <customSheetView guid="{5B820ADB-D2D8-4382-861A-63ED9120198B}" filter="1" showAutoFilter="1">
      <pageMargins left="0.511811024" right="0.511811024" top="0.78740157499999996" bottom="0.78740157499999996" header="0.31496062000000002" footer="0.31496062000000002"/>
      <autoFilter ref="A1:AR862" xr:uid="{DB09B697-D91B-41A8-A202-CB1F11C823FA}">
        <filterColumn colId="8">
          <filters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66441F65-CE3B-49B6-B0AC-59C3CDDB5E42}" filter="1" showAutoFilter="1">
      <pageMargins left="0.511811024" right="0.511811024" top="0.78740157499999996" bottom="0.78740157499999996" header="0.31496062000000002" footer="0.31496062000000002"/>
      <autoFilter ref="A1:AO871" xr:uid="{FD9F8ECD-CE89-4193-9DCF-93815D51867D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Ribeiro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DD2516C9-4059-43FC-B8FF-97537EC484A1}" filter="1" showAutoFilter="1">
      <pageMargins left="0.511811024" right="0.511811024" top="0.78740157499999996" bottom="0.78740157499999996" header="0.31496062000000002" footer="0.31496062000000002"/>
      <autoFilter ref="A2:AS862" xr:uid="{F9614EF7-4549-4BC6-8168-57CE9CF7B96F}"/>
    </customSheetView>
    <customSheetView guid="{C9BB4354-BF57-4FC8-86A4-BA3AE8C11941}" filter="1" showAutoFilter="1">
      <pageMargins left="0.511811024" right="0.511811024" top="0.78740157499999996" bottom="0.78740157499999996" header="0.31496062000000002" footer="0.31496062000000002"/>
      <autoFilter ref="F2:F871" xr:uid="{9A5077C2-5F47-4F8D-AB3E-F6DFBC78C909}"/>
    </customSheetView>
    <customSheetView guid="{3CEB32DC-FC34-404B-9B1D-F4349E9B14A2}" filter="1" showAutoFilter="1">
      <pageMargins left="0.511811024" right="0.511811024" top="0.78740157499999996" bottom="0.78740157499999996" header="0.31496062000000002" footer="0.31496062000000002"/>
      <autoFilter ref="B2:AI866" xr:uid="{9A0DD613-AAC9-4073-B0EC-FF057867C5F1}"/>
    </customSheetView>
    <customSheetView guid="{C1A2F180-4317-44A0-986D-3164ECF54A28}" filter="1" showAutoFilter="1">
      <pageMargins left="0.511811024" right="0.511811024" top="0.78740157499999996" bottom="0.78740157499999996" header="0.31496062000000002" footer="0.31496062000000002"/>
      <autoFilter ref="D2:F871" xr:uid="{46D98106-9802-40DB-916F-53BE05221646}"/>
    </customSheetView>
    <customSheetView guid="{F03EB8AB-8665-4A14-B965-CEDB21F28C49}" filter="1" showAutoFilter="1">
      <pageMargins left="0.511811024" right="0.511811024" top="0.78740157499999996" bottom="0.78740157499999996" header="0.31496062000000002" footer="0.31496062000000002"/>
      <autoFilter ref="A2:AT862" xr:uid="{D814CAA3-9AB2-409D-BA99-F2C5F7F9C51B}">
        <filterColumn colId="7">
          <filters>
            <filter val="Pode Operar"/>
          </filters>
        </filterColumn>
      </autoFilter>
    </customSheetView>
    <customSheetView guid="{40B5BC73-B246-446C-A406-0BA25F2CEFB4}" filter="1" showAutoFilter="1">
      <pageMargins left="0.511811024" right="0.511811024" top="0.78740157499999996" bottom="0.78740157499999996" header="0.31496062000000002" footer="0.31496062000000002"/>
      <autoFilter ref="A1:AR862" xr:uid="{0AEECF95-743E-42B5-944C-B2D87F87E71F}"/>
    </customSheetView>
    <customSheetView guid="{12AA7277-456D-451B-A499-389B87C6D872}" filter="1" showAutoFilter="1">
      <pageMargins left="0.511811024" right="0.511811024" top="0.78740157499999996" bottom="0.78740157499999996" header="0.31496062000000002" footer="0.31496062000000002"/>
      <autoFilter ref="B2:AM866" xr:uid="{2751ABF7-6224-4656-87D4-6DB2BEEA3737}"/>
    </customSheetView>
    <customSheetView guid="{3D734A4F-D464-4994-84FD-80EDF2D2AAA1}" filter="1" showAutoFilter="1">
      <pageMargins left="0.511811024" right="0.511811024" top="0.78740157499999996" bottom="0.78740157499999996" header="0.31496062000000002" footer="0.31496062000000002"/>
      <autoFilter ref="B2:AL866" xr:uid="{C276EE47-2670-4157-96C8-2BC8222EF083}"/>
    </customSheetView>
    <customSheetView guid="{3891FFA7-CC39-4DED-9D26-53E6E189E0AA}" filter="1" showAutoFilter="1">
      <pageMargins left="0.511811024" right="0.511811024" top="0.78740157499999996" bottom="0.78740157499999996" header="0.31496062000000002" footer="0.31496062000000002"/>
      <autoFilter ref="D2:E864" xr:uid="{B66F5266-0BE5-448E-A17D-B964C73BC6C2}">
        <filterColumn colId="1">
          <filters>
            <filter val="SUL"/>
          </filters>
        </filterColumn>
      </autoFilter>
    </customSheetView>
    <customSheetView guid="{FED3AFF5-95F7-435E-BE96-CF348CF9100A}" filter="1" showAutoFilter="1">
      <pageMargins left="0.511811024" right="0.511811024" top="0.78740157499999996" bottom="0.78740157499999996" header="0.31496062000000002" footer="0.31496062000000002"/>
      <autoFilter ref="A1:AN866" xr:uid="{4277D15C-FCEB-43CD-AAC5-135FCCEF47FD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281F539C-5A74-43FC-A88C-47A75714580E}" filter="1" showAutoFilter="1">
      <pageMargins left="0.511811024" right="0.511811024" top="0.78740157499999996" bottom="0.78740157499999996" header="0.31496062000000002" footer="0.31496062000000002"/>
      <autoFilter ref="A1:AQ862" xr:uid="{1A6F97A8-76AF-470A-9638-D63DE8250344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 Bueno"/>
            <filter val="Lucas Oliveira"/>
            <filter val="Marcelo Franciscon"/>
            <filter val="Paula Lemos"/>
            <filter val="Victor Hugo"/>
          </filters>
        </filterColumn>
        <filterColumn colId="12">
          <filters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/ COADM"/>
            <filter val="FUND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 CON"/>
            <filter val="PREV MOD"/>
          </filters>
        </filterColumn>
        <filterColumn colId="42">
          <filters blank="1">
            <filter val="29/12/2023"/>
            <filter val="R$ 0.00"/>
            <filter val="R$ 0.01"/>
            <filter val="R$ 0.05"/>
            <filter val="R$ 1,010.44"/>
            <filter val="R$ 1,013,924.21"/>
            <filter val="R$ 1,033,375.41"/>
            <filter val="R$ 1,035,142.28"/>
            <filter val="R$ 1,040,938.18"/>
            <filter val="R$ 1,044,650.86"/>
            <filter val="R$ 1,045,311.94"/>
            <filter val="R$ 1,051,464.13"/>
            <filter val="R$ 1,082,442.27"/>
            <filter val="R$ 1,082.15"/>
            <filter val="R$ 1,096.69"/>
            <filter val="R$ 1,099,271.98"/>
            <filter val="R$ 1,101,264.32"/>
            <filter val="R$ 1,123,444.54"/>
            <filter val="R$ 1,151,073.29"/>
            <filter val="R$ 1,174,396.05"/>
            <filter val="R$ 1,194,938.98"/>
            <filter val="R$ 1,200,138.58"/>
            <filter val="R$ 1,226,329.60"/>
            <filter val="R$ 1,239,969.47"/>
            <filter val="R$ 1,244,149.42"/>
            <filter val="R$ 1,261,922.22"/>
            <filter val="R$ 1,269,804.17"/>
            <filter val="R$ 1,279,049.41"/>
            <filter val="R$ 1,280,008.15"/>
            <filter val="R$ 1,325,726.86"/>
            <filter val="R$ 1,332,806.55"/>
            <filter val="R$ 1,357,641.77"/>
            <filter val="R$ 1,359,249.82"/>
            <filter val="R$ 1,377,123.70"/>
            <filter val="R$ 1,377,518.79"/>
            <filter val="R$ 1,396,649.65"/>
            <filter val="R$ 1,424.50"/>
            <filter val="R$ 1,441,206.32"/>
            <filter val="R$ 1,470,626.55"/>
            <filter val="R$ 1,513,517.47"/>
            <filter val="R$ 1,575,438.26"/>
            <filter val="R$ 1,599,126.70"/>
            <filter val="R$ 1,759,607.04"/>
            <filter val="R$ 1,800,247.93"/>
            <filter val="R$ 1,807,968.44"/>
            <filter val="R$ 1,812,508.56"/>
            <filter val="R$ 1,867,845.05"/>
            <filter val="R$ 1,944,601.82"/>
            <filter val="R$ 1,991,456.49"/>
            <filter val="R$ 10,066.79"/>
            <filter val="R$ 10,461.92"/>
            <filter val="R$ 10,718.11"/>
            <filter val="R$ 100,000.00"/>
            <filter val="R$ 100,024.17"/>
            <filter val="R$ 100,558.79"/>
            <filter val="R$ 101,746.10"/>
            <filter val="R$ 102,257.13"/>
            <filter val="R$ 103,107.47"/>
            <filter val="R$ 107,005.83"/>
            <filter val="R$ 107,450.42"/>
            <filter val="R$ 107,753.21"/>
            <filter val="R$ 107,896.84"/>
            <filter val="R$ 108,427.76"/>
            <filter val="R$ 108,875.23"/>
            <filter val="R$ 109,125.88"/>
            <filter val="R$ 11,248.06"/>
            <filter val="R$ 111,233.69"/>
            <filter val="R$ 111,434.97"/>
            <filter val="R$ 112,177.45"/>
            <filter val="R$ 112,181.15"/>
            <filter val="R$ 112,292.46"/>
            <filter val="R$ 112,383.29"/>
            <filter val="R$ 112,538.41"/>
            <filter val="R$ 112,923.13"/>
            <filter val="R$ 115,222.75"/>
            <filter val="R$ 116,259.59"/>
            <filter val="R$ 116,571.81"/>
            <filter val="R$ 117,996.13"/>
            <filter val="R$ 118,089.24"/>
            <filter val="R$ 119,426.87"/>
            <filter val="R$ 12,040.40"/>
            <filter val="R$ 12,876.33"/>
            <filter val="R$ 120,387.71"/>
            <filter val="R$ 121,160.89"/>
            <filter val="R$ 121,206.67"/>
            <filter val="R$ 122,192.30"/>
            <filter val="R$ 125,412.83"/>
            <filter val="R$ 126,552.32"/>
            <filter val="R$ 127,045.25"/>
            <filter val="R$ 128,225.21"/>
            <filter val="R$ 129,859.35"/>
            <filter val="R$ 13,878.82"/>
            <filter val="R$ 131,903.05"/>
            <filter val="R$ 134,840.29"/>
            <filter val="R$ 137,192.65"/>
            <filter val="R$ 137,232.47"/>
            <filter val="R$ 137,256.54"/>
            <filter val="R$ 137,780.79"/>
            <filter val="R$ 139,051.60"/>
            <filter val="R$ 139,092.64"/>
            <filter val="R$ 139,642.28"/>
            <filter val="R$ 14,038.81"/>
            <filter val="R$ 14,483.77"/>
            <filter val="R$ 14.67"/>
            <filter val="R$ 140,826.88"/>
            <filter val="R$ 143,984.23"/>
            <filter val="R$ 144,548.32"/>
            <filter val="R$ 145,201.68"/>
            <filter val="R$ 146,016.86"/>
            <filter val="R$ 146,890.58"/>
            <filter val="R$ 148,344.70"/>
            <filter val="R$ 148,976.11"/>
            <filter val="R$ 151,527.69"/>
            <filter val="R$ 151,570.25"/>
            <filter val="R$ 153,494.05"/>
            <filter val="R$ 155,014.60"/>
            <filter val="R$ 155,660.59"/>
            <filter val="R$ 156,461.77"/>
            <filter val="R$ 156,714.47"/>
            <filter val="R$ 157,002.03"/>
            <filter val="R$ 157,287.90"/>
            <filter val="R$ 157,507.55"/>
            <filter val="R$ 159,262.64"/>
            <filter val="R$ 159,521.69"/>
            <filter val="R$ 16,135.27"/>
            <filter val="R$ 16,373,991.43"/>
            <filter val="R$ 16,404.95"/>
            <filter val="R$ 160,132.44"/>
            <filter val="R$ 160,836.33"/>
            <filter val="R$ 162,488.40"/>
            <filter val="R$ 163,655.53"/>
            <filter val="R$ 164,016.57"/>
            <filter val="R$ 166,608.40"/>
            <filter val="R$ 169,284.31"/>
            <filter val="R$ 17,943.63"/>
            <filter val="R$ 17.86"/>
            <filter val="R$ 171,445.43"/>
            <filter val="R$ 171,907.46"/>
            <filter val="R$ 173,336.56"/>
            <filter val="R$ 173,716.99"/>
            <filter val="R$ 177,840.36"/>
            <filter val="R$ 179,581.79"/>
            <filter val="R$ 186,264.30"/>
            <filter val="R$ 188,898.43"/>
            <filter val="R$ 189,858.08"/>
            <filter val="R$ 189.08"/>
            <filter val="R$ 191,604.91"/>
            <filter val="R$ 191,855.37"/>
            <filter val="R$ 191,895.27"/>
            <filter val="R$ 192,341.63"/>
            <filter val="R$ 193,515.77"/>
            <filter val="R$ 198,872.24"/>
            <filter val="R$ 2,034,452.33"/>
            <filter val="R$ 2,044,607.24"/>
            <filter val="R$ 2,108,824.09"/>
            <filter val="R$ 2,193,936.22"/>
            <filter val="R$ 2,195,792.98"/>
            <filter val="R$ 2,300.00"/>
            <filter val="R$ 2,415,030.57"/>
            <filter val="R$ 2,426,239.48"/>
            <filter val="R$ 2,493,194.17"/>
            <filter val="R$ 2,722,116.52"/>
            <filter val="R$ 2,750.49"/>
            <filter val="R$ 2,784,573.51"/>
            <filter val="R$ 2,791,200.63"/>
            <filter val="R$ 20,080.36"/>
            <filter val="R$ 20,154.50"/>
            <filter val="R$ 20,889.91"/>
            <filter val="R$ 200,441.61"/>
            <filter val="R$ 204,219.98"/>
            <filter val="R$ 205,376.18"/>
            <filter val="R$ 206,882.78"/>
            <filter val="R$ 207,938.86"/>
            <filter val="R$ 208,336.60"/>
            <filter val="R$ 208,352.87"/>
            <filter val="R$ 209,842.97"/>
            <filter val="R$ 209,883.74"/>
            <filter val="R$ 21.27"/>
            <filter val="R$ 213,492.69"/>
            <filter val="R$ 214,404.26"/>
            <filter val="R$ 215,348.53"/>
            <filter val="R$ 217,649.15"/>
            <filter val="R$ 218,731.40"/>
            <filter val="R$ 219,164.85"/>
            <filter val="R$ 221,499.27"/>
            <filter val="R$ 221,616.84"/>
            <filter val="R$ 223,190.60"/>
            <filter val="R$ 227,630.38"/>
            <filter val="R$ 228,169.10"/>
            <filter val="R$ 233,048.01"/>
            <filter val="R$ 234,023.54"/>
            <filter val="R$ 234,755.16"/>
            <filter val="R$ 235,736.96"/>
            <filter val="R$ 239,103.51"/>
            <filter val="R$ 24,714.34"/>
            <filter val="R$ 240,628.91"/>
            <filter val="R$ 241,044.65"/>
            <filter val="R$ 241,127.73"/>
            <filter val="R$ 242,739.59"/>
            <filter val="R$ 243,018.83"/>
            <filter val="R$ 246,542.64"/>
            <filter val="R$ 247,282.04"/>
            <filter val="R$ 248,332.55"/>
            <filter val="R$ 248,581.27"/>
            <filter val="R$ 25,261.81"/>
            <filter val="R$ 25,949.84"/>
            <filter val="R$ 250,198.79"/>
            <filter val="R$ 256,163.08"/>
            <filter val="R$ 259,749.48"/>
            <filter val="R$ 26.17"/>
            <filter val="R$ 262,315.47"/>
            <filter val="R$ 265,236.72"/>
            <filter val="R$ 265,381.57"/>
            <filter val="R$ 266,625.69"/>
            <filter val="R$ 267,096.93"/>
            <filter val="R$ 267,670.75"/>
            <filter val="R$ 269,514.99"/>
            <filter val="R$ 277,899.52"/>
            <filter val="R$ 277.66"/>
            <filter val="R$ 278,256.37"/>
            <filter val="R$ 28,455.38"/>
            <filter val="R$ 28,863.14"/>
            <filter val="R$ 281,427.46"/>
            <filter val="R$ 282,442.97"/>
            <filter val="R$ 287,907.38"/>
            <filter val="R$ 288,801.62"/>
            <filter val="R$ 289,239.67"/>
            <filter val="R$ 29.77"/>
            <filter val="R$ 292,447.17"/>
            <filter val="R$ 3,010,215.04"/>
            <filter val="R$ 3,079,102.94"/>
            <filter val="R$ 3,167,084.36"/>
            <filter val="R$ 3,238,270.45"/>
            <filter val="R$ 3,282,974.56"/>
            <filter val="R$ 3,412,356.99"/>
            <filter val="R$ 3,558,685.77"/>
            <filter val="R$ 3,619,844.51"/>
            <filter val="R$ 3,717,376.72"/>
            <filter val="R$ 3,938,265.36"/>
            <filter val="R$ 30,015.27"/>
            <filter val="R$ 30,573.89"/>
            <filter val="R$ 300,464.54"/>
            <filter val="R$ 302,609.96"/>
            <filter val="R$ 306,187.49"/>
            <filter val="R$ 306,622.99"/>
            <filter val="R$ 307,697.21"/>
            <filter val="R$ 308,888.30"/>
            <filter val="R$ 31,623.21"/>
            <filter val="R$ 312,685.08"/>
            <filter val="R$ 316,725.61"/>
            <filter val="R$ 316,793.96"/>
            <filter val="R$ 323,091.99"/>
            <filter val="R$ 323,510.06"/>
            <filter val="R$ 325,700.31"/>
            <filter val="R$ 329,108.54"/>
            <filter val="R$ 33,120.57"/>
            <filter val="R$ 33,240.64"/>
            <filter val="R$ 33.05"/>
            <filter val="R$ 331,670.26"/>
            <filter val="R$ 333,739.21"/>
            <filter val="R$ 334,027.17"/>
            <filter val="R$ 334,082.16"/>
            <filter val="R$ 34,313.30"/>
            <filter val="R$ 34,603.74"/>
            <filter val="R$ 340,522.00"/>
            <filter val="R$ 341,095.63"/>
            <filter val="R$ 341,582.50"/>
            <filter val="R$ 342,594.29"/>
            <filter val="R$ 344,757.00"/>
            <filter val="R$ 345,237.77"/>
            <filter val="R$ 346,092.39"/>
            <filter val="R$ 347,862.26"/>
            <filter val="R$ 348,818.11"/>
            <filter val="R$ 35,510.54"/>
            <filter val="R$ 351,813.62"/>
            <filter val="R$ 357,151.82"/>
            <filter val="R$ 357,872.30"/>
            <filter val="R$ 358,487.89"/>
            <filter val="R$ 359,033.96"/>
            <filter val="R$ 359,308.27"/>
            <filter val="R$ 359,473.07"/>
            <filter val="R$ 36,234.35"/>
            <filter val="R$ 36,835.90"/>
            <filter val="R$ 362,643.08"/>
            <filter val="R$ 363,969.67"/>
            <filter val="R$ 366,779.82"/>
            <filter val="R$ 367,695.20"/>
            <filter val="R$ 368,420.65"/>
            <filter val="R$ 370,566.31"/>
            <filter val="R$ 373,740.33"/>
            <filter val="R$ 378,752.13"/>
            <filter val="R$ 381,656.46"/>
            <filter val="R$ 385,489.77"/>
            <filter val="R$ 386,224.65"/>
            <filter val="R$ 39,488.94"/>
            <filter val="R$ 391,888.29"/>
            <filter val="R$ 391,992.13"/>
            <filter val="R$ 392,664.63"/>
            <filter val="R$ 398,816.73"/>
            <filter val="R$ 4,189,690.54"/>
            <filter val="R$ 4,218,568.46"/>
            <filter val="R$ 4,357,260.20"/>
            <filter val="R$ 4,608,507.34"/>
            <filter val="R$ 4,620.06"/>
            <filter val="R$ 40,308.46"/>
            <filter val="R$ 40,928.00"/>
            <filter val="R$ 404,093.60"/>
            <filter val="R$ 404,903.88"/>
            <filter val="R$ 406,919.13"/>
            <filter val="R$ 41,826.03"/>
            <filter val="R$ 41,999.88"/>
            <filter val="R$ 411,553.44"/>
            <filter val="R$ 416,227.51"/>
            <filter val="R$ 418,531.34"/>
            <filter val="R$ 42,921.06"/>
            <filter val="R$ 420,654.55"/>
            <filter val="R$ 421,408.31"/>
            <filter val="R$ 421,965.61"/>
            <filter val="R$ 423,670.52"/>
            <filter val="R$ 426,540.40"/>
            <filter val="R$ 426,737.93"/>
            <filter val="R$ 435.68"/>
            <filter val="R$ 44,766.90"/>
            <filter val="R$ 443,817.26"/>
            <filter val="R$ 446,569.35"/>
            <filter val="R$ 447,652.59"/>
            <filter val="R$ 45,404.86"/>
            <filter val="R$ 453,760.24"/>
            <filter val="R$ 456,141.06"/>
            <filter val="R$ 46,752.95"/>
            <filter val="R$ 463,036.36"/>
            <filter val="R$ 463,926.66"/>
            <filter val="R$ 477,990.33"/>
            <filter val="R$ 48,460.62"/>
            <filter val="R$ 481,718.89"/>
            <filter val="R$ 482,396.67"/>
            <filter val="R$ 483,878.05"/>
            <filter val="R$ 486,661.08"/>
            <filter val="R$ 49,359.00"/>
            <filter val="R$ 49,827.07"/>
            <filter val="R$ 495,723.20"/>
            <filter val="R$ 5,643.12"/>
            <filter val="R$ 5.55"/>
            <filter val="R$ 50,262.05"/>
            <filter val="R$ 50.26"/>
            <filter val="R$ 500,838.24"/>
            <filter val="R$ 506,734.82"/>
            <filter val="R$ 51,759.93"/>
            <filter val="R$ 51,961.14"/>
            <filter val="R$ 512,479.56"/>
            <filter val="R$ 513,079.42"/>
            <filter val="R$ 514.44"/>
            <filter val="R$ 515,177.48"/>
            <filter val="R$ 516,749.55"/>
            <filter val="R$ 517,830.29"/>
            <filter val="R$ 52,418.97"/>
            <filter val="R$ 52,451.76"/>
            <filter val="R$ 528,655.79"/>
            <filter val="R$ 53,112.44"/>
            <filter val="R$ 53,233.35"/>
            <filter val="R$ 53,462.13"/>
            <filter val="R$ 53,544.78"/>
            <filter val="R$ 532,668.43"/>
            <filter val="R$ 533,184.53"/>
            <filter val="R$ 533,982.57"/>
            <filter val="R$ 536,225.61"/>
            <filter val="R$ 538,744.15"/>
            <filter val="R$ 54,099.04"/>
            <filter val="R$ 54,555.82"/>
            <filter val="R$ 54,998.82"/>
            <filter val="R$ 546,100.61"/>
            <filter val="R$ 546,664.05"/>
            <filter val="R$ 548.45"/>
            <filter val="R$ 55,414.38"/>
            <filter val="R$ 554,246.48"/>
            <filter val="R$ 56,014.37"/>
            <filter val="R$ 564,843.35"/>
            <filter val="R$ 567,959.82"/>
            <filter val="R$ 57,141.50"/>
            <filter val="R$ 57,332.02"/>
            <filter val="R$ 574,345.37"/>
            <filter val="R$ 575,596.87"/>
            <filter val="R$ 578,461.05"/>
            <filter val="R$ 585,023.88"/>
            <filter val="R$ 59,703.08"/>
            <filter val="R$ 6,183,506.47"/>
            <filter val="R$ 6,764.48"/>
            <filter val="R$ 608,841.45"/>
            <filter val="R$ 61,725.21"/>
            <filter val="R$ 61,866.12"/>
            <filter val="R$ 61,874.96"/>
            <filter val="R$ 610,235.55"/>
            <filter val="R$ 618,719.08"/>
            <filter val="R$ 619,579.86"/>
            <filter val="R$ 62,254.58"/>
            <filter val="R$ 625,453.34"/>
            <filter val="R$ 627,726.75"/>
            <filter val="R$ 63,255.04"/>
            <filter val="R$ 63,831.77"/>
            <filter val="R$ 634,632.13"/>
            <filter val="R$ 639,097.07"/>
            <filter val="R$ 64,045.57"/>
            <filter val="R$ 64,203.20"/>
            <filter val="R$ 64,717.11"/>
            <filter val="R$ 645,323.53"/>
            <filter val="R$ 649,546.84"/>
            <filter val="R$ 65,685.15"/>
            <filter val="R$ 650,613.94"/>
            <filter val="R$ 651,017.26"/>
            <filter val="R$ 666,577.12"/>
            <filter val="R$ 668,204.47"/>
            <filter val="R$ 67,319.42"/>
            <filter val="R$ 67,908.85"/>
            <filter val="R$ 674,875.78"/>
            <filter val="R$ 679,276.41"/>
            <filter val="R$ 68,654.73"/>
            <filter val="R$ 68,851.25"/>
            <filter val="R$ 681,890.11"/>
            <filter val="R$ 684,298.56"/>
            <filter val="R$ 684,973.02"/>
            <filter val="R$ 697,637.75"/>
            <filter val="R$ 7.82"/>
            <filter val="R$ 700,472.95"/>
            <filter val="R$ 702,013.08"/>
            <filter val="R$ 704,478.61"/>
            <filter val="R$ 706,869.86"/>
            <filter val="R$ 708,572.32"/>
            <filter val="R$ 717,838.38"/>
            <filter val="R$ 72,109.81"/>
            <filter val="R$ 72,798.95"/>
            <filter val="R$ 72,968.67"/>
            <filter val="R$ 721,860.49"/>
            <filter val="R$ 728,909.45"/>
            <filter val="R$ 73,387.99"/>
            <filter val="R$ 73,795.84"/>
            <filter val="R$ 742.40"/>
            <filter val="R$ 75,577.76"/>
            <filter val="R$ 754,062.16"/>
            <filter val="R$ 754,218.37"/>
            <filter val="R$ 758,454.81"/>
            <filter val="R$ 76,436.55"/>
            <filter val="R$ 76,863.18"/>
            <filter val="R$ 77,641.71"/>
            <filter val="R$ 778,605.93"/>
            <filter val="R$ 786,142.80"/>
            <filter val="R$ 79,432.93"/>
            <filter val="R$ 791,423.31"/>
            <filter val="R$ 799,717.97"/>
            <filter val="R$ 799,945.06"/>
            <filter val="R$ 8,169,228.50"/>
            <filter val="R$ 8,830.75"/>
            <filter val="R$ 81,281.60"/>
            <filter val="R$ 81,625.76"/>
            <filter val="R$ 81,632.83"/>
            <filter val="R$ 81,640.10"/>
            <filter val="R$ 810,142.87"/>
            <filter val="R$ 817,678.62"/>
            <filter val="R$ 82,464.94"/>
            <filter val="R$ 82,681.06"/>
            <filter val="R$ 820,967.38"/>
            <filter val="R$ 835,269.28"/>
            <filter val="R$ 836,767.00"/>
            <filter val="R$ 840,711.98"/>
            <filter val="R$ 85,000.00"/>
            <filter val="R$ 855,396.58"/>
            <filter val="R$ 86,783.11"/>
            <filter val="R$ 86.38"/>
            <filter val="R$ 866,851.66"/>
            <filter val="R$ 867,240.53"/>
            <filter val="R$ 87,143.73"/>
            <filter val="R$ 87,389.25"/>
            <filter val="R$ 87,854.91"/>
            <filter val="R$ 89,160.80"/>
            <filter val="R$ 89,237.43"/>
            <filter val="R$ 89,258.15"/>
            <filter val="R$ 892,805.98"/>
            <filter val="R$ 892,959.85"/>
            <filter val="R$ 9,191.00"/>
            <filter val="R$ 9.72"/>
            <filter val="R$ 907,780.95"/>
            <filter val="R$ 91,568.41"/>
            <filter val="R$ 91,860.35"/>
            <filter val="R$ 922,848.65"/>
            <filter val="R$ 93,152.33"/>
            <filter val="R$ 93,543.64"/>
            <filter val="R$ 945,272.34"/>
            <filter val="R$ 959,427.10"/>
            <filter val="R$ 96,979.47"/>
            <filter val="R$ 966,123.99"/>
            <filter val="R$ 966,258.68"/>
            <filter val="R$ 97,783.65"/>
            <filter val="R$ 98,971.16"/>
            <filter val="R$ 987,498.22"/>
            <filter val="R$ 99,541.39"/>
            <filter val="R$ 99,661.46"/>
          </filters>
        </filterColumn>
      </autoFilter>
    </customSheetView>
    <customSheetView guid="{394E12A5-8D56-4ACA-A54C-71EAAF9DEA9B}" filter="1" showAutoFilter="1">
      <pageMargins left="0.511811024" right="0.511811024" top="0.78740157499999996" bottom="0.78740157499999996" header="0.31496062000000002" footer="0.31496062000000002"/>
      <autoFilter ref="B2:AL866" xr:uid="{8F2F2412-477D-47A1-AD78-447343302DF8}">
        <filterColumn colId="11">
          <filters blank="1">
            <filter val="ARR"/>
            <filter val="CON/ COADM"/>
            <filter val="CON/ GR"/>
            <filter val="CORP"/>
            <filter val="EQT/ COADM"/>
            <filter val="INC/ COADM"/>
            <filter val="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MOD"/>
          </filters>
        </filterColumn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DA1DD12B-B65C-4A90-B1E2-8ABE762F9B33}" filter="1" showAutoFilter="1">
      <pageMargins left="0.511811024" right="0.511811024" top="0.78740157499999996" bottom="0.78740157499999996" header="0.31496062000000002" footer="0.31496062000000002"/>
      <autoFilter ref="D2:AK871" xr:uid="{EC700B76-25D3-4986-AE7E-7E8F381A560A}"/>
    </customSheetView>
    <customSheetView guid="{5E868580-8693-4844-A1C7-BEB3B7E251C9}" filter="1" showAutoFilter="1">
      <pageMargins left="0.511811024" right="0.511811024" top="0.78740157499999996" bottom="0.78740157499999996" header="0.31496062000000002" footer="0.31496062000000002"/>
      <autoFilter ref="AE2:AE871" xr:uid="{9B440AB3-A5E6-41FC-BD49-1D7695F7F0FC}"/>
    </customSheetView>
    <customSheetView guid="{96CAA17C-4798-4A19-92A9-6A6DB4AB16A3}" filter="1" showAutoFilter="1">
      <pageMargins left="0.511811024" right="0.511811024" top="0.78740157499999996" bottom="0.78740157499999996" header="0.31496062000000002" footer="0.31496062000000002"/>
      <autoFilter ref="A1:AR862" xr:uid="{97C7CF1C-ED91-4652-A092-E57537F99A56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B7AC4631-797E-4FBB-AA64-31266CDA1414}" filter="1" showAutoFilter="1">
      <pageMargins left="0.511811024" right="0.511811024" top="0.78740157499999996" bottom="0.78740157499999996" header="0.31496062000000002" footer="0.31496062000000002"/>
      <autoFilter ref="A1:AP871" xr:uid="{969578B3-50AF-4496-8D2E-C664F39FABC5}"/>
    </customSheetView>
    <customSheetView guid="{31F6E55E-A299-4188-850B-48204652322C}" filter="1" showAutoFilter="1">
      <pageMargins left="0.511811024" right="0.511811024" top="0.78740157499999996" bottom="0.78740157499999996" header="0.31496062000000002" footer="0.31496062000000002"/>
      <autoFilter ref="A1:AR862" xr:uid="{8EFF7E28-6827-4521-AEAC-C4EC6BD5B53C}"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na Miccoli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Oliveira"/>
            <filter val="Lucio Guimaraes Moscareli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drigo Milanez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ES"/>
            <filter val="GP"/>
          </filters>
        </filterColumn>
      </autoFilter>
    </customSheetView>
    <customSheetView guid="{509FB202-72E5-42DF-8581-FB8AAD8F3228}" filter="1" showAutoFilter="1">
      <pageMargins left="0.511811024" right="0.511811024" top="0.78740157499999996" bottom="0.78740157499999996" header="0.31496062000000002" footer="0.31496062000000002"/>
      <autoFilter ref="A2:AS862" xr:uid="{F88685C3-FB7D-4DBD-99B8-23794AB58CAF}">
        <filterColumn colId="4">
          <filters>
            <filter val="SUL"/>
          </filters>
        </filterColumn>
      </autoFilter>
    </customSheetView>
    <customSheetView guid="{7C31324E-0FDC-4FF5-83DF-FC5ABA33B59F}" filter="1" showAutoFilter="1">
      <pageMargins left="0.511811024" right="0.511811024" top="0.78740157499999996" bottom="0.78740157499999996" header="0.31496062000000002" footer="0.31496062000000002"/>
      <autoFilter ref="A1:AP862" xr:uid="{C225E4C5-B79D-4A06-BFC0-9E4B95772BB2}">
        <filterColumn colId="4">
          <filters>
            <filter val="DF"/>
          </filters>
        </filterColumn>
      </autoFilter>
    </customSheetView>
    <customSheetView guid="{B767D544-68D2-4C41-8716-DD983915E095}" filter="1" showAutoFilter="1">
      <pageMargins left="0.511811024" right="0.511811024" top="0.78740157499999996" bottom="0.78740157499999996" header="0.31496062000000002" footer="0.31496062000000002"/>
      <autoFilter ref="A1:F862" xr:uid="{4E452FAD-4B08-4C9C-AABD-081029345A62}"/>
    </customSheetView>
    <customSheetView guid="{8058A662-82B6-4306-B12A-EF8751CB0A4F}" filter="1" showAutoFilter="1">
      <pageMargins left="0.511811024" right="0.511811024" top="0.78740157499999996" bottom="0.78740157499999996" header="0.31496062000000002" footer="0.31496062000000002"/>
      <autoFilter ref="B2:AI866" xr:uid="{3389B084-26FC-4F4E-9357-543483AF2911}"/>
    </customSheetView>
    <customSheetView guid="{A13DEDFA-A216-47FE-81D3-65981B4113EB}" filter="1" showAutoFilter="1">
      <pageMargins left="0.511811024" right="0.511811024" top="0.78740157499999996" bottom="0.78740157499999996" header="0.31496062000000002" footer="0.31496062000000002"/>
      <autoFilter ref="A1:AS862" xr:uid="{5EB71E59-B10A-43F3-B907-E52E42797244}"/>
    </customSheetView>
    <customSheetView guid="{95D3FD1A-2488-4FF8-95B0-57F346C71938}" filter="1" showAutoFilter="1">
      <pageMargins left="0.511811024" right="0.511811024" top="0.78740157499999996" bottom="0.78740157499999996" header="0.31496062000000002" footer="0.31496062000000002"/>
      <autoFilter ref="B2:AK871" xr:uid="{D5BAF053-A9ED-4859-897C-455CDC0FCADE}"/>
    </customSheetView>
    <customSheetView guid="{943B28B3-08AB-4F9A-A682-3601EDDE8855}" filter="1" showAutoFilter="1">
      <pageMargins left="0.511811024" right="0.511811024" top="0.78740157499999996" bottom="0.78740157499999996" header="0.31496062000000002" footer="0.31496062000000002"/>
      <autoFilter ref="B2:AK866" xr:uid="{3F746D24-D357-450E-A1A0-9A395A8A8995}"/>
    </customSheetView>
    <customSheetView guid="{31BAD605-5612-4733-8F02-7FA30239EFFB}" filter="1" showAutoFilter="1">
      <pageMargins left="0.511811024" right="0.511811024" top="0.78740157499999996" bottom="0.78740157499999996" header="0.31496062000000002" footer="0.31496062000000002"/>
      <autoFilter ref="B2:AM866" xr:uid="{18DF9A99-7A0A-41D4-9A9D-BA5BD498C226}">
        <filterColumn colId="6">
          <filters blank="1">
            <filter val="Ativo"/>
            <filter val="Inativo"/>
          </filters>
        </filterColumn>
      </autoFilter>
    </customSheetView>
    <customSheetView guid="{E7D11049-6687-4F58-A08C-074C2C8E7C58}" filter="1" showAutoFilter="1">
      <pageMargins left="0.511811024" right="0.511811024" top="0.78740157499999996" bottom="0.78740157499999996" header="0.31496062000000002" footer="0.31496062000000002"/>
      <autoFilter ref="A1:AS862" xr:uid="{045F128C-D924-4A39-AB78-507506D0A2F8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Larissa Montes"/>
            <filter val="Lucas Oliveira"/>
            <filter val="Marcelo Franciscon"/>
            <filter val="Norton Fritzsche"/>
            <filter val="Paula Lemos"/>
            <filter val="Victor Hugo"/>
          </filters>
        </filterColumn>
      </autoFilter>
    </customSheetView>
    <customSheetView guid="{CBED1274-3600-418B-97E1-8D8DB2E607C6}" filter="1" showAutoFilter="1">
      <pageMargins left="0.511811024" right="0.511811024" top="0.78740157499999996" bottom="0.78740157499999996" header="0.31496062000000002" footer="0.31496062000000002"/>
      <autoFilter ref="A1:AR862" xr:uid="{ECDFBF43-88CD-4190-9AB4-EB1191851827}">
        <filterColumn colId="3">
          <filters>
            <filter val="Altum"/>
            <filter val="Bluemetrix"/>
            <filter val="Bluemetrix (MI)"/>
            <filter val="Poupinvista"/>
            <filter val="Solution For Life"/>
            <filter val="VcInvest"/>
            <filter val="Voga"/>
          </filters>
        </filterColumn>
        <filterColumn colId="4">
          <filters>
            <filter val="UF"/>
            <filter val="GO"/>
          </filters>
        </filterColumn>
        <filterColumn colId="20">
          <filters blank="1">
            <filter val="BH"/>
            <filter val="ES"/>
            <filter val="GP"/>
            <filter val="MT"/>
            <filter val="PA"/>
            <filter val="PB"/>
            <filter val="UF cliente"/>
          </filters>
        </filterColumn>
      </autoFilter>
    </customSheetView>
    <customSheetView guid="{CF0FC935-5051-4007-948E-1E430D4E5BAD}" filter="1" showAutoFilter="1">
      <pageMargins left="0.511811024" right="0.511811024" top="0.78740157499999996" bottom="0.78740157499999996" header="0.31496062000000002" footer="0.31496062000000002"/>
      <autoFilter ref="A1:AN866" xr:uid="{E2588AD0-C6E7-4B8D-A484-A7A76BB96313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4D257AC7-7FC0-4C45-95A3-E076280BB1F8}" filter="1" showAutoFilter="1">
      <pageMargins left="0.511811024" right="0.511811024" top="0.78740157499999996" bottom="0.78740157499999996" header="0.31496062000000002" footer="0.31496062000000002"/>
      <autoFilter ref="A1:AN866" xr:uid="{0F9CA097-B396-4F66-87AF-4D190AFF5A9B}">
        <filterColumn colId="7">
          <filters blank="1">
            <filter val="Ativo"/>
            <filter val="Encerrado"/>
            <filter val="Inativo"/>
            <filter val="Status"/>
          </filters>
        </filterColumn>
      </autoFilter>
    </customSheetView>
    <customSheetView guid="{3E306471-1334-4489-A062-790487D5CC5D}" filter="1" showAutoFilter="1">
      <pageMargins left="0.511811024" right="0.511811024" top="0.78740157499999996" bottom="0.78740157499999996" header="0.31496062000000002" footer="0.31496062000000002"/>
      <autoFilter ref="AL2:AL871" xr:uid="{BDB5F11F-15ED-4E19-BAA1-7C9CF78AF005}"/>
    </customSheetView>
    <customSheetView guid="{F36EA7F2-B690-40B4-9BBC-B7B68A122081}" filter="1" showAutoFilter="1">
      <pageMargins left="0.511811024" right="0.511811024" top="0.78740157499999996" bottom="0.78740157499999996" header="0.31496062000000002" footer="0.31496062000000002"/>
      <autoFilter ref="A2:AS862" xr:uid="{712985CE-7930-4896-AC2C-E4801DAEF09D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BCB31F8C-4FA4-4B80-8A53-7A6957226DD0}" filter="1" showAutoFilter="1">
      <pageMargins left="0.511811024" right="0.511811024" top="0.78740157499999996" bottom="0.78740157499999996" header="0.31496062000000002" footer="0.31496062000000002"/>
      <autoFilter ref="A1:AN866" xr:uid="{34828A36-0B88-4487-83B4-1FE9DDF92EC2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RIP"/>
            <filter val="EQT/ COADM"/>
            <filter val="INC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EBE52BB3-ADA4-4867-A0CA-E6D14134699D}" filter="1" showAutoFilter="1">
      <pageMargins left="0.511811024" right="0.511811024" top="0.78740157499999996" bottom="0.78740157499999996" header="0.31496062000000002" footer="0.31496062000000002"/>
      <autoFilter ref="A2:AP862" xr:uid="{04A6B9DD-EED0-40BA-AE9E-EA1F3AAB8548}">
        <filterColumn colId="12">
          <filters>
            <filter val="CON/ COADM"/>
            <filter val="CON/ GR"/>
            <filter val="CORP"/>
            <filter val="EQT/ COADM"/>
            <filter val="INC/ COADM"/>
            <filter val="MOD/ COADM"/>
            <filter val="MOD/ GR"/>
            <filter val="MOD/ PREV MOD/ COADM"/>
            <filter val="MONT/ COADM"/>
            <filter val="MULT PRIV"/>
          </filters>
        </filterColumn>
      </autoFilter>
    </customSheetView>
    <customSheetView guid="{7DD2A949-67E9-4504-A2B9-EEC4F429F310}" filter="1" showAutoFilter="1">
      <pageMargins left="0.511811024" right="0.511811024" top="0.78740157499999996" bottom="0.78740157499999996" header="0.31496062000000002" footer="0.31496062000000002"/>
      <autoFilter ref="A1:AO866" xr:uid="{FF9E99F1-8469-4349-B6E3-9E3F90487545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Alteração de C.A"/>
            <filter val="Bloquead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42EBA6C3-EA37-466D-8DA1-D3E0E4E432C2}" filter="1" showAutoFilter="1">
      <pageMargins left="0.511811024" right="0.511811024" top="0.78740157499999996" bottom="0.78740157499999996" header="0.31496062000000002" footer="0.31496062000000002"/>
      <autoFilter ref="F2:F871" xr:uid="{30D10DA0-39E1-42F9-8387-4284423A26E0}"/>
    </customSheetView>
    <customSheetView guid="{9F23C998-774E-45AD-9AD3-10B117827239}" filter="1" showAutoFilter="1">
      <pageMargins left="0.511811024" right="0.511811024" top="0.78740157499999996" bottom="0.78740157499999996" header="0.31496062000000002" footer="0.31496062000000002"/>
      <autoFilter ref="A2:AR862" xr:uid="{F03E394D-0D03-4629-8E8D-7905F1D72FF8}">
        <filterColumn colId="7">
          <filters>
            <filter val="Inativo"/>
          </filters>
        </filterColumn>
        <filterColumn colId="36">
          <filters blank="1"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7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  <filterColumn colId="38">
          <filters blank="1">
            <filter val="0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,586.14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9">
          <filters blank="1">
            <filter val="R$ 0.00"/>
            <filter val="R$ 0.01"/>
            <filter val="R$ 0.04"/>
            <filter val="R$ 1,003,085.23"/>
            <filter val="R$ 1,010,372.48"/>
            <filter val="R$ 1,011,117.33"/>
            <filter val="R$ 1,015,617.95"/>
            <filter val="R$ 1,022,017.89"/>
            <filter val="R$ 1,048,091.75"/>
            <filter val="R$ 1,051.55"/>
            <filter val="R$ 1,054,776.97"/>
            <filter val="R$ 1,065.68"/>
            <filter val="R$ 1,069,740.49"/>
            <filter val="R$ 1,072,675.14"/>
            <filter val="R$ 1,082,641.95"/>
            <filter val="R$ 1,088,497.03"/>
            <filter val="R$ 1,092,085.04"/>
            <filter val="R$ 1,122,870.63"/>
            <filter val="R$ 1,123,818.71"/>
            <filter val="R$ 1,152,688.10"/>
            <filter val="R$ 1,164,737.49"/>
            <filter val="R$ 1,186,917.76"/>
            <filter val="R$ 1,197,374.01"/>
            <filter val="R$ 1,208,400.83"/>
            <filter val="R$ 1,211,281.02"/>
            <filter val="R$ 1,240,505.75"/>
            <filter val="R$ 1,248,278.35"/>
            <filter val="R$ 1,251,801.63"/>
            <filter val="R$ 1,271,481.07"/>
            <filter val="R$ 1,281,011.89"/>
            <filter val="R$ 1,297,464.97"/>
            <filter val="R$ 1,306,517.90"/>
            <filter val="R$ 1,318,461.24"/>
            <filter val="R$ 1,346,431.58"/>
            <filter val="R$ 1,357,618.63"/>
            <filter val="R$ 1,371,280.16"/>
            <filter val="R$ 1,400,497.04"/>
            <filter val="R$ 1,410.83"/>
            <filter val="R$ 1,434,733.03"/>
            <filter val="R$ 1,469,971.37"/>
            <filter val="R$ 1,503,271.83"/>
            <filter val="R$ 1,534,401.71"/>
            <filter val="R$ 1,560,491.37"/>
            <filter val="R$ 1,651,362.48"/>
            <filter val="R$ 1,716,725.01"/>
            <filter val="R$ 1,777,349.32"/>
            <filter val="R$ 1,810,474.77"/>
            <filter val="R$ 1,818,215.96"/>
            <filter val="R$ 1,911,128.37"/>
            <filter val="R$ 1,965,765.18"/>
            <filter val="R$ 1,988,281.00"/>
            <filter val="R$ 10,245.37"/>
            <filter val="R$ 10,446.65"/>
            <filter val="R$ 100,114.20"/>
            <filter val="R$ 100,215.50"/>
            <filter val="R$ 100,548.79"/>
            <filter val="R$ 101,218.18"/>
            <filter val="R$ 101,333.44"/>
            <filter val="R$ 103,189.25"/>
            <filter val="R$ 103,773.77"/>
            <filter val="R$ 104,759.85"/>
            <filter val="R$ 104,930.65"/>
            <filter val="R$ 105,646.40"/>
            <filter val="R$ 106,326.76"/>
            <filter val="R$ 106,490.87"/>
            <filter val="R$ 109,097.20"/>
            <filter val="R$ 109,771.07"/>
            <filter val="R$ 110,181.84"/>
            <filter val="R$ 110,247.12"/>
            <filter val="R$ 110,320.00"/>
            <filter val="R$ 110,342.23"/>
            <filter val="R$ 110,405.09"/>
            <filter val="R$ 113,905.94"/>
            <filter val="R$ 114,175.85"/>
            <filter val="R$ 115,669.04"/>
            <filter val="R$ 115,882.48"/>
            <filter val="R$ 117,502.45"/>
            <filter val="R$ 119,244.02"/>
            <filter val="R$ 119,904.59"/>
            <filter val="R$ 12,189.66"/>
            <filter val="R$ 12,895.51"/>
            <filter val="R$ 120,449.70"/>
            <filter val="R$ 120,755.04"/>
            <filter val="R$ 125,505.87"/>
            <filter val="R$ 125,546.41"/>
            <filter val="R$ 126,098.17"/>
            <filter val="R$ 128,816.72"/>
            <filter val="R$ 130,795.52"/>
            <filter val="R$ 130,973.02"/>
            <filter val="R$ 131,025.40"/>
            <filter val="R$ 131,676.60"/>
            <filter val="R$ 132,752.76"/>
            <filter val="R$ 134,172.01"/>
            <filter val="R$ 135,367.96"/>
            <filter val="R$ 135,977.64"/>
            <filter val="R$ 136,497.06"/>
            <filter val="R$ 138,132.74"/>
            <filter val="R$ 138,609.77"/>
            <filter val="R$ 139,252.64"/>
            <filter val="R$ 14,113.01"/>
            <filter val="R$ 14,478.09"/>
            <filter val="R$ 14.67"/>
            <filter val="R$ 140,046.36"/>
            <filter val="R$ 140,590.94"/>
            <filter val="R$ 142,567.10"/>
            <filter val="R$ 145,422.56"/>
            <filter val="R$ 149,512.97"/>
            <filter val="R$ 15,451.87"/>
            <filter val="R$ 15,725.28"/>
            <filter val="R$ 150,952.89"/>
            <filter val="R$ 151,158.65"/>
            <filter val="R$ 151,570.12"/>
            <filter val="R$ 152,699.95"/>
            <filter val="R$ 153,125.67"/>
            <filter val="R$ 153,675.62"/>
            <filter val="R$ 156,243.89"/>
            <filter val="R$ 156,276.72"/>
            <filter val="R$ 156,355.11"/>
            <filter val="R$ 156,942.10"/>
            <filter val="R$ 159,033.28"/>
            <filter val="R$ 16,028,770.65"/>
            <filter val="R$ 160,546.72"/>
            <filter val="R$ 162,330.96"/>
            <filter val="R$ 162,743.17"/>
            <filter val="R$ 168,811.30"/>
            <filter val="R$ 169,987.25"/>
            <filter val="R$ 17,332.09"/>
            <filter val="R$ 17.86"/>
            <filter val="R$ 170,517.88"/>
            <filter val="R$ 172,413.02"/>
            <filter val="R$ 176,450.43"/>
            <filter val="R$ 178,411.71"/>
            <filter val="R$ 178,971.88"/>
            <filter val="R$ 181,973.47"/>
            <filter val="R$ 182,622.03"/>
            <filter val="R$ 187,400.52"/>
            <filter val="R$ 188,147.50"/>
            <filter val="R$ 189,009.11"/>
            <filter val="R$ 191,557.41"/>
            <filter val="R$ 193,844.40"/>
            <filter val="R$ 194,407.84"/>
            <filter val="R$ 197,754.37"/>
            <filter val="R$ 199,838.30"/>
            <filter val="R$ 2,077,435.12"/>
            <filter val="R$ 2,141,809.61"/>
            <filter val="R$ 2,243,640.55"/>
            <filter val="R$ 2,268,957.80"/>
            <filter val="R$ 2,545,016.37"/>
            <filter val="R$ 2,658,373.00"/>
            <filter val="R$ 2,708,443.20"/>
            <filter val="R$ 2,732,335.22"/>
            <filter val="R$ 2,873,474.15"/>
            <filter val="R$ 2,943,857.57"/>
            <filter val="R$ 2.57"/>
            <filter val="R$ 20,000.00"/>
            <filter val="R$ 200,139.34"/>
            <filter val="R$ 200,471.45"/>
            <filter val="R$ 201,330.28"/>
            <filter val="R$ 203,447.67"/>
            <filter val="R$ 204,677.74"/>
            <filter val="R$ 204,852.83"/>
            <filter val="R$ 205,472.06"/>
            <filter val="R$ 208,763.51"/>
            <filter val="R$ 209,354.86"/>
            <filter val="R$ 209,381.88"/>
            <filter val="R$ 21,235.62"/>
            <filter val="R$ 212,200.92"/>
            <filter val="R$ 212,805.65"/>
            <filter val="R$ 213,028.80"/>
            <filter val="R$ 213,072.17"/>
            <filter val="R$ 213,108.31"/>
            <filter val="R$ 213,887.99"/>
            <filter val="R$ 217,385.52"/>
            <filter val="R$ 22,046.50"/>
            <filter val="R$ 22,511.16"/>
            <filter val="R$ 220,920.24"/>
            <filter val="R$ 222,998.54"/>
            <filter val="R$ 223,020.61"/>
            <filter val="R$ 226,896.08"/>
            <filter val="R$ 228,719.24"/>
            <filter val="R$ 232,341.14"/>
            <filter val="R$ 233,018.77"/>
            <filter val="R$ 234,923.98"/>
            <filter val="R$ 236,309.68"/>
            <filter val="R$ 238,439.05"/>
            <filter val="R$ 238,854.55"/>
            <filter val="R$ 239,118.78"/>
            <filter val="R$ 242,583.64"/>
            <filter val="R$ 243,260.86"/>
            <filter val="R$ 25,643.06"/>
            <filter val="R$ 250,333.99"/>
            <filter val="R$ 254,242.64"/>
            <filter val="R$ 254,304.31"/>
            <filter val="R$ 254,370.41"/>
            <filter val="R$ 254,995.54"/>
            <filter val="R$ 256,470.23"/>
            <filter val="R$ 258,335.65"/>
            <filter val="R$ 26,446.26"/>
            <filter val="R$ 262,140.80"/>
            <filter val="R$ 262,688.84"/>
            <filter val="R$ 267,637.85"/>
            <filter val="R$ 268,544.31"/>
            <filter val="R$ 268,625.62"/>
            <filter val="R$ 27,788.14"/>
            <filter val="R$ 27,830.25"/>
            <filter val="R$ 270,578.92"/>
            <filter val="R$ 271,055.88"/>
            <filter val="R$ 276,050.98"/>
            <filter val="R$ 276,109.44"/>
            <filter val="R$ 276,438.52"/>
            <filter val="R$ 277.30"/>
            <filter val="R$ 278,938.30"/>
            <filter val="R$ 283,963.38"/>
            <filter val="R$ 285,135.30"/>
            <filter val="R$ 29,145.96"/>
            <filter val="R$ 296,915.45"/>
            <filter val="R$ 3,001,534.49"/>
            <filter val="R$ 3,009,986.81"/>
            <filter val="R$ 3,010.17"/>
            <filter val="R$ 3,092,897.17"/>
            <filter val="R$ 3,126,195.15"/>
            <filter val="R$ 3,246,859.38"/>
            <filter val="R$ 3,322,940.36"/>
            <filter val="R$ 3,329,507.61"/>
            <filter val="R$ 3,449,103.61"/>
            <filter val="R$ 3,627,523.86"/>
            <filter val="R$ 3,753,566.00"/>
            <filter val="R$ 3.86"/>
            <filter val="R$ 30,857.14"/>
            <filter val="R$ 30,921.90"/>
            <filter val="R$ 300,124.35"/>
            <filter val="R$ 300,618.08"/>
            <filter val="R$ 302,072.36"/>
            <filter val="R$ 309,326.29"/>
            <filter val="R$ 310,054.35"/>
            <filter val="R$ 313,703.35"/>
            <filter val="R$ 315,676.05"/>
            <filter val="R$ 317,485.30"/>
            <filter val="R$ 317,999.63"/>
            <filter val="R$ 32,552.76"/>
            <filter val="R$ 321,276.02"/>
            <filter val="R$ 322,020.41"/>
            <filter val="R$ 323,015.09"/>
            <filter val="R$ 323,131.19"/>
            <filter val="R$ 326,428.52"/>
            <filter val="R$ 333,331.19"/>
            <filter val="R$ 334,465.94"/>
            <filter val="R$ 334.00"/>
            <filter val="R$ 336,999.22"/>
            <filter val="R$ 339,032.61"/>
            <filter val="R$ 34,005.36"/>
            <filter val="R$ 34,034.86"/>
            <filter val="R$ 340,811.61"/>
            <filter val="R$ 341,132.31"/>
            <filter val="R$ 342,659.29"/>
            <filter val="R$ 348,939.08"/>
            <filter val="R$ 350,929.21"/>
            <filter val="R$ 351,124.95"/>
            <filter val="R$ 351,580.87"/>
            <filter val="R$ 352,988.04"/>
            <filter val="R$ 353,899.78"/>
            <filter val="R$ 354,934.72"/>
            <filter val="R$ 359,344.38"/>
            <filter val="R$ 359,380.24"/>
            <filter val="R$ 36,758.00"/>
            <filter val="R$ 362,470.60"/>
            <filter val="R$ 362,504.30"/>
            <filter val="R$ 366,586.03"/>
            <filter val="R$ 369,466.61"/>
            <filter val="R$ 373,156.75"/>
            <filter val="R$ 373,297.73"/>
            <filter val="R$ 376,886.21"/>
            <filter val="R$ 38,613.83"/>
            <filter val="R$ 38,676.69"/>
            <filter val="R$ 380,937.88"/>
            <filter val="R$ 386,603.64"/>
            <filter val="R$ 390,686.95"/>
            <filter val="R$ 394,426.75"/>
            <filter val="R$ 4,091,485.08"/>
            <filter val="R$ 4,533.39"/>
            <filter val="R$ 4,633.19"/>
            <filter val="R$ 4,880.82"/>
            <filter val="R$ 4,894,563.07"/>
            <filter val="R$ 40,649.30"/>
            <filter val="R$ 406,616.99"/>
            <filter val="R$ 407,487.54"/>
            <filter val="R$ 407,803.29"/>
            <filter val="R$ 408,929.28"/>
            <filter val="R$ 409,850.82"/>
            <filter val="R$ 41,124.97"/>
            <filter val="R$ 41,327.20"/>
            <filter val="R$ 413,850.07"/>
            <filter val="R$ 416,019.16"/>
            <filter val="R$ 416,683.62"/>
            <filter val="R$ 42,232.68"/>
            <filter val="R$ 42,867.55"/>
            <filter val="R$ 430,845.92"/>
            <filter val="R$ 436,245.95"/>
            <filter val="R$ 44,559.33"/>
            <filter val="R$ 44,594.44"/>
            <filter val="R$ 442,964.55"/>
            <filter val="R$ 447,378.06"/>
            <filter val="R$ 449,892.29"/>
            <filter val="R$ 454,523.52"/>
            <filter val="R$ 454,815.67"/>
            <filter val="R$ 454,884.96"/>
            <filter val="R$ 46,567.55"/>
            <filter val="R$ 461,695.50"/>
            <filter val="R$ 466,634.96"/>
            <filter val="R$ 47,114.01"/>
            <filter val="R$ 47,363.79"/>
            <filter val="R$ 47,745.93"/>
            <filter val="R$ 48,256.88"/>
            <filter val="R$ 49,122.52"/>
            <filter val="R$ 49,400.81"/>
            <filter val="R$ 49,755.82"/>
            <filter val="R$ 491,793.38"/>
            <filter val="R$ 494,486.85"/>
            <filter val="R$ 494,652.08"/>
            <filter val="R$ 499,682.77"/>
            <filter val="R$ 5,072.91"/>
            <filter val="R$ 5,272.20"/>
            <filter val="R$ 5.55"/>
            <filter val="R$ 50,021.25"/>
            <filter val="R$ 50,235.48"/>
            <filter val="R$ 50,313.03"/>
            <filter val="R$ 50,555.96"/>
            <filter val="R$ 50,628.89"/>
            <filter val="R$ 50,747.86"/>
            <filter val="R$ 50.26"/>
            <filter val="R$ 505,887.98"/>
            <filter val="R$ 506,159.39"/>
            <filter val="R$ 509,020.56"/>
            <filter val="R$ 51,291.39"/>
            <filter val="R$ 512,555.95"/>
            <filter val="R$ 516,326.05"/>
            <filter val="R$ 518,951.57"/>
            <filter val="R$ 52,067.87"/>
            <filter val="R$ 52,143.83"/>
            <filter val="R$ 529,041.09"/>
            <filter val="R$ 53,641.79"/>
            <filter val="R$ 533,367.24"/>
            <filter val="R$ 55,545.70"/>
            <filter val="R$ 566,653.10"/>
            <filter val="R$ 566,734.95"/>
            <filter val="R$ 57,397.44"/>
            <filter val="R$ 571,465.32"/>
            <filter val="R$ 58,569.48"/>
            <filter val="R$ 58,632.55"/>
            <filter val="R$ 581,436.87"/>
            <filter val="R$ 587,784.24"/>
            <filter val="R$ 592,435.26"/>
            <filter val="R$ 594,234.29"/>
            <filter val="R$ 595,331.78"/>
            <filter val="R$ 6,005,596.18"/>
            <filter val="R$ 6,102.00"/>
            <filter val="R$ 6,628.61"/>
            <filter val="R$ 60,378.23"/>
            <filter val="R$ 600,995.90"/>
            <filter val="R$ 604,349.54"/>
            <filter val="R$ 606,237.94"/>
            <filter val="R$ 608,060.78"/>
            <filter val="R$ 609,812.97"/>
            <filter val="R$ 612,646.64"/>
            <filter val="R$ 62,797.85"/>
            <filter val="R$ 627,167.85"/>
            <filter val="R$ 629,675.94"/>
            <filter val="R$ 63,325.05"/>
            <filter val="R$ 635,773.95"/>
            <filter val="R$ 637,617.83"/>
            <filter val="R$ 642,259.74"/>
            <filter val="R$ 647,232.40"/>
            <filter val="R$ 648,027.67"/>
            <filter val="R$ 66,496.23"/>
            <filter val="R$ 66,641.42"/>
            <filter val="R$ 661,262.77"/>
            <filter val="R$ 667,585.98"/>
            <filter val="R$ 670,430.24"/>
            <filter val="R$ 677,433.36"/>
            <filter val="R$ 684,079.55"/>
            <filter val="R$ 686,106.35"/>
            <filter val="R$ 686,452.52"/>
            <filter val="R$ 69,433.98"/>
            <filter val="R$ 69,908.60"/>
            <filter val="R$ 692,743.23"/>
            <filter val="R$ 695,559.77"/>
            <filter val="R$ 70,254.30"/>
            <filter val="R$ 70,505.92"/>
            <filter val="R$ 706,487.76"/>
            <filter val="R$ 71,552.49"/>
            <filter val="R$ 71,920.45"/>
            <filter val="R$ 722,243.24"/>
            <filter val="R$ 729.09"/>
            <filter val="R$ 73,684.92"/>
            <filter val="R$ 73,758.13"/>
            <filter val="R$ 73,780.30"/>
            <filter val="R$ 734,751.36"/>
            <filter val="R$ 74,160.17"/>
            <filter val="R$ 75,545.65"/>
            <filter val="R$ 753,820.19"/>
            <filter val="R$ 76,616.57"/>
            <filter val="R$ 77,673.74"/>
            <filter val="R$ 770,341.47"/>
            <filter val="R$ 771,807.13"/>
            <filter val="R$ 776,296.78"/>
            <filter val="R$ 787,241.26"/>
            <filter val="R$ 79,569.85"/>
            <filter val="R$ 791,403.78"/>
            <filter val="R$ 793,669.27"/>
            <filter val="R$ 799,686.48"/>
            <filter val="R$ 8,020.29"/>
            <filter val="R$ 8,182.97"/>
            <filter val="R$ 8,286,387.70"/>
            <filter val="R$ 8,648.56"/>
            <filter val="R$ 80,142.49"/>
            <filter val="R$ 806,777.51"/>
            <filter val="R$ 819,516.43"/>
            <filter val="R$ 82,436.51"/>
            <filter val="R$ 821,280.09"/>
            <filter val="R$ 834,256.32"/>
            <filter val="R$ 839,394.89"/>
            <filter val="R$ 846,924.50"/>
            <filter val="R$ 85,685.59"/>
            <filter val="R$ 86,715.30"/>
            <filter val="R$ 866,906.14"/>
            <filter val="R$ 87,027.22"/>
            <filter val="R$ 87,103.29"/>
            <filter val="R$ 88,005.57"/>
            <filter val="R$ 89,560.38"/>
            <filter val="R$ 9.70"/>
            <filter val="R$ 91,165.55"/>
            <filter val="R$ 91,564.82"/>
            <filter val="R$ 91,587.30"/>
            <filter val="R$ 92,871.91"/>
            <filter val="R$ 929,489.91"/>
            <filter val="R$ 932,100.04"/>
            <filter val="R$ 938,332.24"/>
            <filter val="R$ 952,999.84"/>
            <filter val="R$ 953.24"/>
            <filter val="R$ 97,069.76"/>
            <filter val="R$ 97,309.47"/>
            <filter val="R$ 97,773.76"/>
            <filter val="R$ 98,658.00"/>
          </filters>
        </filterColumn>
        <filterColumn colId="40">
          <filters blank="1"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,878.29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  <filterColumn colId="43">
          <filters blank="1"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089.0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FE505A74-F1C9-44BD-A4CA-44A1F0D7F85E}" filter="1" showAutoFilter="1">
      <pageMargins left="0.511811024" right="0.511811024" top="0.78740157499999996" bottom="0.78740157499999996" header="0.31496062000000002" footer="0.31496062000000002"/>
      <autoFilter ref="F2:M871" xr:uid="{E6BD5EF7-2FF1-4906-AF13-FA5B9D8C9344}"/>
    </customSheetView>
    <customSheetView guid="{4FDD5AD3-463A-44A2-BEAA-F784F9C9AB8E}" filter="1" showAutoFilter="1">
      <pageMargins left="0.511811024" right="0.511811024" top="0.78740157499999996" bottom="0.78740157499999996" header="0.31496062000000002" footer="0.31496062000000002"/>
      <autoFilter ref="A2:AQ862" xr:uid="{984FEB3B-B803-4C28-828F-81E5CDDA0C3E}">
        <filterColumn colId="7">
          <filters>
            <filter val="Encerrado"/>
          </filters>
        </filterColumn>
        <filterColumn colId="10">
          <filters>
            <filter val="01/02/2023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5/2023"/>
            <filter val="12/06/2023"/>
            <filter val="12/06/2024"/>
            <filter val="12/08/2024"/>
            <filter val="12/09/2024"/>
            <filter val="12/12/2022"/>
            <filter val="13/02/2023"/>
            <filter val="13/03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5/12/2022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8DFCE0B2-11F2-4898-8C34-389FA9CE0D89}" filter="1" showAutoFilter="1">
      <pageMargins left="0.511811024" right="0.511811024" top="0.78740157499999996" bottom="0.78740157499999996" header="0.31496062000000002" footer="0.31496062000000002"/>
      <autoFilter ref="A1:AS862" xr:uid="{0136BF08-5799-4AA3-8292-C7A7566BC22E}">
        <filterColumn colId="7">
          <filters>
            <filter val="Status"/>
            <filter val="Pode Operar"/>
          </filters>
        </filterColumn>
        <filterColumn colId="8">
          <filters>
            <filter val="Alteração de C.A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DF2F8F63-1896-4A3C-8BF8-BAF22324C0AA}" filter="1" showAutoFilter="1">
      <pageMargins left="0.511811024" right="0.511811024" top="0.78740157499999996" bottom="0.78740157499999996" header="0.31496062000000002" footer="0.31496062000000002"/>
      <autoFilter ref="A1:AR862" xr:uid="{F0246CD7-9374-4831-AAEB-6FA3CDDE43D0}"/>
    </customSheetView>
    <customSheetView guid="{2C5C3EE9-78DF-4FFB-A79A-75E3071C5D00}" filter="1" showAutoFilter="1">
      <pageMargins left="0.511811024" right="0.511811024" top="0.78740157499999996" bottom="0.78740157499999996" header="0.31496062000000002" footer="0.31496062000000002"/>
      <autoFilter ref="B2:AL866" xr:uid="{73451C0D-BC85-4972-8716-F226246AE9B4}"/>
    </customSheetView>
    <customSheetView guid="{9DF32D71-BC92-44A9-A720-94B989A25251}" filter="1" showAutoFilter="1">
      <pageMargins left="0.511811024" right="0.511811024" top="0.78740157499999996" bottom="0.78740157499999996" header="0.31496062000000002" footer="0.31496062000000002"/>
      <autoFilter ref="A2:AR862" xr:uid="{9EECE37E-BBBE-454F-B9C4-0D99548D8C7F}">
        <filterColumn colId="7">
          <filters>
            <filter val="Encerrado"/>
            <filter val="Pode Operar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A6E7F878-3C35-4797-9AED-F156F9C64D89}" filter="1" showAutoFilter="1">
      <pageMargins left="0.511811024" right="0.511811024" top="0.78740157499999996" bottom="0.78740157499999996" header="0.31496062000000002" footer="0.31496062000000002"/>
      <autoFilter ref="A1:AO871" xr:uid="{230CDF7A-7EAE-4E4D-BEFE-D4BAB1367887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Henrique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B14CF0D0-F469-4868-AE67-78AACD856736}" filter="1" showAutoFilter="1">
      <pageMargins left="0.511811024" right="0.511811024" top="0.78740157499999996" bottom="0.78740157499999996" header="0.31496062000000002" footer="0.31496062000000002"/>
      <autoFilter ref="A1:AR862" xr:uid="{25BE2458-4DE7-4D7D-A15F-B4D2938960D0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60202238-6872-4955-81A6-A3A4A0E14F7B}" filter="1" showAutoFilter="1">
      <pageMargins left="0.511811024" right="0.511811024" top="0.78740157499999996" bottom="0.78740157499999996" header="0.31496062000000002" footer="0.31496062000000002"/>
      <autoFilter ref="A1:AR871" xr:uid="{70BABA80-1C2C-4156-8636-7BD02A6061CC}">
        <filterColumn colId="4">
          <filters blank="1">
            <filter val="DF"/>
            <filter val="SP"/>
            <filter val="UF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teração de carteira finalizada dia 15/01/2024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etende fazer aportes futuro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19154EA7-7505-430F-8B0E-30E9DC5BCE10}" filter="1" showAutoFilter="1">
      <pageMargins left="0.511811024" right="0.511811024" top="0.78740157499999996" bottom="0.78740157499999996" header="0.31496062000000002" footer="0.31496062000000002"/>
      <autoFilter ref="A1:AN866" xr:uid="{7B98ECCC-DB51-4C1C-91C8-B006A4A92EEF}">
        <filterColumn colId="12">
          <filters blank="1">
            <filter val="ARR"/>
            <filter val="CON/ COADM"/>
            <filter val="CON/ GR"/>
            <filter val="DIV"/>
            <filter val="EQT"/>
            <filter val="EQT/ COADM"/>
            <filter val="FII"/>
            <filter val="INC/ COADM"/>
            <filter val="MOD"/>
            <filter val="MOD/ COADM"/>
            <filter val="MOD/ GR"/>
            <filter val="MOD/ PREV MOD/ COADM"/>
            <filter val="MONT/ COADM"/>
            <filter val="MULT PRIV"/>
            <filter val="SMLL"/>
          </filters>
        </filterColumn>
      </autoFilter>
    </customSheetView>
    <customSheetView guid="{BB122FEC-D882-4A79-B38D-55FAF9080ECC}" filter="1" showAutoFilter="1">
      <pageMargins left="0.511811024" right="0.511811024" top="0.78740157499999996" bottom="0.78740157499999996" header="0.31496062000000002" footer="0.31496062000000002"/>
      <autoFilter ref="A1:AQ862" xr:uid="{D9ABC1AA-157D-4CB7-8CC3-6811C8287FA9}"/>
    </customSheetView>
    <customSheetView guid="{DFA16F80-BC21-4DA7-9200-885F0DD26557}" filter="1" showAutoFilter="1">
      <pageMargins left="0.511811024" right="0.511811024" top="0.78740157499999996" bottom="0.78740157499999996" header="0.31496062000000002" footer="0.31496062000000002"/>
      <autoFilter ref="A1:AN871" xr:uid="{1030CFA8-53A8-4779-A6C4-9779B4586428}"/>
    </customSheetView>
    <customSheetView guid="{8F9D2EE2-2BA6-4218-ABAC-59A49CE16850}" filter="1" showAutoFilter="1">
      <pageMargins left="0.511811024" right="0.511811024" top="0.78740157499999996" bottom="0.78740157499999996" header="0.31496062000000002" footer="0.31496062000000002"/>
      <autoFilter ref="F2:F871" xr:uid="{D7C21C4B-9D80-40E2-9DB0-ED6D84182529}"/>
    </customSheetView>
    <customSheetView guid="{F5C89102-EBEF-481F-B5BB-D8BECF305B9F}" filter="1" showAutoFilter="1">
      <pageMargins left="0.511811024" right="0.511811024" top="0.78740157499999996" bottom="0.78740157499999996" header="0.31496062000000002" footer="0.31496062000000002"/>
      <autoFilter ref="A1:AN866" xr:uid="{716E8EE1-8415-441F-8002-C9D1CE7CAEA2}">
        <filterColumn colId="6">
          <filters blank="1"/>
        </filterColumn>
      </autoFilter>
    </customSheetView>
    <customSheetView guid="{A84BCDCF-44CE-4E38-99E3-BF349990446C}" filter="1" showAutoFilter="1">
      <pageMargins left="0.511811024" right="0.511811024" top="0.78740157499999996" bottom="0.78740157499999996" header="0.31496062000000002" footer="0.31496062000000002"/>
      <autoFilter ref="B2:AL871" xr:uid="{BDF73D33-1F43-4D96-BB58-5EBD1E639114}">
        <filterColumn colId="36">
          <filters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22,707.53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1B5B7370-FC19-475F-8306-B7882B20A8EE}" filter="1" showAutoFilter="1">
      <pageMargins left="0.511811024" right="0.511811024" top="0.78740157499999996" bottom="0.78740157499999996" header="0.31496062000000002" footer="0.31496062000000002"/>
      <autoFilter ref="AJ2:AJ871" xr:uid="{25F86B9D-DD25-4B31-8FFD-FBF81C520B9C}"/>
    </customSheetView>
    <customSheetView guid="{EDB94D84-D432-47A2-A87C-542D0176903E}" filter="1" showAutoFilter="1">
      <pageMargins left="0.511811024" right="0.511811024" top="0.78740157499999996" bottom="0.78740157499999996" header="0.31496062000000002" footer="0.31496062000000002"/>
      <autoFilter ref="M2:O871" xr:uid="{4E820C6F-763B-4D53-87C3-B0ED1EEDB566}"/>
    </customSheetView>
    <customSheetView guid="{8E51D859-3307-453C-A3E9-A6A335A21F47}" filter="1" showAutoFilter="1">
      <pageMargins left="0.511811024" right="0.511811024" top="0.78740157499999996" bottom="0.78740157499999996" header="0.31496062000000002" footer="0.31496062000000002"/>
      <autoFilter ref="K2:K871" xr:uid="{699AF9C1-B412-4E9C-B6A1-9ED8B596E24C}"/>
    </customSheetView>
    <customSheetView guid="{91D3587C-2C59-43EF-A783-7D9A580C47C7}" filter="1" showAutoFilter="1">
      <pageMargins left="0.511811024" right="0.511811024" top="0.78740157499999996" bottom="0.78740157499999996" header="0.31496062000000002" footer="0.31496062000000002"/>
      <autoFilter ref="A1:AO870" xr:uid="{121FB66E-263D-493A-965C-C961DD071F84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9705F661-FEE5-40D8-8A21-030D907C6555}" filter="1" showAutoFilter="1">
      <pageMargins left="0.511811024" right="0.511811024" top="0.78740157499999996" bottom="0.78740157499999996" header="0.31496062000000002" footer="0.31496062000000002"/>
      <autoFilter ref="A1:AT862" xr:uid="{6290F268-1DF3-40CE-8340-FEBB12A0005F}">
        <filterColumn colId="12">
          <filters>
            <filter val="CON/ COADM"/>
            <filter val="EQT/ COADM"/>
            <filter val="FUND"/>
            <filter val="INC/ COADM"/>
            <filter val="MOD/ COADM"/>
            <filter val="MOD/ PREV MOD/ COADM"/>
            <filter val="MONT/ COADM"/>
            <filter val="MULT PRIV"/>
          </filters>
        </filterColumn>
      </autoFilter>
    </customSheetView>
    <customSheetView guid="{3F9F0405-392A-4E73-96AE-035E57B16111}" filter="1" showAutoFilter="1">
      <pageMargins left="0.511811024" right="0.511811024" top="0.78740157499999996" bottom="0.78740157499999996" header="0.31496062000000002" footer="0.31496062000000002"/>
      <autoFilter ref="A1:AN866" xr:uid="{42E3213C-2BF4-4242-85B3-D03E3335DF89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Alteração de C.A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8380BBA0-DD8B-4D15-9E68-25A55EF1EE83}" filter="1" showAutoFilter="1">
      <pageMargins left="0.511811024" right="0.511811024" top="0.78740157499999996" bottom="0.78740157499999996" header="0.31496062000000002" footer="0.31496062000000002"/>
      <autoFilter ref="A2:AN866" xr:uid="{63AC0EF7-B07B-4CF5-9B19-26A5E93743EF}"/>
    </customSheetView>
    <customSheetView guid="{F162B7F2-7CDB-42F5-A429-682BF4DE88D6}" filter="1" showAutoFilter="1">
      <pageMargins left="0.511811024" right="0.511811024" top="0.78740157499999996" bottom="0.78740157499999996" header="0.31496062000000002" footer="0.31496062000000002"/>
      <autoFilter ref="A2:AN866" xr:uid="{86969CD7-13B6-4735-95D5-BBD2A14AD10B}">
        <filterColumn colId="3">
          <filters blank="1">
            <filter val="Altum"/>
            <filter val="Bluemetrix (MI)"/>
            <filter val="Poupinvista"/>
            <filter val="Solution For Life"/>
            <filter val="VcInvest"/>
            <filter val="Voga"/>
          </filters>
        </filterColumn>
      </autoFilter>
    </customSheetView>
    <customSheetView guid="{4875A4E1-7CBA-46BB-B747-B252C71E2DAB}" filter="1" showAutoFilter="1">
      <pageMargins left="0.511811024" right="0.511811024" top="0.78740157499999996" bottom="0.78740157499999996" header="0.31496062000000002" footer="0.31496062000000002"/>
      <autoFilter ref="A1:AT862" xr:uid="{6C87D928-2077-4B73-96D5-C74BF3C125E5}">
        <filterColumn colId="12">
          <filters>
            <filter val="CON/ COADM"/>
            <filter val="CON/ PREV CON"/>
            <filter val="CON/ PREV MOD"/>
            <filter val="EQT/ COADM"/>
            <filter val="INC/ COADM"/>
            <filter val="INC/ PREV CON"/>
            <filter val="INC/ PREV MOD"/>
            <filter val="MOD/ COADM"/>
            <filter val="MOD/ PREV ARR"/>
            <filter val="MOD/ PREV MOD"/>
            <filter val="MOD/ PREV MOD/ COADM"/>
            <filter val="MONT/ COADM"/>
            <filter val="MULT PRIV"/>
          </filters>
        </filterColumn>
      </autoFilter>
    </customSheetView>
    <customSheetView guid="{8A443CDD-ABC8-44B6-8155-B9F0F51EE59E}" filter="1" showAutoFilter="1">
      <pageMargins left="0.511811024" right="0.511811024" top="0.78740157499999996" bottom="0.78740157499999996" header="0.31496062000000002" footer="0.31496062000000002"/>
      <autoFilter ref="A1:AR862" xr:uid="{4B4E65A2-29C1-4A39-A947-F3CE1AA68C9B}">
        <filterColumn colId="32">
          <filters>
            <filter val="R$ 0.00"/>
            <filter val="R$ 0.01"/>
            <filter val="R$ 1,060.50"/>
            <filter val="R$ 1,110,727.78"/>
            <filter val="R$ 1,138,799.16"/>
            <filter val="R$ 1,152,279.75"/>
            <filter val="R$ 1,174,012.95"/>
            <filter val="R$ 1,391,813.01"/>
            <filter val="R$ 1,718,110.98"/>
            <filter val="R$ 1,835,034.42"/>
            <filter val="R$ 100,035.14"/>
            <filter val="R$ 102,150.96"/>
            <filter val="R$ 102,893.40"/>
            <filter val="R$ 109,412.19"/>
            <filter val="R$ 118,025.41"/>
            <filter val="R$ 124,741.99"/>
            <filter val="R$ 124,923.21"/>
            <filter val="R$ 134,565.58"/>
            <filter val="R$ 144,797.29"/>
            <filter val="R$ 15,000.00"/>
            <filter val="R$ 15,016.78"/>
            <filter val="R$ 15,906,624.59"/>
            <filter val="R$ 152,071.36"/>
            <filter val="R$ 152,610.03"/>
            <filter val="R$ 155,121.31"/>
            <filter val="R$ 172,150.64"/>
            <filter val="R$ 172,295.80"/>
            <filter val="R$ 173,538.72"/>
            <filter val="R$ 175,767.51"/>
            <filter val="R$ 176,868.64"/>
            <filter val="R$ 190,654.57"/>
            <filter val="R$ 198,564.62"/>
            <filter val="R$ 198,714.47"/>
            <filter val="R$ 2,010,017.61"/>
            <filter val="R$ 2,493,271.63"/>
            <filter val="R$ 2,699,231.96"/>
            <filter val="R$ 2,780,380.17"/>
            <filter val="R$ 2,781,216.38"/>
            <filter val="R$ 2,977,311.65"/>
            <filter val="R$ 2,994,048.19"/>
            <filter val="R$ 2.06"/>
            <filter val="R$ 20,003.03"/>
            <filter val="R$ 203,853.38"/>
            <filter val="R$ 205,400.96"/>
            <filter val="R$ 21,865.15"/>
            <filter val="R$ 211,048.19"/>
            <filter val="R$ 214,097.75"/>
            <filter val="R$ 218,921.92"/>
            <filter val="R$ 22,406.26"/>
            <filter val="R$ 22,682.07"/>
            <filter val="R$ 232,519.02"/>
            <filter val="R$ 24,827.30"/>
            <filter val="R$ 240,791.65"/>
            <filter val="R$ 249,563.53"/>
            <filter val="R$ 253,309.58"/>
            <filter val="R$ 267,762.35"/>
            <filter val="R$ 284,090.61"/>
            <filter val="R$ 288,794.28"/>
            <filter val="R$ 297,479.42"/>
            <filter val="R$ 30,166.52"/>
            <filter val="R$ 302,011.97"/>
            <filter val="R$ 302,348.09"/>
            <filter val="R$ 304,847.72"/>
            <filter val="R$ 31,196.96"/>
            <filter val="R$ 322,404.64"/>
            <filter val="R$ 336,441.18"/>
            <filter val="R$ 34,505.57"/>
            <filter val="R$ 371,328.96"/>
            <filter val="R$ 374,246.97"/>
            <filter val="R$ 378,063.59"/>
            <filter val="R$ 392,773.39"/>
            <filter val="R$ 4,066.02"/>
            <filter val="R$ 40,303.50"/>
            <filter val="R$ 42,071.82"/>
            <filter val="R$ 423,818.64"/>
            <filter val="R$ 424,706.47"/>
            <filter val="R$ 44,307.74"/>
            <filter val="R$ 44,917.04"/>
            <filter val="R$ 445,715.68"/>
            <filter val="R$ 45,427.45"/>
            <filter val="R$ 45,679.42"/>
            <filter val="R$ 473,873.60"/>
            <filter val="R$ 485,180.91"/>
            <filter val="R$ 49,951.69"/>
            <filter val="R$ 497,674.32"/>
            <filter val="R$ 5,432.22"/>
            <filter val="R$ 5,790.98"/>
            <filter val="R$ 50,152.64"/>
            <filter val="R$ 50,312.02"/>
            <filter val="R$ 50,596.26"/>
            <filter val="R$ 51,930.03"/>
            <filter val="R$ 522,921.32"/>
            <filter val="R$ 56,393.03"/>
            <filter val="R$ 560,421.19"/>
            <filter val="R$ 594,851.69"/>
            <filter val="R$ 596,444.02"/>
            <filter val="R$ 6,050.41"/>
            <filter val="R$ 60,000.00"/>
            <filter val="R$ 648,209.98"/>
            <filter val="R$ 65,927.09"/>
            <filter val="R$ 68,438.77"/>
            <filter val="R$ 68,499.79"/>
            <filter val="R$ 68,740.04"/>
            <filter val="R$ 682,529.36"/>
            <filter val="R$ 689,994.38"/>
            <filter val="R$ 7,168.33"/>
            <filter val="R$ 71,695.11"/>
            <filter val="R$ 78,310.67"/>
            <filter val="R$ 794,794.76"/>
            <filter val="R$ 798,318.68"/>
            <filter val="R$ 80,366.67"/>
            <filter val="R$ 80,773.53"/>
            <filter val="R$ 802,748.34"/>
            <filter val="R$ 841,947.60"/>
            <filter val="R$ 876,298.99"/>
            <filter val="R$ 90,779.20"/>
            <filter val="R$ 97,885.87"/>
            <filter val="R$ 99,999.09"/>
            <filter val="R$ 990,968.05"/>
          </filters>
        </filterColumn>
        <filterColumn colId="33">
          <filters blank="1">
            <filter val="31/03/2023"/>
            <filter val="R$ 0.00"/>
            <filter val="R$ 0.01"/>
            <filter val="R$ 1,024,736.72"/>
            <filter val="R$ 1,038,419.02"/>
            <filter val="R$ 1,114,382.73"/>
            <filter val="R$ 1,129,848.76"/>
            <filter val="R$ 1,152,760.38"/>
            <filter val="R$ 1,204,685.20"/>
            <filter val="R$ 1,204,769.98"/>
            <filter val="R$ 1,278,337.14"/>
            <filter val="R$ 1,309,680.34"/>
            <filter val="R$ 1,348.85"/>
            <filter val="R$ 1,365,838.92"/>
            <filter val="R$ 1,394,564.19"/>
            <filter val="R$ 1,594.06"/>
            <filter val="R$ 1,604,739.39"/>
            <filter val="R$ 1,643,644.34"/>
            <filter val="R$ 1,737,740.56"/>
            <filter val="R$ 1,783,320.01"/>
            <filter val="R$ 1,893,864.24"/>
            <filter val="R$ 1,896.74"/>
            <filter val="R$ 10,067,355.42"/>
            <filter val="R$ 100,452.44"/>
            <filter val="R$ 100,741.71"/>
            <filter val="R$ 100,841.03"/>
            <filter val="R$ 101,013.83"/>
            <filter val="R$ 101,119.41"/>
            <filter val="R$ 102,534.00"/>
            <filter val="R$ 103,256.95"/>
            <filter val="R$ 103,997.85"/>
            <filter val="R$ 104,138.41"/>
            <filter val="R$ 104,644.56"/>
            <filter val="R$ 104,644.90"/>
            <filter val="R$ 108,824.42"/>
            <filter val="R$ 110,310.81"/>
            <filter val="R$ 110,591.27"/>
            <filter val="R$ 116,340.75"/>
            <filter val="R$ 119,332.76"/>
            <filter val="R$ 119,885.32"/>
            <filter val="R$ 120,603.37"/>
            <filter val="R$ 123,178.45"/>
            <filter val="R$ 127,283.37"/>
            <filter val="R$ 131,030.57"/>
            <filter val="R$ 140,217.14"/>
            <filter val="R$ 140,275.53"/>
            <filter val="R$ 141,660.30"/>
            <filter val="R$ 145,316.61"/>
            <filter val="R$ 15,000.00"/>
            <filter val="R$ 15,092.34"/>
            <filter val="R$ 15,914,768.17"/>
            <filter val="R$ 150,000.00"/>
            <filter val="R$ 150,419.13"/>
            <filter val="R$ 154,284.45"/>
            <filter val="R$ 155,653.14"/>
            <filter val="R$ 155,704.76"/>
            <filter val="R$ 156,498.64"/>
            <filter val="R$ 160,000.00"/>
            <filter val="R$ 162,023.29"/>
            <filter val="R$ 163,277.33"/>
            <filter val="R$ 165,623.10"/>
            <filter val="R$ 17,955.96"/>
            <filter val="R$ 174,896.65"/>
            <filter val="R$ 178,713.53"/>
            <filter val="R$ 184,963.20"/>
            <filter val="R$ 192,722.37"/>
            <filter val="R$ 2,031,340.41"/>
            <filter val="R$ 2,311,316.92"/>
            <filter val="R$ 2,346,598.11"/>
            <filter val="R$ 2,520,762.31"/>
            <filter val="R$ 2,728,008.19"/>
            <filter val="R$ 2,743,133.96"/>
            <filter val="R$ 2,812,243.72"/>
            <filter val="R$ 2,812,325.28"/>
            <filter val="R$ 20,207.06"/>
            <filter val="R$ 200,875.49"/>
            <filter val="R$ 206,066.06"/>
            <filter val="R$ 207,992.18"/>
            <filter val="R$ 215,098.70"/>
            <filter val="R$ 215,903.39"/>
            <filter val="R$ 218,727.87"/>
            <filter val="R$ 221,085.40"/>
            <filter val="R$ 240,699.04"/>
            <filter val="R$ 242,169.05"/>
            <filter val="R$ 243,357.27"/>
            <filter val="R$ 246,513.10"/>
            <filter val="R$ 25,083.91"/>
            <filter val="R$ 25,864.70"/>
            <filter val="R$ 254,947.94"/>
            <filter val="R$ 254,973.37"/>
            <filter val="R$ 255,619.92"/>
            <filter val="R$ 26,103.99"/>
            <filter val="R$ 266,412.32"/>
            <filter val="R$ 266,535.10"/>
            <filter val="R$ 28,599.53"/>
            <filter val="R$ 285,585.79"/>
            <filter val="R$ 29,418.53"/>
            <filter val="R$ 3,037,619.94"/>
            <filter val="R$ 3,571,441.62"/>
            <filter val="R$ 302,924.14"/>
            <filter val="R$ 304,867.61"/>
            <filter val="R$ 305,056.61"/>
            <filter val="R$ 305,861.97"/>
            <filter val="R$ 307,682.12"/>
            <filter val="R$ 31,403.17"/>
            <filter val="R$ 317,061.28"/>
            <filter val="R$ 32,411.69"/>
            <filter val="R$ 322,729.09"/>
            <filter val="R$ 325,628.19"/>
            <filter val="R$ 336,439.07"/>
            <filter val="R$ 336,452.80"/>
            <filter val="R$ 339,363.55"/>
            <filter val="R$ 339,644.96"/>
            <filter val="R$ 350,337.58"/>
            <filter val="R$ 36,392.24"/>
            <filter val="R$ 367,764.99"/>
            <filter val="R$ 368,265.24"/>
            <filter val="R$ 37,824.00"/>
            <filter val="R$ 376,736.61"/>
            <filter val="R$ 38,619.74"/>
            <filter val="R$ 390,507.04"/>
            <filter val="R$ 397,012.49"/>
            <filter val="R$ 397,131.76"/>
            <filter val="R$ 4,226.53"/>
            <filter val="R$ 4,290.59"/>
            <filter val="R$ 412,014.46"/>
            <filter val="R$ 428,408.17"/>
            <filter val="R$ 428,705.70"/>
            <filter val="R$ 43,465.11"/>
            <filter val="R$ 44,329.56"/>
            <filter val="R$ 45,916.51"/>
            <filter val="R$ 452,250.65"/>
            <filter val="R$ 46,286.01"/>
            <filter val="R$ 46,776.24"/>
            <filter val="R$ 48,573.21"/>
            <filter val="R$ 48,822.54"/>
            <filter val="R$ 481,691.48"/>
            <filter val="R$ 482,402.02"/>
            <filter val="R$ 484,136.36"/>
            <filter val="R$ 487,428.52"/>
            <filter val="R$ 49,617.77"/>
            <filter val="R$ 490,650.14"/>
            <filter val="R$ 497,306.27"/>
            <filter val="R$ 5,852.75"/>
            <filter val="R$ 50,254.30"/>
            <filter val="R$ 50,312.94"/>
            <filter val="R$ 50,841.72"/>
            <filter val="R$ 501,068.64"/>
            <filter val="R$ 51,039.26"/>
            <filter val="R$ 51,063.01"/>
            <filter val="R$ 52,009.59"/>
            <filter val="R$ 521,621.68"/>
            <filter val="R$ 53,199.19"/>
            <filter val="R$ 53,545.80"/>
            <filter val="R$ 537,871.72"/>
            <filter val="R$ 55,128.26"/>
            <filter val="R$ 58,093.97"/>
            <filter val="R$ 586,527.81"/>
            <filter val="R$ 6,120.43"/>
            <filter val="R$ 60,571.25"/>
            <filter val="R$ 600,854.27"/>
            <filter val="R$ 601,591.75"/>
            <filter val="R$ 62,447.48"/>
            <filter val="R$ 638,672.40"/>
            <filter val="R$ 639,901.80"/>
            <filter val="R$ 66,639.29"/>
            <filter val="R$ 67,255.19"/>
            <filter val="R$ 68,939.38"/>
            <filter val="R$ 685,952.92"/>
            <filter val="R$ 69,255.53"/>
            <filter val="R$ 695,807.82"/>
            <filter val="R$ 7,449,482.68"/>
            <filter val="R$ 70,041.45"/>
            <filter val="R$ 711,474.60"/>
            <filter val="R$ 72,215.39"/>
            <filter val="R$ 730,631.33"/>
            <filter val="R$ 745,648.09"/>
            <filter val="R$ 75,711.68"/>
            <filter val="R$ 77,064.11"/>
            <filter val="R$ 77,129.59"/>
            <filter val="R$ 79,413.38"/>
            <filter val="R$ 803,301.69"/>
            <filter val="R$ 807,877.60"/>
            <filter val="R$ 81,226.47"/>
            <filter val="R$ 81,445.48"/>
            <filter val="R$ 82,017.27"/>
            <filter val="R$ 831,494.82"/>
            <filter val="R$ 851,371.63"/>
            <filter val="R$ 87,777.54"/>
            <filter val="R$ 872,141.19"/>
            <filter val="R$ 877,861.49"/>
            <filter val="R$ 9.65"/>
            <filter val="R$ 91,750.46"/>
            <filter val="R$ 913,671.31"/>
            <filter val="R$ 916,687.06"/>
            <filter val="R$ 943,347.36"/>
            <filter val="R$ 98,175.52"/>
          </filters>
        </filterColumn>
        <filterColumn colId="34">
          <filters blank="1">
            <filter val="0"/>
            <filter val="28/04/2023"/>
            <filter val="R$ 0.00"/>
            <filter val="R$ 0.01"/>
            <filter val="R$ 1,017.37"/>
            <filter val="R$ 1,044,490.68"/>
            <filter val="R$ 1,051,542.11"/>
            <filter val="R$ 1,071,917.64"/>
            <filter val="R$ 1,110,519.60"/>
            <filter val="R$ 1,124,960.48"/>
            <filter val="R$ 1,159,316.29"/>
            <filter val="R$ 1,203,727.57"/>
            <filter val="R$ 1,213,660.87"/>
            <filter val="R$ 1,219,227.02"/>
            <filter val="R$ 1,257,106.81"/>
            <filter val="R$ 1,263,788.53"/>
            <filter val="R$ 1,265,154.49"/>
            <filter val="R$ 1,277,504.53"/>
            <filter val="R$ 1,304,279.67"/>
            <filter val="R$ 1,374,697.27"/>
            <filter val="R$ 1,473,903.20"/>
            <filter val="R$ 1,642,101.90"/>
            <filter val="R$ 1,653,139.89"/>
            <filter val="R$ 1,684,755.32"/>
            <filter val="R$ 1,689,189.64"/>
            <filter val="R$ 1,751,867.31"/>
            <filter val="R$ 1,765,182.14"/>
            <filter val="R$ 1,906.54"/>
            <filter val="R$ 10,017.88"/>
            <filter val="R$ 10,181,812.38"/>
            <filter val="R$ 100,244.63"/>
            <filter val="R$ 101,642.93"/>
            <filter val="R$ 101,652.76"/>
            <filter val="R$ 101,836.34"/>
            <filter val="R$ 102,305.34"/>
            <filter val="R$ 104,029.31"/>
            <filter val="R$ 104,799.51"/>
            <filter val="R$ 104,992.36"/>
            <filter val="R$ 105,009.13"/>
            <filter val="R$ 105,350.23"/>
            <filter val="R$ 107,406.13"/>
            <filter val="R$ 109,478.85"/>
            <filter val="R$ 112,366.37"/>
            <filter val="R$ 114,376.09"/>
            <filter val="R$ 114,482.14"/>
            <filter val="R$ 120,271.08"/>
            <filter val="R$ 120,387.26"/>
            <filter val="R$ 125,221.88"/>
            <filter val="R$ 128,816.60"/>
            <filter val="R$ 13,680.76"/>
            <filter val="R$ 130,309.69"/>
            <filter val="R$ 131,524.98"/>
            <filter val="R$ 131,907.25"/>
            <filter val="R$ 134,455.91"/>
            <filter val="R$ 137,580.65"/>
            <filter val="R$ 138,047.59"/>
            <filter val="R$ 14,160.03"/>
            <filter val="R$ 14,649.95"/>
            <filter val="R$ 141,559.66"/>
            <filter val="R$ 142,994.83"/>
            <filter val="R$ 144,114.28"/>
            <filter val="R$ 145,842.39"/>
            <filter val="R$ 149,651.12"/>
            <filter val="R$ 15,000.00"/>
            <filter val="R$ 15,035.36"/>
            <filter val="R$ 15,185.70"/>
            <filter val="R$ 15,390.31"/>
            <filter val="R$ 153,405.60"/>
            <filter val="R$ 155,466.58"/>
            <filter val="R$ 155,956.48"/>
            <filter val="R$ 156,998.83"/>
            <filter val="R$ 159,700.37"/>
            <filter val="R$ 16,010.84"/>
            <filter val="R$ 16,044,618.61"/>
            <filter val="R$ 160,367.74"/>
            <filter val="R$ 163,652.60"/>
            <filter val="R$ 167,201.90"/>
            <filter val="R$ 169,594.56"/>
            <filter val="R$ 177,876.97"/>
            <filter val="R$ 178,768.84"/>
            <filter val="R$ 179,798.22"/>
            <filter val="R$ 18,549.92"/>
            <filter val="R$ 180,408.94"/>
            <filter val="R$ 191,564.02"/>
            <filter val="R$ 194,185.27"/>
            <filter val="R$ 194,185.85"/>
            <filter val="R$ 2,000,594.47"/>
            <filter val="R$ 2,005,947.36"/>
            <filter val="R$ 2,045,094.56"/>
            <filter val="R$ 2,130.62"/>
            <filter val="R$ 2,246,971.91"/>
            <filter val="R$ 2,338,313.82"/>
            <filter val="R$ 2,538,779.45"/>
            <filter val="R$ 2,738,653.68"/>
            <filter val="R$ 2,763,862.97"/>
            <filter val="R$ 2,836,358.20"/>
            <filter val="R$ 20,000.00"/>
            <filter val="R$ 20,036.96"/>
            <filter val="R$ 20,624.50"/>
            <filter val="R$ 200,493.23"/>
            <filter val="R$ 202,443.78"/>
            <filter val="R$ 206,415.12"/>
            <filter val="R$ 207,604.09"/>
            <filter val="R$ 215,468.62"/>
            <filter val="R$ 216,876.15"/>
            <filter val="R$ 220,678.08"/>
            <filter val="R$ 222,967.51"/>
            <filter val="R$ 23,000.00"/>
            <filter val="R$ 236,338.07"/>
            <filter val="R$ 237,121.83"/>
            <filter val="R$ 240,346.35"/>
            <filter val="R$ 242,066.06"/>
            <filter val="R$ 242,683.04"/>
            <filter val="R$ 243,989.82"/>
            <filter val="R$ 245,077.86"/>
            <filter val="R$ 247,654.61"/>
            <filter val="R$ 25,270.13"/>
            <filter val="R$ 256,691.10"/>
            <filter val="R$ 257,567.67"/>
            <filter val="R$ 268,529.92"/>
            <filter val="R$ 272,043.36"/>
            <filter val="R$ 274,798.86"/>
            <filter val="R$ 28,871.73"/>
            <filter val="R$ 286,046.33"/>
            <filter val="R$ 289,978.59"/>
            <filter val="R$ 292,820.86"/>
            <filter val="R$ 3,047,635.57"/>
            <filter val="R$ 3,055,373.84"/>
            <filter val="R$ 3,193,690.29"/>
            <filter val="R$ 3,204,638.15"/>
            <filter val="R$ 3,908,519.48"/>
            <filter val="R$ 30,115.64"/>
            <filter val="R$ 30,146.55"/>
            <filter val="R$ 305,070.15"/>
            <filter val="R$ 307,539.42"/>
            <filter val="R$ 307,995.71"/>
            <filter val="R$ 309,166.56"/>
            <filter val="R$ 318,570.65"/>
            <filter val="R$ 32,783.39"/>
            <filter val="R$ 323,308.41"/>
            <filter val="R$ 328,553.35"/>
            <filter val="R$ 33,029.19"/>
            <filter val="R$ 332,686.07"/>
            <filter val="R$ 338,334.87"/>
            <filter val="R$ 338,756.18"/>
            <filter val="R$ 34,251.92"/>
            <filter val="R$ 34,582.67"/>
            <filter val="R$ 340,562.58"/>
            <filter val="R$ 341,209.52"/>
            <filter val="R$ 341,771.90"/>
            <filter val="R$ 347,988.69"/>
            <filter val="R$ 351,903.67"/>
            <filter val="R$ 355,326.46"/>
            <filter val="R$ 360,937.54"/>
            <filter val="R$ 365,637.43"/>
            <filter val="R$ 367,686.19"/>
            <filter val="R$ 377,025.32"/>
            <filter val="R$ 38,036.68"/>
            <filter val="R$ 38,153.64"/>
            <filter val="R$ 38,658.35"/>
            <filter val="R$ 387,469.55"/>
            <filter val="R$ 39,585.71"/>
            <filter val="R$ 392,253.97"/>
            <filter val="R$ 397,508.34"/>
            <filter val="R$ 4,346.31"/>
            <filter val="R$ 4,494.36"/>
            <filter val="R$ 40,121.16"/>
            <filter val="R$ 400,319.23"/>
            <filter val="R$ 402,278.31"/>
            <filter val="R$ 404,393.62"/>
            <filter val="R$ 41,622.38"/>
            <filter val="R$ 415,110.81"/>
            <filter val="R$ 423,185.18"/>
            <filter val="R$ 423,811.97"/>
            <filter val="R$ 43,794.10"/>
            <filter val="R$ 431,156.36"/>
            <filter val="R$ 444,063.69"/>
            <filter val="R$ 445,004.58"/>
            <filter val="R$ 448,793.99"/>
            <filter val="R$ 451,821.82"/>
            <filter val="R$ 459,936.64"/>
            <filter val="R$ 46,179.63"/>
            <filter val="R$ 46,229.26"/>
            <filter val="R$ 46,680.77"/>
            <filter val="R$ 47,556.19"/>
            <filter val="R$ 48,813.34"/>
            <filter val="R$ 483,551.39"/>
            <filter val="R$ 485,613.74"/>
            <filter val="R$ 49,569.35"/>
            <filter val="R$ 49,866.06"/>
            <filter val="R$ 49,918.83"/>
            <filter val="R$ 490,845.49"/>
            <filter val="R$ 494,510.23"/>
            <filter val="R$ 499,566.11"/>
            <filter val="R$ 5,431.76"/>
            <filter val="R$ 5,888.04"/>
            <filter val="R$ 504,162.28"/>
            <filter val="R$ 504,869.41"/>
            <filter val="R$ 508,810.75"/>
            <filter val="R$ 51,910.50"/>
            <filter val="R$ 510,841.58"/>
            <filter val="R$ 511,256.93"/>
            <filter val="R$ 52,412.85"/>
            <filter val="R$ 52,548.06"/>
            <filter val="R$ 53,520.35"/>
            <filter val="R$ 532,518.37"/>
            <filter val="R$ 54,182.77"/>
            <filter val="R$ 542,346.66"/>
            <filter val="R$ 545,084.31"/>
            <filter val="R$ 546,983.70"/>
            <filter val="R$ 56,051.76"/>
            <filter val="R$ 563,290.94"/>
            <filter val="R$ 571,325.29"/>
            <filter val="R$ 58,106.63"/>
            <filter val="R$ 58,552.20"/>
            <filter val="R$ 589,105.09"/>
            <filter val="R$ 59,816.41"/>
            <filter val="R$ 60,212.68"/>
            <filter val="R$ 60,384.18"/>
            <filter val="R$ 60,428.36"/>
            <filter val="R$ 605,246.45"/>
            <filter val="R$ 616,485.77"/>
            <filter val="R$ 62,942.91"/>
            <filter val="R$ 640,706.50"/>
            <filter val="R$ 651,770.08"/>
            <filter val="R$ 654,204.69"/>
            <filter val="R$ 664,128.98"/>
            <filter val="R$ 67,134.96"/>
            <filter val="R$ 687,270.90"/>
            <filter val="R$ 69,786.20"/>
            <filter val="R$ 69,815.35"/>
            <filter val="R$ 7,434,949.61"/>
            <filter val="R$ 70,577.15"/>
            <filter val="R$ 700,054.09"/>
            <filter val="R$ 701,658.56"/>
            <filter val="R$ 701,737.29"/>
            <filter val="R$ 701,999.45"/>
            <filter val="R$ 71,165.00"/>
            <filter val="R$ 717,386.93"/>
            <filter val="R$ 718,977.18"/>
            <filter val="R$ 72,488.98"/>
            <filter val="R$ 749,900.83"/>
            <filter val="R$ 77,712.62"/>
            <filter val="R$ 773,689.80"/>
            <filter val="R$ 776,700.26"/>
            <filter val="R$ 79,248.86"/>
            <filter val="R$ 793,813.54"/>
            <filter val="R$ 808,932.47"/>
            <filter val="R$ 81,824.72"/>
            <filter val="R$ 81,833.22"/>
            <filter val="R$ 813,726.89"/>
            <filter val="R$ 82,865.36"/>
            <filter val="R$ 839,282.30"/>
            <filter val="R$ 84,128.08"/>
            <filter val="R$ 84,549.19"/>
            <filter val="R$ 85,514.69"/>
            <filter val="R$ 857,106.85"/>
            <filter val="R$ 87,717.56"/>
            <filter val="R$ 883,858.74"/>
            <filter val="R$ 9.66"/>
            <filter val="R$ 918,724.54"/>
            <filter val="R$ 922,926.96"/>
            <filter val="R$ 94,101.27"/>
            <filter val="R$ 950,389.54"/>
            <filter val="R$ 98,150.60"/>
            <filter val="R$ 985,211.98"/>
          </filters>
        </filterColumn>
        <filterColumn colId="35">
          <filters blank="1">
            <filter val="31/05/2023"/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154.39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  <filterColumn colId="36">
          <filters blank="1">
            <filter val="30/06/2023"/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8">
          <filters blank="1">
            <filter val="0"/>
            <filter val="31/08/2023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,586.14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40">
          <filters blank="1">
            <filter val="31/10/2023"/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,878.29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</autoFilter>
    </customSheetView>
    <customSheetView guid="{DE3704E6-33FF-462A-BAB5-B85F8E3F029B}" filter="1" showAutoFilter="1">
      <pageMargins left="0.511811024" right="0.511811024" top="0.78740157499999996" bottom="0.78740157499999996" header="0.31496062000000002" footer="0.31496062000000002"/>
      <autoFilter ref="A1:AR862" xr:uid="{529F82C1-1786-4300-9ED2-B378BFEA64F3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0B4EBBF4-749A-4B87-9D1E-3A1829A1B462}" filter="1" showAutoFilter="1">
      <pageMargins left="0.511811024" right="0.511811024" top="0.78740157499999996" bottom="0.78740157499999996" header="0.31496062000000002" footer="0.31496062000000002"/>
      <autoFilter ref="A2:AQ862" xr:uid="{1F8E1626-D8BC-4FE4-B53E-5CC6B01CB162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7/10/2024"/>
            <filter val="08/02/2024"/>
            <filter val="08/03/2024"/>
            <filter val="08/04/2024"/>
            <filter val="08/10/2024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1/03/2023"/>
            <filter val="11/03/2024"/>
            <filter val="11/04/2024"/>
            <filter val="11/06/2024"/>
            <filter val="11/09/2024"/>
            <filter val="11/10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4/10/2024"/>
            <filter val="15/0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1/10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8/02/2024"/>
            <filter val="28/05/2024"/>
            <filter val="29/05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9F5DE3B0-74AE-47FB-B6D9-ACD6877BEF18}" filter="1" showAutoFilter="1">
      <pageMargins left="0.511811024" right="0.511811024" top="0.78740157499999996" bottom="0.78740157499999996" header="0.31496062000000002" footer="0.31496062000000002"/>
      <autoFilter ref="A1:AR862" xr:uid="{13F6462F-9846-47C5-8509-063492BC927A}"/>
    </customSheetView>
    <customSheetView guid="{4D027CF9-EB10-4E0D-A919-970A63BCE6FF}" filter="1" showAutoFilter="1">
      <pageMargins left="0.511811024" right="0.511811024" top="0.78740157499999996" bottom="0.78740157499999996" header="0.31496062000000002" footer="0.31496062000000002"/>
      <autoFilter ref="AL2:AL871" xr:uid="{9658F16C-D262-4C86-BF99-7F118EB89B0A}"/>
    </customSheetView>
    <customSheetView guid="{8265ADC6-3C9D-4BAC-99AC-B2EB3FC957B1}" filter="1" showAutoFilter="1">
      <pageMargins left="0.511811024" right="0.511811024" top="0.78740157499999996" bottom="0.78740157499999996" header="0.31496062000000002" footer="0.31496062000000002"/>
      <autoFilter ref="A2:AT862" xr:uid="{5195C409-219A-4567-8FCE-745F2D3E36CC}">
        <filterColumn colId="3">
          <filters>
            <filter val="Altum"/>
            <filter val="Bluemetrix (MI)"/>
            <filter val="Poupinvista"/>
            <filter val="Solution For Life"/>
            <filter val="Voga"/>
          </filters>
        </filterColumn>
        <filterColumn colId="5">
          <filters>
            <filter val="Alexandre Xavier"/>
            <filter val="Andrea Lopes"/>
            <filter val="Antonio Volpato"/>
            <filter val="Augusto Sampaio"/>
            <filter val="Bluemetrix"/>
            <filter val="Breno Lemes"/>
            <filter val="Brunna Miccoli"/>
            <filter val="Bruno Henrique"/>
            <filter val="Bruno Jaime"/>
            <filter val="Bruno Ribeiro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Flavio Miguel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 Bueno"/>
            <filter val="Lucas Oliveira"/>
            <filter val="Lucas Zambrin"/>
            <filter val="Marcelo Franciscon"/>
            <filter val="Matheus Vilar"/>
            <filter val="Norton Fritzsche"/>
            <filter val="Paula Lemos"/>
            <filter val="Rafael Pagnan"/>
            <filter val="Rafael Vilela"/>
            <filter val="Rodolfo Gomes"/>
            <filter val="Rodrigo Milanez"/>
            <filter val="Thiago Canabrava"/>
            <filter val="Victor Hugo"/>
            <filter val="Vivian"/>
            <filter val="Yasmin Maia Muniz Xavier"/>
          </filters>
        </filterColumn>
      </autoFilter>
    </customSheetView>
    <customSheetView guid="{A9887CDC-6F11-42B2-AB6A-FEBD00A3638F}" filter="1" showAutoFilter="1">
      <pageMargins left="0.511811024" right="0.511811024" top="0.78740157499999996" bottom="0.78740157499999996" header="0.31496062000000002" footer="0.31496062000000002"/>
      <autoFilter ref="B2:AI866" xr:uid="{12C12E8D-E19D-4A3C-8E50-D7C6E444FB5D}"/>
    </customSheetView>
    <customSheetView guid="{5DCFC95B-FCE7-43C5-9DD6-DF415E1C24C8}" filter="1" showAutoFilter="1">
      <pageMargins left="0.511811024" right="0.511811024" top="0.78740157499999996" bottom="0.78740157499999996" header="0.31496062000000002" footer="0.31496062000000002"/>
      <autoFilter ref="A1:AR862" xr:uid="{A9E6CCFD-54B5-4D50-BB22-CA94F7C737AD}">
        <filterColumn colId="7">
          <filters>
            <filter val="Inativo"/>
          </filters>
        </filterColumn>
        <filterColumn colId="8">
          <filters>
            <filter val="------"/>
            <filter val="Alteração de C.A"/>
            <filter val="Bloquead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7C1D6EB7-7DBC-48F9-8921-C3BDF508FF02}" filter="1" showAutoFilter="1">
      <pageMargins left="0.511811024" right="0.511811024" top="0.78740157499999996" bottom="0.78740157499999996" header="0.31496062000000002" footer="0.31496062000000002"/>
      <autoFilter ref="A1:AN866" xr:uid="{071DA728-042D-4EA4-AE00-DC9229199599}"/>
    </customSheetView>
    <customSheetView guid="{B73B5E05-E231-40D3-9DFB-918E7DA17F41}" filter="1" showAutoFilter="1">
      <pageMargins left="0.511811024" right="0.511811024" top="0.78740157499999996" bottom="0.78740157499999996" header="0.31496062000000002" footer="0.31496062000000002"/>
      <autoFilter ref="A1:AT862" xr:uid="{B7BFA5E0-0B25-4533-861D-22CC6CD02561}">
        <filterColumn colId="7">
          <filters>
            <filter val="Pode Operar"/>
          </filters>
        </filterColumn>
      </autoFilter>
    </customSheetView>
    <customSheetView guid="{4ACE3FD7-7E6D-49A5-BA7A-7BB17F4DBD51}" filter="1" showAutoFilter="1">
      <pageMargins left="0.511811024" right="0.511811024" top="0.78740157499999996" bottom="0.78740157499999996" header="0.31496062000000002" footer="0.31496062000000002"/>
      <autoFilter ref="A1:AN866" xr:uid="{C69B43AD-23C3-42FE-A5CF-636E1502B325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AD79BEA7-EA3F-49B2-A53A-E02A8AA0EFB3}" filter="1" showAutoFilter="1">
      <pageMargins left="0.511811024" right="0.511811024" top="0.78740157499999996" bottom="0.78740157499999996" header="0.31496062000000002" footer="0.31496062000000002"/>
      <autoFilter ref="A1:AO866" xr:uid="{83AD6CF6-3C59-4E90-8527-802BA96E850B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"/>
            <filter val="EQT/ COADM"/>
            <filter val="FUND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5018FD2B-7792-4D0D-94F6-99F33A650426}" filter="1" showAutoFilter="1">
      <pageMargins left="0.511811024" right="0.511811024" top="0.78740157499999996" bottom="0.78740157499999996" header="0.31496062000000002" footer="0.31496062000000002"/>
      <autoFilter ref="A1:AT862" xr:uid="{4A09F6F6-973B-43D7-9D2E-7077EE92388A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CEF3B9C0-3AB1-4C47-89BF-0B13E82C22F5}" filter="1" showAutoFilter="1">
      <pageMargins left="0.511811024" right="0.511811024" top="0.78740157499999996" bottom="0.78740157499999996" header="0.31496062000000002" footer="0.31496062000000002"/>
      <autoFilter ref="A1:BA866" xr:uid="{43F2B313-A11D-41E0-BD45-B678450DF875}"/>
    </customSheetView>
    <customSheetView guid="{7B3F7769-484A-4A42-8036-07ADC3302801}" filter="1" showAutoFilter="1">
      <pageMargins left="0.511811024" right="0.511811024" top="0.78740157499999996" bottom="0.78740157499999996" header="0.31496062000000002" footer="0.31496062000000002"/>
      <autoFilter ref="A1:AS862" xr:uid="{402AD008-3629-4D1E-A286-F0E7279CA17D}">
        <filterColumn colId="7">
          <filters>
            <filter val="Pode Operar"/>
          </filters>
        </filterColumn>
        <filterColumn colId="8">
          <filters>
            <filter val="Alteração de C.A"/>
            <filter val="Bloquead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C4D034EF-8D0B-4D54-A88B-E9251A702F2B}" filter="1" showAutoFilter="1">
      <pageMargins left="0.511811024" right="0.511811024" top="0.78740157499999996" bottom="0.78740157499999996" header="0.31496062000000002" footer="0.31496062000000002"/>
      <autoFilter ref="D2:F871" xr:uid="{E13B95E8-8159-4F6F-8492-4B79C1F787FD}"/>
    </customSheetView>
  </customSheetViews>
  <mergeCells count="3">
    <mergeCell ref="A1:F1"/>
    <mergeCell ref="H1:I1"/>
    <mergeCell ref="J1:P1"/>
  </mergeCells>
  <conditionalFormatting sqref="E3:E864">
    <cfRule type="cellIs" dxfId="270" priority="1" operator="equal">
      <formula>"Conquest"</formula>
    </cfRule>
    <cfRule type="cellIs" dxfId="269" priority="2" operator="equal">
      <formula>"Voga"</formula>
    </cfRule>
  </conditionalFormatting>
  <conditionalFormatting sqref="W3:X574 W577:X864">
    <cfRule type="notContainsBlanks" dxfId="268" priority="3">
      <formula>LEN(TRIM(W3))&gt;0</formula>
    </cfRule>
  </conditionalFormatting>
  <dataValidations count="10">
    <dataValidation type="list" allowBlank="1" showErrorMessage="1" sqref="I3:I864" xr:uid="{00000000-0002-0000-01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574 W576:X576 W578:X864" xr:uid="{00000000-0002-0000-0100-000001000000}">
      <formula1>"Conservador,Moderado,Arrojado"</formula1>
    </dataValidation>
    <dataValidation type="list" allowBlank="1" showErrorMessage="1" sqref="D3:D864" xr:uid="{00000000-0002-0000-0100-000002000000}">
      <formula1>"Bluemetrix,Voga,Conquest,VcInvest,Bluemetrix (MI),Altum,Poupinvista,Solution For Life"</formula1>
    </dataValidation>
    <dataValidation type="list" allowBlank="1" showErrorMessage="1" sqref="V3:V864" xr:uid="{00000000-0002-0000-0100-000003000000}">
      <formula1>"Ativo,Inativo,Encerrado"</formula1>
    </dataValidation>
    <dataValidation type="list" allowBlank="1" showErrorMessage="1" sqref="Y3:Y181 Y183:Y574 Y576 Y578:Y864" xr:uid="{00000000-0002-0000-0100-000004000000}">
      <formula1>"Não Qualificado,Qualificado,Profissional"</formula1>
    </dataValidation>
    <dataValidation type="list" allowBlank="1" showErrorMessage="1" sqref="O3:O330 O332:O864" xr:uid="{00000000-0002-0000-0100-000005000000}">
      <formula1>"IBOVESPA,CDI,------,IFIX,SMALL,S&amp;P 500"</formula1>
    </dataValidation>
    <dataValidation type="list" allowBlank="1" showErrorMessage="1" sqref="O331" xr:uid="{00000000-0002-0000-0100-000006000000}">
      <formula1>"IBOV,CDI,------,IFIX,SMALL,S&amp;P 500"</formula1>
    </dataValidation>
    <dataValidation type="list" allowBlank="1" showErrorMessage="1" sqref="E3:E864" xr:uid="{00000000-0002-0000-0100-000007000000}">
      <formula1>"DF,GO,SUL,SP"</formula1>
    </dataValidation>
    <dataValidation type="list" allowBlank="1" showErrorMessage="1" sqref="H3:H864" xr:uid="{00000000-0002-0000-0100-000008000000}">
      <formula1>"Ativo,Inativo,Encerrado,Pode Operar"</formula1>
    </dataValidation>
    <dataValidation type="list" allowBlank="1" showErrorMessage="1" sqref="S3:S864" xr:uid="{00000000-0002-0000-01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00FF"/>
    <outlinePr summaryBelow="0" summaryRight="0"/>
    <pageSetUpPr fitToPage="1"/>
  </sheetPr>
  <dimension ref="A1:CJ40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48.140625" customWidth="1"/>
    <col min="3" max="3" width="8.28515625" customWidth="1"/>
    <col min="4" max="4" width="13.42578125" customWidth="1"/>
    <col min="5" max="5" width="9" customWidth="1"/>
    <col min="6" max="7" width="15.140625" customWidth="1"/>
    <col min="8" max="9" width="15.28515625" customWidth="1"/>
    <col min="10" max="10" width="8.85546875" customWidth="1"/>
    <col min="11" max="11" width="15.140625" customWidth="1"/>
    <col min="12" max="12" width="12.85546875" customWidth="1"/>
    <col min="13" max="13" width="14" customWidth="1"/>
    <col min="14" max="14" width="14.42578125" customWidth="1"/>
    <col min="15" max="15" width="19.28515625" customWidth="1"/>
    <col min="16" max="16" width="12.7109375" customWidth="1"/>
    <col min="17" max="17" width="74" customWidth="1"/>
    <col min="18" max="18" width="124.425781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3" width="19.140625" customWidth="1"/>
    <col min="24" max="24" width="20.5703125" customWidth="1"/>
    <col min="25" max="25" width="22.5703125" customWidth="1"/>
    <col min="26" max="28" width="20.140625" customWidth="1"/>
    <col min="29" max="34" width="14.28515625" hidden="1" customWidth="1"/>
    <col min="35" max="35" width="14.140625" hidden="1" customWidth="1"/>
    <col min="36" max="46" width="14.28515625" hidden="1" customWidth="1"/>
    <col min="47" max="72" width="15.140625" hidden="1" customWidth="1"/>
    <col min="73" max="88" width="15.140625" customWidth="1"/>
  </cols>
  <sheetData>
    <row r="1" spans="1:88" ht="15.75" customHeight="1">
      <c r="A1" s="649" t="s">
        <v>2882</v>
      </c>
      <c r="B1" s="650"/>
      <c r="C1" s="650"/>
      <c r="D1" s="650"/>
      <c r="E1" s="650"/>
      <c r="F1" s="651"/>
      <c r="G1" s="227" t="s">
        <v>93</v>
      </c>
      <c r="H1" s="652" t="s">
        <v>94</v>
      </c>
      <c r="I1" s="651"/>
      <c r="J1" s="649" t="s">
        <v>2882</v>
      </c>
      <c r="K1" s="650"/>
      <c r="L1" s="650"/>
      <c r="M1" s="650"/>
      <c r="N1" s="650"/>
      <c r="O1" s="650"/>
      <c r="P1" s="651"/>
      <c r="Q1" s="228" t="s">
        <v>2883</v>
      </c>
      <c r="R1" s="229" t="s">
        <v>2882</v>
      </c>
      <c r="S1" s="653" t="s">
        <v>95</v>
      </c>
      <c r="T1" s="650"/>
      <c r="U1" s="650"/>
      <c r="V1" s="650"/>
      <c r="W1" s="650"/>
      <c r="X1" s="650"/>
      <c r="Y1" s="650"/>
      <c r="Z1" s="650"/>
      <c r="AA1" s="650"/>
      <c r="AB1" s="651"/>
      <c r="AC1" s="230" t="s">
        <v>96</v>
      </c>
      <c r="AD1" s="230" t="s">
        <v>96</v>
      </c>
      <c r="AE1" s="230" t="s">
        <v>96</v>
      </c>
      <c r="AF1" s="230" t="s">
        <v>96</v>
      </c>
      <c r="AG1" s="230" t="s">
        <v>96</v>
      </c>
      <c r="AH1" s="230" t="s">
        <v>96</v>
      </c>
      <c r="AI1" s="230" t="s">
        <v>96</v>
      </c>
      <c r="AJ1" s="230" t="s">
        <v>96</v>
      </c>
      <c r="AK1" s="230" t="s">
        <v>96</v>
      </c>
      <c r="AL1" s="230" t="s">
        <v>96</v>
      </c>
      <c r="AM1" s="230" t="s">
        <v>96</v>
      </c>
      <c r="AN1" s="230" t="s">
        <v>96</v>
      </c>
      <c r="AO1" s="230" t="s">
        <v>96</v>
      </c>
      <c r="AP1" s="230" t="s">
        <v>96</v>
      </c>
      <c r="AQ1" s="230" t="s">
        <v>96</v>
      </c>
      <c r="AR1" s="230" t="s">
        <v>96</v>
      </c>
      <c r="AS1" s="230" t="s">
        <v>96</v>
      </c>
      <c r="AT1" s="230" t="s">
        <v>96</v>
      </c>
      <c r="AU1" s="230" t="s">
        <v>96</v>
      </c>
      <c r="AV1" s="230" t="s">
        <v>96</v>
      </c>
      <c r="AW1" s="230" t="s">
        <v>96</v>
      </c>
      <c r="AX1" s="230" t="s">
        <v>96</v>
      </c>
      <c r="AY1" s="230" t="s">
        <v>96</v>
      </c>
      <c r="AZ1" s="230" t="s">
        <v>96</v>
      </c>
      <c r="BA1" s="230" t="s">
        <v>96</v>
      </c>
      <c r="BB1" s="230" t="s">
        <v>96</v>
      </c>
      <c r="BC1" s="230" t="s">
        <v>96</v>
      </c>
      <c r="BD1" s="230" t="s">
        <v>96</v>
      </c>
      <c r="BE1" s="230" t="s">
        <v>96</v>
      </c>
      <c r="BF1" s="230" t="s">
        <v>96</v>
      </c>
      <c r="BG1" s="230" t="s">
        <v>96</v>
      </c>
      <c r="BH1" s="230" t="s">
        <v>96</v>
      </c>
      <c r="BI1" s="230" t="s">
        <v>96</v>
      </c>
      <c r="BJ1" s="230" t="s">
        <v>96</v>
      </c>
      <c r="BK1" s="230" t="s">
        <v>96</v>
      </c>
      <c r="BL1" s="230" t="s">
        <v>96</v>
      </c>
      <c r="BM1" s="230" t="s">
        <v>96</v>
      </c>
      <c r="BN1" s="230" t="s">
        <v>96</v>
      </c>
      <c r="BO1" s="230" t="s">
        <v>96</v>
      </c>
      <c r="BP1" s="230" t="s">
        <v>96</v>
      </c>
      <c r="BQ1" s="230" t="s">
        <v>96</v>
      </c>
      <c r="BR1" s="230" t="s">
        <v>96</v>
      </c>
      <c r="BS1" s="230" t="s">
        <v>96</v>
      </c>
      <c r="BT1" s="230" t="s">
        <v>96</v>
      </c>
      <c r="BU1" s="230" t="s">
        <v>96</v>
      </c>
      <c r="BV1" s="230" t="s">
        <v>96</v>
      </c>
      <c r="BW1" s="230" t="s">
        <v>96</v>
      </c>
      <c r="BX1" s="230" t="s">
        <v>96</v>
      </c>
      <c r="BY1" s="230" t="s">
        <v>96</v>
      </c>
      <c r="BZ1" s="230" t="s">
        <v>96</v>
      </c>
      <c r="CA1" s="230" t="s">
        <v>96</v>
      </c>
      <c r="CB1" s="230" t="s">
        <v>96</v>
      </c>
      <c r="CC1" s="230" t="s">
        <v>96</v>
      </c>
      <c r="CD1" s="230" t="s">
        <v>96</v>
      </c>
      <c r="CE1" s="230" t="s">
        <v>96</v>
      </c>
      <c r="CF1" s="230" t="s">
        <v>96</v>
      </c>
      <c r="CG1" s="230" t="s">
        <v>96</v>
      </c>
      <c r="CH1" s="230" t="s">
        <v>96</v>
      </c>
      <c r="CI1" s="230" t="s">
        <v>96</v>
      </c>
      <c r="CJ1" s="230" t="s">
        <v>96</v>
      </c>
    </row>
    <row r="2" spans="1:88" ht="15.75" customHeight="1">
      <c r="A2" s="20" t="s">
        <v>2</v>
      </c>
      <c r="B2" s="20" t="s">
        <v>97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98</v>
      </c>
      <c r="H2" s="20" t="s">
        <v>99</v>
      </c>
      <c r="I2" s="20" t="s">
        <v>100</v>
      </c>
      <c r="J2" s="20" t="s">
        <v>101</v>
      </c>
      <c r="K2" s="20" t="s">
        <v>102</v>
      </c>
      <c r="L2" s="20" t="s">
        <v>103</v>
      </c>
      <c r="M2" s="20" t="s">
        <v>8</v>
      </c>
      <c r="N2" s="20" t="s">
        <v>104</v>
      </c>
      <c r="O2" s="20" t="s">
        <v>105</v>
      </c>
      <c r="P2" s="20" t="s">
        <v>11</v>
      </c>
      <c r="Q2" s="21" t="s">
        <v>7</v>
      </c>
      <c r="R2" s="21" t="s">
        <v>106</v>
      </c>
      <c r="S2" s="20" t="s">
        <v>107</v>
      </c>
      <c r="T2" s="20" t="s">
        <v>12</v>
      </c>
      <c r="U2" s="20" t="s">
        <v>13</v>
      </c>
      <c r="V2" s="22" t="s">
        <v>108</v>
      </c>
      <c r="W2" s="20" t="s">
        <v>109</v>
      </c>
      <c r="X2" s="20" t="s">
        <v>110</v>
      </c>
      <c r="Y2" s="20" t="s">
        <v>111</v>
      </c>
      <c r="Z2" s="20" t="s">
        <v>112</v>
      </c>
      <c r="AA2" s="20" t="s">
        <v>113</v>
      </c>
      <c r="AB2" s="20" t="s">
        <v>114</v>
      </c>
      <c r="AC2" s="20" t="s">
        <v>2884</v>
      </c>
      <c r="AD2" s="20" t="s">
        <v>2885</v>
      </c>
      <c r="AE2" s="20" t="s">
        <v>2886</v>
      </c>
      <c r="AF2" s="20" t="s">
        <v>2887</v>
      </c>
      <c r="AG2" s="20" t="s">
        <v>2888</v>
      </c>
      <c r="AH2" s="20" t="s">
        <v>2889</v>
      </c>
      <c r="AI2" s="20" t="s">
        <v>2890</v>
      </c>
      <c r="AJ2" s="20" t="s">
        <v>2891</v>
      </c>
      <c r="AK2" s="20" t="s">
        <v>2892</v>
      </c>
      <c r="AL2" s="20" t="s">
        <v>2893</v>
      </c>
      <c r="AM2" s="20" t="s">
        <v>2894</v>
      </c>
      <c r="AN2" s="20" t="s">
        <v>2895</v>
      </c>
      <c r="AO2" s="20" t="s">
        <v>2896</v>
      </c>
      <c r="AP2" s="20" t="s">
        <v>2897</v>
      </c>
      <c r="AQ2" s="20" t="s">
        <v>2898</v>
      </c>
      <c r="AR2" s="20" t="s">
        <v>2899</v>
      </c>
      <c r="AS2" s="20" t="s">
        <v>2900</v>
      </c>
      <c r="AT2" s="20" t="s">
        <v>2901</v>
      </c>
      <c r="AU2" s="20" t="s">
        <v>2902</v>
      </c>
      <c r="AV2" s="20" t="s">
        <v>2903</v>
      </c>
      <c r="AW2" s="20" t="s">
        <v>2904</v>
      </c>
      <c r="AX2" s="20" t="s">
        <v>2905</v>
      </c>
      <c r="AY2" s="20" t="s">
        <v>2906</v>
      </c>
      <c r="AZ2" s="20" t="s">
        <v>2907</v>
      </c>
      <c r="BA2" s="20" t="s">
        <v>2908</v>
      </c>
      <c r="BB2" s="20" t="s">
        <v>2909</v>
      </c>
      <c r="BC2" s="20" t="s">
        <v>2910</v>
      </c>
      <c r="BD2" s="20" t="s">
        <v>2911</v>
      </c>
      <c r="BE2" s="20" t="s">
        <v>2912</v>
      </c>
      <c r="BF2" s="20" t="s">
        <v>2913</v>
      </c>
      <c r="BG2" s="20" t="s">
        <v>2914</v>
      </c>
      <c r="BH2" s="20" t="s">
        <v>2915</v>
      </c>
      <c r="BI2" s="20" t="s">
        <v>2916</v>
      </c>
      <c r="BJ2" s="20" t="s">
        <v>2917</v>
      </c>
      <c r="BK2" s="20" t="s">
        <v>2918</v>
      </c>
      <c r="BL2" s="20" t="s">
        <v>115</v>
      </c>
      <c r="BM2" s="20" t="s">
        <v>116</v>
      </c>
      <c r="BN2" s="20" t="s">
        <v>2919</v>
      </c>
      <c r="BO2" s="20" t="s">
        <v>118</v>
      </c>
      <c r="BP2" s="20" t="s">
        <v>119</v>
      </c>
      <c r="BQ2" s="20" t="s">
        <v>120</v>
      </c>
      <c r="BR2" s="20" t="s">
        <v>121</v>
      </c>
      <c r="BS2" s="20" t="s">
        <v>122</v>
      </c>
      <c r="BT2" s="20" t="s">
        <v>123</v>
      </c>
      <c r="BU2" s="20" t="s">
        <v>124</v>
      </c>
      <c r="BV2" s="20" t="s">
        <v>125</v>
      </c>
      <c r="BW2" s="20" t="s">
        <v>126</v>
      </c>
      <c r="BX2" s="20" t="s">
        <v>127</v>
      </c>
      <c r="BY2" s="20" t="s">
        <v>128</v>
      </c>
      <c r="BZ2" s="20" t="s">
        <v>129</v>
      </c>
      <c r="CA2" s="20" t="s">
        <v>130</v>
      </c>
      <c r="CB2" s="20" t="s">
        <v>131</v>
      </c>
      <c r="CC2" s="20" t="s">
        <v>132</v>
      </c>
      <c r="CD2" s="231" t="s">
        <v>133</v>
      </c>
      <c r="CE2" s="231" t="s">
        <v>134</v>
      </c>
      <c r="CF2" s="231" t="s">
        <v>135</v>
      </c>
      <c r="CG2" s="231" t="s">
        <v>136</v>
      </c>
      <c r="CH2" s="231" t="s">
        <v>137</v>
      </c>
      <c r="CI2" s="231" t="s">
        <v>138</v>
      </c>
      <c r="CJ2" s="231" t="s">
        <v>2920</v>
      </c>
    </row>
    <row r="3" spans="1:88" ht="15.75" customHeight="1">
      <c r="A3" s="36" t="s">
        <v>2921</v>
      </c>
      <c r="B3" s="36" t="s">
        <v>2922</v>
      </c>
      <c r="C3" s="9">
        <v>579904</v>
      </c>
      <c r="D3" s="9" t="s">
        <v>2923</v>
      </c>
      <c r="E3" s="9" t="s">
        <v>20</v>
      </c>
      <c r="F3" s="9" t="s">
        <v>2924</v>
      </c>
      <c r="G3" s="7" t="e">
        <f t="shared" ref="G3:G257" ca="1" si="0">_xludf.IFS($CJ$3:$CJ$678&lt;=200000,"Breno",$CJ$3:$CJ$678&lt;=20000000000,"Bruno",$CJ$3:$CJ$678="","")</f>
        <v>#NAME?</v>
      </c>
      <c r="H3" s="8" t="s">
        <v>161</v>
      </c>
      <c r="I3" s="24" t="s">
        <v>162</v>
      </c>
      <c r="J3" s="9" t="str">
        <f t="shared" ref="J3:J92" si="1">IF(Q3=0,"Não","Sim")</f>
        <v>Não</v>
      </c>
      <c r="K3" s="232">
        <v>43570</v>
      </c>
      <c r="L3" s="6"/>
      <c r="M3" s="6" t="s">
        <v>58</v>
      </c>
      <c r="N3" s="233">
        <v>0.01</v>
      </c>
      <c r="O3" s="9" t="s">
        <v>25</v>
      </c>
      <c r="P3" s="234">
        <v>0</v>
      </c>
      <c r="Q3" s="108"/>
      <c r="R3" s="235" t="s">
        <v>2925</v>
      </c>
      <c r="S3" s="7" t="s">
        <v>145</v>
      </c>
      <c r="T3" s="9" t="s">
        <v>2926</v>
      </c>
      <c r="U3" s="6" t="s">
        <v>20</v>
      </c>
      <c r="V3" s="24" t="e">
        <f t="shared" ref="V3:V257" ca="1" si="2">_xludf.IFS(H:H="Encerrado","Encerrado",COUNTBLANK(BV3:CG3)&gt;0,"Ativo",SUM(BV3:CG3)=0,"Inativo",SUM(BV3:CG3)&gt;0,"Ativo")</f>
        <v>#NAME?</v>
      </c>
      <c r="W3" s="24"/>
      <c r="X3" s="24"/>
      <c r="Y3" s="6" t="s">
        <v>253</v>
      </c>
      <c r="Z3" s="6"/>
      <c r="AA3" s="107">
        <v>43570</v>
      </c>
      <c r="AB3" s="6">
        <v>49075100013535</v>
      </c>
      <c r="AC3" s="110">
        <v>447120.35</v>
      </c>
      <c r="AD3" s="110">
        <v>440380.83</v>
      </c>
      <c r="AE3" s="110">
        <v>427324.53</v>
      </c>
      <c r="AF3" s="110">
        <v>433321.2</v>
      </c>
      <c r="AG3" s="110">
        <v>438487.86</v>
      </c>
      <c r="AH3" s="110">
        <v>442712.83</v>
      </c>
      <c r="AI3" s="110">
        <v>459795.06</v>
      </c>
      <c r="AJ3" s="110">
        <v>461529.88</v>
      </c>
      <c r="AK3" s="110">
        <v>461105.93</v>
      </c>
      <c r="AL3" s="110">
        <v>460647.72</v>
      </c>
      <c r="AM3" s="110">
        <v>470935.49</v>
      </c>
      <c r="AN3" s="110">
        <v>478252.68</v>
      </c>
      <c r="AO3" s="110">
        <v>475399.28</v>
      </c>
      <c r="AP3" s="110">
        <v>464036.03</v>
      </c>
      <c r="AQ3" s="236">
        <v>465687.41</v>
      </c>
      <c r="AR3" s="236">
        <v>474592.33</v>
      </c>
      <c r="AS3" s="236">
        <v>475634.25</v>
      </c>
      <c r="AT3" s="236">
        <v>476080.26</v>
      </c>
      <c r="AU3" s="236">
        <v>480273.27</v>
      </c>
      <c r="AV3" s="110">
        <v>479395.21</v>
      </c>
      <c r="AW3" s="110">
        <v>477928.32</v>
      </c>
      <c r="AX3" s="110">
        <v>474162.73</v>
      </c>
      <c r="AY3" s="110">
        <v>417534.79</v>
      </c>
      <c r="AZ3" s="110">
        <v>464464.66</v>
      </c>
      <c r="BA3" s="110">
        <v>243244.18</v>
      </c>
      <c r="BB3" s="110">
        <v>223194.51</v>
      </c>
      <c r="BC3" s="110">
        <v>215207.03</v>
      </c>
      <c r="BD3" s="110">
        <v>115466.93</v>
      </c>
      <c r="BE3" s="110">
        <v>118445.35</v>
      </c>
      <c r="BF3" s="110">
        <v>99912.02</v>
      </c>
      <c r="BG3" s="237">
        <v>99793.73</v>
      </c>
      <c r="BH3" s="237">
        <v>54115.199999999997</v>
      </c>
      <c r="BI3" s="237">
        <v>54733.42</v>
      </c>
      <c r="BJ3" s="237">
        <v>55392.95</v>
      </c>
      <c r="BK3" s="237">
        <v>26863.9</v>
      </c>
      <c r="BL3" s="237">
        <v>946.22</v>
      </c>
      <c r="BM3" s="237">
        <v>937.29</v>
      </c>
      <c r="BN3" s="237">
        <v>142.30000000000001</v>
      </c>
      <c r="BO3" s="237">
        <v>142.30000000000001</v>
      </c>
      <c r="BP3" s="237">
        <v>142.30000000000001</v>
      </c>
      <c r="BQ3" s="237">
        <v>142.30000000000001</v>
      </c>
      <c r="BR3" s="237">
        <v>142.30000000000001</v>
      </c>
      <c r="BS3" s="237">
        <v>0</v>
      </c>
      <c r="BT3" s="237">
        <v>0</v>
      </c>
      <c r="BU3" s="237">
        <v>0</v>
      </c>
      <c r="BV3" s="237">
        <v>0</v>
      </c>
      <c r="BW3" s="237">
        <v>0</v>
      </c>
      <c r="BX3" s="237">
        <v>0</v>
      </c>
      <c r="BY3" s="237">
        <v>0</v>
      </c>
      <c r="BZ3" s="237">
        <v>0</v>
      </c>
      <c r="CA3" s="237">
        <v>0</v>
      </c>
      <c r="CB3" s="237">
        <v>0</v>
      </c>
      <c r="CC3" s="237">
        <v>0</v>
      </c>
      <c r="CD3" s="237">
        <v>0</v>
      </c>
      <c r="CE3" s="237">
        <v>0</v>
      </c>
      <c r="CF3" s="237">
        <v>0</v>
      </c>
      <c r="CG3" s="237">
        <v>0</v>
      </c>
      <c r="CH3" s="30">
        <v>0</v>
      </c>
      <c r="CI3" s="30">
        <v>0</v>
      </c>
      <c r="CJ3" s="30" t="e">
        <f t="array" aca="1" ref="CJ3" ca="1">_xludf.XLOOKUP(C3,'PL TOTAL D0'!H:H,'PL TOTAL D0'!I:I,"")</f>
        <v>#NAME?</v>
      </c>
    </row>
    <row r="4" spans="1:88" ht="15.75" customHeight="1">
      <c r="A4" s="36" t="s">
        <v>2921</v>
      </c>
      <c r="B4" s="3" t="s">
        <v>2927</v>
      </c>
      <c r="C4" s="9">
        <v>36881</v>
      </c>
      <c r="D4" s="9" t="s">
        <v>19</v>
      </c>
      <c r="E4" s="9" t="s">
        <v>34</v>
      </c>
      <c r="F4" s="9" t="s">
        <v>262</v>
      </c>
      <c r="G4" s="7" t="e">
        <f t="shared" ca="1" si="0"/>
        <v>#NAME?</v>
      </c>
      <c r="H4" s="8" t="s">
        <v>161</v>
      </c>
      <c r="I4" s="24" t="s">
        <v>162</v>
      </c>
      <c r="J4" s="9" t="str">
        <f t="shared" si="1"/>
        <v>Não</v>
      </c>
      <c r="K4" s="232">
        <v>44664</v>
      </c>
      <c r="L4" s="6"/>
      <c r="M4" s="6" t="s">
        <v>58</v>
      </c>
      <c r="N4" s="26">
        <v>1.2E-2</v>
      </c>
      <c r="O4" s="9" t="s">
        <v>25</v>
      </c>
      <c r="P4" s="234">
        <v>0</v>
      </c>
      <c r="Q4" s="23"/>
      <c r="R4" s="28" t="s">
        <v>928</v>
      </c>
      <c r="S4" s="7" t="s">
        <v>145</v>
      </c>
      <c r="T4" s="6" t="s">
        <v>2928</v>
      </c>
      <c r="U4" s="6" t="s">
        <v>39</v>
      </c>
      <c r="V4" s="24" t="e">
        <f t="shared" ca="1" si="2"/>
        <v>#NAME?</v>
      </c>
      <c r="W4" s="24"/>
      <c r="X4" s="24"/>
      <c r="Y4" s="6" t="s">
        <v>253</v>
      </c>
      <c r="Z4" s="6"/>
      <c r="AA4" s="107">
        <v>44664</v>
      </c>
      <c r="AB4" s="6">
        <v>49075100002975</v>
      </c>
      <c r="AC4" s="132"/>
      <c r="AD4" s="132"/>
      <c r="AE4" s="132"/>
      <c r="AF4" s="132"/>
      <c r="AG4" s="132"/>
      <c r="AH4" s="132"/>
      <c r="AI4" s="132"/>
      <c r="AJ4" s="132"/>
      <c r="AK4" s="132"/>
      <c r="AL4" s="132"/>
      <c r="AM4" s="132"/>
      <c r="AN4" s="132"/>
      <c r="AO4" s="132"/>
      <c r="AP4" s="110"/>
      <c r="AQ4" s="236"/>
      <c r="AR4" s="236"/>
      <c r="AS4" s="236"/>
      <c r="AT4" s="236"/>
      <c r="AU4" s="236"/>
      <c r="AV4" s="110"/>
      <c r="AW4" s="110"/>
      <c r="AX4" s="110"/>
      <c r="AY4" s="110"/>
      <c r="AZ4" s="110"/>
      <c r="BA4" s="110"/>
      <c r="BB4" s="110"/>
      <c r="BC4" s="110"/>
      <c r="BD4" s="110">
        <v>0</v>
      </c>
      <c r="BE4" s="110"/>
      <c r="BF4" s="110">
        <v>321148.21999999997</v>
      </c>
      <c r="BG4" s="237">
        <v>318367.15999999997</v>
      </c>
      <c r="BH4" s="237">
        <v>309554.83</v>
      </c>
      <c r="BI4" s="237">
        <v>311906.71000000002</v>
      </c>
      <c r="BJ4" s="237">
        <v>315400.40999999997</v>
      </c>
      <c r="BK4" s="237">
        <v>318200.73</v>
      </c>
      <c r="BL4" s="237">
        <v>324981.40000000002</v>
      </c>
      <c r="BM4" s="237">
        <v>323541.74</v>
      </c>
      <c r="BN4" s="237">
        <v>326679.21999999997</v>
      </c>
      <c r="BO4" s="237">
        <v>330622.45</v>
      </c>
      <c r="BP4" s="237">
        <v>333668.03000000003</v>
      </c>
      <c r="BQ4" s="237">
        <v>133897.54</v>
      </c>
      <c r="BR4" s="237">
        <v>73.760000000000005</v>
      </c>
      <c r="BS4" s="237">
        <v>73.760000000000005</v>
      </c>
      <c r="BT4" s="237">
        <v>0</v>
      </c>
      <c r="BU4" s="237">
        <v>0</v>
      </c>
      <c r="BV4" s="237">
        <v>0</v>
      </c>
      <c r="BW4" s="237">
        <v>0</v>
      </c>
      <c r="BX4" s="237">
        <v>0</v>
      </c>
      <c r="BY4" s="237">
        <v>0</v>
      </c>
      <c r="BZ4" s="237">
        <v>0</v>
      </c>
      <c r="CA4" s="237">
        <v>0</v>
      </c>
      <c r="CB4" s="237">
        <v>0</v>
      </c>
      <c r="CC4" s="237">
        <v>0</v>
      </c>
      <c r="CD4" s="237">
        <v>0</v>
      </c>
      <c r="CE4" s="237">
        <v>0</v>
      </c>
      <c r="CF4" s="237">
        <v>0</v>
      </c>
      <c r="CG4" s="237">
        <v>0</v>
      </c>
      <c r="CH4" s="30">
        <v>0</v>
      </c>
      <c r="CI4" s="30">
        <v>0</v>
      </c>
      <c r="CJ4" s="30" t="e">
        <f t="array" aca="1" ref="CJ4" ca="1">_xludf.XLOOKUP(C4,'PL TOTAL D0'!H:H,'PL TOTAL D0'!I:I,"")</f>
        <v>#NAME?</v>
      </c>
    </row>
    <row r="5" spans="1:88" ht="15.75" customHeight="1">
      <c r="A5" s="36" t="s">
        <v>2921</v>
      </c>
      <c r="B5" s="3" t="s">
        <v>2929</v>
      </c>
      <c r="C5" s="9">
        <v>448162</v>
      </c>
      <c r="D5" s="9" t="s">
        <v>2923</v>
      </c>
      <c r="E5" s="9" t="s">
        <v>20</v>
      </c>
      <c r="F5" s="6" t="s">
        <v>2930</v>
      </c>
      <c r="G5" s="7" t="e">
        <f t="shared" ca="1" si="0"/>
        <v>#NAME?</v>
      </c>
      <c r="H5" s="8" t="s">
        <v>143</v>
      </c>
      <c r="I5" s="24" t="s">
        <v>25</v>
      </c>
      <c r="J5" s="9" t="str">
        <f t="shared" si="1"/>
        <v>Não</v>
      </c>
      <c r="K5" s="107">
        <v>43874</v>
      </c>
      <c r="L5" s="107">
        <v>44314</v>
      </c>
      <c r="M5" s="6" t="s">
        <v>200</v>
      </c>
      <c r="N5" s="10">
        <v>1.2E-2</v>
      </c>
      <c r="O5" s="9" t="s">
        <v>37</v>
      </c>
      <c r="P5" s="234">
        <v>0.1</v>
      </c>
      <c r="Q5" s="23"/>
      <c r="R5" s="45"/>
      <c r="S5" s="7" t="s">
        <v>145</v>
      </c>
      <c r="T5" s="6" t="s">
        <v>2931</v>
      </c>
      <c r="U5" s="6" t="s">
        <v>20</v>
      </c>
      <c r="V5" s="24" t="e">
        <f t="shared" ca="1" si="2"/>
        <v>#NAME?</v>
      </c>
      <c r="W5" s="24"/>
      <c r="X5" s="24"/>
      <c r="Y5" s="6"/>
      <c r="Z5" s="6"/>
      <c r="AA5" s="6"/>
      <c r="AB5" s="6"/>
      <c r="AC5" s="110">
        <v>0</v>
      </c>
      <c r="AD5" s="110">
        <v>96776.56</v>
      </c>
      <c r="AE5" s="110">
        <v>183783.56</v>
      </c>
      <c r="AF5" s="110">
        <v>287893.40000000002</v>
      </c>
      <c r="AG5" s="110">
        <v>291343.78999999998</v>
      </c>
      <c r="AH5" s="110">
        <v>294698.38</v>
      </c>
      <c r="AI5" s="110">
        <v>299232.65999999997</v>
      </c>
      <c r="AJ5" s="110">
        <v>292938.64</v>
      </c>
      <c r="AK5" s="110">
        <v>288710.24</v>
      </c>
      <c r="AL5" s="110">
        <v>288349.59000000003</v>
      </c>
      <c r="AM5" s="110">
        <v>300617.48</v>
      </c>
      <c r="AN5" s="110">
        <v>305040.57</v>
      </c>
      <c r="AO5" s="110">
        <v>301563.7</v>
      </c>
      <c r="AP5" s="110">
        <v>294929.90000000002</v>
      </c>
      <c r="AQ5" s="110">
        <v>292735.32</v>
      </c>
      <c r="AR5" s="110">
        <v>299695.62</v>
      </c>
      <c r="AS5" s="110">
        <v>298979.36</v>
      </c>
      <c r="AT5" s="110">
        <v>143498.87</v>
      </c>
      <c r="AU5" s="110">
        <v>43479.59</v>
      </c>
      <c r="AV5" s="110">
        <v>43645</v>
      </c>
      <c r="AW5" s="110">
        <v>44066.83</v>
      </c>
      <c r="AX5" s="110">
        <v>44272.959999999999</v>
      </c>
      <c r="AY5" s="110">
        <v>44455.41</v>
      </c>
      <c r="AZ5" s="110">
        <v>45100.47</v>
      </c>
      <c r="BA5" s="110"/>
      <c r="BB5" s="110"/>
      <c r="BC5" s="110"/>
      <c r="BD5" s="110">
        <v>0</v>
      </c>
      <c r="BE5" s="110">
        <v>0</v>
      </c>
      <c r="BF5" s="110">
        <v>0</v>
      </c>
      <c r="BG5" s="110" t="s">
        <v>2932</v>
      </c>
      <c r="BH5" s="110">
        <v>0</v>
      </c>
      <c r="BI5" s="110">
        <v>0</v>
      </c>
      <c r="BJ5" s="110">
        <v>0</v>
      </c>
      <c r="BK5" s="237">
        <v>0</v>
      </c>
      <c r="BL5" s="237">
        <v>0</v>
      </c>
      <c r="BM5" s="237">
        <v>0</v>
      </c>
      <c r="BN5" s="237">
        <v>0</v>
      </c>
      <c r="BO5" s="237">
        <v>0</v>
      </c>
      <c r="BP5" s="237">
        <v>0</v>
      </c>
      <c r="BQ5" s="237">
        <v>0</v>
      </c>
      <c r="BR5" s="237">
        <v>0</v>
      </c>
      <c r="BS5" s="237">
        <v>0</v>
      </c>
      <c r="BT5" s="237">
        <v>0</v>
      </c>
      <c r="BU5" s="237">
        <v>0</v>
      </c>
      <c r="BV5" s="237">
        <v>0</v>
      </c>
      <c r="BW5" s="237">
        <v>0</v>
      </c>
      <c r="BX5" s="237">
        <v>0</v>
      </c>
      <c r="BY5" s="237">
        <v>0</v>
      </c>
      <c r="BZ5" s="237">
        <v>0</v>
      </c>
      <c r="CA5" s="237">
        <v>0</v>
      </c>
      <c r="CB5" s="237">
        <v>0</v>
      </c>
      <c r="CC5" s="237">
        <v>0</v>
      </c>
      <c r="CD5" s="237">
        <v>0</v>
      </c>
      <c r="CE5" s="237">
        <v>0</v>
      </c>
      <c r="CF5" s="237">
        <v>0</v>
      </c>
      <c r="CG5" s="237">
        <v>0</v>
      </c>
      <c r="CH5" s="30">
        <v>0</v>
      </c>
      <c r="CI5" s="30">
        <v>0</v>
      </c>
      <c r="CJ5" s="30" t="e">
        <f t="array" aca="1" ref="CJ5" ca="1">_xludf.XLOOKUP(C5,'PL TOTAL D0'!H:H,'PL TOTAL D0'!I:I,"")</f>
        <v>#NAME?</v>
      </c>
    </row>
    <row r="6" spans="1:88" ht="15.75" customHeight="1">
      <c r="A6" s="36" t="s">
        <v>2921</v>
      </c>
      <c r="B6" s="3" t="s">
        <v>2933</v>
      </c>
      <c r="C6" s="9">
        <v>34899</v>
      </c>
      <c r="D6" s="9" t="s">
        <v>19</v>
      </c>
      <c r="E6" s="9" t="s">
        <v>34</v>
      </c>
      <c r="F6" s="9" t="s">
        <v>262</v>
      </c>
      <c r="G6" s="7" t="e">
        <f t="shared" ca="1" si="0"/>
        <v>#NAME?</v>
      </c>
      <c r="H6" s="8" t="s">
        <v>161</v>
      </c>
      <c r="I6" s="24" t="s">
        <v>162</v>
      </c>
      <c r="J6" s="9" t="str">
        <f t="shared" si="1"/>
        <v>Não</v>
      </c>
      <c r="K6" s="232">
        <v>44321</v>
      </c>
      <c r="L6" s="6"/>
      <c r="M6" s="6" t="s">
        <v>58</v>
      </c>
      <c r="N6" s="26">
        <v>1.2E-2</v>
      </c>
      <c r="O6" s="9" t="s">
        <v>25</v>
      </c>
      <c r="P6" s="234">
        <v>0</v>
      </c>
      <c r="Q6" s="23"/>
      <c r="R6" s="28" t="s">
        <v>2934</v>
      </c>
      <c r="S6" s="7" t="s">
        <v>145</v>
      </c>
      <c r="T6" s="6" t="s">
        <v>2935</v>
      </c>
      <c r="U6" s="6" t="s">
        <v>39</v>
      </c>
      <c r="V6" s="24" t="e">
        <f t="shared" ca="1" si="2"/>
        <v>#NAME?</v>
      </c>
      <c r="W6" s="24"/>
      <c r="X6" s="24"/>
      <c r="Y6" s="6" t="s">
        <v>147</v>
      </c>
      <c r="Z6" s="6"/>
      <c r="AA6" s="107">
        <v>44321</v>
      </c>
      <c r="AB6" s="6">
        <v>49075100010439</v>
      </c>
      <c r="AC6" s="132"/>
      <c r="AD6" s="132"/>
      <c r="AE6" s="132"/>
      <c r="AF6" s="132"/>
      <c r="AG6" s="132"/>
      <c r="AH6" s="132"/>
      <c r="AI6" s="132"/>
      <c r="AJ6" s="132"/>
      <c r="AK6" s="132"/>
      <c r="AL6" s="132"/>
      <c r="AM6" s="132"/>
      <c r="AN6" s="132"/>
      <c r="AO6" s="132"/>
      <c r="AP6" s="110"/>
      <c r="AQ6" s="236"/>
      <c r="AR6" s="236"/>
      <c r="AS6" s="236"/>
      <c r="AT6" s="236"/>
      <c r="AU6" s="236">
        <v>2891541.71</v>
      </c>
      <c r="AV6" s="110">
        <v>2889339.52</v>
      </c>
      <c r="AW6" s="110">
        <v>2530492.36</v>
      </c>
      <c r="AX6" s="110">
        <v>2205281.0099999998</v>
      </c>
      <c r="AY6" s="110">
        <v>2191383.2799999998</v>
      </c>
      <c r="AZ6" s="110">
        <v>2062360.45</v>
      </c>
      <c r="BA6" s="110">
        <v>1956984.15</v>
      </c>
      <c r="BB6" s="110">
        <v>1753200.49</v>
      </c>
      <c r="BC6" s="110">
        <v>1675241.7</v>
      </c>
      <c r="BD6" s="110">
        <v>1539225.57</v>
      </c>
      <c r="BE6" s="110">
        <v>1590835.53</v>
      </c>
      <c r="BF6" s="110">
        <v>1477667.26</v>
      </c>
      <c r="BG6" s="237">
        <v>1481285.3</v>
      </c>
      <c r="BH6" s="237">
        <v>1478090.7</v>
      </c>
      <c r="BI6" s="237">
        <v>1488079.04</v>
      </c>
      <c r="BJ6" s="237">
        <v>1405419.27</v>
      </c>
      <c r="BK6" s="237">
        <v>1419714.13</v>
      </c>
      <c r="BL6" s="237">
        <v>1446855.21</v>
      </c>
      <c r="BM6" s="237">
        <v>710635.69</v>
      </c>
      <c r="BN6" s="237">
        <v>702639.91</v>
      </c>
      <c r="BO6" s="237">
        <v>345490.07</v>
      </c>
      <c r="BP6" s="237">
        <v>311293.96000000002</v>
      </c>
      <c r="BQ6" s="237">
        <v>852.54</v>
      </c>
      <c r="BR6" s="237">
        <v>852.54</v>
      </c>
      <c r="BS6" s="237">
        <v>0</v>
      </c>
      <c r="BT6" s="237">
        <v>0</v>
      </c>
      <c r="BU6" s="237">
        <v>0</v>
      </c>
      <c r="BV6" s="237">
        <v>0</v>
      </c>
      <c r="BW6" s="237">
        <v>0</v>
      </c>
      <c r="BX6" s="237">
        <v>0</v>
      </c>
      <c r="BY6" s="237">
        <v>0</v>
      </c>
      <c r="BZ6" s="237">
        <v>0</v>
      </c>
      <c r="CA6" s="237">
        <v>0</v>
      </c>
      <c r="CB6" s="237">
        <v>0</v>
      </c>
      <c r="CC6" s="237">
        <v>0</v>
      </c>
      <c r="CD6" s="237">
        <v>0</v>
      </c>
      <c r="CE6" s="237">
        <v>0</v>
      </c>
      <c r="CF6" s="237">
        <v>0</v>
      </c>
      <c r="CG6" s="237">
        <v>0</v>
      </c>
      <c r="CH6" s="30">
        <v>0</v>
      </c>
      <c r="CI6" s="30">
        <v>0</v>
      </c>
      <c r="CJ6" s="30" t="e">
        <f t="array" aca="1" ref="CJ6" ca="1">_xludf.XLOOKUP(C6,'PL TOTAL D0'!H:H,'PL TOTAL D0'!I:I,"")</f>
        <v>#NAME?</v>
      </c>
    </row>
    <row r="7" spans="1:88" ht="15.75" customHeight="1">
      <c r="A7" s="36" t="s">
        <v>2921</v>
      </c>
      <c r="B7" s="36" t="s">
        <v>2936</v>
      </c>
      <c r="C7" s="9">
        <v>439947</v>
      </c>
      <c r="D7" s="9" t="s">
        <v>2923</v>
      </c>
      <c r="E7" s="9" t="s">
        <v>20</v>
      </c>
      <c r="F7" s="9" t="s">
        <v>2930</v>
      </c>
      <c r="G7" s="7" t="e">
        <f t="shared" ca="1" si="0"/>
        <v>#NAME?</v>
      </c>
      <c r="H7" s="8" t="s">
        <v>161</v>
      </c>
      <c r="I7" s="24" t="s">
        <v>162</v>
      </c>
      <c r="J7" s="9" t="str">
        <f t="shared" si="1"/>
        <v>Não</v>
      </c>
      <c r="K7" s="238">
        <v>43780</v>
      </c>
      <c r="L7" s="6"/>
      <c r="M7" s="6" t="s">
        <v>58</v>
      </c>
      <c r="N7" s="10">
        <v>1.2E-2</v>
      </c>
      <c r="O7" s="9" t="s">
        <v>25</v>
      </c>
      <c r="P7" s="234">
        <v>0</v>
      </c>
      <c r="Q7" s="45"/>
      <c r="R7" s="108" t="s">
        <v>2937</v>
      </c>
      <c r="S7" s="7" t="s">
        <v>145</v>
      </c>
      <c r="T7" s="9" t="s">
        <v>2938</v>
      </c>
      <c r="U7" s="6" t="s">
        <v>20</v>
      </c>
      <c r="V7" s="24" t="e">
        <f t="shared" ca="1" si="2"/>
        <v>#NAME?</v>
      </c>
      <c r="W7" s="24"/>
      <c r="X7" s="24"/>
      <c r="Y7" s="6" t="s">
        <v>253</v>
      </c>
      <c r="Z7" s="6"/>
      <c r="AA7" s="239">
        <v>43780</v>
      </c>
      <c r="AB7" s="6">
        <v>49075100003157</v>
      </c>
      <c r="AC7" s="110">
        <v>101253.6</v>
      </c>
      <c r="AD7" s="110">
        <v>99688.16</v>
      </c>
      <c r="AE7" s="110">
        <v>93768.21</v>
      </c>
      <c r="AF7" s="110">
        <v>95615.45</v>
      </c>
      <c r="AG7" s="110">
        <v>95766.75</v>
      </c>
      <c r="AH7" s="110">
        <v>96629.85</v>
      </c>
      <c r="AI7" s="110">
        <v>98214.18</v>
      </c>
      <c r="AJ7" s="110">
        <v>96572.31</v>
      </c>
      <c r="AK7" s="110">
        <v>95876.01</v>
      </c>
      <c r="AL7" s="110">
        <v>95925.29</v>
      </c>
      <c r="AM7" s="110">
        <v>98856.94</v>
      </c>
      <c r="AN7" s="110">
        <v>99917.39</v>
      </c>
      <c r="AO7" s="110">
        <v>99343.7</v>
      </c>
      <c r="AP7" s="110">
        <v>97654.46</v>
      </c>
      <c r="AQ7" s="236">
        <v>96878.35</v>
      </c>
      <c r="AR7" s="236">
        <v>97180.23</v>
      </c>
      <c r="AS7" s="236">
        <v>98071.5</v>
      </c>
      <c r="AT7" s="236">
        <v>98060.43</v>
      </c>
      <c r="AU7" s="236">
        <v>98978.72</v>
      </c>
      <c r="AV7" s="110">
        <v>98782.62</v>
      </c>
      <c r="AW7" s="110">
        <v>98443.64</v>
      </c>
      <c r="AX7" s="110">
        <v>97602.23</v>
      </c>
      <c r="AY7" s="110">
        <v>76715.88</v>
      </c>
      <c r="AZ7" s="110">
        <v>95224.21</v>
      </c>
      <c r="BA7" s="110">
        <v>95292.08</v>
      </c>
      <c r="BB7" s="110">
        <v>59688.47</v>
      </c>
      <c r="BC7" s="110">
        <v>60652.160000000003</v>
      </c>
      <c r="BD7" s="110">
        <v>39028.18</v>
      </c>
      <c r="BE7" s="110">
        <v>39817.089999999997</v>
      </c>
      <c r="BF7" s="110">
        <v>39036.17</v>
      </c>
      <c r="BG7" s="237">
        <v>31127.55</v>
      </c>
      <c r="BH7" s="237">
        <v>0</v>
      </c>
      <c r="BI7" s="237">
        <v>31046.21</v>
      </c>
      <c r="BJ7" s="237">
        <v>31542.78</v>
      </c>
      <c r="BK7" s="237">
        <v>31700.77</v>
      </c>
      <c r="BL7" s="237">
        <v>32125.5</v>
      </c>
      <c r="BM7" s="237">
        <v>5988.98</v>
      </c>
      <c r="BN7" s="237">
        <v>5756.62</v>
      </c>
      <c r="BO7" s="237">
        <v>5991.44</v>
      </c>
      <c r="BP7" s="237">
        <v>5600.13</v>
      </c>
      <c r="BQ7" s="237">
        <v>5338.74</v>
      </c>
      <c r="BR7" s="237">
        <v>5402.61</v>
      </c>
      <c r="BS7" s="237">
        <v>6070.66</v>
      </c>
      <c r="BT7" s="237">
        <v>0</v>
      </c>
      <c r="BU7" s="237">
        <v>0</v>
      </c>
      <c r="BV7" s="237">
        <v>0</v>
      </c>
      <c r="BW7" s="237">
        <v>0</v>
      </c>
      <c r="BX7" s="237">
        <v>0</v>
      </c>
      <c r="BY7" s="237">
        <v>0</v>
      </c>
      <c r="BZ7" s="237">
        <v>0</v>
      </c>
      <c r="CA7" s="237">
        <v>0</v>
      </c>
      <c r="CB7" s="237">
        <v>0</v>
      </c>
      <c r="CC7" s="237">
        <v>2124.89</v>
      </c>
      <c r="CD7" s="237">
        <v>2018.93</v>
      </c>
      <c r="CE7" s="237">
        <v>0</v>
      </c>
      <c r="CF7" s="237">
        <v>0</v>
      </c>
      <c r="CG7" s="237">
        <v>0</v>
      </c>
      <c r="CH7" s="30">
        <v>0</v>
      </c>
      <c r="CI7" s="30">
        <v>0</v>
      </c>
      <c r="CJ7" s="30" t="e">
        <f t="array" aca="1" ref="CJ7" ca="1">_xludf.XLOOKUP(C7,'PL TOTAL D0'!H:H,'PL TOTAL D0'!I:I,"")</f>
        <v>#NAME?</v>
      </c>
    </row>
    <row r="8" spans="1:88" ht="15.75" customHeight="1">
      <c r="A8" s="36" t="s">
        <v>2921</v>
      </c>
      <c r="B8" s="3" t="s">
        <v>2939</v>
      </c>
      <c r="C8" s="9">
        <v>442725</v>
      </c>
      <c r="D8" s="9" t="s">
        <v>19</v>
      </c>
      <c r="E8" s="9" t="s">
        <v>20</v>
      </c>
      <c r="F8" s="9" t="s">
        <v>210</v>
      </c>
      <c r="G8" s="7" t="e">
        <f t="shared" ca="1" si="0"/>
        <v>#NAME?</v>
      </c>
      <c r="H8" s="8" t="s">
        <v>152</v>
      </c>
      <c r="I8" s="24" t="s">
        <v>25</v>
      </c>
      <c r="J8" s="9" t="str">
        <f t="shared" si="1"/>
        <v>Não</v>
      </c>
      <c r="K8" s="238">
        <v>43816</v>
      </c>
      <c r="L8" s="6"/>
      <c r="M8" s="6" t="s">
        <v>58</v>
      </c>
      <c r="N8" s="10">
        <v>1.2E-2</v>
      </c>
      <c r="O8" s="9" t="s">
        <v>25</v>
      </c>
      <c r="P8" s="234">
        <v>0</v>
      </c>
      <c r="Q8" s="108"/>
      <c r="R8" s="108" t="s">
        <v>2940</v>
      </c>
      <c r="S8" s="7" t="s">
        <v>145</v>
      </c>
      <c r="T8" s="6" t="s">
        <v>2941</v>
      </c>
      <c r="U8" s="6" t="s">
        <v>20</v>
      </c>
      <c r="V8" s="24" t="e">
        <f t="shared" ca="1" si="2"/>
        <v>#NAME?</v>
      </c>
      <c r="W8" s="24"/>
      <c r="X8" s="24"/>
      <c r="Y8" s="6" t="s">
        <v>253</v>
      </c>
      <c r="Z8" s="6"/>
      <c r="AA8" s="239">
        <v>43816</v>
      </c>
      <c r="AB8" s="6">
        <v>49075100010447</v>
      </c>
      <c r="AC8" s="110">
        <v>49089.19</v>
      </c>
      <c r="AD8" s="110">
        <v>48728.46</v>
      </c>
      <c r="AE8" s="110">
        <v>45945.67</v>
      </c>
      <c r="AF8" s="110">
        <v>46733.59</v>
      </c>
      <c r="AG8" s="110">
        <v>46657.45</v>
      </c>
      <c r="AH8" s="110">
        <v>47100.22</v>
      </c>
      <c r="AI8" s="110">
        <v>47534.21</v>
      </c>
      <c r="AJ8" s="110">
        <v>46543.29</v>
      </c>
      <c r="AK8" s="110">
        <v>46257.87</v>
      </c>
      <c r="AL8" s="110">
        <v>46215.1</v>
      </c>
      <c r="AM8" s="110">
        <v>47791.19</v>
      </c>
      <c r="AN8" s="110">
        <v>47840.2</v>
      </c>
      <c r="AO8" s="110">
        <v>47524.72</v>
      </c>
      <c r="AP8" s="110">
        <v>46648.32</v>
      </c>
      <c r="AQ8" s="236">
        <v>46295.48</v>
      </c>
      <c r="AR8" s="236">
        <v>46310.54</v>
      </c>
      <c r="AS8" s="236">
        <v>47001.66</v>
      </c>
      <c r="AT8" s="236">
        <v>46708.13</v>
      </c>
      <c r="AU8" s="236">
        <v>47017.65</v>
      </c>
      <c r="AV8" s="110">
        <v>46867.03</v>
      </c>
      <c r="AW8" s="110">
        <v>46700.58</v>
      </c>
      <c r="AX8" s="110">
        <v>46280.12</v>
      </c>
      <c r="AY8" s="110">
        <v>45918.33</v>
      </c>
      <c r="AZ8" s="110">
        <v>45068.800000000003</v>
      </c>
      <c r="BA8" s="110">
        <v>45124.76</v>
      </c>
      <c r="BB8" s="110">
        <v>45506.57</v>
      </c>
      <c r="BC8" s="110">
        <v>45858.99</v>
      </c>
      <c r="BD8" s="110">
        <v>46225.53</v>
      </c>
      <c r="BE8" s="110">
        <v>47402.26</v>
      </c>
      <c r="BF8" s="110">
        <v>47274.14</v>
      </c>
      <c r="BG8" s="237">
        <v>47671.7</v>
      </c>
      <c r="BH8" s="237">
        <v>47564.83</v>
      </c>
      <c r="BI8" s="237">
        <v>47751.61</v>
      </c>
      <c r="BJ8" s="237">
        <v>48652.03</v>
      </c>
      <c r="BK8" s="237">
        <v>48797.440000000002</v>
      </c>
      <c r="BL8" s="237">
        <v>49633</v>
      </c>
      <c r="BM8" s="237">
        <v>49282.99</v>
      </c>
      <c r="BN8" s="237">
        <v>49678.47</v>
      </c>
      <c r="BO8" s="237">
        <v>50315.96</v>
      </c>
      <c r="BP8" s="237">
        <v>43006.58</v>
      </c>
      <c r="BQ8" s="237">
        <v>51346.01</v>
      </c>
      <c r="BR8" s="237">
        <v>51742.29</v>
      </c>
      <c r="BS8" s="237">
        <v>62033.63</v>
      </c>
      <c r="BT8" s="237">
        <v>52239.43</v>
      </c>
      <c r="BU8" s="237">
        <v>52668.38</v>
      </c>
      <c r="BV8" s="237">
        <v>0</v>
      </c>
      <c r="BW8" s="237">
        <v>53239.09</v>
      </c>
      <c r="BX8" s="237">
        <v>53353.04</v>
      </c>
      <c r="BY8" s="237">
        <v>43166.55</v>
      </c>
      <c r="BZ8" s="237">
        <v>43790.34</v>
      </c>
      <c r="CA8" s="237">
        <v>43780.83</v>
      </c>
      <c r="CB8" s="237">
        <v>44166.18</v>
      </c>
      <c r="CC8" s="237">
        <v>44546.78</v>
      </c>
      <c r="CD8" s="237">
        <v>53896.18</v>
      </c>
      <c r="CE8" s="237">
        <v>53789.03</v>
      </c>
      <c r="CF8" s="237">
        <v>54758</v>
      </c>
      <c r="CG8" s="237">
        <v>53608.58</v>
      </c>
      <c r="CH8" s="30">
        <v>55685.26</v>
      </c>
      <c r="CI8" s="30">
        <v>55877.59</v>
      </c>
      <c r="CJ8" s="30" t="e">
        <f t="array" aca="1" ref="CJ8" ca="1">_xludf.XLOOKUP(C8,'PL TOTAL D0'!H:H,'PL TOTAL D0'!I:I,"")</f>
        <v>#NAME?</v>
      </c>
    </row>
    <row r="9" spans="1:88" ht="15.75" customHeight="1">
      <c r="A9" s="36" t="s">
        <v>2921</v>
      </c>
      <c r="B9" s="3" t="s">
        <v>197</v>
      </c>
      <c r="C9" s="9">
        <v>462138</v>
      </c>
      <c r="D9" s="9" t="s">
        <v>19</v>
      </c>
      <c r="E9" s="9" t="s">
        <v>20</v>
      </c>
      <c r="F9" s="6" t="s">
        <v>2512</v>
      </c>
      <c r="G9" s="7" t="e">
        <f t="shared" ca="1" si="0"/>
        <v>#NAME?</v>
      </c>
      <c r="H9" s="8" t="s">
        <v>143</v>
      </c>
      <c r="I9" s="24" t="s">
        <v>25</v>
      </c>
      <c r="J9" s="9" t="str">
        <f t="shared" si="1"/>
        <v>Não</v>
      </c>
      <c r="K9" s="107">
        <v>44006</v>
      </c>
      <c r="L9" s="107">
        <v>44309</v>
      </c>
      <c r="M9" s="6" t="s">
        <v>200</v>
      </c>
      <c r="N9" s="10">
        <v>1.4999999999999999E-2</v>
      </c>
      <c r="O9" s="9" t="s">
        <v>37</v>
      </c>
      <c r="P9" s="234">
        <v>0.1</v>
      </c>
      <c r="Q9" s="45"/>
      <c r="R9" s="108" t="s">
        <v>2942</v>
      </c>
      <c r="S9" s="7" t="s">
        <v>145</v>
      </c>
      <c r="T9" s="6" t="s">
        <v>201</v>
      </c>
      <c r="U9" s="6" t="s">
        <v>20</v>
      </c>
      <c r="V9" s="24" t="e">
        <f t="shared" ca="1" si="2"/>
        <v>#NAME?</v>
      </c>
      <c r="W9" s="24"/>
      <c r="X9" s="24"/>
      <c r="Y9" s="6"/>
      <c r="Z9" s="6"/>
      <c r="AA9" s="6"/>
      <c r="AB9" s="6"/>
      <c r="AC9" s="240"/>
      <c r="AD9" s="240"/>
      <c r="AE9" s="240"/>
      <c r="AF9" s="110"/>
      <c r="AG9" s="110">
        <v>0</v>
      </c>
      <c r="AH9" s="110">
        <v>147203.24</v>
      </c>
      <c r="AI9" s="110">
        <v>243731.48</v>
      </c>
      <c r="AJ9" s="110">
        <v>237082.99</v>
      </c>
      <c r="AK9" s="110">
        <v>231799.36</v>
      </c>
      <c r="AL9" s="110">
        <v>223307.59</v>
      </c>
      <c r="AM9" s="110">
        <v>247943.17</v>
      </c>
      <c r="AN9" s="110">
        <v>254677.31</v>
      </c>
      <c r="AO9" s="110">
        <v>250734.52</v>
      </c>
      <c r="AP9" s="110">
        <v>5153.2</v>
      </c>
      <c r="AQ9" s="110">
        <v>5399.43</v>
      </c>
      <c r="AR9" s="110">
        <v>219.76</v>
      </c>
      <c r="AS9" s="110">
        <v>219.76</v>
      </c>
      <c r="AT9" s="110">
        <v>219.76</v>
      </c>
      <c r="AU9" s="110"/>
      <c r="AV9" s="240"/>
      <c r="AW9" s="240"/>
      <c r="AX9" s="240"/>
      <c r="AY9" s="110"/>
      <c r="AZ9" s="110"/>
      <c r="BA9" s="110"/>
      <c r="BB9" s="110"/>
      <c r="BC9" s="110"/>
      <c r="BD9" s="110">
        <v>0</v>
      </c>
      <c r="BE9" s="110">
        <v>0</v>
      </c>
      <c r="BF9" s="110">
        <v>0</v>
      </c>
      <c r="BG9" s="110" t="s">
        <v>2932</v>
      </c>
      <c r="BH9" s="110">
        <v>0</v>
      </c>
      <c r="BI9" s="110">
        <v>0</v>
      </c>
      <c r="BJ9" s="110">
        <v>0</v>
      </c>
      <c r="BK9" s="237">
        <v>0</v>
      </c>
      <c r="BL9" s="237">
        <v>0</v>
      </c>
      <c r="BM9" s="237">
        <v>0</v>
      </c>
      <c r="BN9" s="237">
        <v>0</v>
      </c>
      <c r="BO9" s="237">
        <v>0</v>
      </c>
      <c r="BP9" s="237">
        <v>0</v>
      </c>
      <c r="BQ9" s="237">
        <v>0</v>
      </c>
      <c r="BR9" s="237">
        <v>0</v>
      </c>
      <c r="BS9" s="237">
        <v>0</v>
      </c>
      <c r="BT9" s="237">
        <v>0</v>
      </c>
      <c r="BU9" s="237">
        <v>0</v>
      </c>
      <c r="BV9" s="237">
        <v>0</v>
      </c>
      <c r="BW9" s="237">
        <v>0</v>
      </c>
      <c r="BX9" s="237">
        <v>0</v>
      </c>
      <c r="BY9" s="237">
        <v>0</v>
      </c>
      <c r="BZ9" s="237">
        <v>0</v>
      </c>
      <c r="CA9" s="237">
        <v>0</v>
      </c>
      <c r="CB9" s="237">
        <v>0</v>
      </c>
      <c r="CC9" s="237">
        <v>0</v>
      </c>
      <c r="CD9" s="237">
        <v>0</v>
      </c>
      <c r="CE9" s="237">
        <v>0</v>
      </c>
      <c r="CF9" s="237">
        <v>0</v>
      </c>
      <c r="CG9" s="237">
        <v>0</v>
      </c>
      <c r="CH9" s="30">
        <v>0</v>
      </c>
      <c r="CI9" s="30">
        <v>0</v>
      </c>
      <c r="CJ9" s="30" t="e">
        <f t="array" aca="1" ref="CJ9" ca="1">_xludf.XLOOKUP(C9,'PL TOTAL D0'!H:H,'PL TOTAL D0'!I:I,"")</f>
        <v>#NAME?</v>
      </c>
    </row>
    <row r="10" spans="1:88" ht="15.75" customHeight="1">
      <c r="A10" s="36" t="s">
        <v>2921</v>
      </c>
      <c r="B10" s="3" t="s">
        <v>2943</v>
      </c>
      <c r="C10" s="9">
        <v>438486</v>
      </c>
      <c r="D10" s="9" t="s">
        <v>2923</v>
      </c>
      <c r="E10" s="9" t="s">
        <v>20</v>
      </c>
      <c r="F10" s="6" t="s">
        <v>2924</v>
      </c>
      <c r="G10" s="7" t="e">
        <f t="shared" ca="1" si="0"/>
        <v>#NAME?</v>
      </c>
      <c r="H10" s="8" t="s">
        <v>143</v>
      </c>
      <c r="I10" s="24" t="s">
        <v>25</v>
      </c>
      <c r="J10" s="9" t="str">
        <f t="shared" si="1"/>
        <v>Não</v>
      </c>
      <c r="K10" s="239">
        <v>43753</v>
      </c>
      <c r="L10" s="107">
        <v>44363</v>
      </c>
      <c r="M10" s="6" t="s">
        <v>200</v>
      </c>
      <c r="N10" s="10">
        <v>0.01</v>
      </c>
      <c r="O10" s="9" t="s">
        <v>37</v>
      </c>
      <c r="P10" s="234">
        <v>0.1</v>
      </c>
      <c r="Q10" s="45"/>
      <c r="R10" s="108" t="s">
        <v>2944</v>
      </c>
      <c r="S10" s="7" t="s">
        <v>145</v>
      </c>
      <c r="T10" s="6" t="s">
        <v>2945</v>
      </c>
      <c r="U10" s="6" t="s">
        <v>20</v>
      </c>
      <c r="V10" s="24" t="e">
        <f t="shared" ca="1" si="2"/>
        <v>#NAME?</v>
      </c>
      <c r="W10" s="24"/>
      <c r="X10" s="24"/>
      <c r="Y10" s="6" t="s">
        <v>253</v>
      </c>
      <c r="Z10" s="6"/>
      <c r="AA10" s="6"/>
      <c r="AB10" s="6"/>
      <c r="AC10" s="110">
        <v>102912.41</v>
      </c>
      <c r="AD10" s="110">
        <v>102093.06</v>
      </c>
      <c r="AE10" s="110">
        <v>98566.6</v>
      </c>
      <c r="AF10" s="110">
        <v>99987.02</v>
      </c>
      <c r="AG10" s="110">
        <v>100785.78</v>
      </c>
      <c r="AH10" s="110">
        <v>101820.86</v>
      </c>
      <c r="AI10" s="110">
        <v>104147.07</v>
      </c>
      <c r="AJ10" s="110">
        <v>103569.45</v>
      </c>
      <c r="AK10" s="110">
        <v>104393.73</v>
      </c>
      <c r="AL10" s="110">
        <v>104946.6</v>
      </c>
      <c r="AM10" s="110">
        <v>108377.12</v>
      </c>
      <c r="AN10" s="110">
        <v>109877.66</v>
      </c>
      <c r="AO10" s="110">
        <v>111168.97</v>
      </c>
      <c r="AP10" s="110">
        <v>111310.32</v>
      </c>
      <c r="AQ10" s="110">
        <v>110628.54</v>
      </c>
      <c r="AR10" s="110">
        <v>111156.89</v>
      </c>
      <c r="AS10" s="110">
        <v>113047.02</v>
      </c>
      <c r="AT10" s="110">
        <v>113072.91</v>
      </c>
      <c r="AU10" s="110">
        <v>126158.5</v>
      </c>
      <c r="AV10" s="110">
        <v>94401.89</v>
      </c>
      <c r="AW10" s="110">
        <v>94208.68</v>
      </c>
      <c r="AX10" s="110">
        <v>93234.31</v>
      </c>
      <c r="AY10" s="110">
        <v>92094.75</v>
      </c>
      <c r="AZ10" s="110">
        <v>90330.36</v>
      </c>
      <c r="BA10" s="110">
        <v>44466.28</v>
      </c>
      <c r="BB10" s="110">
        <v>30677.56</v>
      </c>
      <c r="BC10" s="110">
        <v>32277.9</v>
      </c>
      <c r="BD10" s="110">
        <v>16775.849999999999</v>
      </c>
      <c r="BE10" s="110">
        <v>0</v>
      </c>
      <c r="BF10" s="110">
        <v>5.79</v>
      </c>
      <c r="BG10" s="241" t="s">
        <v>2932</v>
      </c>
      <c r="BH10" s="110">
        <v>19.420000000000002</v>
      </c>
      <c r="BI10" s="110">
        <v>0</v>
      </c>
      <c r="BJ10" s="110">
        <v>61.54</v>
      </c>
      <c r="BK10" s="237">
        <v>61.54</v>
      </c>
      <c r="BL10" s="237">
        <v>61.54</v>
      </c>
      <c r="BM10" s="237">
        <v>61.54</v>
      </c>
      <c r="BN10" s="237">
        <v>61.54</v>
      </c>
      <c r="BO10" s="237">
        <v>61.54</v>
      </c>
      <c r="BP10" s="237">
        <v>61.54</v>
      </c>
      <c r="BQ10" s="237">
        <v>0</v>
      </c>
      <c r="BR10" s="237">
        <v>0</v>
      </c>
      <c r="BS10" s="237">
        <v>0</v>
      </c>
      <c r="BT10" s="237">
        <v>0</v>
      </c>
      <c r="BU10" s="237">
        <v>0</v>
      </c>
      <c r="BV10" s="237">
        <v>0</v>
      </c>
      <c r="BW10" s="237">
        <v>0</v>
      </c>
      <c r="BX10" s="237">
        <v>0</v>
      </c>
      <c r="BY10" s="237">
        <v>0</v>
      </c>
      <c r="BZ10" s="237">
        <v>0</v>
      </c>
      <c r="CA10" s="237">
        <v>0</v>
      </c>
      <c r="CB10" s="237">
        <v>0</v>
      </c>
      <c r="CC10" s="237">
        <v>0</v>
      </c>
      <c r="CD10" s="237">
        <v>0</v>
      </c>
      <c r="CE10" s="237">
        <v>0</v>
      </c>
      <c r="CF10" s="237">
        <v>0</v>
      </c>
      <c r="CG10" s="237">
        <v>0</v>
      </c>
      <c r="CH10" s="30">
        <v>0</v>
      </c>
      <c r="CI10" s="30">
        <v>0</v>
      </c>
      <c r="CJ10" s="30" t="e">
        <f t="array" aca="1" ref="CJ10" ca="1">_xludf.XLOOKUP(C10,'PL TOTAL D0'!H:H,'PL TOTAL D0'!I:I,"")</f>
        <v>#NAME?</v>
      </c>
    </row>
    <row r="11" spans="1:88" ht="15.75" customHeight="1">
      <c r="A11" s="36" t="s">
        <v>2921</v>
      </c>
      <c r="B11" s="36" t="s">
        <v>2946</v>
      </c>
      <c r="C11" s="9">
        <v>421731</v>
      </c>
      <c r="D11" s="9" t="s">
        <v>19</v>
      </c>
      <c r="E11" s="9" t="s">
        <v>20</v>
      </c>
      <c r="F11" s="9" t="s">
        <v>210</v>
      </c>
      <c r="G11" s="7" t="e">
        <f t="shared" ca="1" si="0"/>
        <v>#NAME?</v>
      </c>
      <c r="H11" s="8" t="s">
        <v>161</v>
      </c>
      <c r="I11" s="24" t="s">
        <v>25</v>
      </c>
      <c r="J11" s="9" t="str">
        <f t="shared" si="1"/>
        <v>Sim</v>
      </c>
      <c r="K11" s="232">
        <v>43684</v>
      </c>
      <c r="L11" s="6"/>
      <c r="M11" s="6" t="s">
        <v>200</v>
      </c>
      <c r="N11" s="233">
        <v>0.01</v>
      </c>
      <c r="O11" s="9" t="s">
        <v>37</v>
      </c>
      <c r="P11" s="234">
        <v>0.1</v>
      </c>
      <c r="Q11" s="242" t="s">
        <v>2947</v>
      </c>
      <c r="R11" s="108" t="s">
        <v>2940</v>
      </c>
      <c r="S11" s="7" t="s">
        <v>145</v>
      </c>
      <c r="T11" s="9" t="s">
        <v>2948</v>
      </c>
      <c r="U11" s="6" t="s">
        <v>20</v>
      </c>
      <c r="V11" s="24" t="e">
        <f t="shared" ca="1" si="2"/>
        <v>#NAME?</v>
      </c>
      <c r="W11" s="24"/>
      <c r="X11" s="24"/>
      <c r="Y11" s="6" t="s">
        <v>253</v>
      </c>
      <c r="Z11" s="6"/>
      <c r="AA11" s="107">
        <v>43684</v>
      </c>
      <c r="AB11" s="6">
        <v>49075100005850</v>
      </c>
      <c r="AC11" s="110">
        <v>262229.28000000003</v>
      </c>
      <c r="AD11" s="110">
        <v>260241.71</v>
      </c>
      <c r="AE11" s="110">
        <v>246956.93</v>
      </c>
      <c r="AF11" s="110">
        <v>251748.15</v>
      </c>
      <c r="AG11" s="110">
        <v>254282.76</v>
      </c>
      <c r="AH11" s="110">
        <v>258419.79</v>
      </c>
      <c r="AI11" s="110">
        <v>263166.25</v>
      </c>
      <c r="AJ11" s="110">
        <v>259335.67999999999</v>
      </c>
      <c r="AK11" s="110">
        <v>255519.33</v>
      </c>
      <c r="AL11" s="110">
        <v>256043.88</v>
      </c>
      <c r="AM11" s="110">
        <v>262838.63</v>
      </c>
      <c r="AN11" s="110">
        <v>265781.59000000003</v>
      </c>
      <c r="AO11" s="110">
        <v>263616.95</v>
      </c>
      <c r="AP11" s="110">
        <v>259280.02</v>
      </c>
      <c r="AQ11" s="236">
        <v>258213.95</v>
      </c>
      <c r="AR11" s="236">
        <v>260497.01</v>
      </c>
      <c r="AS11" s="236">
        <v>263503.81</v>
      </c>
      <c r="AT11" s="236">
        <v>263682.77</v>
      </c>
      <c r="AU11" s="236">
        <v>57490.07</v>
      </c>
      <c r="AV11" s="110">
        <v>57565.24</v>
      </c>
      <c r="AW11" s="110">
        <v>15764.62</v>
      </c>
      <c r="AX11" s="110">
        <v>15871.58</v>
      </c>
      <c r="AY11" s="110">
        <v>15928.67</v>
      </c>
      <c r="AZ11" s="110">
        <v>16169.29</v>
      </c>
      <c r="BA11" s="110">
        <v>16267.31</v>
      </c>
      <c r="BB11" s="110">
        <v>16548.47</v>
      </c>
      <c r="BC11" s="110">
        <v>16659.21</v>
      </c>
      <c r="BD11" s="110">
        <v>16766.27</v>
      </c>
      <c r="BE11" s="110">
        <v>16758.91</v>
      </c>
      <c r="BF11" s="110">
        <v>16851.86</v>
      </c>
      <c r="BG11" s="237">
        <v>17002.13</v>
      </c>
      <c r="BH11" s="237">
        <v>0</v>
      </c>
      <c r="BI11" s="237">
        <v>17325.919999999998</v>
      </c>
      <c r="BJ11" s="237">
        <v>17443.88</v>
      </c>
      <c r="BK11" s="237">
        <v>17554</v>
      </c>
      <c r="BL11" s="237">
        <v>17660.68</v>
      </c>
      <c r="BM11" s="237">
        <v>17766.11</v>
      </c>
      <c r="BN11" s="237">
        <v>17873.46</v>
      </c>
      <c r="BO11" s="237">
        <v>18003.509999999998</v>
      </c>
      <c r="BP11" s="237">
        <v>18101.61</v>
      </c>
      <c r="BQ11" s="237">
        <v>18229.349999999999</v>
      </c>
      <c r="BR11" s="237">
        <v>18322.060000000001</v>
      </c>
      <c r="BS11" s="237">
        <v>18447.330000000002</v>
      </c>
      <c r="BT11" s="237">
        <v>0</v>
      </c>
      <c r="BU11" s="237">
        <v>0</v>
      </c>
      <c r="BV11" s="237">
        <v>0</v>
      </c>
      <c r="BW11" s="237">
        <v>19122.86</v>
      </c>
      <c r="BX11" s="237">
        <v>19321.2</v>
      </c>
      <c r="BY11" s="237">
        <v>18931.88</v>
      </c>
      <c r="BZ11" s="237">
        <v>19090.22</v>
      </c>
      <c r="CA11" s="237">
        <v>19279.45</v>
      </c>
      <c r="CB11" s="237">
        <v>19422.34</v>
      </c>
      <c r="CC11" s="237">
        <v>19589.5</v>
      </c>
      <c r="CD11" s="237">
        <v>19759.009999999998</v>
      </c>
      <c r="CE11" s="237">
        <v>19771.28</v>
      </c>
      <c r="CF11" s="237">
        <v>19923.689999999999</v>
      </c>
      <c r="CG11" s="237">
        <v>20100.169999999998</v>
      </c>
      <c r="CH11" s="30">
        <v>20271.52</v>
      </c>
      <c r="CI11" s="30">
        <v>20437.330000000002</v>
      </c>
      <c r="CJ11" s="30" t="e">
        <f t="array" aca="1" ref="CJ11" ca="1">_xludf.XLOOKUP(C11,'PL TOTAL D0'!H:H,'PL TOTAL D0'!I:I,"")</f>
        <v>#NAME?</v>
      </c>
    </row>
    <row r="12" spans="1:88" ht="15.75" customHeight="1">
      <c r="A12" s="36" t="s">
        <v>2921</v>
      </c>
      <c r="B12" s="37" t="s">
        <v>2949</v>
      </c>
      <c r="C12" s="9">
        <v>421537</v>
      </c>
      <c r="D12" s="9" t="s">
        <v>2923</v>
      </c>
      <c r="E12" s="9" t="s">
        <v>20</v>
      </c>
      <c r="F12" s="6" t="s">
        <v>2930</v>
      </c>
      <c r="G12" s="7" t="e">
        <f t="shared" ca="1" si="0"/>
        <v>#NAME?</v>
      </c>
      <c r="H12" s="8" t="s">
        <v>143</v>
      </c>
      <c r="I12" s="24" t="s">
        <v>25</v>
      </c>
      <c r="J12" s="9" t="str">
        <f t="shared" si="1"/>
        <v>Não</v>
      </c>
      <c r="K12" s="107">
        <v>43633</v>
      </c>
      <c r="L12" s="107">
        <v>44509</v>
      </c>
      <c r="M12" s="6" t="s">
        <v>58</v>
      </c>
      <c r="N12" s="10">
        <v>1.2E-2</v>
      </c>
      <c r="O12" s="9" t="s">
        <v>25</v>
      </c>
      <c r="P12" s="234">
        <v>0</v>
      </c>
      <c r="Q12" s="45"/>
      <c r="R12" s="108" t="s">
        <v>2950</v>
      </c>
      <c r="S12" s="7" t="s">
        <v>145</v>
      </c>
      <c r="T12" s="6" t="s">
        <v>2951</v>
      </c>
      <c r="U12" s="6" t="s">
        <v>60</v>
      </c>
      <c r="V12" s="24" t="e">
        <f t="shared" ca="1" si="2"/>
        <v>#NAME?</v>
      </c>
      <c r="W12" s="24"/>
      <c r="X12" s="24"/>
      <c r="Y12" s="6"/>
      <c r="Z12" s="6"/>
      <c r="AA12" s="6"/>
      <c r="AB12" s="6"/>
      <c r="AC12" s="110">
        <v>107522.64</v>
      </c>
      <c r="AD12" s="110">
        <v>105884.84</v>
      </c>
      <c r="AE12" s="110">
        <v>98819.54</v>
      </c>
      <c r="AF12" s="110">
        <v>101176.69</v>
      </c>
      <c r="AG12" s="110">
        <v>102806.59</v>
      </c>
      <c r="AH12" s="110">
        <v>103635.18</v>
      </c>
      <c r="AI12" s="110">
        <v>105779.25</v>
      </c>
      <c r="AJ12" s="110">
        <v>103824.56</v>
      </c>
      <c r="AK12" s="110">
        <v>104369.64</v>
      </c>
      <c r="AL12" s="240"/>
      <c r="AM12" s="240"/>
      <c r="AN12" s="240"/>
      <c r="AO12" s="240"/>
      <c r="AP12" s="110"/>
      <c r="AQ12" s="110">
        <v>103137.56</v>
      </c>
      <c r="AR12" s="110"/>
      <c r="AS12" s="110">
        <v>105545.31</v>
      </c>
      <c r="AT12" s="110">
        <v>105489.39</v>
      </c>
      <c r="AU12" s="110">
        <v>106362.27</v>
      </c>
      <c r="AV12" s="110">
        <v>106114.77</v>
      </c>
      <c r="AW12" s="110">
        <v>105943.53</v>
      </c>
      <c r="AX12" s="110">
        <v>105102.2</v>
      </c>
      <c r="AY12" s="110">
        <v>104522.08</v>
      </c>
      <c r="AZ12" s="110">
        <v>103216.61</v>
      </c>
      <c r="BA12" s="110"/>
      <c r="BB12" s="110"/>
      <c r="BC12" s="110"/>
      <c r="BD12" s="110">
        <v>0</v>
      </c>
      <c r="BE12" s="110">
        <v>0</v>
      </c>
      <c r="BF12" s="110">
        <v>0</v>
      </c>
      <c r="BG12" s="110" t="s">
        <v>2932</v>
      </c>
      <c r="BH12" s="110">
        <v>0</v>
      </c>
      <c r="BI12" s="110">
        <v>0</v>
      </c>
      <c r="BJ12" s="110">
        <v>0</v>
      </c>
      <c r="BK12" s="237">
        <v>0</v>
      </c>
      <c r="BL12" s="237">
        <v>0</v>
      </c>
      <c r="BM12" s="237">
        <v>0</v>
      </c>
      <c r="BN12" s="237">
        <v>0</v>
      </c>
      <c r="BO12" s="237">
        <v>0</v>
      </c>
      <c r="BP12" s="237">
        <v>0</v>
      </c>
      <c r="BQ12" s="237">
        <v>0</v>
      </c>
      <c r="BR12" s="237">
        <v>0</v>
      </c>
      <c r="BS12" s="237">
        <v>0</v>
      </c>
      <c r="BT12" s="237">
        <v>0</v>
      </c>
      <c r="BU12" s="237">
        <v>0</v>
      </c>
      <c r="BV12" s="237">
        <v>0</v>
      </c>
      <c r="BW12" s="237">
        <v>0</v>
      </c>
      <c r="BX12" s="237">
        <v>0</v>
      </c>
      <c r="BY12" s="237">
        <v>0</v>
      </c>
      <c r="BZ12" s="237">
        <v>0</v>
      </c>
      <c r="CA12" s="237">
        <v>0</v>
      </c>
      <c r="CB12" s="237">
        <v>0</v>
      </c>
      <c r="CC12" s="237">
        <v>0</v>
      </c>
      <c r="CD12" s="237">
        <v>0</v>
      </c>
      <c r="CE12" s="237">
        <v>0</v>
      </c>
      <c r="CF12" s="237">
        <v>0</v>
      </c>
      <c r="CG12" s="237">
        <v>0</v>
      </c>
      <c r="CH12" s="30">
        <v>0</v>
      </c>
      <c r="CI12" s="30">
        <v>0</v>
      </c>
      <c r="CJ12" s="30" t="e">
        <f t="array" aca="1" ref="CJ12" ca="1">_xludf.XLOOKUP(C12,'PL TOTAL D0'!H:H,'PL TOTAL D0'!I:I,"")</f>
        <v>#NAME?</v>
      </c>
    </row>
    <row r="13" spans="1:88" ht="15.75" customHeight="1">
      <c r="A13" s="36" t="s">
        <v>2921</v>
      </c>
      <c r="B13" s="3" t="s">
        <v>2952</v>
      </c>
      <c r="C13" s="9">
        <v>326344</v>
      </c>
      <c r="D13" s="9" t="s">
        <v>2923</v>
      </c>
      <c r="E13" s="9" t="s">
        <v>20</v>
      </c>
      <c r="F13" s="6" t="s">
        <v>2924</v>
      </c>
      <c r="G13" s="7" t="e">
        <f t="shared" ca="1" si="0"/>
        <v>#NAME?</v>
      </c>
      <c r="H13" s="8" t="s">
        <v>143</v>
      </c>
      <c r="I13" s="24" t="s">
        <v>25</v>
      </c>
      <c r="J13" s="9" t="str">
        <f t="shared" si="1"/>
        <v>Não</v>
      </c>
      <c r="K13" s="107">
        <v>43930</v>
      </c>
      <c r="L13" s="239">
        <v>44482</v>
      </c>
      <c r="M13" s="6" t="s">
        <v>200</v>
      </c>
      <c r="N13" s="10">
        <v>1.4999999999999999E-2</v>
      </c>
      <c r="O13" s="9" t="s">
        <v>37</v>
      </c>
      <c r="P13" s="234">
        <v>0.1</v>
      </c>
      <c r="Q13" s="45"/>
      <c r="R13" s="108"/>
      <c r="S13" s="7" t="s">
        <v>145</v>
      </c>
      <c r="T13" s="6" t="s">
        <v>2953</v>
      </c>
      <c r="U13" s="6" t="s">
        <v>20</v>
      </c>
      <c r="V13" s="24" t="e">
        <f t="shared" ca="1" si="2"/>
        <v>#NAME?</v>
      </c>
      <c r="W13" s="24"/>
      <c r="X13" s="24"/>
      <c r="Y13" s="6"/>
      <c r="Z13" s="6"/>
      <c r="AA13" s="6"/>
      <c r="AB13" s="6"/>
      <c r="AC13" s="240"/>
      <c r="AD13" s="240"/>
      <c r="AE13" s="240"/>
      <c r="AF13" s="110"/>
      <c r="AG13" s="110"/>
      <c r="AH13" s="240"/>
      <c r="AI13" s="240"/>
      <c r="AJ13" s="240"/>
      <c r="AK13" s="240"/>
      <c r="AL13" s="110">
        <v>102675.48</v>
      </c>
      <c r="AM13" s="110">
        <v>106536.55</v>
      </c>
      <c r="AN13" s="110">
        <v>107774.74</v>
      </c>
      <c r="AO13" s="110">
        <v>106354.7</v>
      </c>
      <c r="AP13" s="110"/>
      <c r="AQ13" s="110"/>
      <c r="AR13" s="110"/>
      <c r="AS13" s="110"/>
      <c r="AT13" s="110"/>
      <c r="AU13" s="110"/>
      <c r="AV13" s="240"/>
      <c r="AW13" s="240"/>
      <c r="AX13" s="240"/>
      <c r="AY13" s="110"/>
      <c r="AZ13" s="110"/>
      <c r="BA13" s="110"/>
      <c r="BB13" s="110"/>
      <c r="BC13" s="110"/>
      <c r="BD13" s="110">
        <v>0</v>
      </c>
      <c r="BE13" s="110">
        <v>0</v>
      </c>
      <c r="BF13" s="110">
        <v>0</v>
      </c>
      <c r="BG13" s="110" t="s">
        <v>2932</v>
      </c>
      <c r="BH13" s="110">
        <v>0</v>
      </c>
      <c r="BI13" s="110">
        <v>0</v>
      </c>
      <c r="BJ13" s="110">
        <v>0</v>
      </c>
      <c r="BK13" s="237">
        <v>0</v>
      </c>
      <c r="BL13" s="237">
        <v>0</v>
      </c>
      <c r="BM13" s="237">
        <v>0</v>
      </c>
      <c r="BN13" s="237">
        <v>0</v>
      </c>
      <c r="BO13" s="237">
        <v>0</v>
      </c>
      <c r="BP13" s="237">
        <v>0</v>
      </c>
      <c r="BQ13" s="237">
        <v>0</v>
      </c>
      <c r="BR13" s="237">
        <v>0</v>
      </c>
      <c r="BS13" s="237">
        <v>0</v>
      </c>
      <c r="BT13" s="237">
        <v>0</v>
      </c>
      <c r="BU13" s="237">
        <v>0</v>
      </c>
      <c r="BV13" s="237">
        <v>0</v>
      </c>
      <c r="BW13" s="237">
        <v>0</v>
      </c>
      <c r="BX13" s="237">
        <v>0</v>
      </c>
      <c r="BY13" s="237">
        <v>0</v>
      </c>
      <c r="BZ13" s="237">
        <v>0</v>
      </c>
      <c r="CA13" s="237">
        <v>0</v>
      </c>
      <c r="CB13" s="237">
        <v>0</v>
      </c>
      <c r="CC13" s="237">
        <v>0</v>
      </c>
      <c r="CD13" s="237">
        <v>0</v>
      </c>
      <c r="CE13" s="237">
        <v>0</v>
      </c>
      <c r="CF13" s="237">
        <v>0</v>
      </c>
      <c r="CG13" s="237">
        <v>0</v>
      </c>
      <c r="CH13" s="30">
        <v>0</v>
      </c>
      <c r="CI13" s="30">
        <v>0</v>
      </c>
      <c r="CJ13" s="30" t="e">
        <f t="array" aca="1" ref="CJ13" ca="1">_xludf.XLOOKUP(C13,'PL TOTAL D0'!H:H,'PL TOTAL D0'!I:I,"")</f>
        <v>#NAME?</v>
      </c>
    </row>
    <row r="14" spans="1:88" ht="15.75" customHeight="1">
      <c r="A14" s="36" t="s">
        <v>2921</v>
      </c>
      <c r="B14" s="3" t="s">
        <v>2954</v>
      </c>
      <c r="C14" s="9">
        <v>376503</v>
      </c>
      <c r="D14" s="9" t="s">
        <v>19</v>
      </c>
      <c r="E14" s="9" t="s">
        <v>20</v>
      </c>
      <c r="F14" s="9" t="s">
        <v>2955</v>
      </c>
      <c r="G14" s="7" t="e">
        <f t="shared" ca="1" si="0"/>
        <v>#NAME?</v>
      </c>
      <c r="H14" s="8" t="s">
        <v>152</v>
      </c>
      <c r="I14" s="24" t="s">
        <v>25</v>
      </c>
      <c r="J14" s="9" t="str">
        <f t="shared" si="1"/>
        <v>Não</v>
      </c>
      <c r="K14" s="232">
        <v>44970</v>
      </c>
      <c r="L14" s="6"/>
      <c r="M14" s="6" t="s">
        <v>42</v>
      </c>
      <c r="N14" s="10">
        <v>0.01</v>
      </c>
      <c r="O14" s="9" t="s">
        <v>25</v>
      </c>
      <c r="P14" s="234">
        <v>0</v>
      </c>
      <c r="Q14" s="28"/>
      <c r="R14" s="28"/>
      <c r="S14" s="7" t="s">
        <v>145</v>
      </c>
      <c r="T14" s="6" t="s">
        <v>2956</v>
      </c>
      <c r="U14" s="6" t="s">
        <v>20</v>
      </c>
      <c r="V14" s="24" t="e">
        <f t="shared" ca="1" si="2"/>
        <v>#NAME?</v>
      </c>
      <c r="W14" s="24"/>
      <c r="X14" s="24"/>
      <c r="Y14" s="6" t="s">
        <v>253</v>
      </c>
      <c r="Z14" s="6"/>
      <c r="AA14" s="107">
        <v>44970</v>
      </c>
      <c r="AB14" s="6">
        <v>49075100008876</v>
      </c>
      <c r="AC14" s="132"/>
      <c r="AD14" s="132"/>
      <c r="AE14" s="132"/>
      <c r="AF14" s="132"/>
      <c r="AG14" s="132"/>
      <c r="AH14" s="132"/>
      <c r="AI14" s="132"/>
      <c r="AJ14" s="132"/>
      <c r="AK14" s="132"/>
      <c r="AL14" s="132"/>
      <c r="AM14" s="132"/>
      <c r="AN14" s="132"/>
      <c r="AO14" s="132"/>
      <c r="AP14" s="110"/>
      <c r="AQ14" s="236"/>
      <c r="AR14" s="236"/>
      <c r="AS14" s="236"/>
      <c r="AT14" s="236"/>
      <c r="AU14" s="236"/>
      <c r="AV14" s="110"/>
      <c r="AW14" s="110"/>
      <c r="AX14" s="110"/>
      <c r="AY14" s="110"/>
      <c r="AZ14" s="110"/>
      <c r="BA14" s="110"/>
      <c r="BB14" s="110"/>
      <c r="BC14" s="110"/>
      <c r="BD14" s="110"/>
      <c r="BE14" s="110"/>
      <c r="BF14" s="110"/>
      <c r="BG14" s="237"/>
      <c r="BH14" s="237"/>
      <c r="BI14" s="237"/>
      <c r="BJ14" s="237"/>
      <c r="BK14" s="237"/>
      <c r="BL14" s="237"/>
      <c r="BM14" s="237"/>
      <c r="BN14" s="237"/>
      <c r="BO14" s="237"/>
      <c r="BP14" s="237">
        <v>96441.94</v>
      </c>
      <c r="BQ14" s="237">
        <v>101445.48</v>
      </c>
      <c r="BR14" s="237">
        <v>152363.57999999999</v>
      </c>
      <c r="BS14" s="237">
        <v>154001.44</v>
      </c>
      <c r="BT14" s="237">
        <v>155252.93</v>
      </c>
      <c r="BU14" s="237">
        <v>196353.27</v>
      </c>
      <c r="BV14" s="237">
        <v>198849.6</v>
      </c>
      <c r="BW14" s="237">
        <v>215564.62</v>
      </c>
      <c r="BX14" s="237">
        <v>237808.65</v>
      </c>
      <c r="BY14" s="237">
        <v>239535.68</v>
      </c>
      <c r="BZ14" s="237">
        <v>261290.36</v>
      </c>
      <c r="CA14" s="237">
        <v>263329.86</v>
      </c>
      <c r="CB14" s="237">
        <v>285337.49</v>
      </c>
      <c r="CC14" s="237">
        <v>286075.31</v>
      </c>
      <c r="CD14" s="237">
        <v>298116.94</v>
      </c>
      <c r="CE14" s="237">
        <v>300615.38</v>
      </c>
      <c r="CF14" s="237">
        <v>318170.77</v>
      </c>
      <c r="CG14" s="237">
        <v>340556.06</v>
      </c>
      <c r="CH14" s="30">
        <v>350735.95</v>
      </c>
      <c r="CI14" s="30">
        <v>375539.19</v>
      </c>
      <c r="CJ14" s="30" t="e">
        <f t="array" aca="1" ref="CJ14" ca="1">_xludf.XLOOKUP(C14,'PL TOTAL D0'!H:H,'PL TOTAL D0'!I:I,"")</f>
        <v>#NAME?</v>
      </c>
    </row>
    <row r="15" spans="1:88" ht="15.75" customHeight="1">
      <c r="A15" s="36" t="s">
        <v>2921</v>
      </c>
      <c r="B15" s="3" t="s">
        <v>2954</v>
      </c>
      <c r="C15" s="9">
        <v>376732</v>
      </c>
      <c r="D15" s="9" t="s">
        <v>19</v>
      </c>
      <c r="E15" s="9" t="s">
        <v>20</v>
      </c>
      <c r="F15" s="9" t="s">
        <v>2955</v>
      </c>
      <c r="G15" s="7" t="e">
        <f t="shared" ca="1" si="0"/>
        <v>#NAME?</v>
      </c>
      <c r="H15" s="8" t="s">
        <v>152</v>
      </c>
      <c r="I15" s="24" t="s">
        <v>25</v>
      </c>
      <c r="J15" s="9" t="str">
        <f t="shared" si="1"/>
        <v>Não</v>
      </c>
      <c r="K15" s="232">
        <v>44971</v>
      </c>
      <c r="L15" s="6"/>
      <c r="M15" s="6" t="s">
        <v>87</v>
      </c>
      <c r="N15" s="10">
        <v>2.5000000000000001E-2</v>
      </c>
      <c r="O15" s="9" t="s">
        <v>183</v>
      </c>
      <c r="P15" s="234">
        <v>0.2</v>
      </c>
      <c r="Q15" s="28"/>
      <c r="R15" s="28"/>
      <c r="S15" s="7" t="s">
        <v>145</v>
      </c>
      <c r="T15" s="202" t="s">
        <v>2956</v>
      </c>
      <c r="U15" s="6" t="s">
        <v>20</v>
      </c>
      <c r="V15" s="24" t="e">
        <f t="shared" ca="1" si="2"/>
        <v>#NAME?</v>
      </c>
      <c r="W15" s="24"/>
      <c r="X15" s="24"/>
      <c r="Y15" s="6" t="s">
        <v>253</v>
      </c>
      <c r="Z15" s="6"/>
      <c r="AA15" s="107">
        <v>44971</v>
      </c>
      <c r="AB15" s="6">
        <v>49075100008760</v>
      </c>
      <c r="AC15" s="132"/>
      <c r="AD15" s="132"/>
      <c r="AE15" s="132"/>
      <c r="AF15" s="132"/>
      <c r="AG15" s="132"/>
      <c r="AH15" s="132"/>
      <c r="AI15" s="132"/>
      <c r="AJ15" s="132"/>
      <c r="AK15" s="132"/>
      <c r="AL15" s="132"/>
      <c r="AM15" s="132"/>
      <c r="AN15" s="132"/>
      <c r="AO15" s="132"/>
      <c r="AP15" s="110"/>
      <c r="AQ15" s="236"/>
      <c r="AR15" s="236"/>
      <c r="AS15" s="236"/>
      <c r="AT15" s="236"/>
      <c r="AU15" s="236"/>
      <c r="AV15" s="110"/>
      <c r="AW15" s="110"/>
      <c r="AX15" s="110"/>
      <c r="AY15" s="110"/>
      <c r="AZ15" s="110"/>
      <c r="BA15" s="110"/>
      <c r="BB15" s="110"/>
      <c r="BC15" s="110"/>
      <c r="BD15" s="110"/>
      <c r="BE15" s="110"/>
      <c r="BF15" s="110"/>
      <c r="BG15" s="237"/>
      <c r="BH15" s="237"/>
      <c r="BI15" s="237"/>
      <c r="BJ15" s="237"/>
      <c r="BK15" s="237"/>
      <c r="BL15" s="237"/>
      <c r="BM15" s="237"/>
      <c r="BN15" s="237"/>
      <c r="BO15" s="237"/>
      <c r="BP15" s="237">
        <v>97658.61</v>
      </c>
      <c r="BQ15" s="237">
        <v>97272.84</v>
      </c>
      <c r="BR15" s="237">
        <v>143818.91</v>
      </c>
      <c r="BS15" s="237">
        <v>150406.68</v>
      </c>
      <c r="BT15" s="237">
        <v>162337.85</v>
      </c>
      <c r="BU15" s="237">
        <v>210751.3</v>
      </c>
      <c r="BV15" s="237">
        <v>209335.48</v>
      </c>
      <c r="BW15" s="237">
        <v>216457.31</v>
      </c>
      <c r="BX15" s="237">
        <v>225142.56</v>
      </c>
      <c r="BY15" s="237">
        <v>242482.76</v>
      </c>
      <c r="BZ15" s="237">
        <v>274526.7</v>
      </c>
      <c r="CA15" s="237">
        <v>256267.06</v>
      </c>
      <c r="CB15" s="237">
        <v>261092.78</v>
      </c>
      <c r="CC15" s="237">
        <v>209751.43</v>
      </c>
      <c r="CD15" s="237">
        <v>280621.27</v>
      </c>
      <c r="CE15" s="237">
        <v>247584.87</v>
      </c>
      <c r="CF15" s="237">
        <v>286328.59999999998</v>
      </c>
      <c r="CG15" s="237">
        <v>288941.69</v>
      </c>
      <c r="CH15" s="30">
        <v>333569.09999999998</v>
      </c>
      <c r="CI15" s="30">
        <v>344407.36</v>
      </c>
      <c r="CJ15" s="30" t="e">
        <f t="array" aca="1" ref="CJ15" ca="1">_xludf.XLOOKUP(C15,'PL TOTAL D0'!H:H,'PL TOTAL D0'!I:I,"")</f>
        <v>#NAME?</v>
      </c>
    </row>
    <row r="16" spans="1:88" ht="15.75" customHeight="1">
      <c r="A16" s="36" t="s">
        <v>2921</v>
      </c>
      <c r="B16" s="3" t="s">
        <v>241</v>
      </c>
      <c r="C16" s="9">
        <v>420111</v>
      </c>
      <c r="D16" s="9" t="s">
        <v>19</v>
      </c>
      <c r="E16" s="9" t="s">
        <v>34</v>
      </c>
      <c r="F16" s="9" t="s">
        <v>35</v>
      </c>
      <c r="G16" s="7" t="e">
        <f t="shared" ca="1" si="0"/>
        <v>#NAME?</v>
      </c>
      <c r="H16" s="8" t="s">
        <v>152</v>
      </c>
      <c r="I16" s="24" t="s">
        <v>25</v>
      </c>
      <c r="J16" s="9" t="str">
        <f t="shared" si="1"/>
        <v>Não</v>
      </c>
      <c r="K16" s="232">
        <v>44321</v>
      </c>
      <c r="L16" s="6"/>
      <c r="M16" s="6" t="s">
        <v>200</v>
      </c>
      <c r="N16" s="10">
        <v>1.4999999999999999E-2</v>
      </c>
      <c r="O16" s="9" t="s">
        <v>37</v>
      </c>
      <c r="P16" s="234">
        <v>0.1</v>
      </c>
      <c r="Q16" s="28"/>
      <c r="R16" s="28"/>
      <c r="S16" s="7" t="s">
        <v>145</v>
      </c>
      <c r="T16" s="6" t="s">
        <v>244</v>
      </c>
      <c r="U16" s="6" t="s">
        <v>39</v>
      </c>
      <c r="V16" s="24" t="e">
        <f t="shared" ca="1" si="2"/>
        <v>#NAME?</v>
      </c>
      <c r="W16" s="24"/>
      <c r="X16" s="24"/>
      <c r="Y16" s="6" t="s">
        <v>253</v>
      </c>
      <c r="Z16" s="6"/>
      <c r="AA16" s="107">
        <v>44321</v>
      </c>
      <c r="AB16" s="6">
        <v>49075100003629</v>
      </c>
      <c r="AC16" s="132"/>
      <c r="AD16" s="132"/>
      <c r="AE16" s="132"/>
      <c r="AF16" s="132"/>
      <c r="AG16" s="132"/>
      <c r="AH16" s="132"/>
      <c r="AI16" s="132"/>
      <c r="AJ16" s="132"/>
      <c r="AK16" s="132"/>
      <c r="AL16" s="132"/>
      <c r="AM16" s="132"/>
      <c r="AN16" s="132"/>
      <c r="AO16" s="132"/>
      <c r="AP16" s="110"/>
      <c r="AQ16" s="236"/>
      <c r="AR16" s="236"/>
      <c r="AS16" s="236"/>
      <c r="AT16" s="236"/>
      <c r="AU16" s="236">
        <v>176525.77</v>
      </c>
      <c r="AV16" s="110">
        <v>177328.31</v>
      </c>
      <c r="AW16" s="110">
        <v>176460.92</v>
      </c>
      <c r="AX16" s="110">
        <v>174148.58</v>
      </c>
      <c r="AY16" s="110">
        <v>149350.29999999999</v>
      </c>
      <c r="AZ16" s="110">
        <v>167367.67999999999</v>
      </c>
      <c r="BA16" s="110">
        <v>165710.39000000001</v>
      </c>
      <c r="BB16" s="110">
        <v>165717.75</v>
      </c>
      <c r="BC16" s="110">
        <v>167379.82999999999</v>
      </c>
      <c r="BD16" s="110">
        <v>168457.79</v>
      </c>
      <c r="BE16" s="110">
        <v>175571.34</v>
      </c>
      <c r="BF16" s="110">
        <v>172585.18</v>
      </c>
      <c r="BG16" s="237">
        <v>172248.16</v>
      </c>
      <c r="BH16" s="237">
        <v>170919.5</v>
      </c>
      <c r="BI16" s="237">
        <v>173175.56</v>
      </c>
      <c r="BJ16" s="237">
        <v>172542.98</v>
      </c>
      <c r="BK16" s="237">
        <v>216748.13</v>
      </c>
      <c r="BL16" s="237">
        <v>222672.24</v>
      </c>
      <c r="BM16" s="237">
        <v>221198.06</v>
      </c>
      <c r="BN16" s="237">
        <v>223105.1</v>
      </c>
      <c r="BO16" s="237">
        <v>225604.95</v>
      </c>
      <c r="BP16" s="237">
        <v>227295.12</v>
      </c>
      <c r="BQ16" s="237">
        <v>230326.01</v>
      </c>
      <c r="BR16" s="237">
        <v>230883.48</v>
      </c>
      <c r="BS16" s="237">
        <v>236956.32</v>
      </c>
      <c r="BT16" s="237">
        <v>239950.27</v>
      </c>
      <c r="BU16" s="237">
        <v>199623.8</v>
      </c>
      <c r="BV16" s="237">
        <v>241359.69</v>
      </c>
      <c r="BW16" s="237">
        <v>2079.4899999999998</v>
      </c>
      <c r="BX16" s="237">
        <v>2193.56</v>
      </c>
      <c r="BY16" s="237">
        <v>2189.5300000000002</v>
      </c>
      <c r="BZ16" s="237">
        <v>2193.54</v>
      </c>
      <c r="CA16" s="237">
        <v>2219.69</v>
      </c>
      <c r="CB16" s="237">
        <v>2291.61</v>
      </c>
      <c r="CC16" s="237">
        <v>2298.5700000000002</v>
      </c>
      <c r="CD16" s="237">
        <v>2218.5300000000002</v>
      </c>
      <c r="CE16" s="237">
        <v>2067.12</v>
      </c>
      <c r="CF16" s="237">
        <v>2024.2</v>
      </c>
      <c r="CG16" s="237">
        <v>2083.36</v>
      </c>
      <c r="CH16" s="30">
        <v>0</v>
      </c>
      <c r="CI16" s="30">
        <v>2136.25</v>
      </c>
      <c r="CJ16" s="30" t="e">
        <f t="array" aca="1" ref="CJ16" ca="1">_xludf.XLOOKUP(C16,'PL TOTAL D0'!H:H,'PL TOTAL D0'!I:I,"")</f>
        <v>#NAME?</v>
      </c>
    </row>
    <row r="17" spans="1:88" ht="15.75" customHeight="1">
      <c r="A17" s="36" t="s">
        <v>2921</v>
      </c>
      <c r="B17" s="3" t="s">
        <v>2957</v>
      </c>
      <c r="C17" s="9">
        <v>47785</v>
      </c>
      <c r="D17" s="9" t="s">
        <v>2923</v>
      </c>
      <c r="E17" s="9" t="s">
        <v>20</v>
      </c>
      <c r="F17" s="9" t="s">
        <v>2930</v>
      </c>
      <c r="G17" s="7" t="e">
        <f t="shared" ca="1" si="0"/>
        <v>#NAME?</v>
      </c>
      <c r="H17" s="8" t="s">
        <v>161</v>
      </c>
      <c r="I17" s="24" t="s">
        <v>162</v>
      </c>
      <c r="J17" s="9" t="str">
        <f t="shared" si="1"/>
        <v>Não</v>
      </c>
      <c r="K17" s="232">
        <v>44186</v>
      </c>
      <c r="L17" s="6"/>
      <c r="M17" s="6" t="s">
        <v>200</v>
      </c>
      <c r="N17" s="10">
        <v>1.4999999999999999E-2</v>
      </c>
      <c r="O17" s="9" t="s">
        <v>37</v>
      </c>
      <c r="P17" s="234">
        <v>0.1</v>
      </c>
      <c r="Q17" s="28"/>
      <c r="R17" s="28" t="s">
        <v>2958</v>
      </c>
      <c r="S17" s="7" t="s">
        <v>145</v>
      </c>
      <c r="T17" s="6" t="s">
        <v>2959</v>
      </c>
      <c r="U17" s="6" t="s">
        <v>20</v>
      </c>
      <c r="V17" s="24" t="e">
        <f t="shared" ca="1" si="2"/>
        <v>#NAME?</v>
      </c>
      <c r="W17" s="24"/>
      <c r="X17" s="24"/>
      <c r="Y17" s="6" t="s">
        <v>253</v>
      </c>
      <c r="Z17" s="6"/>
      <c r="AA17" s="107">
        <v>44186</v>
      </c>
      <c r="AB17" s="6">
        <v>49075100003033</v>
      </c>
      <c r="AC17" s="110">
        <v>0</v>
      </c>
      <c r="AD17" s="110">
        <v>0</v>
      </c>
      <c r="AE17" s="110">
        <v>0</v>
      </c>
      <c r="AF17" s="110">
        <v>0</v>
      </c>
      <c r="AG17" s="110">
        <v>0</v>
      </c>
      <c r="AH17" s="110">
        <v>0</v>
      </c>
      <c r="AI17" s="110">
        <v>0</v>
      </c>
      <c r="AJ17" s="110">
        <v>0</v>
      </c>
      <c r="AK17" s="110">
        <v>0</v>
      </c>
      <c r="AL17" s="110">
        <v>0</v>
      </c>
      <c r="AM17" s="110">
        <v>0</v>
      </c>
      <c r="AN17" s="110">
        <v>240350.16</v>
      </c>
      <c r="AO17" s="110">
        <v>238175.41</v>
      </c>
      <c r="AP17" s="110">
        <v>231039.82</v>
      </c>
      <c r="AQ17" s="236">
        <v>228785.77</v>
      </c>
      <c r="AR17" s="236">
        <v>229518.88</v>
      </c>
      <c r="AS17" s="236">
        <v>236932.2</v>
      </c>
      <c r="AT17" s="236">
        <v>237701.1</v>
      </c>
      <c r="AU17" s="236">
        <v>241540.3</v>
      </c>
      <c r="AV17" s="110">
        <v>240359.58</v>
      </c>
      <c r="AW17" s="110">
        <v>237887.35</v>
      </c>
      <c r="AX17" s="110">
        <v>239355.09</v>
      </c>
      <c r="AY17" s="110">
        <v>202433.96</v>
      </c>
      <c r="AZ17" s="110">
        <v>223634.53</v>
      </c>
      <c r="BA17" s="110">
        <v>221832.49</v>
      </c>
      <c r="BB17" s="110">
        <v>223902.18</v>
      </c>
      <c r="BC17" s="110">
        <v>229616.1</v>
      </c>
      <c r="BD17" s="110">
        <v>230847.23</v>
      </c>
      <c r="BE17" s="110">
        <v>74052.759999999995</v>
      </c>
      <c r="BF17" s="110">
        <v>53459.360000000001</v>
      </c>
      <c r="BG17" s="237">
        <v>54018.18</v>
      </c>
      <c r="BH17" s="237">
        <v>54350.12</v>
      </c>
      <c r="BI17" s="237">
        <v>54696.65</v>
      </c>
      <c r="BJ17" s="237">
        <v>44034.78</v>
      </c>
      <c r="BK17" s="237">
        <v>31934.11</v>
      </c>
      <c r="BL17" s="237">
        <v>32033.95</v>
      </c>
      <c r="BM17" s="237">
        <v>52.63</v>
      </c>
      <c r="BN17" s="237">
        <v>26.02</v>
      </c>
      <c r="BO17" s="237">
        <v>26.02</v>
      </c>
      <c r="BP17" s="237">
        <v>26.02</v>
      </c>
      <c r="BQ17" s="237">
        <v>26.02</v>
      </c>
      <c r="BR17" s="237">
        <v>26.02</v>
      </c>
      <c r="BS17" s="237">
        <v>26.02</v>
      </c>
      <c r="BT17" s="237">
        <v>0</v>
      </c>
      <c r="BU17" s="237">
        <v>0</v>
      </c>
      <c r="BV17" s="237">
        <v>0</v>
      </c>
      <c r="BW17" s="237">
        <v>0</v>
      </c>
      <c r="BX17" s="237">
        <v>0</v>
      </c>
      <c r="BY17" s="237">
        <v>0</v>
      </c>
      <c r="BZ17" s="237">
        <v>0</v>
      </c>
      <c r="CA17" s="237">
        <v>0</v>
      </c>
      <c r="CB17" s="237">
        <v>0</v>
      </c>
      <c r="CC17" s="237">
        <v>0</v>
      </c>
      <c r="CD17" s="237">
        <v>0</v>
      </c>
      <c r="CE17" s="237">
        <v>0</v>
      </c>
      <c r="CF17" s="237">
        <v>0</v>
      </c>
      <c r="CG17" s="237">
        <v>0</v>
      </c>
      <c r="CH17" s="30">
        <v>0</v>
      </c>
      <c r="CI17" s="30">
        <v>0</v>
      </c>
      <c r="CJ17" s="30" t="e">
        <f t="array" aca="1" ref="CJ17" ca="1">_xludf.XLOOKUP(C17,'PL TOTAL D0'!H:H,'PL TOTAL D0'!I:I,"")</f>
        <v>#NAME?</v>
      </c>
    </row>
    <row r="18" spans="1:88" ht="15.75" customHeight="1">
      <c r="A18" s="36" t="s">
        <v>2921</v>
      </c>
      <c r="B18" s="106" t="s">
        <v>260</v>
      </c>
      <c r="C18" s="9">
        <v>49819</v>
      </c>
      <c r="D18" s="9" t="s">
        <v>19</v>
      </c>
      <c r="E18" s="9" t="s">
        <v>34</v>
      </c>
      <c r="F18" s="6" t="s">
        <v>262</v>
      </c>
      <c r="G18" s="7" t="e">
        <f t="shared" ca="1" si="0"/>
        <v>#NAME?</v>
      </c>
      <c r="H18" s="8" t="s">
        <v>161</v>
      </c>
      <c r="I18" s="24" t="s">
        <v>162</v>
      </c>
      <c r="J18" s="9" t="str">
        <f t="shared" si="1"/>
        <v>Não</v>
      </c>
      <c r="K18" s="25">
        <v>44698</v>
      </c>
      <c r="L18" s="94"/>
      <c r="M18" s="6" t="s">
        <v>58</v>
      </c>
      <c r="N18" s="233">
        <v>1.2E-2</v>
      </c>
      <c r="O18" s="9" t="s">
        <v>25</v>
      </c>
      <c r="P18" s="234">
        <v>0</v>
      </c>
      <c r="Q18" s="28"/>
      <c r="R18" s="28"/>
      <c r="S18" s="7" t="s">
        <v>145</v>
      </c>
      <c r="T18" s="9" t="s">
        <v>264</v>
      </c>
      <c r="U18" s="7" t="s">
        <v>39</v>
      </c>
      <c r="V18" s="24" t="e">
        <f t="shared" ca="1" si="2"/>
        <v>#NAME?</v>
      </c>
      <c r="W18" s="24"/>
      <c r="X18" s="24"/>
      <c r="Y18" s="6" t="s">
        <v>147</v>
      </c>
      <c r="Z18" s="6"/>
      <c r="AA18" s="107">
        <v>44698</v>
      </c>
      <c r="AB18" s="6">
        <v>49075100003041</v>
      </c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110"/>
      <c r="AN18" s="110"/>
      <c r="AO18" s="110"/>
      <c r="AP18" s="110"/>
      <c r="AQ18" s="110"/>
      <c r="AR18" s="110"/>
      <c r="AS18" s="110"/>
      <c r="AT18" s="110"/>
      <c r="AU18" s="240"/>
      <c r="AV18" s="110"/>
      <c r="AW18" s="110"/>
      <c r="AX18" s="23"/>
      <c r="AY18" s="110"/>
      <c r="AZ18" s="110"/>
      <c r="BA18" s="110"/>
      <c r="BB18" s="110"/>
      <c r="BC18" s="110"/>
      <c r="BD18" s="110"/>
      <c r="BE18" s="110"/>
      <c r="BF18" s="110"/>
      <c r="BG18" s="237">
        <v>102484.03</v>
      </c>
      <c r="BH18" s="237">
        <v>101000.95</v>
      </c>
      <c r="BI18" s="237">
        <v>102326.01</v>
      </c>
      <c r="BJ18" s="237">
        <v>102942.63</v>
      </c>
      <c r="BK18" s="237">
        <v>103774.01</v>
      </c>
      <c r="BL18" s="237">
        <v>105820.46</v>
      </c>
      <c r="BM18" s="237">
        <v>105819.89</v>
      </c>
      <c r="BN18" s="237">
        <v>106657.87</v>
      </c>
      <c r="BO18" s="237">
        <v>107600.87</v>
      </c>
      <c r="BP18" s="237">
        <v>108272.09</v>
      </c>
      <c r="BQ18" s="237">
        <v>109278.25</v>
      </c>
      <c r="BR18" s="237">
        <v>109937.58</v>
      </c>
      <c r="BS18" s="237">
        <v>110953.53</v>
      </c>
      <c r="BT18" s="237">
        <v>112407.8</v>
      </c>
      <c r="BU18" s="237">
        <v>113222.86</v>
      </c>
      <c r="BV18" s="237">
        <v>114403.19</v>
      </c>
      <c r="BW18" s="237">
        <v>114038.19</v>
      </c>
      <c r="BX18" s="237">
        <v>419.05</v>
      </c>
      <c r="BY18" s="237">
        <v>15.79</v>
      </c>
      <c r="BZ18" s="237">
        <v>0</v>
      </c>
      <c r="CA18" s="237">
        <v>0</v>
      </c>
      <c r="CB18" s="237">
        <v>0</v>
      </c>
      <c r="CC18" s="237">
        <v>0</v>
      </c>
      <c r="CD18" s="237">
        <v>0</v>
      </c>
      <c r="CE18" s="237">
        <v>0</v>
      </c>
      <c r="CF18" s="237">
        <v>0</v>
      </c>
      <c r="CG18" s="237">
        <v>0</v>
      </c>
      <c r="CH18" s="30">
        <v>0</v>
      </c>
      <c r="CI18" s="30">
        <v>0</v>
      </c>
      <c r="CJ18" s="30" t="e">
        <f t="array" aca="1" ref="CJ18" ca="1">_xludf.XLOOKUP(C18,'PL TOTAL D0'!H:H,'PL TOTAL D0'!I:I,"")</f>
        <v>#NAME?</v>
      </c>
    </row>
    <row r="19" spans="1:88" ht="15.75" customHeight="1">
      <c r="A19" s="36" t="s">
        <v>2921</v>
      </c>
      <c r="B19" s="106" t="s">
        <v>2960</v>
      </c>
      <c r="C19" s="9">
        <v>627411</v>
      </c>
      <c r="D19" s="9" t="s">
        <v>19</v>
      </c>
      <c r="E19" s="9" t="s">
        <v>20</v>
      </c>
      <c r="F19" s="7" t="s">
        <v>199</v>
      </c>
      <c r="G19" s="7" t="e">
        <f t="shared" ca="1" si="0"/>
        <v>#NAME?</v>
      </c>
      <c r="H19" s="8" t="s">
        <v>143</v>
      </c>
      <c r="I19" s="24" t="s">
        <v>25</v>
      </c>
      <c r="J19" s="9" t="str">
        <f t="shared" si="1"/>
        <v>Não</v>
      </c>
      <c r="K19" s="25">
        <v>44469</v>
      </c>
      <c r="L19" s="243">
        <v>44907</v>
      </c>
      <c r="M19" s="6" t="s">
        <v>58</v>
      </c>
      <c r="N19" s="233">
        <v>1.2E-2</v>
      </c>
      <c r="O19" s="9" t="s">
        <v>25</v>
      </c>
      <c r="P19" s="234">
        <v>0</v>
      </c>
      <c r="Q19" s="28"/>
      <c r="R19" s="235" t="s">
        <v>2961</v>
      </c>
      <c r="S19" s="7" t="s">
        <v>145</v>
      </c>
      <c r="T19" s="9" t="s">
        <v>2962</v>
      </c>
      <c r="U19" s="7" t="s">
        <v>46</v>
      </c>
      <c r="V19" s="24" t="e">
        <f t="shared" ca="1" si="2"/>
        <v>#NAME?</v>
      </c>
      <c r="W19" s="24"/>
      <c r="X19" s="24"/>
      <c r="Y19" s="6" t="s">
        <v>253</v>
      </c>
      <c r="Z19" s="6"/>
      <c r="AA19" s="6"/>
      <c r="AB19" s="6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110"/>
      <c r="AN19" s="110"/>
      <c r="AO19" s="110"/>
      <c r="AP19" s="110"/>
      <c r="AQ19" s="110"/>
      <c r="AR19" s="110"/>
      <c r="AS19" s="110"/>
      <c r="AT19" s="110"/>
      <c r="AU19" s="240"/>
      <c r="AV19" s="110"/>
      <c r="AW19" s="110"/>
      <c r="AX19" s="23"/>
      <c r="AY19" s="110">
        <v>1000</v>
      </c>
      <c r="AZ19" s="110">
        <v>590780.42000000004</v>
      </c>
      <c r="BA19" s="110">
        <v>592755.68000000005</v>
      </c>
      <c r="BB19" s="110">
        <v>599392.87</v>
      </c>
      <c r="BC19" s="110">
        <v>606265.59999999998</v>
      </c>
      <c r="BD19" s="110">
        <v>610674.77</v>
      </c>
      <c r="BE19" s="110">
        <v>626694.72</v>
      </c>
      <c r="BF19" s="110">
        <v>623867.6</v>
      </c>
      <c r="BG19" s="237">
        <v>626220.03</v>
      </c>
      <c r="BH19" s="237">
        <v>625103.39</v>
      </c>
      <c r="BI19" s="237">
        <v>631849.87</v>
      </c>
      <c r="BJ19" s="237">
        <v>639608.19999999995</v>
      </c>
      <c r="BK19" s="237">
        <v>590794.06999999995</v>
      </c>
      <c r="BL19" s="237">
        <v>659715.69999999995</v>
      </c>
      <c r="BM19" s="237">
        <v>0</v>
      </c>
      <c r="BN19" s="237">
        <v>0</v>
      </c>
      <c r="BO19" s="237">
        <v>0</v>
      </c>
      <c r="BP19" s="237">
        <v>0</v>
      </c>
      <c r="BQ19" s="237">
        <v>0</v>
      </c>
      <c r="BR19" s="237">
        <v>0</v>
      </c>
      <c r="BS19" s="237">
        <v>0</v>
      </c>
      <c r="BT19" s="237">
        <v>0</v>
      </c>
      <c r="BU19" s="237">
        <v>0</v>
      </c>
      <c r="BV19" s="237">
        <v>0</v>
      </c>
      <c r="BW19" s="237">
        <v>0</v>
      </c>
      <c r="BX19" s="237">
        <v>0</v>
      </c>
      <c r="BY19" s="237">
        <v>0</v>
      </c>
      <c r="BZ19" s="237">
        <v>0</v>
      </c>
      <c r="CA19" s="237">
        <v>0</v>
      </c>
      <c r="CB19" s="237">
        <v>0</v>
      </c>
      <c r="CC19" s="237">
        <v>0</v>
      </c>
      <c r="CD19" s="237">
        <v>0</v>
      </c>
      <c r="CE19" s="237">
        <v>0</v>
      </c>
      <c r="CF19" s="237">
        <v>0</v>
      </c>
      <c r="CG19" s="237">
        <v>0</v>
      </c>
      <c r="CH19" s="30">
        <v>0</v>
      </c>
      <c r="CI19" s="30">
        <v>0</v>
      </c>
      <c r="CJ19" s="30" t="e">
        <f t="array" aca="1" ref="CJ19" ca="1">_xludf.XLOOKUP(C19,'PL TOTAL D0'!H:H,'PL TOTAL D0'!I:I,"")</f>
        <v>#NAME?</v>
      </c>
    </row>
    <row r="20" spans="1:88" ht="15.75" customHeight="1">
      <c r="A20" s="36" t="s">
        <v>2921</v>
      </c>
      <c r="B20" s="37" t="s">
        <v>2963</v>
      </c>
      <c r="C20" s="9">
        <v>430193</v>
      </c>
      <c r="D20" s="9" t="s">
        <v>2923</v>
      </c>
      <c r="E20" s="9" t="s">
        <v>20</v>
      </c>
      <c r="F20" s="6" t="s">
        <v>2924</v>
      </c>
      <c r="G20" s="7" t="e">
        <f t="shared" ca="1" si="0"/>
        <v>#NAME?</v>
      </c>
      <c r="H20" s="8" t="s">
        <v>143</v>
      </c>
      <c r="I20" s="24" t="s">
        <v>25</v>
      </c>
      <c r="J20" s="9" t="str">
        <f t="shared" si="1"/>
        <v>Não</v>
      </c>
      <c r="K20" s="107">
        <v>43745</v>
      </c>
      <c r="L20" s="107">
        <v>44035</v>
      </c>
      <c r="M20" s="6" t="s">
        <v>200</v>
      </c>
      <c r="N20" s="10">
        <v>0.01</v>
      </c>
      <c r="O20" s="9" t="s">
        <v>37</v>
      </c>
      <c r="P20" s="234">
        <v>0.1</v>
      </c>
      <c r="Q20" s="45"/>
      <c r="R20" s="108"/>
      <c r="S20" s="7" t="s">
        <v>145</v>
      </c>
      <c r="T20" s="6" t="s">
        <v>2964</v>
      </c>
      <c r="U20" s="6" t="s">
        <v>20</v>
      </c>
      <c r="V20" s="24" t="e">
        <f t="shared" ca="1" si="2"/>
        <v>#NAME?</v>
      </c>
      <c r="W20" s="24"/>
      <c r="X20" s="24"/>
      <c r="Y20" s="6" t="s">
        <v>253</v>
      </c>
      <c r="Z20" s="6"/>
      <c r="AA20" s="6"/>
      <c r="AB20" s="6"/>
      <c r="AC20" s="110">
        <v>1035342.41</v>
      </c>
      <c r="AD20" s="110">
        <v>1027142.78</v>
      </c>
      <c r="AE20" s="110">
        <v>968338.56</v>
      </c>
      <c r="AF20" s="110">
        <v>971958.06</v>
      </c>
      <c r="AG20" s="110">
        <v>973440.75</v>
      </c>
      <c r="AH20" s="110">
        <v>556008.9</v>
      </c>
      <c r="AI20" s="110">
        <v>0</v>
      </c>
      <c r="AJ20" s="110"/>
      <c r="AK20" s="110"/>
      <c r="AL20" s="110">
        <v>237.78</v>
      </c>
      <c r="AM20" s="110">
        <v>237.78</v>
      </c>
      <c r="AN20" s="110">
        <v>147.88</v>
      </c>
      <c r="AO20" s="110">
        <v>147.88</v>
      </c>
      <c r="AP20" s="110">
        <v>147.88</v>
      </c>
      <c r="AQ20" s="110">
        <v>147.88</v>
      </c>
      <c r="AR20" s="110">
        <v>147.88</v>
      </c>
      <c r="AS20" s="110">
        <v>147.88</v>
      </c>
      <c r="AT20" s="110">
        <v>147.88</v>
      </c>
      <c r="AU20" s="110"/>
      <c r="AV20" s="240"/>
      <c r="AW20" s="110">
        <v>42.06</v>
      </c>
      <c r="AX20" s="110">
        <v>42.06</v>
      </c>
      <c r="AY20" s="110">
        <v>42.06</v>
      </c>
      <c r="AZ20" s="110">
        <v>42.06</v>
      </c>
      <c r="BA20" s="110">
        <v>42.06</v>
      </c>
      <c r="BB20" s="110">
        <v>42.06</v>
      </c>
      <c r="BC20" s="110">
        <v>42.06</v>
      </c>
      <c r="BD20" s="110">
        <v>42.06</v>
      </c>
      <c r="BE20" s="110">
        <v>42.06</v>
      </c>
      <c r="BF20" s="110">
        <v>42.06</v>
      </c>
      <c r="BG20" s="241" t="s">
        <v>2932</v>
      </c>
      <c r="BH20" s="110">
        <v>0</v>
      </c>
      <c r="BI20" s="110">
        <v>0</v>
      </c>
      <c r="BJ20" s="110">
        <v>42.06</v>
      </c>
      <c r="BK20" s="237">
        <v>42.06</v>
      </c>
      <c r="BL20" s="237">
        <v>42.06</v>
      </c>
      <c r="BM20" s="237">
        <v>42.06</v>
      </c>
      <c r="BN20" s="237">
        <v>42.06</v>
      </c>
      <c r="BO20" s="237">
        <v>42.06</v>
      </c>
      <c r="BP20" s="237">
        <v>42.06</v>
      </c>
      <c r="BQ20" s="237">
        <v>42.06</v>
      </c>
      <c r="BR20" s="237">
        <v>42.06</v>
      </c>
      <c r="BS20" s="237">
        <v>42.06</v>
      </c>
      <c r="BT20" s="237">
        <v>0</v>
      </c>
      <c r="BU20" s="237">
        <v>0</v>
      </c>
      <c r="BV20" s="237">
        <v>0</v>
      </c>
      <c r="BW20" s="237">
        <v>0</v>
      </c>
      <c r="BX20" s="237">
        <v>0</v>
      </c>
      <c r="BY20" s="237">
        <v>0</v>
      </c>
      <c r="BZ20" s="237">
        <v>0</v>
      </c>
      <c r="CA20" s="237">
        <v>0</v>
      </c>
      <c r="CB20" s="237">
        <v>0</v>
      </c>
      <c r="CC20" s="237">
        <v>0</v>
      </c>
      <c r="CD20" s="237">
        <v>0</v>
      </c>
      <c r="CE20" s="237">
        <v>0</v>
      </c>
      <c r="CF20" s="237">
        <v>0</v>
      </c>
      <c r="CG20" s="237">
        <v>0</v>
      </c>
      <c r="CH20" s="30">
        <v>0</v>
      </c>
      <c r="CI20" s="30">
        <v>0</v>
      </c>
      <c r="CJ20" s="30" t="e">
        <f t="array" aca="1" ref="CJ20" ca="1">_xludf.XLOOKUP(C20,'PL TOTAL D0'!H:H,'PL TOTAL D0'!I:I,"")</f>
        <v>#NAME?</v>
      </c>
    </row>
    <row r="21" spans="1:88" ht="15.75" customHeight="1">
      <c r="A21" s="36" t="s">
        <v>2921</v>
      </c>
      <c r="B21" s="37" t="s">
        <v>2965</v>
      </c>
      <c r="C21" s="9">
        <v>379151</v>
      </c>
      <c r="D21" s="9" t="s">
        <v>19</v>
      </c>
      <c r="E21" s="9" t="s">
        <v>20</v>
      </c>
      <c r="F21" s="6" t="s">
        <v>199</v>
      </c>
      <c r="G21" s="7" t="e">
        <f t="shared" ca="1" si="0"/>
        <v>#NAME?</v>
      </c>
      <c r="H21" s="8" t="s">
        <v>152</v>
      </c>
      <c r="I21" s="24" t="s">
        <v>25</v>
      </c>
      <c r="J21" s="9" t="str">
        <f t="shared" si="1"/>
        <v>Não</v>
      </c>
      <c r="K21" s="25">
        <v>45020</v>
      </c>
      <c r="L21" s="7"/>
      <c r="M21" s="6" t="s">
        <v>42</v>
      </c>
      <c r="N21" s="10">
        <v>7.0000000000000001E-3</v>
      </c>
      <c r="O21" s="9" t="s">
        <v>25</v>
      </c>
      <c r="P21" s="234">
        <v>0</v>
      </c>
      <c r="Q21" s="28"/>
      <c r="R21" s="28"/>
      <c r="S21" s="7" t="s">
        <v>145</v>
      </c>
      <c r="T21" s="6" t="s">
        <v>2966</v>
      </c>
      <c r="U21" s="6" t="s">
        <v>20</v>
      </c>
      <c r="V21" s="24" t="e">
        <f t="shared" ca="1" si="2"/>
        <v>#NAME?</v>
      </c>
      <c r="W21" s="24"/>
      <c r="X21" s="24"/>
      <c r="Y21" s="6" t="s">
        <v>253</v>
      </c>
      <c r="Z21" s="6"/>
      <c r="AA21" s="107">
        <v>45020</v>
      </c>
      <c r="AB21" s="6">
        <v>49075100009996</v>
      </c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240"/>
      <c r="AN21" s="240"/>
      <c r="AO21" s="110"/>
      <c r="AP21" s="236"/>
      <c r="AQ21" s="236"/>
      <c r="AR21" s="236"/>
      <c r="AS21" s="236"/>
      <c r="AT21" s="236"/>
      <c r="AU21" s="110"/>
      <c r="AV21" s="110"/>
      <c r="AW21" s="110"/>
      <c r="AX21" s="110"/>
      <c r="AY21" s="110"/>
      <c r="AZ21" s="23"/>
      <c r="BA21" s="132"/>
      <c r="BB21" s="132"/>
      <c r="BC21" s="110"/>
      <c r="BD21" s="110"/>
      <c r="BE21" s="110"/>
      <c r="BF21" s="110"/>
      <c r="BG21" s="237"/>
      <c r="BH21" s="237"/>
      <c r="BI21" s="237"/>
      <c r="BJ21" s="237"/>
      <c r="BK21" s="237"/>
      <c r="BL21" s="237"/>
      <c r="BM21" s="237"/>
      <c r="BN21" s="237"/>
      <c r="BO21" s="237"/>
      <c r="BP21" s="237"/>
      <c r="BQ21" s="237">
        <v>0</v>
      </c>
      <c r="BR21" s="237">
        <v>279469.28000000003</v>
      </c>
      <c r="BS21" s="237">
        <v>282007.53000000003</v>
      </c>
      <c r="BT21" s="237">
        <v>285642.59999999998</v>
      </c>
      <c r="BU21" s="237">
        <v>287956.62</v>
      </c>
      <c r="BV21" s="237">
        <v>290908.71000000002</v>
      </c>
      <c r="BW21" s="237">
        <v>292485.32</v>
      </c>
      <c r="BX21" s="237">
        <v>248650.68</v>
      </c>
      <c r="BY21" s="237">
        <v>249698.66</v>
      </c>
      <c r="BZ21" s="237">
        <v>252042.49</v>
      </c>
      <c r="CA21" s="237">
        <v>254140.24</v>
      </c>
      <c r="CB21" s="237">
        <v>255408.88</v>
      </c>
      <c r="CC21" s="237">
        <v>255001.13</v>
      </c>
      <c r="CD21" s="237">
        <v>256872.24</v>
      </c>
      <c r="CE21" s="237">
        <v>259014.46</v>
      </c>
      <c r="CF21" s="237">
        <v>261168.08</v>
      </c>
      <c r="CG21" s="237">
        <v>263112.05</v>
      </c>
      <c r="CH21" s="30">
        <v>265387.87</v>
      </c>
      <c r="CI21" s="30">
        <v>266055.76</v>
      </c>
      <c r="CJ21" s="30" t="e">
        <f t="array" aca="1" ref="CJ21" ca="1">_xludf.XLOOKUP(C21,'PL TOTAL D0'!H:H,'PL TOTAL D0'!I:I,"")</f>
        <v>#NAME?</v>
      </c>
    </row>
    <row r="22" spans="1:88" ht="15.75" customHeight="1">
      <c r="A22" s="36" t="s">
        <v>2921</v>
      </c>
      <c r="B22" s="37" t="s">
        <v>2967</v>
      </c>
      <c r="C22" s="9">
        <v>253852</v>
      </c>
      <c r="D22" s="9" t="s">
        <v>19</v>
      </c>
      <c r="E22" s="9" t="s">
        <v>34</v>
      </c>
      <c r="F22" s="6" t="s">
        <v>35</v>
      </c>
      <c r="G22" s="7" t="e">
        <f t="shared" ca="1" si="0"/>
        <v>#NAME?</v>
      </c>
      <c r="H22" s="8" t="s">
        <v>161</v>
      </c>
      <c r="I22" s="24" t="s">
        <v>162</v>
      </c>
      <c r="J22" s="9" t="str">
        <f t="shared" si="1"/>
        <v>Não</v>
      </c>
      <c r="K22" s="238">
        <v>44512</v>
      </c>
      <c r="L22" s="7"/>
      <c r="M22" s="6" t="s">
        <v>42</v>
      </c>
      <c r="N22" s="10">
        <v>7.0000000000000001E-3</v>
      </c>
      <c r="O22" s="9" t="s">
        <v>25</v>
      </c>
      <c r="P22" s="234">
        <v>0</v>
      </c>
      <c r="Q22" s="28"/>
      <c r="R22" s="28"/>
      <c r="S22" s="7" t="s">
        <v>145</v>
      </c>
      <c r="T22" s="6" t="s">
        <v>317</v>
      </c>
      <c r="U22" s="6" t="s">
        <v>39</v>
      </c>
      <c r="V22" s="24" t="e">
        <f t="shared" ca="1" si="2"/>
        <v>#NAME?</v>
      </c>
      <c r="W22" s="24"/>
      <c r="X22" s="24"/>
      <c r="Y22" s="6" t="s">
        <v>253</v>
      </c>
      <c r="Z22" s="6"/>
      <c r="AA22" s="239">
        <v>44512</v>
      </c>
      <c r="AB22" s="6">
        <v>49075100014248</v>
      </c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240"/>
      <c r="AN22" s="240"/>
      <c r="AO22" s="110"/>
      <c r="AP22" s="236"/>
      <c r="AQ22" s="236"/>
      <c r="AR22" s="236"/>
      <c r="AS22" s="236"/>
      <c r="AT22" s="236"/>
      <c r="AU22" s="110"/>
      <c r="AV22" s="110"/>
      <c r="AW22" s="110"/>
      <c r="AX22" s="110"/>
      <c r="AY22" s="110"/>
      <c r="AZ22" s="23"/>
      <c r="BA22" s="132">
        <v>136654.94</v>
      </c>
      <c r="BB22" s="132">
        <v>138554.51999999999</v>
      </c>
      <c r="BC22" s="110">
        <v>138760.29999999999</v>
      </c>
      <c r="BD22" s="110">
        <v>139588.04</v>
      </c>
      <c r="BE22" s="110">
        <v>142204.76999999999</v>
      </c>
      <c r="BF22" s="110">
        <v>142834.25</v>
      </c>
      <c r="BG22" s="237">
        <v>144103.6</v>
      </c>
      <c r="BH22" s="237">
        <v>144763.45000000001</v>
      </c>
      <c r="BI22" s="237">
        <v>144684.82</v>
      </c>
      <c r="BJ22" s="237">
        <v>146324.19</v>
      </c>
      <c r="BK22" s="237">
        <v>147059.78</v>
      </c>
      <c r="BL22" s="237">
        <v>148335.12</v>
      </c>
      <c r="BM22" s="237">
        <v>146094.53</v>
      </c>
      <c r="BN22" s="237">
        <v>146874.37</v>
      </c>
      <c r="BO22" s="237">
        <v>144397.29999999999</v>
      </c>
      <c r="BP22" s="237">
        <v>145710.51</v>
      </c>
      <c r="BQ22" s="237">
        <v>147586.09</v>
      </c>
      <c r="BR22" s="237">
        <v>148784.85</v>
      </c>
      <c r="BS22" s="237">
        <v>148037.75</v>
      </c>
      <c r="BT22" s="237">
        <v>149312.35</v>
      </c>
      <c r="BU22" s="237">
        <v>150549.04999999999</v>
      </c>
      <c r="BV22" s="237">
        <v>152517.99</v>
      </c>
      <c r="BW22" s="237">
        <v>152613.39000000001</v>
      </c>
      <c r="BX22" s="237">
        <v>154909.92000000001</v>
      </c>
      <c r="BY22" s="237">
        <v>156080.16</v>
      </c>
      <c r="BZ22" s="237">
        <v>157545.51999999999</v>
      </c>
      <c r="CA22" s="237">
        <v>0</v>
      </c>
      <c r="CB22" s="237">
        <v>0</v>
      </c>
      <c r="CC22" s="237">
        <v>0</v>
      </c>
      <c r="CD22" s="237">
        <v>0</v>
      </c>
      <c r="CE22" s="237">
        <v>0</v>
      </c>
      <c r="CF22" s="237">
        <v>0</v>
      </c>
      <c r="CG22" s="237">
        <v>0</v>
      </c>
      <c r="CH22" s="30">
        <v>0</v>
      </c>
      <c r="CI22" s="30">
        <v>0</v>
      </c>
      <c r="CJ22" s="30" t="e">
        <f t="array" aca="1" ref="CJ22" ca="1">_xludf.XLOOKUP(C22,'PL TOTAL D0'!H:H,'PL TOTAL D0'!I:I,"")</f>
        <v>#NAME?</v>
      </c>
    </row>
    <row r="23" spans="1:88" ht="15.75" customHeight="1">
      <c r="A23" s="36" t="s">
        <v>2921</v>
      </c>
      <c r="B23" s="106" t="s">
        <v>318</v>
      </c>
      <c r="C23" s="9">
        <v>34380</v>
      </c>
      <c r="D23" s="9" t="s">
        <v>19</v>
      </c>
      <c r="E23" s="9" t="s">
        <v>34</v>
      </c>
      <c r="F23" s="9" t="s">
        <v>35</v>
      </c>
      <c r="G23" s="7" t="e">
        <f t="shared" ca="1" si="0"/>
        <v>#NAME?</v>
      </c>
      <c r="H23" s="8" t="s">
        <v>161</v>
      </c>
      <c r="I23" s="24" t="s">
        <v>162</v>
      </c>
      <c r="J23" s="9" t="str">
        <f t="shared" si="1"/>
        <v>Não</v>
      </c>
      <c r="K23" s="107">
        <v>44266</v>
      </c>
      <c r="L23" s="6"/>
      <c r="M23" s="6" t="s">
        <v>345</v>
      </c>
      <c r="N23" s="10">
        <v>0.02</v>
      </c>
      <c r="O23" s="9" t="s">
        <v>37</v>
      </c>
      <c r="P23" s="234">
        <v>0.2</v>
      </c>
      <c r="Q23" s="45"/>
      <c r="R23" s="108" t="s">
        <v>2968</v>
      </c>
      <c r="S23" s="7" t="s">
        <v>145</v>
      </c>
      <c r="T23" s="9" t="s">
        <v>320</v>
      </c>
      <c r="U23" s="6" t="s">
        <v>39</v>
      </c>
      <c r="V23" s="24" t="e">
        <f t="shared" ca="1" si="2"/>
        <v>#NAME?</v>
      </c>
      <c r="W23" s="24"/>
      <c r="X23" s="24"/>
      <c r="Y23" s="6" t="s">
        <v>147</v>
      </c>
      <c r="Z23" s="6"/>
      <c r="AA23" s="107">
        <v>44266</v>
      </c>
      <c r="AB23" s="6">
        <v>49075100009139</v>
      </c>
      <c r="AC23" s="240"/>
      <c r="AD23" s="240"/>
      <c r="AE23" s="240"/>
      <c r="AF23" s="240"/>
      <c r="AG23" s="240"/>
      <c r="AH23" s="240"/>
      <c r="AI23" s="240"/>
      <c r="AJ23" s="240"/>
      <c r="AK23" s="240"/>
      <c r="AL23" s="240"/>
      <c r="AM23" s="240"/>
      <c r="AN23" s="240"/>
      <c r="AO23" s="240"/>
      <c r="AP23" s="110"/>
      <c r="AQ23" s="236">
        <v>1480002.42</v>
      </c>
      <c r="AR23" s="236">
        <v>1498381.39</v>
      </c>
      <c r="AS23" s="236"/>
      <c r="AT23" s="236">
        <v>1516551.96</v>
      </c>
      <c r="AU23" s="236">
        <v>1575263.45</v>
      </c>
      <c r="AV23" s="110">
        <v>1774359.68</v>
      </c>
      <c r="AW23" s="110">
        <v>2595356.17</v>
      </c>
      <c r="AX23" s="110">
        <v>2502500.1</v>
      </c>
      <c r="AY23" s="110">
        <v>2138438.2999999998</v>
      </c>
      <c r="AZ23" s="110">
        <v>1768948.13</v>
      </c>
      <c r="BA23" s="110">
        <v>1276825.42</v>
      </c>
      <c r="BB23" s="110">
        <v>1174513.69</v>
      </c>
      <c r="BC23" s="110">
        <v>1250748.79</v>
      </c>
      <c r="BD23" s="110">
        <v>1263287.03</v>
      </c>
      <c r="BE23" s="110">
        <v>1374879.65</v>
      </c>
      <c r="BF23" s="110">
        <v>1336222.17</v>
      </c>
      <c r="BG23" s="237">
        <v>1324303.6200000001</v>
      </c>
      <c r="BH23" s="237">
        <v>1343985.82</v>
      </c>
      <c r="BI23" s="237">
        <v>1386731.4</v>
      </c>
      <c r="BJ23" s="237">
        <v>1260597.49</v>
      </c>
      <c r="BK23" s="237">
        <v>1169900.72</v>
      </c>
      <c r="BL23" s="237">
        <v>983265.69</v>
      </c>
      <c r="BM23" s="237">
        <v>774415.32</v>
      </c>
      <c r="BN23" s="237">
        <v>776809.27</v>
      </c>
      <c r="BO23" s="237">
        <v>779063.03</v>
      </c>
      <c r="BP23" s="237">
        <v>767690.86</v>
      </c>
      <c r="BQ23" s="237">
        <v>884640.7</v>
      </c>
      <c r="BR23" s="237">
        <v>314241.81</v>
      </c>
      <c r="BS23" s="237">
        <v>15.94</v>
      </c>
      <c r="BT23" s="237">
        <v>0</v>
      </c>
      <c r="BU23" s="237">
        <v>0</v>
      </c>
      <c r="BV23" s="237">
        <v>0</v>
      </c>
      <c r="BW23" s="237">
        <v>0</v>
      </c>
      <c r="BX23" s="237">
        <v>0</v>
      </c>
      <c r="BY23" s="237">
        <v>0</v>
      </c>
      <c r="BZ23" s="237">
        <v>0</v>
      </c>
      <c r="CA23" s="237">
        <v>0</v>
      </c>
      <c r="CB23" s="237">
        <v>0</v>
      </c>
      <c r="CC23" s="237">
        <v>0</v>
      </c>
      <c r="CD23" s="237">
        <v>0</v>
      </c>
      <c r="CE23" s="237">
        <v>0</v>
      </c>
      <c r="CF23" s="237">
        <v>0</v>
      </c>
      <c r="CG23" s="237">
        <v>0</v>
      </c>
      <c r="CH23" s="30">
        <v>0</v>
      </c>
      <c r="CI23" s="30">
        <v>0</v>
      </c>
      <c r="CJ23" s="30" t="e">
        <f t="array" aca="1" ref="CJ23" ca="1">_xludf.XLOOKUP(C23,'PL TOTAL D0'!H:H,'PL TOTAL D0'!I:I,"")</f>
        <v>#NAME?</v>
      </c>
    </row>
    <row r="24" spans="1:88" ht="15.75" customHeight="1">
      <c r="A24" s="36" t="s">
        <v>2921</v>
      </c>
      <c r="B24" s="3" t="s">
        <v>2969</v>
      </c>
      <c r="C24" s="9">
        <v>578360</v>
      </c>
      <c r="D24" s="9" t="s">
        <v>19</v>
      </c>
      <c r="E24" s="9" t="s">
        <v>34</v>
      </c>
      <c r="F24" s="9" t="s">
        <v>35</v>
      </c>
      <c r="G24" s="7" t="e">
        <f t="shared" ca="1" si="0"/>
        <v>#NAME?</v>
      </c>
      <c r="H24" s="8" t="s">
        <v>161</v>
      </c>
      <c r="I24" s="24" t="s">
        <v>162</v>
      </c>
      <c r="J24" s="9" t="str">
        <f t="shared" si="1"/>
        <v>Não</v>
      </c>
      <c r="K24" s="232">
        <v>44319</v>
      </c>
      <c r="L24" s="6"/>
      <c r="M24" s="6" t="s">
        <v>200</v>
      </c>
      <c r="N24" s="10">
        <v>1.4999999999999999E-2</v>
      </c>
      <c r="O24" s="9" t="s">
        <v>37</v>
      </c>
      <c r="P24" s="234">
        <v>0.1</v>
      </c>
      <c r="Q24" s="45"/>
      <c r="R24" s="28" t="s">
        <v>2970</v>
      </c>
      <c r="S24" s="7" t="s">
        <v>145</v>
      </c>
      <c r="T24" s="6" t="s">
        <v>325</v>
      </c>
      <c r="U24" s="6" t="s">
        <v>39</v>
      </c>
      <c r="V24" s="24" t="e">
        <f t="shared" ca="1" si="2"/>
        <v>#NAME?</v>
      </c>
      <c r="W24" s="24"/>
      <c r="X24" s="24"/>
      <c r="Y24" s="6" t="s">
        <v>253</v>
      </c>
      <c r="Z24" s="6"/>
      <c r="AA24" s="107">
        <v>44319</v>
      </c>
      <c r="AB24" s="6">
        <v>49075100010013</v>
      </c>
      <c r="AC24" s="132"/>
      <c r="AD24" s="132"/>
      <c r="AE24" s="132"/>
      <c r="AF24" s="132"/>
      <c r="AG24" s="132"/>
      <c r="AH24" s="132"/>
      <c r="AI24" s="132"/>
      <c r="AJ24" s="132"/>
      <c r="AK24" s="132"/>
      <c r="AL24" s="132"/>
      <c r="AM24" s="132"/>
      <c r="AN24" s="132"/>
      <c r="AO24" s="132"/>
      <c r="AP24" s="110"/>
      <c r="AQ24" s="236"/>
      <c r="AR24" s="236"/>
      <c r="AS24" s="236"/>
      <c r="AT24" s="236"/>
      <c r="AU24" s="236">
        <v>167600.48000000001</v>
      </c>
      <c r="AV24" s="110">
        <v>166400.34</v>
      </c>
      <c r="AW24" s="110">
        <v>164751.16</v>
      </c>
      <c r="AX24" s="110">
        <v>161807.32</v>
      </c>
      <c r="AY24" s="110">
        <v>159519.38</v>
      </c>
      <c r="AZ24" s="110">
        <v>156047.32999999999</v>
      </c>
      <c r="BA24" s="110">
        <v>154441.82</v>
      </c>
      <c r="BB24" s="110">
        <v>153698.23999999999</v>
      </c>
      <c r="BC24" s="110">
        <v>157826.10999999999</v>
      </c>
      <c r="BD24" s="110">
        <v>158653.22</v>
      </c>
      <c r="BE24" s="110">
        <v>165764.4</v>
      </c>
      <c r="BF24" s="110">
        <v>163088.48000000001</v>
      </c>
      <c r="BG24" s="237">
        <v>162907.42000000001</v>
      </c>
      <c r="BH24" s="237">
        <v>161052.5</v>
      </c>
      <c r="BI24" s="237">
        <v>163497.5</v>
      </c>
      <c r="BJ24" s="237">
        <v>165748.29</v>
      </c>
      <c r="BK24" s="237">
        <v>167274.89000000001</v>
      </c>
      <c r="BL24" s="237">
        <v>19777.919999999998</v>
      </c>
      <c r="BM24" s="237">
        <v>7585.1</v>
      </c>
      <c r="BN24" s="237">
        <v>7624.74</v>
      </c>
      <c r="BO24" s="237">
        <v>8012.56</v>
      </c>
      <c r="BP24" s="237">
        <v>8061.84</v>
      </c>
      <c r="BQ24" s="237">
        <v>8150.87</v>
      </c>
      <c r="BR24" s="237">
        <v>8192.09</v>
      </c>
      <c r="BS24" s="237">
        <v>7181.17</v>
      </c>
      <c r="BT24" s="237">
        <v>0</v>
      </c>
      <c r="BU24" s="237">
        <v>0</v>
      </c>
      <c r="BV24" s="237">
        <v>0</v>
      </c>
      <c r="BW24" s="237">
        <v>0</v>
      </c>
      <c r="BX24" s="237">
        <v>0</v>
      </c>
      <c r="BY24" s="237">
        <v>0</v>
      </c>
      <c r="BZ24" s="237">
        <v>0</v>
      </c>
      <c r="CA24" s="237">
        <v>0</v>
      </c>
      <c r="CB24" s="237">
        <v>0</v>
      </c>
      <c r="CC24" s="237">
        <v>0</v>
      </c>
      <c r="CD24" s="237">
        <v>0</v>
      </c>
      <c r="CE24" s="237">
        <v>0</v>
      </c>
      <c r="CF24" s="237">
        <v>0</v>
      </c>
      <c r="CG24" s="237">
        <v>0</v>
      </c>
      <c r="CH24" s="30">
        <v>0</v>
      </c>
      <c r="CI24" s="30">
        <v>0</v>
      </c>
      <c r="CJ24" s="30" t="e">
        <f t="array" aca="1" ref="CJ24" ca="1">_xludf.XLOOKUP(C24,'PL TOTAL D0'!H:H,'PL TOTAL D0'!I:I,"")</f>
        <v>#NAME?</v>
      </c>
    </row>
    <row r="25" spans="1:88" ht="15.75" customHeight="1">
      <c r="A25" s="36" t="s">
        <v>2921</v>
      </c>
      <c r="B25" s="106" t="s">
        <v>339</v>
      </c>
      <c r="C25" s="9">
        <v>32319</v>
      </c>
      <c r="D25" s="9" t="s">
        <v>19</v>
      </c>
      <c r="E25" s="9" t="s">
        <v>34</v>
      </c>
      <c r="F25" s="9" t="s">
        <v>2971</v>
      </c>
      <c r="G25" s="7" t="e">
        <f t="shared" ca="1" si="0"/>
        <v>#NAME?</v>
      </c>
      <c r="H25" s="8" t="s">
        <v>161</v>
      </c>
      <c r="I25" s="24" t="s">
        <v>205</v>
      </c>
      <c r="J25" s="9" t="str">
        <f t="shared" si="1"/>
        <v>Sim</v>
      </c>
      <c r="K25" s="232">
        <v>44263</v>
      </c>
      <c r="L25" s="6"/>
      <c r="M25" s="6" t="s">
        <v>58</v>
      </c>
      <c r="N25" s="10">
        <v>1.2E-2</v>
      </c>
      <c r="O25" s="9" t="s">
        <v>25</v>
      </c>
      <c r="P25" s="234">
        <v>0</v>
      </c>
      <c r="Q25" s="235" t="s">
        <v>2972</v>
      </c>
      <c r="R25" s="235"/>
      <c r="S25" s="7" t="s">
        <v>145</v>
      </c>
      <c r="T25" s="9" t="s">
        <v>342</v>
      </c>
      <c r="U25" s="6" t="s">
        <v>39</v>
      </c>
      <c r="V25" s="24" t="e">
        <f t="shared" ca="1" si="2"/>
        <v>#NAME?</v>
      </c>
      <c r="W25" s="24"/>
      <c r="X25" s="24"/>
      <c r="Y25" s="6" t="s">
        <v>253</v>
      </c>
      <c r="Z25" s="6"/>
      <c r="AA25" s="107">
        <v>44263</v>
      </c>
      <c r="AB25" s="6">
        <v>49075100009589</v>
      </c>
      <c r="AC25" s="240"/>
      <c r="AD25" s="240"/>
      <c r="AE25" s="240"/>
      <c r="AF25" s="240"/>
      <c r="AG25" s="240"/>
      <c r="AH25" s="240"/>
      <c r="AI25" s="240"/>
      <c r="AJ25" s="240"/>
      <c r="AK25" s="240"/>
      <c r="AL25" s="240"/>
      <c r="AM25" s="240"/>
      <c r="AN25" s="240"/>
      <c r="AO25" s="240"/>
      <c r="AP25" s="110"/>
      <c r="AQ25" s="236">
        <v>440722.58</v>
      </c>
      <c r="AR25" s="236">
        <v>449239.03999999998</v>
      </c>
      <c r="AS25" s="236"/>
      <c r="AT25" s="236">
        <v>462224.91</v>
      </c>
      <c r="AU25" s="236">
        <v>470954.9</v>
      </c>
      <c r="AV25" s="110">
        <v>469764.14</v>
      </c>
      <c r="AW25" s="110">
        <v>465189.44</v>
      </c>
      <c r="AX25" s="110">
        <v>457279.75</v>
      </c>
      <c r="AY25" s="110">
        <v>412484.09</v>
      </c>
      <c r="AZ25" s="110">
        <v>437541.9</v>
      </c>
      <c r="BA25" s="110">
        <v>432527.98</v>
      </c>
      <c r="BB25" s="110">
        <v>434212.15</v>
      </c>
      <c r="BC25" s="110">
        <v>443105.66</v>
      </c>
      <c r="BD25" s="110">
        <v>446263.22</v>
      </c>
      <c r="BE25" s="110">
        <v>465702.25</v>
      </c>
      <c r="BF25" s="110">
        <v>457808.8</v>
      </c>
      <c r="BG25" s="237">
        <v>505664.71</v>
      </c>
      <c r="BH25" s="237">
        <v>456198.74</v>
      </c>
      <c r="BI25" s="237">
        <v>460413.11</v>
      </c>
      <c r="BJ25" s="237">
        <v>465701.96</v>
      </c>
      <c r="BK25" s="237">
        <v>469182.88</v>
      </c>
      <c r="BL25" s="237">
        <v>479309.81</v>
      </c>
      <c r="BM25" s="237">
        <v>477172.68</v>
      </c>
      <c r="BN25" s="237">
        <v>481234.45</v>
      </c>
      <c r="BO25" s="237">
        <v>486765.01</v>
      </c>
      <c r="BP25" s="237">
        <v>491437.74</v>
      </c>
      <c r="BQ25" s="237">
        <v>497419.32</v>
      </c>
      <c r="BR25" s="237">
        <v>500972.7</v>
      </c>
      <c r="BS25" s="237">
        <v>505457.11</v>
      </c>
      <c r="BT25" s="237">
        <v>235644.94</v>
      </c>
      <c r="BU25" s="237">
        <v>206013.87</v>
      </c>
      <c r="BV25" s="237">
        <v>240906.88</v>
      </c>
      <c r="BW25" s="237">
        <v>241298.98</v>
      </c>
      <c r="BX25" s="237">
        <v>242917.88</v>
      </c>
      <c r="BY25" s="237">
        <v>206237.43</v>
      </c>
      <c r="BZ25" s="237">
        <v>118196.35</v>
      </c>
      <c r="CA25" s="237">
        <v>119397.47</v>
      </c>
      <c r="CB25" s="237">
        <v>120333.01</v>
      </c>
      <c r="CC25" s="237">
        <v>12940.09</v>
      </c>
      <c r="CD25" s="237">
        <v>13007.13</v>
      </c>
      <c r="CE25" s="237">
        <v>12771.82</v>
      </c>
      <c r="CF25" s="237">
        <v>12854.13</v>
      </c>
      <c r="CG25" s="237">
        <v>12925.4</v>
      </c>
      <c r="CH25" s="30">
        <v>12988.98</v>
      </c>
      <c r="CI25" s="30">
        <v>13049.41</v>
      </c>
      <c r="CJ25" s="30" t="e">
        <f t="array" aca="1" ref="CJ25" ca="1">_xludf.XLOOKUP(C25,'PL TOTAL D0'!H:H,'PL TOTAL D0'!I:I,"")</f>
        <v>#NAME?</v>
      </c>
    </row>
    <row r="26" spans="1:88" ht="15.75" customHeight="1">
      <c r="A26" s="36" t="s">
        <v>2921</v>
      </c>
      <c r="B26" s="3" t="s">
        <v>2973</v>
      </c>
      <c r="C26" s="9">
        <v>36944</v>
      </c>
      <c r="D26" s="244" t="s">
        <v>19</v>
      </c>
      <c r="E26" s="244" t="s">
        <v>34</v>
      </c>
      <c r="F26" s="244" t="s">
        <v>35</v>
      </c>
      <c r="G26" s="7" t="e">
        <f t="shared" ca="1" si="0"/>
        <v>#NAME?</v>
      </c>
      <c r="H26" s="245" t="s">
        <v>152</v>
      </c>
      <c r="I26" s="24" t="s">
        <v>25</v>
      </c>
      <c r="J26" s="9" t="str">
        <f t="shared" si="1"/>
        <v>Não</v>
      </c>
      <c r="K26" s="246">
        <v>44623</v>
      </c>
      <c r="L26" s="247"/>
      <c r="M26" s="247" t="s">
        <v>87</v>
      </c>
      <c r="N26" s="248">
        <v>2.5000000000000001E-2</v>
      </c>
      <c r="O26" s="244" t="s">
        <v>183</v>
      </c>
      <c r="P26" s="249">
        <v>0.2</v>
      </c>
      <c r="Q26" s="108"/>
      <c r="R26" s="108"/>
      <c r="S26" s="7" t="s">
        <v>145</v>
      </c>
      <c r="T26" s="6" t="s">
        <v>2974</v>
      </c>
      <c r="U26" s="6" t="s">
        <v>39</v>
      </c>
      <c r="V26" s="24" t="e">
        <f t="shared" ca="1" si="2"/>
        <v>#NAME?</v>
      </c>
      <c r="W26" s="24"/>
      <c r="X26" s="24"/>
      <c r="Y26" s="6" t="s">
        <v>253</v>
      </c>
      <c r="Z26" s="6"/>
      <c r="AA26" s="107">
        <v>44623</v>
      </c>
      <c r="AB26" s="6">
        <v>49075100010099</v>
      </c>
      <c r="AC26" s="240"/>
      <c r="AD26" s="240"/>
      <c r="AE26" s="240"/>
      <c r="AF26" s="240"/>
      <c r="AG26" s="240"/>
      <c r="AH26" s="240"/>
      <c r="AI26" s="240"/>
      <c r="AJ26" s="240"/>
      <c r="AK26" s="240"/>
      <c r="AL26" s="240"/>
      <c r="AM26" s="240"/>
      <c r="AN26" s="240"/>
      <c r="AO26" s="240"/>
      <c r="AP26" s="110"/>
      <c r="AQ26" s="236"/>
      <c r="AR26" s="236"/>
      <c r="AS26" s="236"/>
      <c r="AT26" s="236"/>
      <c r="AU26" s="236"/>
      <c r="AV26" s="110"/>
      <c r="AW26" s="110"/>
      <c r="AX26" s="110"/>
      <c r="AY26" s="110"/>
      <c r="AZ26" s="110"/>
      <c r="BA26" s="110"/>
      <c r="BB26" s="110"/>
      <c r="BC26" s="110"/>
      <c r="BD26" s="110"/>
      <c r="BE26" s="110">
        <v>97100.02</v>
      </c>
      <c r="BF26" s="110">
        <v>92638.91</v>
      </c>
      <c r="BG26" s="237">
        <v>90466.5</v>
      </c>
      <c r="BH26" s="237">
        <v>85689.23</v>
      </c>
      <c r="BI26" s="237">
        <v>88679.33</v>
      </c>
      <c r="BJ26" s="237">
        <v>90869.7</v>
      </c>
      <c r="BK26" s="237">
        <v>91312.47</v>
      </c>
      <c r="BL26" s="237">
        <v>98195.95</v>
      </c>
      <c r="BM26" s="237">
        <v>96165.06</v>
      </c>
      <c r="BN26" s="237">
        <v>95605.15</v>
      </c>
      <c r="BO26" s="237">
        <v>98467.87</v>
      </c>
      <c r="BP26" s="237">
        <v>95312.6</v>
      </c>
      <c r="BQ26" s="237">
        <v>94859.19</v>
      </c>
      <c r="BR26" s="237">
        <v>92637.07</v>
      </c>
      <c r="BS26" s="237">
        <v>97007.24</v>
      </c>
      <c r="BT26" s="237">
        <v>104362.69</v>
      </c>
      <c r="BU26" s="237">
        <v>110007.3</v>
      </c>
      <c r="BV26" s="237">
        <v>108631.49</v>
      </c>
      <c r="BW26" s="237">
        <v>104479.37</v>
      </c>
      <c r="BX26" s="237">
        <v>99276.68</v>
      </c>
      <c r="BY26" s="237">
        <v>106800.24</v>
      </c>
      <c r="BZ26" s="237">
        <v>111462.73</v>
      </c>
      <c r="CA26" s="237">
        <v>104775.96</v>
      </c>
      <c r="CB26" s="237">
        <v>106729.11</v>
      </c>
      <c r="CC26" s="237">
        <v>72574.86</v>
      </c>
      <c r="CD26" s="237">
        <v>102972.12</v>
      </c>
      <c r="CE26" s="237">
        <v>90764.55</v>
      </c>
      <c r="CF26" s="237">
        <v>99754.49</v>
      </c>
      <c r="CG26" s="237">
        <v>98254.55</v>
      </c>
      <c r="CH26" s="30">
        <v>103004.21</v>
      </c>
      <c r="CI26" s="30">
        <v>100865.64</v>
      </c>
      <c r="CJ26" s="30" t="e">
        <f t="array" aca="1" ref="CJ26" ca="1">_xludf.XLOOKUP(C26,'PL TOTAL D0'!H:H,'PL TOTAL D0'!I:I,"")</f>
        <v>#NAME?</v>
      </c>
    </row>
    <row r="27" spans="1:88" ht="15.75" customHeight="1">
      <c r="A27" s="36" t="s">
        <v>2921</v>
      </c>
      <c r="B27" s="37" t="s">
        <v>2975</v>
      </c>
      <c r="C27" s="9">
        <v>446649</v>
      </c>
      <c r="D27" s="9" t="s">
        <v>19</v>
      </c>
      <c r="E27" s="9" t="s">
        <v>34</v>
      </c>
      <c r="F27" s="9" t="s">
        <v>262</v>
      </c>
      <c r="G27" s="7" t="e">
        <f t="shared" ca="1" si="0"/>
        <v>#NAME?</v>
      </c>
      <c r="H27" s="8" t="s">
        <v>161</v>
      </c>
      <c r="I27" s="24" t="s">
        <v>162</v>
      </c>
      <c r="J27" s="9" t="str">
        <f t="shared" si="1"/>
        <v>Não</v>
      </c>
      <c r="K27" s="232">
        <v>44670</v>
      </c>
      <c r="L27" s="6"/>
      <c r="M27" s="6" t="s">
        <v>58</v>
      </c>
      <c r="N27" s="10">
        <v>1.2E-2</v>
      </c>
      <c r="O27" s="9" t="s">
        <v>25</v>
      </c>
      <c r="P27" s="234">
        <v>0</v>
      </c>
      <c r="Q27" s="108"/>
      <c r="R27" s="23"/>
      <c r="S27" s="7" t="s">
        <v>145</v>
      </c>
      <c r="T27" s="6" t="s">
        <v>334</v>
      </c>
      <c r="U27" s="6" t="s">
        <v>39</v>
      </c>
      <c r="V27" s="24" t="e">
        <f t="shared" ca="1" si="2"/>
        <v>#NAME?</v>
      </c>
      <c r="W27" s="24"/>
      <c r="X27" s="24"/>
      <c r="Y27" s="6" t="s">
        <v>253</v>
      </c>
      <c r="Z27" s="6"/>
      <c r="AA27" s="107">
        <v>44670</v>
      </c>
      <c r="AB27" s="6">
        <v>49075100010463</v>
      </c>
      <c r="AC27" s="240"/>
      <c r="AD27" s="240"/>
      <c r="AE27" s="240"/>
      <c r="AF27" s="240"/>
      <c r="AG27" s="240"/>
      <c r="AH27" s="240"/>
      <c r="AI27" s="240"/>
      <c r="AJ27" s="240"/>
      <c r="AK27" s="240"/>
      <c r="AL27" s="240"/>
      <c r="AM27" s="240"/>
      <c r="AN27" s="240"/>
      <c r="AO27" s="240"/>
      <c r="AP27" s="110"/>
      <c r="AQ27" s="236"/>
      <c r="AR27" s="236"/>
      <c r="AS27" s="236"/>
      <c r="AT27" s="236"/>
      <c r="AU27" s="236"/>
      <c r="AV27" s="110"/>
      <c r="AW27" s="110"/>
      <c r="AX27" s="110"/>
      <c r="AY27" s="110"/>
      <c r="AZ27" s="110"/>
      <c r="BA27" s="110"/>
      <c r="BB27" s="110"/>
      <c r="BC27" s="110"/>
      <c r="BD27" s="110"/>
      <c r="BE27" s="110"/>
      <c r="BF27" s="110">
        <v>69385.22</v>
      </c>
      <c r="BG27" s="237">
        <v>70121.02</v>
      </c>
      <c r="BH27" s="237">
        <v>79333.13</v>
      </c>
      <c r="BI27" s="237">
        <v>79828.34</v>
      </c>
      <c r="BJ27" s="237">
        <v>81298.81</v>
      </c>
      <c r="BK27" s="237">
        <v>81390.509999999995</v>
      </c>
      <c r="BL27" s="237">
        <v>82870.28</v>
      </c>
      <c r="BM27" s="237">
        <v>82303.12</v>
      </c>
      <c r="BN27" s="237">
        <v>82946.740000000005</v>
      </c>
      <c r="BO27" s="237">
        <v>89915.95</v>
      </c>
      <c r="BP27" s="237">
        <v>90730</v>
      </c>
      <c r="BQ27" s="237">
        <v>91893.69</v>
      </c>
      <c r="BR27" s="237">
        <v>92649.91</v>
      </c>
      <c r="BS27" s="237">
        <v>96473.39</v>
      </c>
      <c r="BT27" s="237">
        <v>96902.54</v>
      </c>
      <c r="BU27" s="237">
        <v>97651.06</v>
      </c>
      <c r="BV27" s="237">
        <v>68255.64</v>
      </c>
      <c r="BW27" s="237">
        <v>67709.929999999993</v>
      </c>
      <c r="BX27" s="237">
        <v>9.25</v>
      </c>
      <c r="BY27" s="237">
        <v>9.25</v>
      </c>
      <c r="BZ27" s="237">
        <v>9.25</v>
      </c>
      <c r="CA27" s="237">
        <v>9.25</v>
      </c>
      <c r="CB27" s="237">
        <v>9.25</v>
      </c>
      <c r="CC27" s="237">
        <v>9.25</v>
      </c>
      <c r="CD27" s="237">
        <v>9.25</v>
      </c>
      <c r="CE27" s="237">
        <v>9.25</v>
      </c>
      <c r="CF27" s="237">
        <v>9.25</v>
      </c>
      <c r="CG27" s="237">
        <v>9.25</v>
      </c>
      <c r="CH27" s="30">
        <v>9.25</v>
      </c>
      <c r="CI27" s="30">
        <v>7.19</v>
      </c>
      <c r="CJ27" s="30" t="e">
        <f t="array" aca="1" ref="CJ27" ca="1">_xludf.XLOOKUP(C27,'PL TOTAL D0'!H:H,'PL TOTAL D0'!I:I,"")</f>
        <v>#NAME?</v>
      </c>
    </row>
    <row r="28" spans="1:88" ht="15.75" customHeight="1">
      <c r="A28" s="36" t="s">
        <v>2921</v>
      </c>
      <c r="B28" s="37" t="s">
        <v>2976</v>
      </c>
      <c r="C28" s="9">
        <v>352574</v>
      </c>
      <c r="D28" s="9" t="s">
        <v>19</v>
      </c>
      <c r="E28" s="9" t="s">
        <v>34</v>
      </c>
      <c r="F28" s="9" t="s">
        <v>35</v>
      </c>
      <c r="G28" s="7" t="e">
        <f t="shared" ca="1" si="0"/>
        <v>#NAME?</v>
      </c>
      <c r="H28" s="8" t="s">
        <v>161</v>
      </c>
      <c r="I28" s="24" t="s">
        <v>162</v>
      </c>
      <c r="J28" s="9" t="str">
        <f t="shared" si="1"/>
        <v>Não</v>
      </c>
      <c r="K28" s="232">
        <v>44769</v>
      </c>
      <c r="L28" s="6"/>
      <c r="M28" s="6" t="s">
        <v>42</v>
      </c>
      <c r="N28" s="10">
        <v>7.0000000000000001E-3</v>
      </c>
      <c r="O28" s="9" t="s">
        <v>25</v>
      </c>
      <c r="P28" s="234">
        <v>0</v>
      </c>
      <c r="Q28" s="23"/>
      <c r="R28" s="108" t="s">
        <v>2977</v>
      </c>
      <c r="S28" s="7" t="s">
        <v>145</v>
      </c>
      <c r="T28" s="6" t="s">
        <v>366</v>
      </c>
      <c r="U28" s="6" t="s">
        <v>39</v>
      </c>
      <c r="V28" s="24" t="e">
        <f t="shared" ca="1" si="2"/>
        <v>#NAME?</v>
      </c>
      <c r="W28" s="24"/>
      <c r="X28" s="24"/>
      <c r="Y28" s="6" t="s">
        <v>253</v>
      </c>
      <c r="Z28" s="6"/>
      <c r="AA28" s="107">
        <v>44769</v>
      </c>
      <c r="AB28" s="6">
        <v>49075100010471</v>
      </c>
      <c r="AC28" s="240"/>
      <c r="AD28" s="240"/>
      <c r="AE28" s="240"/>
      <c r="AF28" s="240"/>
      <c r="AG28" s="240"/>
      <c r="AH28" s="240"/>
      <c r="AI28" s="240"/>
      <c r="AJ28" s="240"/>
      <c r="AK28" s="240"/>
      <c r="AL28" s="240"/>
      <c r="AM28" s="240"/>
      <c r="AN28" s="240"/>
      <c r="AO28" s="240"/>
      <c r="AP28" s="110"/>
      <c r="AQ28" s="236"/>
      <c r="AR28" s="236"/>
      <c r="AS28" s="236"/>
      <c r="AT28" s="236"/>
      <c r="AU28" s="236"/>
      <c r="AV28" s="110"/>
      <c r="AW28" s="110"/>
      <c r="AX28" s="110"/>
      <c r="AY28" s="110"/>
      <c r="AZ28" s="110"/>
      <c r="BA28" s="110"/>
      <c r="BB28" s="110"/>
      <c r="BC28" s="110"/>
      <c r="BD28" s="110"/>
      <c r="BE28" s="110"/>
      <c r="BF28" s="110"/>
      <c r="BG28" s="237"/>
      <c r="BH28" s="237"/>
      <c r="BI28" s="237">
        <v>0</v>
      </c>
      <c r="BJ28" s="237">
        <v>70472.160000000003</v>
      </c>
      <c r="BK28" s="237">
        <v>121357.87</v>
      </c>
      <c r="BL28" s="237">
        <v>162796.25</v>
      </c>
      <c r="BM28" s="237">
        <v>179176.94</v>
      </c>
      <c r="BN28" s="237">
        <v>180673.05</v>
      </c>
      <c r="BO28" s="237">
        <v>182470.3</v>
      </c>
      <c r="BP28" s="237">
        <v>0</v>
      </c>
      <c r="BQ28" s="237">
        <v>570.75</v>
      </c>
      <c r="BR28" s="237">
        <v>0</v>
      </c>
      <c r="BS28" s="237">
        <v>0</v>
      </c>
      <c r="BT28" s="237">
        <v>0</v>
      </c>
      <c r="BU28" s="237">
        <v>0</v>
      </c>
      <c r="BV28" s="237">
        <v>0</v>
      </c>
      <c r="BW28" s="237">
        <v>0</v>
      </c>
      <c r="BX28" s="237">
        <v>0</v>
      </c>
      <c r="BY28" s="237">
        <v>0</v>
      </c>
      <c r="BZ28" s="237">
        <v>0</v>
      </c>
      <c r="CA28" s="237">
        <v>0</v>
      </c>
      <c r="CB28" s="237">
        <v>0</v>
      </c>
      <c r="CC28" s="237">
        <v>0</v>
      </c>
      <c r="CD28" s="237">
        <v>0</v>
      </c>
      <c r="CE28" s="237">
        <v>0</v>
      </c>
      <c r="CF28" s="237">
        <v>0</v>
      </c>
      <c r="CG28" s="237">
        <v>0</v>
      </c>
      <c r="CH28" s="30">
        <v>0</v>
      </c>
      <c r="CI28" s="30">
        <v>0</v>
      </c>
      <c r="CJ28" s="30" t="e">
        <f t="array" aca="1" ref="CJ28" ca="1">_xludf.XLOOKUP(C28,'PL TOTAL D0'!H:H,'PL TOTAL D0'!I:I,"")</f>
        <v>#NAME?</v>
      </c>
    </row>
    <row r="29" spans="1:88" ht="15.75" customHeight="1">
      <c r="A29" s="36" t="s">
        <v>2921</v>
      </c>
      <c r="B29" s="3" t="s">
        <v>2978</v>
      </c>
      <c r="C29" s="9">
        <v>34467</v>
      </c>
      <c r="D29" s="9" t="s">
        <v>19</v>
      </c>
      <c r="E29" s="9" t="s">
        <v>34</v>
      </c>
      <c r="F29" s="9" t="s">
        <v>262</v>
      </c>
      <c r="G29" s="7" t="e">
        <f t="shared" ca="1" si="0"/>
        <v>#NAME?</v>
      </c>
      <c r="H29" s="8" t="s">
        <v>161</v>
      </c>
      <c r="I29" s="24" t="s">
        <v>162</v>
      </c>
      <c r="J29" s="9" t="str">
        <f t="shared" si="1"/>
        <v>Não</v>
      </c>
      <c r="K29" s="232">
        <v>44754</v>
      </c>
      <c r="L29" s="6"/>
      <c r="M29" s="6" t="s">
        <v>42</v>
      </c>
      <c r="N29" s="10">
        <v>7.0000000000000001E-3</v>
      </c>
      <c r="O29" s="9" t="s">
        <v>25</v>
      </c>
      <c r="P29" s="234">
        <v>0</v>
      </c>
      <c r="Q29" s="108"/>
      <c r="R29" s="23"/>
      <c r="S29" s="7" t="s">
        <v>145</v>
      </c>
      <c r="T29" s="6" t="s">
        <v>377</v>
      </c>
      <c r="U29" s="6" t="s">
        <v>39</v>
      </c>
      <c r="V29" s="24" t="e">
        <f t="shared" ca="1" si="2"/>
        <v>#NAME?</v>
      </c>
      <c r="W29" s="24"/>
      <c r="X29" s="24"/>
      <c r="Y29" s="6" t="s">
        <v>147</v>
      </c>
      <c r="Z29" s="6"/>
      <c r="AA29" s="107">
        <v>44754</v>
      </c>
      <c r="AB29" s="6">
        <v>49075100003130</v>
      </c>
      <c r="AC29" s="240"/>
      <c r="AD29" s="240"/>
      <c r="AE29" s="240"/>
      <c r="AF29" s="240"/>
      <c r="AG29" s="240"/>
      <c r="AH29" s="240"/>
      <c r="AI29" s="240"/>
      <c r="AJ29" s="240"/>
      <c r="AK29" s="240"/>
      <c r="AL29" s="240"/>
      <c r="AM29" s="240"/>
      <c r="AN29" s="240"/>
      <c r="AO29" s="240"/>
      <c r="AP29" s="110"/>
      <c r="AQ29" s="236"/>
      <c r="AR29" s="236"/>
      <c r="AS29" s="236"/>
      <c r="AT29" s="236"/>
      <c r="AU29" s="236"/>
      <c r="AV29" s="110"/>
      <c r="AW29" s="110"/>
      <c r="AX29" s="110"/>
      <c r="AY29" s="110"/>
      <c r="AZ29" s="110"/>
      <c r="BA29" s="110"/>
      <c r="BB29" s="110"/>
      <c r="BC29" s="110"/>
      <c r="BD29" s="110"/>
      <c r="BE29" s="110"/>
      <c r="BF29" s="110"/>
      <c r="BG29" s="237"/>
      <c r="BH29" s="237"/>
      <c r="BI29" s="237">
        <v>149982.82</v>
      </c>
      <c r="BJ29" s="237">
        <v>152361.60000000001</v>
      </c>
      <c r="BK29" s="237">
        <v>113075.37</v>
      </c>
      <c r="BL29" s="237">
        <v>113863.31</v>
      </c>
      <c r="BM29" s="237">
        <v>94148.57</v>
      </c>
      <c r="BN29" s="237">
        <v>95093.48</v>
      </c>
      <c r="BO29" s="237">
        <v>96198.33</v>
      </c>
      <c r="BP29" s="237">
        <v>96946.46</v>
      </c>
      <c r="BQ29" s="237">
        <v>98110.8</v>
      </c>
      <c r="BR29" s="237">
        <v>98849.11</v>
      </c>
      <c r="BS29" s="237">
        <v>99957.52</v>
      </c>
      <c r="BT29" s="237">
        <v>102383.09</v>
      </c>
      <c r="BU29" s="237">
        <v>101806.15</v>
      </c>
      <c r="BV29" s="237">
        <v>7749.63</v>
      </c>
      <c r="BW29" s="237">
        <v>0</v>
      </c>
      <c r="BX29" s="237">
        <v>0</v>
      </c>
      <c r="BY29" s="237">
        <v>0</v>
      </c>
      <c r="BZ29" s="237">
        <v>0</v>
      </c>
      <c r="CA29" s="237">
        <v>0</v>
      </c>
      <c r="CB29" s="237">
        <v>0</v>
      </c>
      <c r="CC29" s="237">
        <v>0</v>
      </c>
      <c r="CD29" s="237">
        <v>0</v>
      </c>
      <c r="CE29" s="237">
        <v>0</v>
      </c>
      <c r="CF29" s="237">
        <v>0</v>
      </c>
      <c r="CG29" s="237">
        <v>0</v>
      </c>
      <c r="CH29" s="30">
        <v>0</v>
      </c>
      <c r="CI29" s="30">
        <v>0</v>
      </c>
      <c r="CJ29" s="30" t="e">
        <f t="array" aca="1" ref="CJ29" ca="1">_xludf.XLOOKUP(C29,'PL TOTAL D0'!H:H,'PL TOTAL D0'!I:I,"")</f>
        <v>#NAME?</v>
      </c>
    </row>
    <row r="30" spans="1:88" ht="15.75" customHeight="1">
      <c r="A30" s="36" t="s">
        <v>2921</v>
      </c>
      <c r="B30" s="37" t="s">
        <v>388</v>
      </c>
      <c r="C30" s="9">
        <v>286648</v>
      </c>
      <c r="D30" s="9" t="s">
        <v>19</v>
      </c>
      <c r="E30" s="9" t="s">
        <v>20</v>
      </c>
      <c r="F30" s="6" t="s">
        <v>449</v>
      </c>
      <c r="G30" s="7" t="e">
        <f t="shared" ca="1" si="0"/>
        <v>#NAME?</v>
      </c>
      <c r="H30" s="8" t="s">
        <v>143</v>
      </c>
      <c r="I30" s="24" t="s">
        <v>25</v>
      </c>
      <c r="J30" s="9" t="str">
        <f t="shared" si="1"/>
        <v>Não</v>
      </c>
      <c r="K30" s="107">
        <v>43355</v>
      </c>
      <c r="L30" s="107">
        <v>44322</v>
      </c>
      <c r="M30" s="6" t="s">
        <v>87</v>
      </c>
      <c r="N30" s="10">
        <v>1E-4</v>
      </c>
      <c r="O30" s="9" t="s">
        <v>183</v>
      </c>
      <c r="P30" s="234">
        <v>0.2</v>
      </c>
      <c r="Q30" s="45"/>
      <c r="R30" s="108" t="s">
        <v>2979</v>
      </c>
      <c r="S30" s="7" t="s">
        <v>145</v>
      </c>
      <c r="T30" s="6" t="s">
        <v>390</v>
      </c>
      <c r="U30" s="6" t="s">
        <v>20</v>
      </c>
      <c r="V30" s="24" t="e">
        <f t="shared" ca="1" si="2"/>
        <v>#NAME?</v>
      </c>
      <c r="W30" s="24"/>
      <c r="X30" s="24"/>
      <c r="Y30" s="6"/>
      <c r="Z30" s="6"/>
      <c r="AA30" s="6"/>
      <c r="AB30" s="6"/>
      <c r="AC30" s="110">
        <v>991080.27</v>
      </c>
      <c r="AD30" s="110">
        <v>971581.66</v>
      </c>
      <c r="AE30" s="110">
        <v>860540.64</v>
      </c>
      <c r="AF30" s="110">
        <v>885715.17</v>
      </c>
      <c r="AG30" s="110">
        <v>901497.64</v>
      </c>
      <c r="AH30" s="110">
        <v>933347.65</v>
      </c>
      <c r="AI30" s="110">
        <v>976445.55</v>
      </c>
      <c r="AJ30" s="110">
        <v>950723.64</v>
      </c>
      <c r="AK30" s="110">
        <v>931891.19</v>
      </c>
      <c r="AL30" s="110">
        <v>933844.65</v>
      </c>
      <c r="AM30" s="110">
        <v>983808.8</v>
      </c>
      <c r="AN30" s="110">
        <v>1004743.92</v>
      </c>
      <c r="AO30" s="110">
        <v>989367.31</v>
      </c>
      <c r="AP30" s="110">
        <v>916258.88</v>
      </c>
      <c r="AQ30" s="110">
        <v>903374.98</v>
      </c>
      <c r="AR30" s="110">
        <v>383555.94</v>
      </c>
      <c r="AS30" s="110">
        <v>276960.08</v>
      </c>
      <c r="AT30" s="110">
        <v>277064.2</v>
      </c>
      <c r="AU30" s="110"/>
      <c r="AV30" s="240"/>
      <c r="AW30" s="240"/>
      <c r="AX30" s="240"/>
      <c r="AY30" s="110"/>
      <c r="AZ30" s="110"/>
      <c r="BA30" s="110"/>
      <c r="BB30" s="110"/>
      <c r="BC30" s="110"/>
      <c r="BD30" s="110">
        <v>0</v>
      </c>
      <c r="BE30" s="110">
        <v>0</v>
      </c>
      <c r="BF30" s="110">
        <v>0</v>
      </c>
      <c r="BG30" s="110" t="s">
        <v>2932</v>
      </c>
      <c r="BH30" s="110">
        <v>0</v>
      </c>
      <c r="BI30" s="110">
        <v>0</v>
      </c>
      <c r="BJ30" s="110">
        <v>0</v>
      </c>
      <c r="BK30" s="237">
        <v>0</v>
      </c>
      <c r="BL30" s="237">
        <v>0</v>
      </c>
      <c r="BM30" s="237">
        <v>0</v>
      </c>
      <c r="BN30" s="237">
        <v>0</v>
      </c>
      <c r="BO30" s="237">
        <v>0</v>
      </c>
      <c r="BP30" s="237">
        <v>0</v>
      </c>
      <c r="BQ30" s="237">
        <v>0</v>
      </c>
      <c r="BR30" s="237">
        <v>0</v>
      </c>
      <c r="BS30" s="237">
        <v>0</v>
      </c>
      <c r="BT30" s="237">
        <v>0</v>
      </c>
      <c r="BU30" s="237">
        <v>0</v>
      </c>
      <c r="BV30" s="237">
        <v>0</v>
      </c>
      <c r="BW30" s="237">
        <v>0</v>
      </c>
      <c r="BX30" s="237">
        <v>0</v>
      </c>
      <c r="BY30" s="237">
        <v>0</v>
      </c>
      <c r="BZ30" s="237">
        <v>0</v>
      </c>
      <c r="CA30" s="237">
        <v>0</v>
      </c>
      <c r="CB30" s="237">
        <v>0</v>
      </c>
      <c r="CC30" s="237">
        <v>0</v>
      </c>
      <c r="CD30" s="237">
        <v>0</v>
      </c>
      <c r="CE30" s="237">
        <v>0</v>
      </c>
      <c r="CF30" s="237">
        <v>0</v>
      </c>
      <c r="CG30" s="237">
        <v>0</v>
      </c>
      <c r="CH30" s="30">
        <v>0</v>
      </c>
      <c r="CI30" s="30">
        <v>0</v>
      </c>
      <c r="CJ30" s="30" t="e">
        <f t="array" aca="1" ref="CJ30" ca="1">_xludf.XLOOKUP(C30,'PL TOTAL D0'!H:H,'PL TOTAL D0'!I:I,"")</f>
        <v>#NAME?</v>
      </c>
    </row>
    <row r="31" spans="1:88" ht="15.75" customHeight="1">
      <c r="A31" s="36" t="s">
        <v>2921</v>
      </c>
      <c r="B31" s="37" t="s">
        <v>2980</v>
      </c>
      <c r="C31" s="9">
        <v>317547</v>
      </c>
      <c r="D31" s="9" t="s">
        <v>19</v>
      </c>
      <c r="E31" s="9" t="s">
        <v>20</v>
      </c>
      <c r="F31" s="6" t="s">
        <v>449</v>
      </c>
      <c r="G31" s="7" t="e">
        <f t="shared" ca="1" si="0"/>
        <v>#NAME?</v>
      </c>
      <c r="H31" s="8" t="s">
        <v>143</v>
      </c>
      <c r="I31" s="24" t="s">
        <v>25</v>
      </c>
      <c r="J31" s="9" t="str">
        <f t="shared" si="1"/>
        <v>Não</v>
      </c>
      <c r="K31" s="107">
        <v>43355</v>
      </c>
      <c r="L31" s="107">
        <v>44310</v>
      </c>
      <c r="M31" s="6" t="s">
        <v>87</v>
      </c>
      <c r="N31" s="10">
        <v>1E-4</v>
      </c>
      <c r="O31" s="9" t="s">
        <v>183</v>
      </c>
      <c r="P31" s="234">
        <v>0.2</v>
      </c>
      <c r="Q31" s="45"/>
      <c r="R31" s="108" t="s">
        <v>2979</v>
      </c>
      <c r="S31" s="7" t="s">
        <v>145</v>
      </c>
      <c r="T31" s="6" t="s">
        <v>390</v>
      </c>
      <c r="U31" s="6" t="s">
        <v>20</v>
      </c>
      <c r="V31" s="24" t="e">
        <f t="shared" ca="1" si="2"/>
        <v>#NAME?</v>
      </c>
      <c r="W31" s="24"/>
      <c r="X31" s="24"/>
      <c r="Y31" s="6"/>
      <c r="Z31" s="6"/>
      <c r="AA31" s="6"/>
      <c r="AB31" s="6"/>
      <c r="AC31" s="110">
        <v>0</v>
      </c>
      <c r="AD31" s="110">
        <v>0</v>
      </c>
      <c r="AE31" s="110">
        <v>0</v>
      </c>
      <c r="AF31" s="110">
        <v>0</v>
      </c>
      <c r="AG31" s="110">
        <v>0</v>
      </c>
      <c r="AH31" s="110">
        <v>0</v>
      </c>
      <c r="AI31" s="110">
        <v>0</v>
      </c>
      <c r="AJ31" s="110"/>
      <c r="AK31" s="110"/>
      <c r="AL31" s="110"/>
      <c r="AM31" s="110"/>
      <c r="AN31" s="110"/>
      <c r="AO31" s="110"/>
      <c r="AP31" s="110"/>
      <c r="AQ31" s="110"/>
      <c r="AR31" s="110"/>
      <c r="AS31" s="110"/>
      <c r="AT31" s="110"/>
      <c r="AU31" s="110"/>
      <c r="AV31" s="240"/>
      <c r="AW31" s="240"/>
      <c r="AX31" s="240"/>
      <c r="AY31" s="110"/>
      <c r="AZ31" s="110"/>
      <c r="BA31" s="110"/>
      <c r="BB31" s="110"/>
      <c r="BC31" s="110"/>
      <c r="BD31" s="110">
        <v>0</v>
      </c>
      <c r="BE31" s="110">
        <v>0</v>
      </c>
      <c r="BF31" s="110">
        <v>0</v>
      </c>
      <c r="BG31" s="110" t="s">
        <v>2932</v>
      </c>
      <c r="BH31" s="110">
        <v>0</v>
      </c>
      <c r="BI31" s="110">
        <v>0</v>
      </c>
      <c r="BJ31" s="110">
        <v>0</v>
      </c>
      <c r="BK31" s="237">
        <v>0</v>
      </c>
      <c r="BL31" s="237">
        <v>0</v>
      </c>
      <c r="BM31" s="237">
        <v>0</v>
      </c>
      <c r="BN31" s="237">
        <v>0</v>
      </c>
      <c r="BO31" s="237">
        <v>0</v>
      </c>
      <c r="BP31" s="237">
        <v>0</v>
      </c>
      <c r="BQ31" s="237">
        <v>0</v>
      </c>
      <c r="BR31" s="237">
        <v>0</v>
      </c>
      <c r="BS31" s="237">
        <v>0</v>
      </c>
      <c r="BT31" s="237">
        <v>0</v>
      </c>
      <c r="BU31" s="237">
        <v>0</v>
      </c>
      <c r="BV31" s="237">
        <v>0</v>
      </c>
      <c r="BW31" s="237">
        <v>0</v>
      </c>
      <c r="BX31" s="237">
        <v>0</v>
      </c>
      <c r="BY31" s="237">
        <v>0</v>
      </c>
      <c r="BZ31" s="237">
        <v>0</v>
      </c>
      <c r="CA31" s="237">
        <v>0</v>
      </c>
      <c r="CB31" s="237">
        <v>0</v>
      </c>
      <c r="CC31" s="237">
        <v>0</v>
      </c>
      <c r="CD31" s="237">
        <v>0</v>
      </c>
      <c r="CE31" s="237">
        <v>0</v>
      </c>
      <c r="CF31" s="237">
        <v>0</v>
      </c>
      <c r="CG31" s="237">
        <v>0</v>
      </c>
      <c r="CH31" s="30">
        <v>0</v>
      </c>
      <c r="CI31" s="30">
        <v>0</v>
      </c>
      <c r="CJ31" s="30" t="e">
        <f t="array" aca="1" ref="CJ31" ca="1">_xludf.XLOOKUP(C31,'PL TOTAL D0'!H:H,'PL TOTAL D0'!I:I,"")</f>
        <v>#NAME?</v>
      </c>
    </row>
    <row r="32" spans="1:88" ht="15.75" customHeight="1">
      <c r="A32" s="36" t="s">
        <v>2921</v>
      </c>
      <c r="B32" s="37" t="s">
        <v>2981</v>
      </c>
      <c r="C32" s="9">
        <v>34135</v>
      </c>
      <c r="D32" s="9" t="s">
        <v>2923</v>
      </c>
      <c r="E32" s="9" t="s">
        <v>20</v>
      </c>
      <c r="F32" s="6" t="s">
        <v>2930</v>
      </c>
      <c r="G32" s="7" t="e">
        <f t="shared" ca="1" si="0"/>
        <v>#NAME?</v>
      </c>
      <c r="H32" s="8" t="s">
        <v>143</v>
      </c>
      <c r="I32" s="24" t="s">
        <v>25</v>
      </c>
      <c r="J32" s="9" t="str">
        <f t="shared" si="1"/>
        <v>Não</v>
      </c>
      <c r="K32" s="107">
        <v>43685</v>
      </c>
      <c r="L32" s="107">
        <v>44309</v>
      </c>
      <c r="M32" s="6" t="s">
        <v>200</v>
      </c>
      <c r="N32" s="10">
        <v>0.01</v>
      </c>
      <c r="O32" s="9" t="s">
        <v>37</v>
      </c>
      <c r="P32" s="234">
        <v>0.1</v>
      </c>
      <c r="Q32" s="108"/>
      <c r="R32" s="45"/>
      <c r="S32" s="7" t="s">
        <v>145</v>
      </c>
      <c r="T32" s="6" t="s">
        <v>2982</v>
      </c>
      <c r="U32" s="6" t="s">
        <v>20</v>
      </c>
      <c r="V32" s="24" t="e">
        <f t="shared" ca="1" si="2"/>
        <v>#NAME?</v>
      </c>
      <c r="W32" s="24"/>
      <c r="X32" s="24"/>
      <c r="Y32" s="6"/>
      <c r="Z32" s="6"/>
      <c r="AA32" s="107">
        <v>43685</v>
      </c>
      <c r="AB32" s="6">
        <v>49075100002207</v>
      </c>
      <c r="AC32" s="110">
        <v>512597.8</v>
      </c>
      <c r="AD32" s="110">
        <v>507834.73</v>
      </c>
      <c r="AE32" s="110">
        <v>485581.59</v>
      </c>
      <c r="AF32" s="110">
        <v>493916.78</v>
      </c>
      <c r="AG32" s="110">
        <v>497124.09</v>
      </c>
      <c r="AH32" s="110">
        <v>499455</v>
      </c>
      <c r="AI32" s="110">
        <v>505291.68</v>
      </c>
      <c r="AJ32" s="110">
        <v>534365.47</v>
      </c>
      <c r="AK32" s="110">
        <v>529957.68000000005</v>
      </c>
      <c r="AL32" s="110">
        <v>529960.67000000004</v>
      </c>
      <c r="AM32" s="110">
        <v>542346.41</v>
      </c>
      <c r="AN32" s="110">
        <v>513488.74</v>
      </c>
      <c r="AO32" s="110">
        <v>1254.95</v>
      </c>
      <c r="AP32" s="110"/>
      <c r="AQ32" s="110">
        <v>2.93</v>
      </c>
      <c r="AR32" s="110">
        <v>72.06</v>
      </c>
      <c r="AS32" s="110">
        <v>72.06</v>
      </c>
      <c r="AT32" s="110">
        <v>72.06</v>
      </c>
      <c r="AU32" s="110"/>
      <c r="AV32" s="240"/>
      <c r="AW32" s="240"/>
      <c r="AX32" s="240"/>
      <c r="AY32" s="110"/>
      <c r="AZ32" s="110"/>
      <c r="BA32" s="110"/>
      <c r="BB32" s="110"/>
      <c r="BC32" s="110"/>
      <c r="BD32" s="110">
        <v>0</v>
      </c>
      <c r="BE32" s="110">
        <v>0</v>
      </c>
      <c r="BF32" s="110">
        <v>0</v>
      </c>
      <c r="BG32" s="110" t="s">
        <v>2932</v>
      </c>
      <c r="BH32" s="110">
        <v>0</v>
      </c>
      <c r="BI32" s="110">
        <v>0</v>
      </c>
      <c r="BJ32" s="110">
        <v>0</v>
      </c>
      <c r="BK32" s="237">
        <v>0</v>
      </c>
      <c r="BL32" s="237">
        <v>0</v>
      </c>
      <c r="BM32" s="237">
        <v>0</v>
      </c>
      <c r="BN32" s="237">
        <v>0</v>
      </c>
      <c r="BO32" s="237">
        <v>0</v>
      </c>
      <c r="BP32" s="237">
        <v>0</v>
      </c>
      <c r="BQ32" s="237">
        <v>0</v>
      </c>
      <c r="BR32" s="237">
        <v>0</v>
      </c>
      <c r="BS32" s="237">
        <v>0</v>
      </c>
      <c r="BT32" s="237">
        <v>0</v>
      </c>
      <c r="BU32" s="237">
        <v>0</v>
      </c>
      <c r="BV32" s="237">
        <v>0</v>
      </c>
      <c r="BW32" s="237">
        <v>0</v>
      </c>
      <c r="BX32" s="237">
        <v>0</v>
      </c>
      <c r="BY32" s="237">
        <v>0</v>
      </c>
      <c r="BZ32" s="237">
        <v>0</v>
      </c>
      <c r="CA32" s="237">
        <v>0</v>
      </c>
      <c r="CB32" s="237">
        <v>0</v>
      </c>
      <c r="CC32" s="237">
        <v>0</v>
      </c>
      <c r="CD32" s="237">
        <v>0</v>
      </c>
      <c r="CE32" s="237">
        <v>0</v>
      </c>
      <c r="CF32" s="237">
        <v>0</v>
      </c>
      <c r="CG32" s="237">
        <v>0</v>
      </c>
      <c r="CH32" s="30">
        <v>0</v>
      </c>
      <c r="CI32" s="30">
        <v>0</v>
      </c>
      <c r="CJ32" s="30" t="e">
        <f t="array" aca="1" ref="CJ32" ca="1">_xludf.XLOOKUP(C32,'PL TOTAL D0'!H:H,'PL TOTAL D0'!I:I,"")</f>
        <v>#NAME?</v>
      </c>
    </row>
    <row r="33" spans="1:88" ht="15.75" customHeight="1">
      <c r="A33" s="36" t="s">
        <v>2921</v>
      </c>
      <c r="B33" s="37" t="s">
        <v>2983</v>
      </c>
      <c r="C33" s="9">
        <v>469418</v>
      </c>
      <c r="D33" s="9" t="s">
        <v>19</v>
      </c>
      <c r="E33" s="9" t="s">
        <v>49</v>
      </c>
      <c r="F33" s="7" t="s">
        <v>328</v>
      </c>
      <c r="G33" s="7" t="e">
        <f t="shared" ca="1" si="0"/>
        <v>#NAME?</v>
      </c>
      <c r="H33" s="8" t="s">
        <v>143</v>
      </c>
      <c r="I33" s="24" t="s">
        <v>25</v>
      </c>
      <c r="J33" s="9" t="str">
        <f t="shared" si="1"/>
        <v>Não</v>
      </c>
      <c r="K33" s="107">
        <v>44705</v>
      </c>
      <c r="L33" s="107">
        <v>44936</v>
      </c>
      <c r="M33" s="6" t="s">
        <v>200</v>
      </c>
      <c r="N33" s="10">
        <v>1.4999999999999999E-2</v>
      </c>
      <c r="O33" s="9" t="s">
        <v>37</v>
      </c>
      <c r="P33" s="234">
        <v>0.1</v>
      </c>
      <c r="Q33" s="45"/>
      <c r="R33" s="108" t="s">
        <v>2984</v>
      </c>
      <c r="S33" s="7" t="s">
        <v>145</v>
      </c>
      <c r="T33" s="6" t="s">
        <v>2985</v>
      </c>
      <c r="U33" s="6" t="s">
        <v>49</v>
      </c>
      <c r="V33" s="24" t="e">
        <f t="shared" ca="1" si="2"/>
        <v>#NAME?</v>
      </c>
      <c r="W33" s="24"/>
      <c r="X33" s="24"/>
      <c r="Y33" s="6"/>
      <c r="Z33" s="6"/>
      <c r="AA33" s="6"/>
      <c r="AB33" s="6"/>
      <c r="AC33" s="110"/>
      <c r="AD33" s="110"/>
      <c r="AE33" s="110"/>
      <c r="AF33" s="110"/>
      <c r="AG33" s="110"/>
      <c r="AH33" s="110"/>
      <c r="AI33" s="110"/>
      <c r="AJ33" s="110"/>
      <c r="AK33" s="110"/>
      <c r="AL33" s="110"/>
      <c r="AM33" s="110"/>
      <c r="AN33" s="110"/>
      <c r="AO33" s="110"/>
      <c r="AP33" s="110"/>
      <c r="AQ33" s="110"/>
      <c r="AR33" s="110"/>
      <c r="AS33" s="110"/>
      <c r="AT33" s="110"/>
      <c r="AU33" s="110"/>
      <c r="AV33" s="240"/>
      <c r="AW33" s="240"/>
      <c r="AX33" s="240"/>
      <c r="AY33" s="110"/>
      <c r="AZ33" s="110"/>
      <c r="BA33" s="110"/>
      <c r="BB33" s="110"/>
      <c r="BC33" s="110"/>
      <c r="BD33" s="110"/>
      <c r="BE33" s="110"/>
      <c r="BF33" s="110"/>
      <c r="BG33" s="237">
        <v>659677.38</v>
      </c>
      <c r="BH33" s="237">
        <v>714395.15</v>
      </c>
      <c r="BI33" s="237">
        <v>726792.92</v>
      </c>
      <c r="BJ33" s="237">
        <v>737562.92</v>
      </c>
      <c r="BK33" s="237">
        <v>743036.59</v>
      </c>
      <c r="BL33" s="237">
        <v>767583.41</v>
      </c>
      <c r="BM33" s="237">
        <v>851834.98</v>
      </c>
      <c r="BN33" s="237">
        <v>860096.68</v>
      </c>
      <c r="BO33" s="237">
        <v>-1128.21</v>
      </c>
      <c r="BP33" s="237">
        <v>0</v>
      </c>
      <c r="BQ33" s="237">
        <v>0.01</v>
      </c>
      <c r="BR33" s="237">
        <v>0.01</v>
      </c>
      <c r="BS33" s="237">
        <v>0.01</v>
      </c>
      <c r="BT33" s="237">
        <v>0</v>
      </c>
      <c r="BU33" s="237">
        <v>0</v>
      </c>
      <c r="BV33" s="237">
        <v>0</v>
      </c>
      <c r="BW33" s="237">
        <v>0</v>
      </c>
      <c r="BX33" s="237">
        <v>0</v>
      </c>
      <c r="BY33" s="237">
        <v>0</v>
      </c>
      <c r="BZ33" s="237">
        <v>0</v>
      </c>
      <c r="CA33" s="237">
        <v>0</v>
      </c>
      <c r="CB33" s="237">
        <v>0</v>
      </c>
      <c r="CC33" s="237">
        <v>0</v>
      </c>
      <c r="CD33" s="237">
        <v>0</v>
      </c>
      <c r="CE33" s="237">
        <v>0</v>
      </c>
      <c r="CF33" s="237">
        <v>0</v>
      </c>
      <c r="CG33" s="237">
        <v>0</v>
      </c>
      <c r="CH33" s="30">
        <v>0</v>
      </c>
      <c r="CI33" s="30">
        <v>0</v>
      </c>
      <c r="CJ33" s="30" t="e">
        <f t="array" aca="1" ref="CJ33" ca="1">_xludf.XLOOKUP(C33,'PL TOTAL D0'!H:H,'PL TOTAL D0'!I:I,"")</f>
        <v>#NAME?</v>
      </c>
    </row>
    <row r="34" spans="1:88" ht="15.75" customHeight="1">
      <c r="A34" s="36" t="s">
        <v>2921</v>
      </c>
      <c r="B34" s="3" t="s">
        <v>2986</v>
      </c>
      <c r="C34" s="9">
        <v>446160</v>
      </c>
      <c r="D34" s="9" t="s">
        <v>2923</v>
      </c>
      <c r="E34" s="9" t="s">
        <v>20</v>
      </c>
      <c r="F34" s="6" t="s">
        <v>2924</v>
      </c>
      <c r="G34" s="7" t="e">
        <f t="shared" ca="1" si="0"/>
        <v>#NAME?</v>
      </c>
      <c r="H34" s="8" t="s">
        <v>143</v>
      </c>
      <c r="I34" s="24" t="s">
        <v>25</v>
      </c>
      <c r="J34" s="9" t="str">
        <f t="shared" si="1"/>
        <v>Não</v>
      </c>
      <c r="K34" s="107">
        <v>43867</v>
      </c>
      <c r="L34" s="239">
        <v>44551</v>
      </c>
      <c r="M34" s="6" t="s">
        <v>200</v>
      </c>
      <c r="N34" s="10">
        <v>1.4999999999999999E-2</v>
      </c>
      <c r="O34" s="9" t="s">
        <v>37</v>
      </c>
      <c r="P34" s="234">
        <v>0.1</v>
      </c>
      <c r="Q34" s="45"/>
      <c r="R34" s="108"/>
      <c r="S34" s="7" t="s">
        <v>145</v>
      </c>
      <c r="T34" s="6" t="s">
        <v>2987</v>
      </c>
      <c r="U34" s="6" t="s">
        <v>20</v>
      </c>
      <c r="V34" s="24" t="e">
        <f t="shared" ca="1" si="2"/>
        <v>#NAME?</v>
      </c>
      <c r="W34" s="24"/>
      <c r="X34" s="24"/>
      <c r="Y34" s="6" t="s">
        <v>253</v>
      </c>
      <c r="Z34" s="6"/>
      <c r="AA34" s="6"/>
      <c r="AB34" s="6"/>
      <c r="AC34" s="110">
        <v>0</v>
      </c>
      <c r="AD34" s="110">
        <v>273308.34999999998</v>
      </c>
      <c r="AE34" s="110">
        <v>296867.55</v>
      </c>
      <c r="AF34" s="110">
        <v>422823.6</v>
      </c>
      <c r="AG34" s="110">
        <v>401999.94</v>
      </c>
      <c r="AH34" s="110">
        <v>410491.35</v>
      </c>
      <c r="AI34" s="110">
        <v>419299.22</v>
      </c>
      <c r="AJ34" s="110">
        <v>457087.84</v>
      </c>
      <c r="AK34" s="110">
        <v>447201.75</v>
      </c>
      <c r="AL34" s="110">
        <v>390358.02</v>
      </c>
      <c r="AM34" s="110">
        <v>583219.66</v>
      </c>
      <c r="AN34" s="110">
        <v>596529.14</v>
      </c>
      <c r="AO34" s="110">
        <v>438570.62</v>
      </c>
      <c r="AP34" s="110">
        <v>531858.1</v>
      </c>
      <c r="AQ34" s="110">
        <v>526325.75</v>
      </c>
      <c r="AR34" s="110">
        <v>544264.06000000006</v>
      </c>
      <c r="AS34" s="110">
        <v>594482.46</v>
      </c>
      <c r="AT34" s="110">
        <v>594440.44999999995</v>
      </c>
      <c r="AU34" s="110">
        <v>717518.14</v>
      </c>
      <c r="AV34" s="110">
        <v>788533.8</v>
      </c>
      <c r="AW34" s="110">
        <v>780890.69</v>
      </c>
      <c r="AX34" s="110">
        <v>766164.66</v>
      </c>
      <c r="AY34" s="110">
        <v>753202.54</v>
      </c>
      <c r="AZ34" s="110">
        <v>728939.58</v>
      </c>
      <c r="BA34" s="110">
        <v>720567.26</v>
      </c>
      <c r="BB34" s="110">
        <v>803251.3</v>
      </c>
      <c r="BC34" s="110">
        <v>594150.53</v>
      </c>
      <c r="BD34" s="110">
        <v>605300.42000000004</v>
      </c>
      <c r="BE34" s="110">
        <v>527143.78</v>
      </c>
      <c r="BF34" s="110">
        <v>501314.86</v>
      </c>
      <c r="BG34" s="241" t="s">
        <v>2932</v>
      </c>
      <c r="BH34" s="110">
        <v>0</v>
      </c>
      <c r="BI34" s="110">
        <v>0</v>
      </c>
      <c r="BJ34" s="110">
        <v>0</v>
      </c>
      <c r="BK34" s="237">
        <v>0</v>
      </c>
      <c r="BL34" s="237">
        <v>0</v>
      </c>
      <c r="BM34" s="237">
        <v>0</v>
      </c>
      <c r="BN34" s="237">
        <v>0</v>
      </c>
      <c r="BO34" s="237">
        <v>0</v>
      </c>
      <c r="BP34" s="237">
        <v>0</v>
      </c>
      <c r="BQ34" s="237">
        <v>0</v>
      </c>
      <c r="BR34" s="237">
        <v>0</v>
      </c>
      <c r="BS34" s="237">
        <v>0</v>
      </c>
      <c r="BT34" s="237">
        <v>0</v>
      </c>
      <c r="BU34" s="237">
        <v>0</v>
      </c>
      <c r="BV34" s="237">
        <v>0</v>
      </c>
      <c r="BW34" s="237">
        <v>0</v>
      </c>
      <c r="BX34" s="237">
        <v>0</v>
      </c>
      <c r="BY34" s="237">
        <v>0</v>
      </c>
      <c r="BZ34" s="237">
        <v>0</v>
      </c>
      <c r="CA34" s="237">
        <v>0</v>
      </c>
      <c r="CB34" s="237">
        <v>0</v>
      </c>
      <c r="CC34" s="237">
        <v>0</v>
      </c>
      <c r="CD34" s="237">
        <v>0</v>
      </c>
      <c r="CE34" s="237">
        <v>0</v>
      </c>
      <c r="CF34" s="237">
        <v>0</v>
      </c>
      <c r="CG34" s="237">
        <v>0</v>
      </c>
      <c r="CH34" s="30">
        <v>0</v>
      </c>
      <c r="CI34" s="30">
        <v>0</v>
      </c>
      <c r="CJ34" s="30" t="e">
        <f t="array" aca="1" ref="CJ34" ca="1">_xludf.XLOOKUP(C34,'PL TOTAL D0'!H:H,'PL TOTAL D0'!I:I,"")</f>
        <v>#NAME?</v>
      </c>
    </row>
    <row r="35" spans="1:88" ht="15.75" customHeight="1">
      <c r="A35" s="36" t="s">
        <v>2921</v>
      </c>
      <c r="B35" s="37" t="s">
        <v>2988</v>
      </c>
      <c r="C35" s="9">
        <v>84638</v>
      </c>
      <c r="D35" s="9" t="s">
        <v>2989</v>
      </c>
      <c r="E35" s="9" t="s">
        <v>20</v>
      </c>
      <c r="F35" s="6" t="s">
        <v>2989</v>
      </c>
      <c r="G35" s="7" t="e">
        <f t="shared" ca="1" si="0"/>
        <v>#NAME?</v>
      </c>
      <c r="H35" s="8" t="s">
        <v>143</v>
      </c>
      <c r="I35" s="24" t="s">
        <v>25</v>
      </c>
      <c r="J35" s="9" t="str">
        <f t="shared" si="1"/>
        <v>Não</v>
      </c>
      <c r="K35" s="107">
        <v>43563</v>
      </c>
      <c r="L35" s="239">
        <v>44181</v>
      </c>
      <c r="M35" s="6" t="s">
        <v>87</v>
      </c>
      <c r="N35" s="10">
        <v>0.01</v>
      </c>
      <c r="O35" s="9" t="s">
        <v>183</v>
      </c>
      <c r="P35" s="234">
        <v>0.2</v>
      </c>
      <c r="Q35" s="45"/>
      <c r="R35" s="108"/>
      <c r="S35" s="7" t="s">
        <v>145</v>
      </c>
      <c r="T35" s="6" t="s">
        <v>2990</v>
      </c>
      <c r="U35" s="6" t="s">
        <v>20</v>
      </c>
      <c r="V35" s="24" t="e">
        <f t="shared" ca="1" si="2"/>
        <v>#NAME?</v>
      </c>
      <c r="W35" s="24"/>
      <c r="X35" s="24"/>
      <c r="Y35" s="6"/>
      <c r="Z35" s="6"/>
      <c r="AA35" s="6"/>
      <c r="AB35" s="6"/>
      <c r="AC35" s="110">
        <v>182194.13</v>
      </c>
      <c r="AD35" s="110">
        <v>171388.13</v>
      </c>
      <c r="AE35" s="110">
        <v>153054.39999999999</v>
      </c>
      <c r="AF35" s="110">
        <v>164686.06</v>
      </c>
      <c r="AG35" s="110">
        <v>171943.78</v>
      </c>
      <c r="AH35" s="110">
        <v>200454.86</v>
      </c>
      <c r="AI35" s="110">
        <v>261117.59</v>
      </c>
      <c r="AJ35" s="110">
        <v>245768.35</v>
      </c>
      <c r="AK35" s="110">
        <v>234093.82</v>
      </c>
      <c r="AL35" s="110">
        <v>238934.86</v>
      </c>
      <c r="AM35" s="110">
        <v>268845.87</v>
      </c>
      <c r="AN35" s="240"/>
      <c r="AO35" s="250"/>
      <c r="AP35" s="250"/>
      <c r="AQ35" s="240"/>
      <c r="AR35" s="240"/>
      <c r="AS35" s="240"/>
      <c r="AT35" s="240"/>
      <c r="AU35" s="240"/>
      <c r="AV35" s="240"/>
      <c r="AW35" s="240"/>
      <c r="AX35" s="240"/>
      <c r="AY35" s="110"/>
      <c r="AZ35" s="110"/>
      <c r="BA35" s="110"/>
      <c r="BB35" s="110"/>
      <c r="BC35" s="110"/>
      <c r="BD35" s="110">
        <v>0</v>
      </c>
      <c r="BE35" s="110">
        <v>0</v>
      </c>
      <c r="BF35" s="110">
        <v>0</v>
      </c>
      <c r="BG35" s="110" t="s">
        <v>2932</v>
      </c>
      <c r="BH35" s="110">
        <v>0</v>
      </c>
      <c r="BI35" s="110">
        <v>0</v>
      </c>
      <c r="BJ35" s="110">
        <v>0</v>
      </c>
      <c r="BK35" s="237">
        <v>0</v>
      </c>
      <c r="BL35" s="237">
        <v>0</v>
      </c>
      <c r="BM35" s="237">
        <v>0</v>
      </c>
      <c r="BN35" s="237">
        <v>0</v>
      </c>
      <c r="BO35" s="237">
        <v>0</v>
      </c>
      <c r="BP35" s="237">
        <v>0</v>
      </c>
      <c r="BQ35" s="237">
        <v>0</v>
      </c>
      <c r="BR35" s="237">
        <v>0</v>
      </c>
      <c r="BS35" s="237">
        <v>0</v>
      </c>
      <c r="BT35" s="237">
        <v>0</v>
      </c>
      <c r="BU35" s="237">
        <v>0</v>
      </c>
      <c r="BV35" s="237">
        <v>0</v>
      </c>
      <c r="BW35" s="237">
        <v>0</v>
      </c>
      <c r="BX35" s="237">
        <v>0</v>
      </c>
      <c r="BY35" s="237">
        <v>0</v>
      </c>
      <c r="BZ35" s="237">
        <v>0</v>
      </c>
      <c r="CA35" s="237">
        <v>0</v>
      </c>
      <c r="CB35" s="237">
        <v>0</v>
      </c>
      <c r="CC35" s="237">
        <v>0</v>
      </c>
      <c r="CD35" s="237">
        <v>0</v>
      </c>
      <c r="CE35" s="237">
        <v>0</v>
      </c>
      <c r="CF35" s="237">
        <v>0</v>
      </c>
      <c r="CG35" s="237">
        <v>0</v>
      </c>
      <c r="CH35" s="30">
        <v>0</v>
      </c>
      <c r="CI35" s="30">
        <v>0</v>
      </c>
      <c r="CJ35" s="30" t="e">
        <f t="array" aca="1" ref="CJ35" ca="1">_xludf.XLOOKUP(C35,'PL TOTAL D0'!H:H,'PL TOTAL D0'!I:I,"")</f>
        <v>#NAME?</v>
      </c>
    </row>
    <row r="36" spans="1:88" ht="15.75" customHeight="1">
      <c r="A36" s="36" t="s">
        <v>2921</v>
      </c>
      <c r="B36" s="37" t="s">
        <v>2991</v>
      </c>
      <c r="C36" s="9">
        <v>290205</v>
      </c>
      <c r="D36" s="9" t="s">
        <v>19</v>
      </c>
      <c r="E36" s="9" t="s">
        <v>20</v>
      </c>
      <c r="F36" s="6" t="s">
        <v>449</v>
      </c>
      <c r="G36" s="7" t="e">
        <f t="shared" ca="1" si="0"/>
        <v>#NAME?</v>
      </c>
      <c r="H36" s="8" t="s">
        <v>143</v>
      </c>
      <c r="I36" s="24" t="s">
        <v>25</v>
      </c>
      <c r="J36" s="9" t="str">
        <f t="shared" si="1"/>
        <v>Não</v>
      </c>
      <c r="K36" s="107">
        <v>43382</v>
      </c>
      <c r="L36" s="107">
        <v>44309</v>
      </c>
      <c r="M36" s="6" t="s">
        <v>87</v>
      </c>
      <c r="N36" s="10">
        <v>0.02</v>
      </c>
      <c r="O36" s="9" t="s">
        <v>183</v>
      </c>
      <c r="P36" s="234">
        <v>0.2</v>
      </c>
      <c r="Q36" s="45"/>
      <c r="R36" s="108"/>
      <c r="S36" s="7" t="s">
        <v>145</v>
      </c>
      <c r="T36" s="6" t="s">
        <v>2992</v>
      </c>
      <c r="U36" s="6" t="s">
        <v>886</v>
      </c>
      <c r="V36" s="24" t="e">
        <f t="shared" ca="1" si="2"/>
        <v>#NAME?</v>
      </c>
      <c r="W36" s="24"/>
      <c r="X36" s="24"/>
      <c r="Y36" s="6"/>
      <c r="Z36" s="6"/>
      <c r="AA36" s="6"/>
      <c r="AB36" s="6"/>
      <c r="AC36" s="110">
        <v>159327.75</v>
      </c>
      <c r="AD36" s="110">
        <v>150771.79</v>
      </c>
      <c r="AE36" s="110">
        <v>113934.18</v>
      </c>
      <c r="AF36" s="110">
        <v>120338.82</v>
      </c>
      <c r="AG36" s="110">
        <v>124285.77</v>
      </c>
      <c r="AH36" s="110">
        <v>129988.04</v>
      </c>
      <c r="AI36" s="110">
        <v>141892.04999999999</v>
      </c>
      <c r="AJ36" s="110">
        <v>134841.5</v>
      </c>
      <c r="AK36" s="110">
        <v>128139.81</v>
      </c>
      <c r="AL36" s="110">
        <v>133559.14000000001</v>
      </c>
      <c r="AM36" s="110">
        <v>365.46</v>
      </c>
      <c r="AN36" s="110">
        <v>130.76</v>
      </c>
      <c r="AO36" s="110">
        <v>379.93</v>
      </c>
      <c r="AP36" s="110">
        <v>379.93</v>
      </c>
      <c r="AQ36" s="110">
        <v>289.36</v>
      </c>
      <c r="AR36" s="110">
        <v>295.22000000000003</v>
      </c>
      <c r="AS36" s="110">
        <v>295.22000000000003</v>
      </c>
      <c r="AT36" s="110">
        <v>295.22000000000003</v>
      </c>
      <c r="AU36" s="110"/>
      <c r="AV36" s="240"/>
      <c r="AW36" s="240"/>
      <c r="AX36" s="240"/>
      <c r="AY36" s="110"/>
      <c r="AZ36" s="110"/>
      <c r="BA36" s="110"/>
      <c r="BB36" s="110"/>
      <c r="BC36" s="110"/>
      <c r="BD36" s="110">
        <v>0</v>
      </c>
      <c r="BE36" s="110">
        <v>0</v>
      </c>
      <c r="BF36" s="110">
        <v>0</v>
      </c>
      <c r="BG36" s="110" t="s">
        <v>2932</v>
      </c>
      <c r="BH36" s="110">
        <v>0</v>
      </c>
      <c r="BI36" s="110">
        <v>0</v>
      </c>
      <c r="BJ36" s="110">
        <v>0</v>
      </c>
      <c r="BK36" s="237">
        <v>0</v>
      </c>
      <c r="BL36" s="237">
        <v>0</v>
      </c>
      <c r="BM36" s="237">
        <v>0</v>
      </c>
      <c r="BN36" s="237">
        <v>0</v>
      </c>
      <c r="BO36" s="237">
        <v>0</v>
      </c>
      <c r="BP36" s="237">
        <v>0</v>
      </c>
      <c r="BQ36" s="237">
        <v>0</v>
      </c>
      <c r="BR36" s="237">
        <v>0</v>
      </c>
      <c r="BS36" s="237">
        <v>0</v>
      </c>
      <c r="BT36" s="237">
        <v>0</v>
      </c>
      <c r="BU36" s="237">
        <v>0</v>
      </c>
      <c r="BV36" s="237">
        <v>0</v>
      </c>
      <c r="BW36" s="237">
        <v>0</v>
      </c>
      <c r="BX36" s="237">
        <v>0</v>
      </c>
      <c r="BY36" s="237">
        <v>0</v>
      </c>
      <c r="BZ36" s="237">
        <v>0</v>
      </c>
      <c r="CA36" s="237">
        <v>0</v>
      </c>
      <c r="CB36" s="237">
        <v>0</v>
      </c>
      <c r="CC36" s="237">
        <v>0</v>
      </c>
      <c r="CD36" s="237">
        <v>0</v>
      </c>
      <c r="CE36" s="237">
        <v>0</v>
      </c>
      <c r="CF36" s="237">
        <v>0</v>
      </c>
      <c r="CG36" s="237">
        <v>0</v>
      </c>
      <c r="CH36" s="30">
        <v>0</v>
      </c>
      <c r="CI36" s="30">
        <v>0</v>
      </c>
      <c r="CJ36" s="30" t="e">
        <f t="array" aca="1" ref="CJ36" ca="1">_xludf.XLOOKUP(C36,'PL TOTAL D0'!H:H,'PL TOTAL D0'!I:I,"")</f>
        <v>#NAME?</v>
      </c>
    </row>
    <row r="37" spans="1:88" ht="15.75" customHeight="1">
      <c r="A37" s="36" t="s">
        <v>2921</v>
      </c>
      <c r="B37" s="37" t="s">
        <v>2993</v>
      </c>
      <c r="C37" s="9">
        <v>259187</v>
      </c>
      <c r="D37" s="9" t="s">
        <v>19</v>
      </c>
      <c r="E37" s="9" t="s">
        <v>34</v>
      </c>
      <c r="F37" s="6" t="s">
        <v>262</v>
      </c>
      <c r="G37" s="7" t="e">
        <f t="shared" ca="1" si="0"/>
        <v>#NAME?</v>
      </c>
      <c r="H37" s="8" t="s">
        <v>143</v>
      </c>
      <c r="I37" s="24" t="s">
        <v>25</v>
      </c>
      <c r="J37" s="9" t="str">
        <f t="shared" si="1"/>
        <v>Não</v>
      </c>
      <c r="K37" s="107">
        <v>44295</v>
      </c>
      <c r="L37" s="107">
        <v>44592</v>
      </c>
      <c r="M37" s="6" t="s">
        <v>345</v>
      </c>
      <c r="N37" s="10">
        <v>0.02</v>
      </c>
      <c r="O37" s="9" t="s">
        <v>37</v>
      </c>
      <c r="P37" s="234">
        <v>0.2</v>
      </c>
      <c r="Q37" s="45"/>
      <c r="R37" s="28"/>
      <c r="S37" s="7" t="s">
        <v>145</v>
      </c>
      <c r="T37" s="6" t="s">
        <v>2994</v>
      </c>
      <c r="U37" s="6" t="s">
        <v>39</v>
      </c>
      <c r="V37" s="24" t="e">
        <f t="shared" ca="1" si="2"/>
        <v>#NAME?</v>
      </c>
      <c r="W37" s="24"/>
      <c r="X37" s="24"/>
      <c r="Y37" s="6" t="s">
        <v>253</v>
      </c>
      <c r="Z37" s="6"/>
      <c r="AA37" s="107">
        <v>44295</v>
      </c>
      <c r="AB37" s="6">
        <v>49075100000281</v>
      </c>
      <c r="AC37" s="132"/>
      <c r="AD37" s="132"/>
      <c r="AE37" s="132"/>
      <c r="AF37" s="132"/>
      <c r="AG37" s="132"/>
      <c r="AH37" s="132"/>
      <c r="AI37" s="132"/>
      <c r="AJ37" s="132"/>
      <c r="AK37" s="132"/>
      <c r="AL37" s="132"/>
      <c r="AM37" s="132"/>
      <c r="AN37" s="132"/>
      <c r="AO37" s="132"/>
      <c r="AP37" s="110"/>
      <c r="AQ37" s="110"/>
      <c r="AR37" s="110"/>
      <c r="AS37" s="110"/>
      <c r="AT37" s="110">
        <v>578905.96</v>
      </c>
      <c r="AU37" s="110">
        <v>588610.93999999994</v>
      </c>
      <c r="AV37" s="110">
        <v>516768.15</v>
      </c>
      <c r="AW37" s="110">
        <v>573634.41</v>
      </c>
      <c r="AX37" s="110">
        <v>557250.98</v>
      </c>
      <c r="AY37" s="110">
        <v>539017.65</v>
      </c>
      <c r="AZ37" s="110">
        <v>554171.4</v>
      </c>
      <c r="BA37" s="110">
        <v>366980</v>
      </c>
      <c r="BB37" s="110">
        <v>120288.82</v>
      </c>
      <c r="BC37" s="110">
        <v>94157.01</v>
      </c>
      <c r="BD37" s="110">
        <v>16455.080000000002</v>
      </c>
      <c r="BE37" s="110">
        <v>13446.42</v>
      </c>
      <c r="BF37" s="110">
        <v>13459.83</v>
      </c>
      <c r="BG37" s="241" t="s">
        <v>2932</v>
      </c>
      <c r="BH37" s="110">
        <v>0</v>
      </c>
      <c r="BI37" s="110">
        <v>0</v>
      </c>
      <c r="BJ37" s="110">
        <v>0</v>
      </c>
      <c r="BK37" s="237">
        <v>0</v>
      </c>
      <c r="BL37" s="237">
        <v>0</v>
      </c>
      <c r="BM37" s="237">
        <v>0</v>
      </c>
      <c r="BN37" s="237">
        <v>0</v>
      </c>
      <c r="BO37" s="237">
        <v>0</v>
      </c>
      <c r="BP37" s="237">
        <v>0</v>
      </c>
      <c r="BQ37" s="237">
        <v>0</v>
      </c>
      <c r="BR37" s="237">
        <v>0</v>
      </c>
      <c r="BS37" s="237">
        <v>0</v>
      </c>
      <c r="BT37" s="237">
        <v>0</v>
      </c>
      <c r="BU37" s="237">
        <v>0</v>
      </c>
      <c r="BV37" s="237">
        <v>0</v>
      </c>
      <c r="BW37" s="237">
        <v>0</v>
      </c>
      <c r="BX37" s="237">
        <v>0</v>
      </c>
      <c r="BY37" s="237">
        <v>0</v>
      </c>
      <c r="BZ37" s="237">
        <v>0</v>
      </c>
      <c r="CA37" s="237">
        <v>0</v>
      </c>
      <c r="CB37" s="237">
        <v>0</v>
      </c>
      <c r="CC37" s="237">
        <v>0</v>
      </c>
      <c r="CD37" s="237">
        <v>0</v>
      </c>
      <c r="CE37" s="237">
        <v>0</v>
      </c>
      <c r="CF37" s="237">
        <v>0</v>
      </c>
      <c r="CG37" s="237">
        <v>0</v>
      </c>
      <c r="CH37" s="30">
        <v>0</v>
      </c>
      <c r="CI37" s="30">
        <v>0</v>
      </c>
      <c r="CJ37" s="30" t="e">
        <f t="array" aca="1" ref="CJ37" ca="1">_xludf.XLOOKUP(C37,'PL TOTAL D0'!H:H,'PL TOTAL D0'!I:I,"")</f>
        <v>#NAME?</v>
      </c>
    </row>
    <row r="38" spans="1:88" ht="15.75" customHeight="1">
      <c r="A38" s="36" t="s">
        <v>2921</v>
      </c>
      <c r="B38" s="3" t="s">
        <v>419</v>
      </c>
      <c r="C38" s="9">
        <v>32262</v>
      </c>
      <c r="D38" s="244" t="s">
        <v>19</v>
      </c>
      <c r="E38" s="244" t="s">
        <v>34</v>
      </c>
      <c r="F38" s="244" t="s">
        <v>35</v>
      </c>
      <c r="G38" s="7" t="e">
        <f t="shared" ca="1" si="0"/>
        <v>#NAME?</v>
      </c>
      <c r="H38" s="245" t="s">
        <v>161</v>
      </c>
      <c r="I38" s="24" t="s">
        <v>162</v>
      </c>
      <c r="J38" s="9" t="str">
        <f t="shared" si="1"/>
        <v>Não</v>
      </c>
      <c r="K38" s="246">
        <v>44267</v>
      </c>
      <c r="L38" s="247"/>
      <c r="M38" s="247" t="s">
        <v>200</v>
      </c>
      <c r="N38" s="248">
        <v>1.4999999999999999E-2</v>
      </c>
      <c r="O38" s="244"/>
      <c r="P38" s="249"/>
      <c r="Q38" s="108"/>
      <c r="R38" s="235" t="s">
        <v>2995</v>
      </c>
      <c r="S38" s="7" t="s">
        <v>145</v>
      </c>
      <c r="T38" s="6" t="s">
        <v>422</v>
      </c>
      <c r="U38" s="6" t="s">
        <v>46</v>
      </c>
      <c r="V38" s="24" t="e">
        <f t="shared" ca="1" si="2"/>
        <v>#NAME?</v>
      </c>
      <c r="W38" s="24"/>
      <c r="X38" s="24"/>
      <c r="Y38" s="6" t="s">
        <v>147</v>
      </c>
      <c r="Z38" s="6"/>
      <c r="AA38" s="107">
        <v>44267</v>
      </c>
      <c r="AB38" s="6">
        <v>49075100004171</v>
      </c>
      <c r="AC38" s="240"/>
      <c r="AD38" s="240"/>
      <c r="AE38" s="240"/>
      <c r="AF38" s="240"/>
      <c r="AG38" s="240"/>
      <c r="AH38" s="240"/>
      <c r="AI38" s="240"/>
      <c r="AJ38" s="240"/>
      <c r="AK38" s="240"/>
      <c r="AL38" s="240"/>
      <c r="AM38" s="240"/>
      <c r="AN38" s="240"/>
      <c r="AO38" s="240"/>
      <c r="AP38" s="110"/>
      <c r="AQ38" s="236">
        <v>6000192.0300000003</v>
      </c>
      <c r="AR38" s="236">
        <v>5976679.5899999999</v>
      </c>
      <c r="AS38" s="236"/>
      <c r="AT38" s="236">
        <v>6083574.1200000001</v>
      </c>
      <c r="AU38" s="236">
        <v>6247971.0899999999</v>
      </c>
      <c r="AV38" s="110">
        <v>6250864.0899999999</v>
      </c>
      <c r="AW38" s="110">
        <v>6170945.0800000001</v>
      </c>
      <c r="AX38" s="110">
        <v>6008214.8499999996</v>
      </c>
      <c r="AY38" s="110">
        <v>5899942.4100000001</v>
      </c>
      <c r="AZ38" s="110">
        <v>5686958.4000000004</v>
      </c>
      <c r="BA38" s="110">
        <v>5636475.2999999998</v>
      </c>
      <c r="BB38" s="110">
        <v>5690825.9100000001</v>
      </c>
      <c r="BC38" s="110">
        <v>5805155.9500000002</v>
      </c>
      <c r="BD38" s="110">
        <v>5845867.0899999999</v>
      </c>
      <c r="BE38" s="110">
        <v>6120616.3099999996</v>
      </c>
      <c r="BF38" s="110">
        <v>5986600.0599999996</v>
      </c>
      <c r="BG38" s="237">
        <v>2447061.79</v>
      </c>
      <c r="BH38" s="237">
        <v>5395425.7400000002</v>
      </c>
      <c r="BI38" s="237">
        <v>5428899.2999999998</v>
      </c>
      <c r="BJ38" s="237">
        <v>5305914.68</v>
      </c>
      <c r="BK38" s="237">
        <v>5567398.3899999997</v>
      </c>
      <c r="BL38" s="237">
        <v>5662088.3399999999</v>
      </c>
      <c r="BM38" s="237">
        <v>5634762.6600000001</v>
      </c>
      <c r="BN38" s="237">
        <v>5737142.2300000004</v>
      </c>
      <c r="BO38" s="237">
        <v>5624796.8499999996</v>
      </c>
      <c r="BP38" s="237">
        <v>5639910.8700000001</v>
      </c>
      <c r="BQ38" s="237">
        <v>5689960.4199999999</v>
      </c>
      <c r="BR38" s="237">
        <v>3374683.51</v>
      </c>
      <c r="BS38" s="237">
        <v>3314769.9199999999</v>
      </c>
      <c r="BT38" s="237">
        <v>3361112.64</v>
      </c>
      <c r="BU38" s="237">
        <v>2218193.84</v>
      </c>
      <c r="BV38" s="237">
        <v>2294.8200000000002</v>
      </c>
      <c r="BW38" s="237">
        <v>0</v>
      </c>
      <c r="BX38" s="237">
        <v>396.95</v>
      </c>
      <c r="BY38" s="237">
        <v>0</v>
      </c>
      <c r="BZ38" s="237">
        <v>0</v>
      </c>
      <c r="CA38" s="237">
        <v>0</v>
      </c>
      <c r="CB38" s="237">
        <v>0</v>
      </c>
      <c r="CC38" s="237">
        <v>0</v>
      </c>
      <c r="CD38" s="237">
        <v>0</v>
      </c>
      <c r="CE38" s="237">
        <v>0</v>
      </c>
      <c r="CF38" s="237">
        <v>0</v>
      </c>
      <c r="CG38" s="237">
        <v>0</v>
      </c>
      <c r="CH38" s="30">
        <v>0</v>
      </c>
      <c r="CI38" s="30">
        <v>0</v>
      </c>
      <c r="CJ38" s="30" t="e">
        <f t="array" aca="1" ref="CJ38" ca="1">_xludf.XLOOKUP(C38,'PL TOTAL D0'!H:H,'PL TOTAL D0'!I:I,"")</f>
        <v>#NAME?</v>
      </c>
    </row>
    <row r="39" spans="1:88" ht="15.75" customHeight="1">
      <c r="A39" s="36" t="s">
        <v>2921</v>
      </c>
      <c r="B39" s="37" t="s">
        <v>2996</v>
      </c>
      <c r="C39" s="9">
        <v>584285</v>
      </c>
      <c r="D39" s="9" t="s">
        <v>2923</v>
      </c>
      <c r="E39" s="9" t="s">
        <v>20</v>
      </c>
      <c r="F39" s="6" t="s">
        <v>2924</v>
      </c>
      <c r="G39" s="7" t="e">
        <f t="shared" ca="1" si="0"/>
        <v>#NAME?</v>
      </c>
      <c r="H39" s="8" t="s">
        <v>143</v>
      </c>
      <c r="I39" s="24" t="s">
        <v>25</v>
      </c>
      <c r="J39" s="9" t="str">
        <f t="shared" si="1"/>
        <v>Não</v>
      </c>
      <c r="K39" s="107">
        <v>43620</v>
      </c>
      <c r="L39" s="107">
        <v>44314</v>
      </c>
      <c r="M39" s="6" t="s">
        <v>58</v>
      </c>
      <c r="N39" s="10">
        <v>5.0000000000000001E-3</v>
      </c>
      <c r="O39" s="9" t="s">
        <v>25</v>
      </c>
      <c r="P39" s="234">
        <v>0</v>
      </c>
      <c r="Q39" s="45"/>
      <c r="R39" s="108" t="s">
        <v>2997</v>
      </c>
      <c r="S39" s="7" t="s">
        <v>145</v>
      </c>
      <c r="T39" s="6" t="s">
        <v>2998</v>
      </c>
      <c r="U39" s="6" t="s">
        <v>20</v>
      </c>
      <c r="V39" s="24" t="e">
        <f t="shared" ca="1" si="2"/>
        <v>#NAME?</v>
      </c>
      <c r="W39" s="24"/>
      <c r="X39" s="24"/>
      <c r="Y39" s="6"/>
      <c r="Z39" s="6"/>
      <c r="AA39" s="6"/>
      <c r="AB39" s="6"/>
      <c r="AC39" s="110">
        <v>31068.04</v>
      </c>
      <c r="AD39" s="110">
        <v>30852.34</v>
      </c>
      <c r="AE39" s="110">
        <v>30847.919999999998</v>
      </c>
      <c r="AF39" s="110">
        <v>30699.439999999999</v>
      </c>
      <c r="AG39" s="110">
        <v>30564.46</v>
      </c>
      <c r="AH39" s="110">
        <v>30440.91</v>
      </c>
      <c r="AI39" s="110">
        <v>30471.1</v>
      </c>
      <c r="AJ39" s="110">
        <v>30331.78</v>
      </c>
      <c r="AK39" s="110">
        <v>30256.2</v>
      </c>
      <c r="AL39" s="110">
        <v>30141.41</v>
      </c>
      <c r="AM39" s="110">
        <v>30053.1</v>
      </c>
      <c r="AN39" s="110">
        <v>29981.89</v>
      </c>
      <c r="AO39" s="110">
        <v>30030.51</v>
      </c>
      <c r="AP39" s="110">
        <v>29937.45</v>
      </c>
      <c r="AQ39" s="110">
        <v>29848.93</v>
      </c>
      <c r="AR39" s="110">
        <v>29853.439999999999</v>
      </c>
      <c r="AS39" s="110">
        <v>29730.6</v>
      </c>
      <c r="AT39" s="110">
        <v>29616.53</v>
      </c>
      <c r="AU39" s="110"/>
      <c r="AV39" s="240"/>
      <c r="AW39" s="240"/>
      <c r="AX39" s="240"/>
      <c r="AY39" s="110"/>
      <c r="AZ39" s="110"/>
      <c r="BA39" s="110"/>
      <c r="BB39" s="110"/>
      <c r="BC39" s="110"/>
      <c r="BD39" s="110">
        <v>0</v>
      </c>
      <c r="BE39" s="110">
        <v>0</v>
      </c>
      <c r="BF39" s="110">
        <v>0</v>
      </c>
      <c r="BG39" s="110" t="s">
        <v>2932</v>
      </c>
      <c r="BH39" s="110">
        <v>0</v>
      </c>
      <c r="BI39" s="110">
        <v>0</v>
      </c>
      <c r="BJ39" s="110">
        <v>0</v>
      </c>
      <c r="BK39" s="237">
        <v>0</v>
      </c>
      <c r="BL39" s="237">
        <v>0</v>
      </c>
      <c r="BM39" s="237">
        <v>0</v>
      </c>
      <c r="BN39" s="237">
        <v>0</v>
      </c>
      <c r="BO39" s="237">
        <v>0</v>
      </c>
      <c r="BP39" s="237">
        <v>0</v>
      </c>
      <c r="BQ39" s="237">
        <v>0</v>
      </c>
      <c r="BR39" s="237">
        <v>0</v>
      </c>
      <c r="BS39" s="237">
        <v>0</v>
      </c>
      <c r="BT39" s="237">
        <v>0</v>
      </c>
      <c r="BU39" s="237">
        <v>0</v>
      </c>
      <c r="BV39" s="237">
        <v>0</v>
      </c>
      <c r="BW39" s="237">
        <v>0</v>
      </c>
      <c r="BX39" s="237">
        <v>0</v>
      </c>
      <c r="BY39" s="237">
        <v>0</v>
      </c>
      <c r="BZ39" s="237">
        <v>0</v>
      </c>
      <c r="CA39" s="237">
        <v>0</v>
      </c>
      <c r="CB39" s="237">
        <v>0</v>
      </c>
      <c r="CC39" s="237">
        <v>0</v>
      </c>
      <c r="CD39" s="237">
        <v>0</v>
      </c>
      <c r="CE39" s="237">
        <v>0</v>
      </c>
      <c r="CF39" s="237">
        <v>0</v>
      </c>
      <c r="CG39" s="237">
        <v>0</v>
      </c>
      <c r="CH39" s="30">
        <v>0</v>
      </c>
      <c r="CI39" s="30">
        <v>0</v>
      </c>
      <c r="CJ39" s="30" t="e">
        <f t="array" aca="1" ref="CJ39" ca="1">_xludf.XLOOKUP(C39,'PL TOTAL D0'!H:H,'PL TOTAL D0'!I:I,"")</f>
        <v>#NAME?</v>
      </c>
    </row>
    <row r="40" spans="1:88" ht="15.75" customHeight="1">
      <c r="A40" s="36" t="s">
        <v>2921</v>
      </c>
      <c r="B40" s="3" t="s">
        <v>2999</v>
      </c>
      <c r="C40" s="9">
        <v>429937</v>
      </c>
      <c r="D40" s="9" t="s">
        <v>19</v>
      </c>
      <c r="E40" s="9" t="s">
        <v>34</v>
      </c>
      <c r="F40" s="6" t="s">
        <v>262</v>
      </c>
      <c r="G40" s="7" t="e">
        <f t="shared" ca="1" si="0"/>
        <v>#NAME?</v>
      </c>
      <c r="H40" s="8" t="s">
        <v>143</v>
      </c>
      <c r="I40" s="24" t="s">
        <v>25</v>
      </c>
      <c r="J40" s="9" t="str">
        <f t="shared" si="1"/>
        <v>Não</v>
      </c>
      <c r="K40" s="232">
        <v>44789</v>
      </c>
      <c r="L40" s="107">
        <v>44988</v>
      </c>
      <c r="M40" s="6" t="s">
        <v>42</v>
      </c>
      <c r="N40" s="10">
        <v>7.0000000000000001E-3</v>
      </c>
      <c r="O40" s="9" t="s">
        <v>25</v>
      </c>
      <c r="P40" s="234">
        <v>0</v>
      </c>
      <c r="Q40" s="28"/>
      <c r="R40" s="28"/>
      <c r="S40" s="7" t="s">
        <v>145</v>
      </c>
      <c r="T40" s="6" t="s">
        <v>3000</v>
      </c>
      <c r="U40" s="6" t="s">
        <v>39</v>
      </c>
      <c r="V40" s="24" t="e">
        <f t="shared" ca="1" si="2"/>
        <v>#NAME?</v>
      </c>
      <c r="W40" s="24"/>
      <c r="X40" s="24"/>
      <c r="Y40" s="6"/>
      <c r="Z40" s="6"/>
      <c r="AA40" s="6"/>
      <c r="AB40" s="6"/>
      <c r="AC40" s="132"/>
      <c r="AD40" s="132"/>
      <c r="AE40" s="132"/>
      <c r="AF40" s="132"/>
      <c r="AG40" s="132"/>
      <c r="AH40" s="132"/>
      <c r="AI40" s="132"/>
      <c r="AJ40" s="132"/>
      <c r="AK40" s="132"/>
      <c r="AL40" s="132"/>
      <c r="AM40" s="132"/>
      <c r="AN40" s="132"/>
      <c r="AO40" s="132"/>
      <c r="AP40" s="110"/>
      <c r="AQ40" s="236"/>
      <c r="AR40" s="236"/>
      <c r="AS40" s="236"/>
      <c r="AT40" s="236"/>
      <c r="AU40" s="236"/>
      <c r="AV40" s="110"/>
      <c r="AW40" s="110"/>
      <c r="AX40" s="110"/>
      <c r="AY40" s="110"/>
      <c r="AZ40" s="110"/>
      <c r="BA40" s="110"/>
      <c r="BB40" s="110"/>
      <c r="BC40" s="110"/>
      <c r="BD40" s="110"/>
      <c r="BE40" s="110"/>
      <c r="BF40" s="110"/>
      <c r="BG40" s="237"/>
      <c r="BH40" s="237"/>
      <c r="BI40" s="237">
        <v>120324.58</v>
      </c>
      <c r="BJ40" s="237">
        <v>122167.19</v>
      </c>
      <c r="BK40" s="237">
        <v>123166.65</v>
      </c>
      <c r="BL40" s="237">
        <v>124084.86</v>
      </c>
      <c r="BM40" s="237">
        <v>124364.73</v>
      </c>
      <c r="BN40" s="237">
        <v>104823.45</v>
      </c>
      <c r="BO40" s="237">
        <v>105935.71</v>
      </c>
      <c r="BP40" s="237">
        <v>84390.21</v>
      </c>
      <c r="BQ40" s="237">
        <v>0</v>
      </c>
      <c r="BR40" s="237">
        <v>0</v>
      </c>
      <c r="BS40" s="237">
        <v>0</v>
      </c>
      <c r="BT40" s="237">
        <v>0</v>
      </c>
      <c r="BU40" s="237">
        <v>0</v>
      </c>
      <c r="BV40" s="237">
        <v>0</v>
      </c>
      <c r="BW40" s="237">
        <v>0</v>
      </c>
      <c r="BX40" s="237">
        <v>0</v>
      </c>
      <c r="BY40" s="237">
        <v>0</v>
      </c>
      <c r="BZ40" s="237">
        <v>0</v>
      </c>
      <c r="CA40" s="237">
        <v>0</v>
      </c>
      <c r="CB40" s="237">
        <v>0</v>
      </c>
      <c r="CC40" s="237">
        <v>0</v>
      </c>
      <c r="CD40" s="237">
        <v>0</v>
      </c>
      <c r="CE40" s="237">
        <v>0</v>
      </c>
      <c r="CF40" s="237">
        <v>0</v>
      </c>
      <c r="CG40" s="237">
        <v>0</v>
      </c>
      <c r="CH40" s="30">
        <v>0</v>
      </c>
      <c r="CI40" s="30">
        <v>0</v>
      </c>
      <c r="CJ40" s="30" t="e">
        <f t="array" aca="1" ref="CJ40" ca="1">_xludf.XLOOKUP(C40,'PL TOTAL D0'!H:H,'PL TOTAL D0'!I:I,"")</f>
        <v>#NAME?</v>
      </c>
    </row>
    <row r="41" spans="1:88" ht="15.75" customHeight="1">
      <c r="A41" s="36" t="s">
        <v>2921</v>
      </c>
      <c r="B41" s="3" t="s">
        <v>426</v>
      </c>
      <c r="C41" s="9">
        <v>293395</v>
      </c>
      <c r="D41" s="9" t="s">
        <v>19</v>
      </c>
      <c r="E41" s="9" t="s">
        <v>34</v>
      </c>
      <c r="F41" s="9" t="s">
        <v>262</v>
      </c>
      <c r="G41" s="7" t="e">
        <f t="shared" ca="1" si="0"/>
        <v>#NAME?</v>
      </c>
      <c r="H41" s="8" t="s">
        <v>161</v>
      </c>
      <c r="I41" s="24" t="s">
        <v>162</v>
      </c>
      <c r="J41" s="9" t="str">
        <f t="shared" si="1"/>
        <v>Não</v>
      </c>
      <c r="K41" s="232">
        <v>44323</v>
      </c>
      <c r="L41" s="6"/>
      <c r="M41" s="6" t="s">
        <v>200</v>
      </c>
      <c r="N41" s="10">
        <v>1.4999999999999999E-2</v>
      </c>
      <c r="O41" s="9" t="s">
        <v>37</v>
      </c>
      <c r="P41" s="234">
        <v>0.1</v>
      </c>
      <c r="Q41" s="28"/>
      <c r="R41" s="28"/>
      <c r="S41" s="7" t="s">
        <v>145</v>
      </c>
      <c r="T41" s="6" t="s">
        <v>428</v>
      </c>
      <c r="U41" s="6" t="s">
        <v>39</v>
      </c>
      <c r="V41" s="24" t="e">
        <f t="shared" ca="1" si="2"/>
        <v>#NAME?</v>
      </c>
      <c r="W41" s="24"/>
      <c r="X41" s="24"/>
      <c r="Y41" s="6" t="s">
        <v>147</v>
      </c>
      <c r="Z41" s="6"/>
      <c r="AA41" s="107">
        <v>44323</v>
      </c>
      <c r="AB41" s="6">
        <v>49075100004481</v>
      </c>
      <c r="AC41" s="132"/>
      <c r="AD41" s="132"/>
      <c r="AE41" s="132"/>
      <c r="AF41" s="132"/>
      <c r="AG41" s="132"/>
      <c r="AH41" s="132"/>
      <c r="AI41" s="132"/>
      <c r="AJ41" s="132"/>
      <c r="AK41" s="132"/>
      <c r="AL41" s="132"/>
      <c r="AM41" s="132"/>
      <c r="AN41" s="132"/>
      <c r="AO41" s="132"/>
      <c r="AP41" s="110"/>
      <c r="AQ41" s="236"/>
      <c r="AR41" s="236"/>
      <c r="AS41" s="236"/>
      <c r="AT41" s="236"/>
      <c r="AU41" s="236">
        <v>1784500.76</v>
      </c>
      <c r="AV41" s="110">
        <v>1776092.69</v>
      </c>
      <c r="AW41" s="110">
        <v>1759116.65</v>
      </c>
      <c r="AX41" s="110">
        <v>1726485.95</v>
      </c>
      <c r="AY41" s="110">
        <v>1702469.86</v>
      </c>
      <c r="AZ41" s="110">
        <v>1665475.68</v>
      </c>
      <c r="BA41" s="110">
        <v>1645457.18</v>
      </c>
      <c r="BB41" s="110">
        <v>1648785.82</v>
      </c>
      <c r="BC41" s="110">
        <v>1684277.02</v>
      </c>
      <c r="BD41" s="110">
        <v>1694879.55</v>
      </c>
      <c r="BE41" s="110">
        <v>1772638.46</v>
      </c>
      <c r="BF41" s="110">
        <v>1741662.95</v>
      </c>
      <c r="BG41" s="237">
        <v>1736900.16</v>
      </c>
      <c r="BH41" s="237">
        <v>1718496.95</v>
      </c>
      <c r="BI41" s="237">
        <v>1740678.99</v>
      </c>
      <c r="BJ41" s="237">
        <v>1764469.64</v>
      </c>
      <c r="BK41" s="237">
        <v>1780696.53</v>
      </c>
      <c r="BL41" s="237">
        <v>1848390.12</v>
      </c>
      <c r="BM41" s="237">
        <v>1826780.84</v>
      </c>
      <c r="BN41" s="237">
        <v>1793813.85</v>
      </c>
      <c r="BO41" s="237">
        <v>1866610.85</v>
      </c>
      <c r="BP41" s="237">
        <v>1880844.02</v>
      </c>
      <c r="BQ41" s="237">
        <v>1903790.11</v>
      </c>
      <c r="BR41" s="237">
        <v>1909951.46</v>
      </c>
      <c r="BS41" s="237">
        <v>1875267.58</v>
      </c>
      <c r="BT41" s="237">
        <v>499.32</v>
      </c>
      <c r="BU41" s="237">
        <v>0</v>
      </c>
      <c r="BV41" s="237">
        <v>0</v>
      </c>
      <c r="BW41" s="237">
        <v>0</v>
      </c>
      <c r="BX41" s="237">
        <v>0</v>
      </c>
      <c r="BY41" s="237">
        <v>0</v>
      </c>
      <c r="BZ41" s="237">
        <v>0</v>
      </c>
      <c r="CA41" s="237">
        <v>0</v>
      </c>
      <c r="CB41" s="237">
        <v>0</v>
      </c>
      <c r="CC41" s="237">
        <v>0</v>
      </c>
      <c r="CD41" s="237">
        <v>0</v>
      </c>
      <c r="CE41" s="237">
        <v>0</v>
      </c>
      <c r="CF41" s="237">
        <v>0</v>
      </c>
      <c r="CG41" s="237">
        <v>0</v>
      </c>
      <c r="CH41" s="30">
        <v>0</v>
      </c>
      <c r="CI41" s="30">
        <v>0</v>
      </c>
      <c r="CJ41" s="30" t="e">
        <f t="array" aca="1" ref="CJ41" ca="1">_xludf.XLOOKUP(C41,'PL TOTAL D0'!H:H,'PL TOTAL D0'!I:I,"")</f>
        <v>#NAME?</v>
      </c>
    </row>
    <row r="42" spans="1:88" ht="15.75" customHeight="1">
      <c r="A42" s="36" t="s">
        <v>2921</v>
      </c>
      <c r="B42" s="3" t="s">
        <v>3001</v>
      </c>
      <c r="C42" s="9">
        <v>84635</v>
      </c>
      <c r="D42" s="9" t="s">
        <v>19</v>
      </c>
      <c r="E42" s="9" t="s">
        <v>34</v>
      </c>
      <c r="F42" s="6" t="s">
        <v>2971</v>
      </c>
      <c r="G42" s="7" t="e">
        <f t="shared" ca="1" si="0"/>
        <v>#NAME?</v>
      </c>
      <c r="H42" s="8" t="s">
        <v>143</v>
      </c>
      <c r="I42" s="24" t="s">
        <v>25</v>
      </c>
      <c r="J42" s="9" t="str">
        <f t="shared" si="1"/>
        <v>Não</v>
      </c>
      <c r="K42" s="107">
        <v>44263</v>
      </c>
      <c r="L42" s="107">
        <v>44812</v>
      </c>
      <c r="M42" s="6" t="s">
        <v>42</v>
      </c>
      <c r="N42" s="10">
        <v>7.0000000000000001E-3</v>
      </c>
      <c r="O42" s="9" t="s">
        <v>25</v>
      </c>
      <c r="P42" s="234">
        <v>0</v>
      </c>
      <c r="Q42" s="45"/>
      <c r="R42" s="108" t="s">
        <v>3002</v>
      </c>
      <c r="S42" s="7" t="s">
        <v>145</v>
      </c>
      <c r="T42" s="6" t="s">
        <v>3003</v>
      </c>
      <c r="U42" s="6" t="s">
        <v>39</v>
      </c>
      <c r="V42" s="24" t="e">
        <f t="shared" ca="1" si="2"/>
        <v>#NAME?</v>
      </c>
      <c r="W42" s="24"/>
      <c r="X42" s="24"/>
      <c r="Y42" s="6" t="s">
        <v>253</v>
      </c>
      <c r="Z42" s="6"/>
      <c r="AA42" s="6"/>
      <c r="AB42" s="6"/>
      <c r="AC42" s="240"/>
      <c r="AD42" s="240"/>
      <c r="AE42" s="240"/>
      <c r="AF42" s="240"/>
      <c r="AG42" s="240"/>
      <c r="AH42" s="240"/>
      <c r="AI42" s="240"/>
      <c r="AJ42" s="240"/>
      <c r="AK42" s="240"/>
      <c r="AL42" s="240"/>
      <c r="AM42" s="240"/>
      <c r="AN42" s="110"/>
      <c r="AO42" s="110"/>
      <c r="AP42" s="110"/>
      <c r="AQ42" s="110">
        <v>789188.79</v>
      </c>
      <c r="AR42" s="110">
        <v>801732.79</v>
      </c>
      <c r="AS42" s="110"/>
      <c r="AT42" s="110">
        <v>802406.84</v>
      </c>
      <c r="AU42" s="110">
        <v>835576.89</v>
      </c>
      <c r="AV42" s="110">
        <v>851405.78</v>
      </c>
      <c r="AW42" s="110">
        <v>843866.44</v>
      </c>
      <c r="AX42" s="110">
        <v>846439.45</v>
      </c>
      <c r="AY42" s="110">
        <v>838704.69</v>
      </c>
      <c r="AZ42" s="110">
        <v>823843.9</v>
      </c>
      <c r="BA42" s="110">
        <v>816938.38</v>
      </c>
      <c r="BB42" s="110">
        <v>827580.86</v>
      </c>
      <c r="BC42" s="110">
        <v>869286.91</v>
      </c>
      <c r="BD42" s="110">
        <v>874553.46</v>
      </c>
      <c r="BE42" s="110">
        <v>921095.16</v>
      </c>
      <c r="BF42" s="110">
        <v>906532.39</v>
      </c>
      <c r="BG42" s="110">
        <v>905644.71</v>
      </c>
      <c r="BH42" s="110">
        <v>853989.39</v>
      </c>
      <c r="BI42" s="110">
        <v>861333.4</v>
      </c>
      <c r="BJ42" s="110">
        <v>861258.49</v>
      </c>
      <c r="BK42" s="237">
        <v>846765.31</v>
      </c>
      <c r="BL42" s="237">
        <v>0</v>
      </c>
      <c r="BM42" s="237">
        <v>0</v>
      </c>
      <c r="BN42" s="237">
        <v>0</v>
      </c>
      <c r="BO42" s="237">
        <v>0</v>
      </c>
      <c r="BP42" s="237">
        <v>0</v>
      </c>
      <c r="BQ42" s="237">
        <v>0</v>
      </c>
      <c r="BR42" s="237">
        <v>0</v>
      </c>
      <c r="BS42" s="237">
        <v>0</v>
      </c>
      <c r="BT42" s="237">
        <v>0</v>
      </c>
      <c r="BU42" s="237">
        <v>0</v>
      </c>
      <c r="BV42" s="237">
        <v>0</v>
      </c>
      <c r="BW42" s="237">
        <v>0</v>
      </c>
      <c r="BX42" s="237">
        <v>0</v>
      </c>
      <c r="BY42" s="237">
        <v>0</v>
      </c>
      <c r="BZ42" s="237">
        <v>0</v>
      </c>
      <c r="CA42" s="237">
        <v>0</v>
      </c>
      <c r="CB42" s="237">
        <v>0</v>
      </c>
      <c r="CC42" s="237">
        <v>0</v>
      </c>
      <c r="CD42" s="237">
        <v>0</v>
      </c>
      <c r="CE42" s="237">
        <v>0</v>
      </c>
      <c r="CF42" s="237">
        <v>0</v>
      </c>
      <c r="CG42" s="237">
        <v>0</v>
      </c>
      <c r="CH42" s="30">
        <v>0</v>
      </c>
      <c r="CI42" s="30">
        <v>0</v>
      </c>
      <c r="CJ42" s="30" t="e">
        <f t="array" aca="1" ref="CJ42" ca="1">_xludf.XLOOKUP(C42,'PL TOTAL D0'!H:H,'PL TOTAL D0'!I:I,"")</f>
        <v>#NAME?</v>
      </c>
    </row>
    <row r="43" spans="1:88" ht="15.75" customHeight="1">
      <c r="A43" s="36" t="s">
        <v>2921</v>
      </c>
      <c r="B43" s="106" t="s">
        <v>437</v>
      </c>
      <c r="C43" s="9">
        <v>33002</v>
      </c>
      <c r="D43" s="9" t="s">
        <v>19</v>
      </c>
      <c r="E43" s="9" t="s">
        <v>34</v>
      </c>
      <c r="F43" s="9" t="s">
        <v>35</v>
      </c>
      <c r="G43" s="7" t="e">
        <f t="shared" ca="1" si="0"/>
        <v>#NAME?</v>
      </c>
      <c r="H43" s="8" t="s">
        <v>161</v>
      </c>
      <c r="I43" s="24" t="s">
        <v>162</v>
      </c>
      <c r="J43" s="9" t="str">
        <f t="shared" si="1"/>
        <v>Sim</v>
      </c>
      <c r="K43" s="107">
        <v>44263</v>
      </c>
      <c r="L43" s="6"/>
      <c r="M43" s="6" t="s">
        <v>200</v>
      </c>
      <c r="N43" s="10">
        <v>7.4999999999999997E-3</v>
      </c>
      <c r="O43" s="9" t="s">
        <v>37</v>
      </c>
      <c r="P43" s="234">
        <v>0.15</v>
      </c>
      <c r="Q43" s="108" t="s">
        <v>3004</v>
      </c>
      <c r="R43" s="235"/>
      <c r="S43" s="7" t="s">
        <v>145</v>
      </c>
      <c r="T43" s="9" t="s">
        <v>439</v>
      </c>
      <c r="U43" s="6" t="s">
        <v>39</v>
      </c>
      <c r="V43" s="24" t="e">
        <f t="shared" ca="1" si="2"/>
        <v>#NAME?</v>
      </c>
      <c r="W43" s="24"/>
      <c r="X43" s="24"/>
      <c r="Y43" s="6" t="s">
        <v>147</v>
      </c>
      <c r="Z43" s="6"/>
      <c r="AA43" s="107">
        <v>44263</v>
      </c>
      <c r="AB43" s="6">
        <v>49075100009597</v>
      </c>
      <c r="AC43" s="240"/>
      <c r="AD43" s="240"/>
      <c r="AE43" s="240"/>
      <c r="AF43" s="240"/>
      <c r="AG43" s="240"/>
      <c r="AH43" s="240"/>
      <c r="AI43" s="240"/>
      <c r="AJ43" s="240"/>
      <c r="AK43" s="240"/>
      <c r="AL43" s="240"/>
      <c r="AM43" s="240"/>
      <c r="AN43" s="110"/>
      <c r="AO43" s="110"/>
      <c r="AP43" s="110"/>
      <c r="AQ43" s="236">
        <v>7235956.0899999999</v>
      </c>
      <c r="AR43" s="236">
        <v>7269024.6200000001</v>
      </c>
      <c r="AS43" s="236"/>
      <c r="AT43" s="236">
        <v>7611598.2699999996</v>
      </c>
      <c r="AU43" s="236">
        <v>7566070.0300000003</v>
      </c>
      <c r="AV43" s="110">
        <v>7536661.6100000003</v>
      </c>
      <c r="AW43" s="110">
        <v>7912549.1500000004</v>
      </c>
      <c r="AX43" s="110">
        <v>7768232.6299999999</v>
      </c>
      <c r="AY43" s="110">
        <v>7647384.0199999996</v>
      </c>
      <c r="AZ43" s="110">
        <v>7214068.0199999996</v>
      </c>
      <c r="BA43" s="110">
        <v>7358684.21</v>
      </c>
      <c r="BB43" s="110">
        <v>7448285.1299999999</v>
      </c>
      <c r="BC43" s="110">
        <v>7624660.9800000004</v>
      </c>
      <c r="BD43" s="110">
        <v>7677957.6699999999</v>
      </c>
      <c r="BE43" s="110">
        <v>8017181.9500000002</v>
      </c>
      <c r="BF43" s="110">
        <v>7895003.5599999996</v>
      </c>
      <c r="BG43" s="237">
        <v>7886157.1299999999</v>
      </c>
      <c r="BH43" s="237">
        <v>7836615.5300000003</v>
      </c>
      <c r="BI43" s="237">
        <v>7928589.7300000004</v>
      </c>
      <c r="BJ43" s="237">
        <v>8019979.0499999998</v>
      </c>
      <c r="BK43" s="237">
        <v>8099521.2999999998</v>
      </c>
      <c r="BL43" s="237">
        <v>8341002.4699999997</v>
      </c>
      <c r="BM43" s="237">
        <v>8292909.7000000002</v>
      </c>
      <c r="BN43" s="237">
        <v>8236107.9100000001</v>
      </c>
      <c r="BO43" s="237">
        <v>8361634.2800000003</v>
      </c>
      <c r="BP43" s="237">
        <v>8659365.7100000009</v>
      </c>
      <c r="BQ43" s="237">
        <v>1157161.02</v>
      </c>
      <c r="BR43" s="237">
        <v>1162295.96</v>
      </c>
      <c r="BS43" s="237">
        <v>0</v>
      </c>
      <c r="BT43" s="237">
        <v>0</v>
      </c>
      <c r="BU43" s="237">
        <v>0</v>
      </c>
      <c r="BV43" s="237">
        <v>0</v>
      </c>
      <c r="BW43" s="237">
        <v>0</v>
      </c>
      <c r="BX43" s="237">
        <v>0</v>
      </c>
      <c r="BY43" s="237">
        <v>0</v>
      </c>
      <c r="BZ43" s="237">
        <v>0</v>
      </c>
      <c r="CA43" s="237">
        <v>0</v>
      </c>
      <c r="CB43" s="237">
        <v>0</v>
      </c>
      <c r="CC43" s="237">
        <v>0</v>
      </c>
      <c r="CD43" s="237">
        <v>0</v>
      </c>
      <c r="CE43" s="237">
        <v>0</v>
      </c>
      <c r="CF43" s="237">
        <v>0</v>
      </c>
      <c r="CG43" s="237">
        <v>0</v>
      </c>
      <c r="CH43" s="30">
        <v>0</v>
      </c>
      <c r="CI43" s="30">
        <v>0</v>
      </c>
      <c r="CJ43" s="30" t="e">
        <f t="array" aca="1" ref="CJ43" ca="1">_xludf.XLOOKUP(C43,'PL TOTAL D0'!H:H,'PL TOTAL D0'!I:I,"")</f>
        <v>#NAME?</v>
      </c>
    </row>
    <row r="44" spans="1:88" ht="15.75" customHeight="1">
      <c r="A44" s="36" t="s">
        <v>2921</v>
      </c>
      <c r="B44" s="3" t="s">
        <v>3005</v>
      </c>
      <c r="C44" s="9">
        <v>575772</v>
      </c>
      <c r="D44" s="9" t="s">
        <v>19</v>
      </c>
      <c r="E44" s="9" t="s">
        <v>34</v>
      </c>
      <c r="F44" s="6" t="s">
        <v>35</v>
      </c>
      <c r="G44" s="7" t="e">
        <f t="shared" ca="1" si="0"/>
        <v>#NAME?</v>
      </c>
      <c r="H44" s="8" t="s">
        <v>143</v>
      </c>
      <c r="I44" s="24" t="s">
        <v>25</v>
      </c>
      <c r="J44" s="9" t="str">
        <f t="shared" si="1"/>
        <v>Não</v>
      </c>
      <c r="K44" s="107">
        <v>44280</v>
      </c>
      <c r="L44" s="239">
        <v>44512</v>
      </c>
      <c r="M44" s="6" t="s">
        <v>87</v>
      </c>
      <c r="N44" s="10">
        <v>2.5000000000000001E-2</v>
      </c>
      <c r="O44" s="9" t="s">
        <v>183</v>
      </c>
      <c r="P44" s="234">
        <v>0.2</v>
      </c>
      <c r="Q44" s="45"/>
      <c r="R44" s="108"/>
      <c r="S44" s="7" t="s">
        <v>187</v>
      </c>
      <c r="T44" s="6" t="s">
        <v>3006</v>
      </c>
      <c r="U44" s="6" t="s">
        <v>39</v>
      </c>
      <c r="V44" s="24" t="e">
        <f t="shared" ca="1" si="2"/>
        <v>#NAME?</v>
      </c>
      <c r="W44" s="24"/>
      <c r="X44" s="24"/>
      <c r="Y44" s="6"/>
      <c r="Z44" s="6"/>
      <c r="AA44" s="6"/>
      <c r="AB44" s="6"/>
      <c r="AC44" s="240"/>
      <c r="AD44" s="240"/>
      <c r="AE44" s="240"/>
      <c r="AF44" s="240"/>
      <c r="AG44" s="240"/>
      <c r="AH44" s="240"/>
      <c r="AI44" s="240"/>
      <c r="AJ44" s="240"/>
      <c r="AK44" s="240"/>
      <c r="AL44" s="240"/>
      <c r="AM44" s="240"/>
      <c r="AN44" s="110"/>
      <c r="AO44" s="110"/>
      <c r="AP44" s="110"/>
      <c r="AQ44" s="110">
        <v>754702.02</v>
      </c>
      <c r="AR44" s="110">
        <v>758147.1</v>
      </c>
      <c r="AS44" s="110">
        <v>1607331.5</v>
      </c>
      <c r="AT44" s="110">
        <v>1622459.6</v>
      </c>
      <c r="AU44" s="110">
        <v>1693737.37</v>
      </c>
      <c r="AV44" s="110">
        <v>1670571.53</v>
      </c>
      <c r="AW44" s="110">
        <v>1635681.63</v>
      </c>
      <c r="AX44" s="110">
        <v>1558503.26</v>
      </c>
      <c r="AY44" s="110">
        <v>60486.36</v>
      </c>
      <c r="AZ44" s="110">
        <v>63054.73</v>
      </c>
      <c r="BA44" s="110"/>
      <c r="BB44" s="110"/>
      <c r="BC44" s="110"/>
      <c r="BD44" s="110">
        <v>0</v>
      </c>
      <c r="BE44" s="110">
        <v>0</v>
      </c>
      <c r="BF44" s="110">
        <v>0</v>
      </c>
      <c r="BG44" s="110" t="s">
        <v>2932</v>
      </c>
      <c r="BH44" s="110">
        <v>0</v>
      </c>
      <c r="BI44" s="110">
        <v>0</v>
      </c>
      <c r="BJ44" s="110">
        <v>0</v>
      </c>
      <c r="BK44" s="237">
        <v>0</v>
      </c>
      <c r="BL44" s="237">
        <v>0</v>
      </c>
      <c r="BM44" s="237">
        <v>0</v>
      </c>
      <c r="BN44" s="237">
        <v>0</v>
      </c>
      <c r="BO44" s="237">
        <v>0</v>
      </c>
      <c r="BP44" s="237">
        <v>0</v>
      </c>
      <c r="BQ44" s="237">
        <v>0</v>
      </c>
      <c r="BR44" s="237">
        <v>0</v>
      </c>
      <c r="BS44" s="237">
        <v>0</v>
      </c>
      <c r="BT44" s="237">
        <v>0</v>
      </c>
      <c r="BU44" s="237">
        <v>0</v>
      </c>
      <c r="BV44" s="237">
        <v>0</v>
      </c>
      <c r="BW44" s="237">
        <v>0</v>
      </c>
      <c r="BX44" s="237">
        <v>0</v>
      </c>
      <c r="BY44" s="237">
        <v>0</v>
      </c>
      <c r="BZ44" s="237">
        <v>0</v>
      </c>
      <c r="CA44" s="237">
        <v>0</v>
      </c>
      <c r="CB44" s="237">
        <v>0</v>
      </c>
      <c r="CC44" s="237">
        <v>0</v>
      </c>
      <c r="CD44" s="237">
        <v>0</v>
      </c>
      <c r="CE44" s="237">
        <v>0</v>
      </c>
      <c r="CF44" s="237">
        <v>0</v>
      </c>
      <c r="CG44" s="237">
        <v>0</v>
      </c>
      <c r="CH44" s="30">
        <v>0</v>
      </c>
      <c r="CI44" s="30">
        <v>0</v>
      </c>
      <c r="CJ44" s="30" t="e">
        <f t="array" aca="1" ref="CJ44" ca="1">_xludf.XLOOKUP(C44,'PL TOTAL D0'!H:H,'PL TOTAL D0'!I:I,"")</f>
        <v>#NAME?</v>
      </c>
    </row>
    <row r="45" spans="1:88" ht="15.75" customHeight="1">
      <c r="A45" s="36" t="s">
        <v>2921</v>
      </c>
      <c r="B45" s="106" t="s">
        <v>3007</v>
      </c>
      <c r="C45" s="9">
        <v>627408</v>
      </c>
      <c r="D45" s="9" t="s">
        <v>19</v>
      </c>
      <c r="E45" s="9" t="s">
        <v>2051</v>
      </c>
      <c r="F45" s="7" t="s">
        <v>3008</v>
      </c>
      <c r="G45" s="7" t="e">
        <f t="shared" ca="1" si="0"/>
        <v>#NAME?</v>
      </c>
      <c r="H45" s="8" t="s">
        <v>161</v>
      </c>
      <c r="I45" s="24" t="s">
        <v>162</v>
      </c>
      <c r="J45" s="9" t="str">
        <f t="shared" si="1"/>
        <v>Não</v>
      </c>
      <c r="K45" s="238">
        <v>44512</v>
      </c>
      <c r="L45" s="6"/>
      <c r="M45" s="6" t="s">
        <v>58</v>
      </c>
      <c r="N45" s="10">
        <v>1.2E-2</v>
      </c>
      <c r="O45" s="9" t="s">
        <v>25</v>
      </c>
      <c r="P45" s="234">
        <v>0</v>
      </c>
      <c r="Q45" s="28"/>
      <c r="R45" s="28"/>
      <c r="S45" s="7" t="s">
        <v>145</v>
      </c>
      <c r="T45" s="9" t="s">
        <v>3009</v>
      </c>
      <c r="U45" s="7" t="s">
        <v>46</v>
      </c>
      <c r="V45" s="24" t="e">
        <f t="shared" ca="1" si="2"/>
        <v>#NAME?</v>
      </c>
      <c r="W45" s="24"/>
      <c r="X45" s="24"/>
      <c r="Y45" s="6" t="s">
        <v>253</v>
      </c>
      <c r="Z45" s="6"/>
      <c r="AA45" s="239">
        <v>44512</v>
      </c>
      <c r="AB45" s="6">
        <v>49075100003181</v>
      </c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110"/>
      <c r="AN45" s="110"/>
      <c r="AO45" s="110"/>
      <c r="AP45" s="110"/>
      <c r="AQ45" s="110"/>
      <c r="AR45" s="110"/>
      <c r="AS45" s="110"/>
      <c r="AT45" s="110"/>
      <c r="AU45" s="240"/>
      <c r="AV45" s="240"/>
      <c r="AW45" s="240"/>
      <c r="AX45" s="23"/>
      <c r="AY45" s="110"/>
      <c r="AZ45" s="110"/>
      <c r="BA45" s="110">
        <v>5012.74</v>
      </c>
      <c r="BB45" s="110">
        <v>5049.7299999999996</v>
      </c>
      <c r="BC45" s="110">
        <v>5087.71</v>
      </c>
      <c r="BD45" s="110">
        <v>5125.07</v>
      </c>
      <c r="BE45" s="110">
        <v>5173.8999999999996</v>
      </c>
      <c r="BF45" s="110">
        <v>5193.83</v>
      </c>
      <c r="BG45" s="237">
        <v>5250.05</v>
      </c>
      <c r="BH45" s="237">
        <v>5304.8</v>
      </c>
      <c r="BI45" s="237">
        <v>5359.98</v>
      </c>
      <c r="BJ45" s="237">
        <v>5423.77</v>
      </c>
      <c r="BK45" s="237">
        <v>5483.78</v>
      </c>
      <c r="BL45" s="237">
        <v>5540.41</v>
      </c>
      <c r="BM45" s="237">
        <v>5595.29</v>
      </c>
      <c r="BN45" s="237">
        <v>5652.32</v>
      </c>
      <c r="BO45" s="237">
        <v>5720.49</v>
      </c>
      <c r="BP45" s="237">
        <v>5771.79</v>
      </c>
      <c r="BQ45" s="237">
        <v>5838.68</v>
      </c>
      <c r="BR45" s="237">
        <v>5887.3</v>
      </c>
      <c r="BS45" s="237">
        <v>5956.04</v>
      </c>
      <c r="BT45" s="237">
        <v>0</v>
      </c>
      <c r="BU45" s="237">
        <v>0</v>
      </c>
      <c r="BV45" s="237">
        <v>0</v>
      </c>
      <c r="BW45" s="237">
        <v>0</v>
      </c>
      <c r="BX45" s="237">
        <v>0</v>
      </c>
      <c r="BY45" s="237">
        <v>0</v>
      </c>
      <c r="BZ45" s="237">
        <v>0</v>
      </c>
      <c r="CA45" s="237">
        <v>0</v>
      </c>
      <c r="CB45" s="237">
        <v>0</v>
      </c>
      <c r="CC45" s="237">
        <v>6443.17</v>
      </c>
      <c r="CD45" s="237">
        <v>6500.35</v>
      </c>
      <c r="CE45" s="237">
        <v>6554.23</v>
      </c>
      <c r="CF45" s="237">
        <v>6606.23</v>
      </c>
      <c r="CG45" s="237">
        <v>6666.12</v>
      </c>
      <c r="CH45" s="30">
        <v>0</v>
      </c>
      <c r="CI45" s="30">
        <v>0</v>
      </c>
      <c r="CJ45" s="30" t="e">
        <f t="array" aca="1" ref="CJ45" ca="1">_xludf.XLOOKUP(C45,'PL TOTAL D0'!H:H,'PL TOTAL D0'!I:I,"")</f>
        <v>#NAME?</v>
      </c>
    </row>
    <row r="46" spans="1:88" ht="15.75" customHeight="1">
      <c r="A46" s="36" t="s">
        <v>2921</v>
      </c>
      <c r="B46" s="37" t="s">
        <v>3010</v>
      </c>
      <c r="C46" s="9">
        <v>82555</v>
      </c>
      <c r="D46" s="9" t="s">
        <v>2923</v>
      </c>
      <c r="E46" s="9" t="s">
        <v>20</v>
      </c>
      <c r="F46" s="6" t="s">
        <v>2924</v>
      </c>
      <c r="G46" s="7" t="e">
        <f t="shared" ca="1" si="0"/>
        <v>#NAME?</v>
      </c>
      <c r="H46" s="8" t="s">
        <v>143</v>
      </c>
      <c r="I46" s="24" t="s">
        <v>25</v>
      </c>
      <c r="J46" s="9" t="str">
        <f t="shared" si="1"/>
        <v>Não</v>
      </c>
      <c r="K46" s="107">
        <v>43567</v>
      </c>
      <c r="L46" s="239">
        <v>43768</v>
      </c>
      <c r="M46" s="6" t="s">
        <v>87</v>
      </c>
      <c r="N46" s="10">
        <v>2.5000000000000001E-2</v>
      </c>
      <c r="O46" s="9" t="s">
        <v>183</v>
      </c>
      <c r="P46" s="234">
        <v>0.2</v>
      </c>
      <c r="Q46" s="45"/>
      <c r="R46" s="108"/>
      <c r="S46" s="7" t="s">
        <v>145</v>
      </c>
      <c r="T46" s="6" t="s">
        <v>3011</v>
      </c>
      <c r="U46" s="6" t="s">
        <v>46</v>
      </c>
      <c r="V46" s="24" t="e">
        <f t="shared" ca="1" si="2"/>
        <v>#NAME?</v>
      </c>
      <c r="W46" s="24"/>
      <c r="X46" s="24"/>
      <c r="Y46" s="6"/>
      <c r="Z46" s="6"/>
      <c r="AA46" s="6"/>
      <c r="AB46" s="6"/>
      <c r="AC46" s="110">
        <v>0</v>
      </c>
      <c r="AD46" s="110">
        <v>0</v>
      </c>
      <c r="AE46" s="110">
        <v>0</v>
      </c>
      <c r="AF46" s="110">
        <v>0</v>
      </c>
      <c r="AG46" s="110">
        <v>0</v>
      </c>
      <c r="AH46" s="110">
        <v>0</v>
      </c>
      <c r="AI46" s="110">
        <v>0</v>
      </c>
      <c r="AJ46" s="110"/>
      <c r="AK46" s="110"/>
      <c r="AL46" s="110"/>
      <c r="AM46" s="110"/>
      <c r="AN46" s="110"/>
      <c r="AO46" s="110"/>
      <c r="AP46" s="110"/>
      <c r="AQ46" s="110"/>
      <c r="AR46" s="110"/>
      <c r="AS46" s="110"/>
      <c r="AT46" s="110"/>
      <c r="AU46" s="110"/>
      <c r="AV46" s="240"/>
      <c r="AW46" s="240"/>
      <c r="AX46" s="240"/>
      <c r="AY46" s="110"/>
      <c r="AZ46" s="110"/>
      <c r="BA46" s="110"/>
      <c r="BB46" s="110"/>
      <c r="BC46" s="110"/>
      <c r="BD46" s="110">
        <v>0</v>
      </c>
      <c r="BE46" s="110">
        <v>0</v>
      </c>
      <c r="BF46" s="110">
        <v>0</v>
      </c>
      <c r="BG46" s="110" t="s">
        <v>2932</v>
      </c>
      <c r="BH46" s="110">
        <v>0</v>
      </c>
      <c r="BI46" s="110">
        <v>0</v>
      </c>
      <c r="BJ46" s="110">
        <v>0</v>
      </c>
      <c r="BK46" s="237">
        <v>0</v>
      </c>
      <c r="BL46" s="237">
        <v>0</v>
      </c>
      <c r="BM46" s="237">
        <v>0</v>
      </c>
      <c r="BN46" s="237">
        <v>0</v>
      </c>
      <c r="BO46" s="237">
        <v>0</v>
      </c>
      <c r="BP46" s="237">
        <v>0</v>
      </c>
      <c r="BQ46" s="237">
        <v>0</v>
      </c>
      <c r="BR46" s="237">
        <v>0</v>
      </c>
      <c r="BS46" s="237">
        <v>0</v>
      </c>
      <c r="BT46" s="237">
        <v>0</v>
      </c>
      <c r="BU46" s="237">
        <v>0</v>
      </c>
      <c r="BV46" s="237">
        <v>0</v>
      </c>
      <c r="BW46" s="237">
        <v>0</v>
      </c>
      <c r="BX46" s="237">
        <v>0</v>
      </c>
      <c r="BY46" s="237">
        <v>0</v>
      </c>
      <c r="BZ46" s="237">
        <v>0</v>
      </c>
      <c r="CA46" s="237">
        <v>0</v>
      </c>
      <c r="CB46" s="237">
        <v>0</v>
      </c>
      <c r="CC46" s="237">
        <v>0</v>
      </c>
      <c r="CD46" s="237">
        <v>0</v>
      </c>
      <c r="CE46" s="237">
        <v>0</v>
      </c>
      <c r="CF46" s="237">
        <v>0</v>
      </c>
      <c r="CG46" s="237">
        <v>0</v>
      </c>
      <c r="CH46" s="30">
        <v>0</v>
      </c>
      <c r="CI46" s="30">
        <v>0</v>
      </c>
      <c r="CJ46" s="30" t="e">
        <f t="array" aca="1" ref="CJ46" ca="1">_xludf.XLOOKUP(C46,'PL TOTAL D0'!H:H,'PL TOTAL D0'!I:I,"")</f>
        <v>#NAME?</v>
      </c>
    </row>
    <row r="47" spans="1:88" ht="15.75" customHeight="1">
      <c r="A47" s="36" t="s">
        <v>2921</v>
      </c>
      <c r="B47" s="3" t="s">
        <v>3012</v>
      </c>
      <c r="C47" s="9">
        <v>575918</v>
      </c>
      <c r="D47" s="9" t="s">
        <v>2923</v>
      </c>
      <c r="E47" s="9" t="s">
        <v>20</v>
      </c>
      <c r="F47" s="6" t="s">
        <v>2924</v>
      </c>
      <c r="G47" s="7" t="e">
        <f t="shared" ca="1" si="0"/>
        <v>#NAME?</v>
      </c>
      <c r="H47" s="8" t="s">
        <v>143</v>
      </c>
      <c r="I47" s="24" t="s">
        <v>25</v>
      </c>
      <c r="J47" s="9" t="str">
        <f t="shared" si="1"/>
        <v>Não</v>
      </c>
      <c r="K47" s="107">
        <v>43725</v>
      </c>
      <c r="L47" s="239">
        <v>44490</v>
      </c>
      <c r="M47" s="6" t="s">
        <v>200</v>
      </c>
      <c r="N47" s="10">
        <v>0.01</v>
      </c>
      <c r="O47" s="9" t="s">
        <v>37</v>
      </c>
      <c r="P47" s="234">
        <v>0.1</v>
      </c>
      <c r="Q47" s="108"/>
      <c r="R47" s="45"/>
      <c r="S47" s="7" t="s">
        <v>145</v>
      </c>
      <c r="T47" s="6" t="s">
        <v>3013</v>
      </c>
      <c r="U47" s="6" t="s">
        <v>20</v>
      </c>
      <c r="V47" s="24" t="e">
        <f t="shared" ca="1" si="2"/>
        <v>#NAME?</v>
      </c>
      <c r="W47" s="24"/>
      <c r="X47" s="24"/>
      <c r="Y47" s="6"/>
      <c r="Z47" s="6"/>
      <c r="AA47" s="6"/>
      <c r="AB47" s="6"/>
      <c r="AC47" s="110">
        <v>101588.43</v>
      </c>
      <c r="AD47" s="110">
        <v>100105.88</v>
      </c>
      <c r="AE47" s="110">
        <v>96648.78</v>
      </c>
      <c r="AF47" s="110">
        <v>97081.62</v>
      </c>
      <c r="AG47" s="110">
        <v>97860.73</v>
      </c>
      <c r="AH47" s="110">
        <v>98350.86</v>
      </c>
      <c r="AI47" s="110">
        <v>99488.49</v>
      </c>
      <c r="AJ47" s="110">
        <v>98603.43</v>
      </c>
      <c r="AK47" s="110">
        <v>97138.93</v>
      </c>
      <c r="AL47" s="110">
        <v>97260.01</v>
      </c>
      <c r="AM47" s="110">
        <v>99637.29</v>
      </c>
      <c r="AN47" s="110">
        <v>100638.85</v>
      </c>
      <c r="AO47" s="110">
        <v>34143.79</v>
      </c>
      <c r="AP47" s="110">
        <v>34012.550000000003</v>
      </c>
      <c r="AQ47" s="110">
        <v>34030.300000000003</v>
      </c>
      <c r="AR47" s="110">
        <v>33952.379999999997</v>
      </c>
      <c r="AS47" s="110">
        <v>33889.99</v>
      </c>
      <c r="AT47" s="110">
        <v>33786.11</v>
      </c>
      <c r="AU47" s="110">
        <v>33873.85</v>
      </c>
      <c r="AV47" s="110">
        <v>33850.81</v>
      </c>
      <c r="AW47" s="110">
        <v>34102.19</v>
      </c>
      <c r="AX47" s="110">
        <v>34240.54</v>
      </c>
      <c r="AY47" s="110">
        <v>1902.11</v>
      </c>
      <c r="AZ47" s="110"/>
      <c r="BA47" s="110"/>
      <c r="BB47" s="110"/>
      <c r="BC47" s="110"/>
      <c r="BD47" s="110">
        <v>0</v>
      </c>
      <c r="BE47" s="110">
        <v>0</v>
      </c>
      <c r="BF47" s="110">
        <v>0</v>
      </c>
      <c r="BG47" s="110" t="s">
        <v>2932</v>
      </c>
      <c r="BH47" s="110">
        <v>0</v>
      </c>
      <c r="BI47" s="110">
        <v>0</v>
      </c>
      <c r="BJ47" s="110">
        <v>0</v>
      </c>
      <c r="BK47" s="237">
        <v>0</v>
      </c>
      <c r="BL47" s="237">
        <v>0</v>
      </c>
      <c r="BM47" s="237">
        <v>0</v>
      </c>
      <c r="BN47" s="237">
        <v>0</v>
      </c>
      <c r="BO47" s="237">
        <v>0</v>
      </c>
      <c r="BP47" s="237">
        <v>0</v>
      </c>
      <c r="BQ47" s="237">
        <v>0</v>
      </c>
      <c r="BR47" s="237">
        <v>0</v>
      </c>
      <c r="BS47" s="237">
        <v>0</v>
      </c>
      <c r="BT47" s="237">
        <v>0</v>
      </c>
      <c r="BU47" s="237">
        <v>0</v>
      </c>
      <c r="BV47" s="237">
        <v>0</v>
      </c>
      <c r="BW47" s="237">
        <v>0</v>
      </c>
      <c r="BX47" s="237">
        <v>0</v>
      </c>
      <c r="BY47" s="237">
        <v>0</v>
      </c>
      <c r="BZ47" s="237">
        <v>0</v>
      </c>
      <c r="CA47" s="237">
        <v>0</v>
      </c>
      <c r="CB47" s="237">
        <v>0</v>
      </c>
      <c r="CC47" s="237">
        <v>0</v>
      </c>
      <c r="CD47" s="237">
        <v>0</v>
      </c>
      <c r="CE47" s="237">
        <v>0</v>
      </c>
      <c r="CF47" s="237">
        <v>0</v>
      </c>
      <c r="CG47" s="237">
        <v>0</v>
      </c>
      <c r="CH47" s="30">
        <v>0</v>
      </c>
      <c r="CI47" s="30">
        <v>0</v>
      </c>
      <c r="CJ47" s="30" t="e">
        <f t="array" aca="1" ref="CJ47" ca="1">_xludf.XLOOKUP(C47,'PL TOTAL D0'!H:H,'PL TOTAL D0'!I:I,"")</f>
        <v>#NAME?</v>
      </c>
    </row>
    <row r="48" spans="1:88" ht="15.75" customHeight="1">
      <c r="A48" s="36" t="s">
        <v>2921</v>
      </c>
      <c r="B48" s="37" t="s">
        <v>480</v>
      </c>
      <c r="C48" s="9">
        <v>624508</v>
      </c>
      <c r="D48" s="9" t="s">
        <v>19</v>
      </c>
      <c r="E48" s="9" t="s">
        <v>34</v>
      </c>
      <c r="F48" s="9" t="s">
        <v>35</v>
      </c>
      <c r="G48" s="7" t="e">
        <f t="shared" ca="1" si="0"/>
        <v>#NAME?</v>
      </c>
      <c r="H48" s="8" t="s">
        <v>161</v>
      </c>
      <c r="I48" s="24" t="s">
        <v>162</v>
      </c>
      <c r="J48" s="9" t="str">
        <f t="shared" si="1"/>
        <v>Não</v>
      </c>
      <c r="K48" s="25">
        <v>44421</v>
      </c>
      <c r="L48" s="6"/>
      <c r="M48" s="6" t="s">
        <v>200</v>
      </c>
      <c r="N48" s="10">
        <v>1.4999999999999999E-2</v>
      </c>
      <c r="O48" s="9" t="s">
        <v>37</v>
      </c>
      <c r="P48" s="234">
        <v>0.1</v>
      </c>
      <c r="Q48" s="28"/>
      <c r="R48" s="28"/>
      <c r="S48" s="7" t="s">
        <v>145</v>
      </c>
      <c r="T48" s="6" t="s">
        <v>482</v>
      </c>
      <c r="U48" s="6" t="s">
        <v>39</v>
      </c>
      <c r="V48" s="24" t="e">
        <f t="shared" ca="1" si="2"/>
        <v>#NAME?</v>
      </c>
      <c r="W48" s="24"/>
      <c r="X48" s="24"/>
      <c r="Y48" s="6" t="s">
        <v>253</v>
      </c>
      <c r="Z48" s="6"/>
      <c r="AA48" s="107">
        <v>44421</v>
      </c>
      <c r="AB48" s="6">
        <v>49075100003191</v>
      </c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110"/>
      <c r="AO48" s="110"/>
      <c r="AP48" s="236"/>
      <c r="AQ48" s="236"/>
      <c r="AR48" s="236"/>
      <c r="AS48" s="236"/>
      <c r="AT48" s="236"/>
      <c r="AU48" s="110"/>
      <c r="AV48" s="110"/>
      <c r="AW48" s="132"/>
      <c r="AX48" s="132">
        <v>47648.88</v>
      </c>
      <c r="AY48" s="110">
        <v>46993.27</v>
      </c>
      <c r="AZ48" s="110">
        <v>35270.980000000003</v>
      </c>
      <c r="BA48" s="110">
        <v>27919.29</v>
      </c>
      <c r="BB48" s="110">
        <v>27979.75</v>
      </c>
      <c r="BC48" s="110">
        <v>28655.09</v>
      </c>
      <c r="BD48" s="110">
        <v>21216.49</v>
      </c>
      <c r="BE48" s="110">
        <v>17209.95</v>
      </c>
      <c r="BF48" s="110">
        <v>16588.53</v>
      </c>
      <c r="BG48" s="237">
        <v>16536.419999999998</v>
      </c>
      <c r="BH48" s="237">
        <v>16201.95</v>
      </c>
      <c r="BI48" s="237">
        <v>16469.87</v>
      </c>
      <c r="BJ48" s="237">
        <v>16932.21</v>
      </c>
      <c r="BK48" s="237">
        <v>16885.61</v>
      </c>
      <c r="BL48" s="237">
        <v>17417.23</v>
      </c>
      <c r="BM48" s="237">
        <v>17222.22</v>
      </c>
      <c r="BN48" s="237">
        <v>17294.349999999999</v>
      </c>
      <c r="BO48" s="237">
        <v>17513.490000000002</v>
      </c>
      <c r="BP48" s="237">
        <v>17592.189999999999</v>
      </c>
      <c r="BQ48" s="237">
        <v>12701.68</v>
      </c>
      <c r="BR48" s="237">
        <v>12766.95</v>
      </c>
      <c r="BS48" s="237">
        <v>12903.71</v>
      </c>
      <c r="BT48" s="237">
        <v>12986.6</v>
      </c>
      <c r="BU48" s="237">
        <v>12380.43</v>
      </c>
      <c r="BV48" s="237">
        <v>7188.74</v>
      </c>
      <c r="BW48" s="237">
        <v>6382.46</v>
      </c>
      <c r="BX48" s="237">
        <v>7306.66</v>
      </c>
      <c r="BY48" s="237">
        <v>7073.07</v>
      </c>
      <c r="BZ48" s="237">
        <v>7414.6</v>
      </c>
      <c r="CA48" s="237">
        <v>7388.95</v>
      </c>
      <c r="CB48" s="237">
        <v>7446</v>
      </c>
      <c r="CC48" s="237">
        <v>3.71</v>
      </c>
      <c r="CD48" s="237">
        <v>0</v>
      </c>
      <c r="CE48" s="237">
        <v>0</v>
      </c>
      <c r="CF48" s="237">
        <v>0</v>
      </c>
      <c r="CG48" s="237">
        <v>0</v>
      </c>
      <c r="CH48" s="30">
        <v>0</v>
      </c>
      <c r="CI48" s="30">
        <v>0</v>
      </c>
      <c r="CJ48" s="30" t="e">
        <f t="array" aca="1" ref="CJ48" ca="1">_xludf.XLOOKUP(C48,'PL TOTAL D0'!H:H,'PL TOTAL D0'!I:I,"")</f>
        <v>#NAME?</v>
      </c>
    </row>
    <row r="49" spans="1:88" ht="15.75" customHeight="1">
      <c r="A49" s="36" t="s">
        <v>2921</v>
      </c>
      <c r="B49" s="3" t="s">
        <v>3014</v>
      </c>
      <c r="C49" s="9">
        <v>270211</v>
      </c>
      <c r="D49" s="9" t="s">
        <v>19</v>
      </c>
      <c r="E49" s="9" t="s">
        <v>20</v>
      </c>
      <c r="F49" s="9" t="s">
        <v>21</v>
      </c>
      <c r="G49" s="7" t="e">
        <f t="shared" ca="1" si="0"/>
        <v>#NAME?</v>
      </c>
      <c r="H49" s="8" t="s">
        <v>161</v>
      </c>
      <c r="I49" s="24" t="s">
        <v>162</v>
      </c>
      <c r="J49" s="9" t="str">
        <f t="shared" si="1"/>
        <v>Não</v>
      </c>
      <c r="K49" s="232">
        <v>43903</v>
      </c>
      <c r="L49" s="6"/>
      <c r="M49" s="6" t="s">
        <v>200</v>
      </c>
      <c r="N49" s="10">
        <v>1.4999999999999999E-2</v>
      </c>
      <c r="O49" s="9" t="s">
        <v>25</v>
      </c>
      <c r="P49" s="234">
        <v>0</v>
      </c>
      <c r="Q49" s="108"/>
      <c r="R49" s="108" t="s">
        <v>3015</v>
      </c>
      <c r="S49" s="7" t="s">
        <v>145</v>
      </c>
      <c r="T49" s="6" t="s">
        <v>3016</v>
      </c>
      <c r="U49" s="6" t="s">
        <v>886</v>
      </c>
      <c r="V49" s="24" t="e">
        <f t="shared" ca="1" si="2"/>
        <v>#NAME?</v>
      </c>
      <c r="W49" s="24"/>
      <c r="X49" s="24"/>
      <c r="Y49" s="6" t="s">
        <v>253</v>
      </c>
      <c r="Z49" s="6"/>
      <c r="AA49" s="107">
        <v>43903</v>
      </c>
      <c r="AB49" s="6">
        <v>49075100003203</v>
      </c>
      <c r="AC49" s="110">
        <v>145642.82</v>
      </c>
      <c r="AD49" s="110">
        <v>142959.04999999999</v>
      </c>
      <c r="AE49" s="110">
        <v>268847.46999999997</v>
      </c>
      <c r="AF49" s="110">
        <v>274057.68</v>
      </c>
      <c r="AG49" s="110">
        <v>279141.8</v>
      </c>
      <c r="AH49" s="110">
        <v>282221.55</v>
      </c>
      <c r="AI49" s="110">
        <v>349858.74</v>
      </c>
      <c r="AJ49" s="110">
        <v>320881.21000000002</v>
      </c>
      <c r="AK49" s="110">
        <v>242299.17</v>
      </c>
      <c r="AL49" s="110">
        <v>166385.34</v>
      </c>
      <c r="AM49" s="110">
        <v>175521.76</v>
      </c>
      <c r="AN49" s="110">
        <v>179019.45</v>
      </c>
      <c r="AO49" s="110">
        <v>175665.52</v>
      </c>
      <c r="AP49" s="110">
        <v>168571.66</v>
      </c>
      <c r="AQ49" s="236">
        <v>166515.98000000001</v>
      </c>
      <c r="AR49" s="236">
        <v>170842.36</v>
      </c>
      <c r="AS49" s="236">
        <v>173604.49</v>
      </c>
      <c r="AT49" s="236">
        <v>173590.14</v>
      </c>
      <c r="AU49" s="236">
        <v>176813.53</v>
      </c>
      <c r="AV49" s="110">
        <v>175857.66</v>
      </c>
      <c r="AW49" s="110">
        <v>174298.27</v>
      </c>
      <c r="AX49" s="110">
        <v>171587.07</v>
      </c>
      <c r="AY49" s="110">
        <v>151271.37</v>
      </c>
      <c r="AZ49" s="110">
        <v>164679.13</v>
      </c>
      <c r="BA49" s="110">
        <v>163317.99</v>
      </c>
      <c r="BB49" s="110">
        <v>163918.73000000001</v>
      </c>
      <c r="BC49" s="110">
        <v>167848.8</v>
      </c>
      <c r="BD49" s="110">
        <v>168842.99</v>
      </c>
      <c r="BE49" s="110">
        <v>175863.39</v>
      </c>
      <c r="BF49" s="110">
        <v>172979.52</v>
      </c>
      <c r="BG49" s="237">
        <v>172884.68</v>
      </c>
      <c r="BH49" s="237">
        <v>171399.43</v>
      </c>
      <c r="BI49" s="237">
        <v>174087.64</v>
      </c>
      <c r="BJ49" s="237">
        <v>176435.28</v>
      </c>
      <c r="BK49" s="237">
        <v>178263.87</v>
      </c>
      <c r="BL49" s="237">
        <v>185324.15</v>
      </c>
      <c r="BM49" s="237">
        <v>183141.21</v>
      </c>
      <c r="BN49" s="237">
        <v>184624.8</v>
      </c>
      <c r="BO49" s="237">
        <v>186943.35999999999</v>
      </c>
      <c r="BP49" s="237">
        <v>188170.44</v>
      </c>
      <c r="BQ49" s="237">
        <v>190398.81</v>
      </c>
      <c r="BR49" s="237">
        <v>191132.33</v>
      </c>
      <c r="BS49" s="237">
        <v>196022.46</v>
      </c>
      <c r="BT49" s="237">
        <v>192639.19</v>
      </c>
      <c r="BU49" s="237">
        <v>148647.12</v>
      </c>
      <c r="BV49" s="237">
        <v>199569.36</v>
      </c>
      <c r="BW49" s="237">
        <v>197632.48</v>
      </c>
      <c r="BX49" s="237">
        <v>198972.21</v>
      </c>
      <c r="BY49" s="237">
        <v>201808.71</v>
      </c>
      <c r="BZ49" s="237">
        <v>205842.52</v>
      </c>
      <c r="CA49" s="237">
        <v>203156.35</v>
      </c>
      <c r="CB49" s="237">
        <v>205145.92</v>
      </c>
      <c r="CC49" s="237">
        <v>98288.23</v>
      </c>
      <c r="CD49" s="237">
        <v>200770.71</v>
      </c>
      <c r="CE49" s="237">
        <v>196847.45</v>
      </c>
      <c r="CF49" s="237">
        <v>201902.2</v>
      </c>
      <c r="CG49" s="237">
        <v>198828.84</v>
      </c>
      <c r="CH49" s="30">
        <v>196544.34</v>
      </c>
      <c r="CI49" s="30">
        <v>395.14</v>
      </c>
      <c r="CJ49" s="30" t="e">
        <f t="array" aca="1" ref="CJ49" ca="1">_xludf.XLOOKUP(C49,'PL TOTAL D0'!H:H,'PL TOTAL D0'!I:I,"")</f>
        <v>#NAME?</v>
      </c>
    </row>
    <row r="50" spans="1:88" ht="15.75" customHeight="1">
      <c r="A50" s="36" t="s">
        <v>2921</v>
      </c>
      <c r="B50" s="3" t="s">
        <v>501</v>
      </c>
      <c r="C50" s="9">
        <v>451734</v>
      </c>
      <c r="D50" s="244" t="s">
        <v>19</v>
      </c>
      <c r="E50" s="244" t="s">
        <v>20</v>
      </c>
      <c r="F50" s="244" t="s">
        <v>372</v>
      </c>
      <c r="G50" s="7" t="e">
        <f t="shared" ca="1" si="0"/>
        <v>#NAME?</v>
      </c>
      <c r="H50" s="245" t="s">
        <v>161</v>
      </c>
      <c r="I50" s="24" t="s">
        <v>162</v>
      </c>
      <c r="J50" s="9" t="str">
        <f t="shared" si="1"/>
        <v>Sim</v>
      </c>
      <c r="K50" s="246">
        <v>43928</v>
      </c>
      <c r="L50" s="247"/>
      <c r="M50" s="247" t="s">
        <v>200</v>
      </c>
      <c r="N50" s="251">
        <v>1.4999999999999999E-2</v>
      </c>
      <c r="O50" s="244" t="s">
        <v>37</v>
      </c>
      <c r="P50" s="249">
        <v>0.2</v>
      </c>
      <c r="Q50" s="108" t="s">
        <v>3017</v>
      </c>
      <c r="R50" s="108" t="s">
        <v>3018</v>
      </c>
      <c r="S50" s="7" t="s">
        <v>145</v>
      </c>
      <c r="T50" s="6" t="s">
        <v>505</v>
      </c>
      <c r="U50" s="6" t="s">
        <v>534</v>
      </c>
      <c r="V50" s="24" t="e">
        <f t="shared" ca="1" si="2"/>
        <v>#NAME?</v>
      </c>
      <c r="W50" s="24"/>
      <c r="X50" s="24"/>
      <c r="Y50" s="6" t="s">
        <v>253</v>
      </c>
      <c r="Z50" s="6"/>
      <c r="AA50" s="107">
        <v>43928</v>
      </c>
      <c r="AB50" s="6">
        <v>49075100004439</v>
      </c>
      <c r="AC50" s="110">
        <v>0</v>
      </c>
      <c r="AD50" s="110">
        <v>0</v>
      </c>
      <c r="AE50" s="110">
        <v>0</v>
      </c>
      <c r="AF50" s="110">
        <v>99148.64</v>
      </c>
      <c r="AG50" s="110">
        <v>102256.5</v>
      </c>
      <c r="AH50" s="110">
        <v>115566.32</v>
      </c>
      <c r="AI50" s="110">
        <v>118888.46</v>
      </c>
      <c r="AJ50" s="110">
        <v>114751.44</v>
      </c>
      <c r="AK50" s="110">
        <v>111616.76</v>
      </c>
      <c r="AL50" s="110">
        <v>111285.19</v>
      </c>
      <c r="AM50" s="110">
        <v>119550.43</v>
      </c>
      <c r="AN50" s="110">
        <v>224188.61</v>
      </c>
      <c r="AO50" s="110">
        <v>220752.93</v>
      </c>
      <c r="AP50" s="110">
        <v>211655.55</v>
      </c>
      <c r="AQ50" s="236">
        <v>209858.61</v>
      </c>
      <c r="AR50" s="236">
        <v>218436.88</v>
      </c>
      <c r="AS50" s="236">
        <v>238406.41</v>
      </c>
      <c r="AT50" s="236">
        <v>238908.65</v>
      </c>
      <c r="AU50" s="236">
        <v>244013.51</v>
      </c>
      <c r="AV50" s="110">
        <v>242501.45</v>
      </c>
      <c r="AW50" s="110">
        <v>239384.26</v>
      </c>
      <c r="AX50" s="110">
        <v>233845.45</v>
      </c>
      <c r="AY50" s="110">
        <v>210304.02</v>
      </c>
      <c r="AZ50" s="110">
        <v>221045.88</v>
      </c>
      <c r="BA50" s="110">
        <v>218069.03</v>
      </c>
      <c r="BB50" s="110">
        <v>219743.75</v>
      </c>
      <c r="BC50" s="110">
        <v>275461.61</v>
      </c>
      <c r="BD50" s="110">
        <v>277705.89</v>
      </c>
      <c r="BE50" s="110">
        <v>289723.8</v>
      </c>
      <c r="BF50" s="110">
        <v>285432.53000000003</v>
      </c>
      <c r="BG50" s="237">
        <v>285086.99</v>
      </c>
      <c r="BH50" s="237">
        <v>283588.34999999998</v>
      </c>
      <c r="BI50" s="237">
        <v>286851.62</v>
      </c>
      <c r="BJ50" s="237">
        <v>290540.5</v>
      </c>
      <c r="BK50" s="237">
        <v>292803.19</v>
      </c>
      <c r="BL50" s="237">
        <v>301335.43</v>
      </c>
      <c r="BM50" s="237">
        <v>302280.32000000001</v>
      </c>
      <c r="BN50" s="237">
        <v>304885.23</v>
      </c>
      <c r="BO50" s="237">
        <v>359016.41</v>
      </c>
      <c r="BP50" s="237">
        <v>361720.16</v>
      </c>
      <c r="BQ50" s="237">
        <v>411670.6</v>
      </c>
      <c r="BR50" s="237">
        <v>414763.74</v>
      </c>
      <c r="BS50" s="237">
        <v>419051.61</v>
      </c>
      <c r="BT50" s="237">
        <v>422510.06</v>
      </c>
      <c r="BU50" s="237">
        <v>470372.27</v>
      </c>
      <c r="BV50" s="237">
        <v>476251.23</v>
      </c>
      <c r="BW50" s="237">
        <v>503526.86</v>
      </c>
      <c r="BX50" s="237">
        <v>507476.98</v>
      </c>
      <c r="BY50" s="237">
        <v>511805.4</v>
      </c>
      <c r="BZ50" s="237">
        <v>515932.33</v>
      </c>
      <c r="CA50" s="237">
        <v>519147.86</v>
      </c>
      <c r="CB50" s="237">
        <v>417261.23</v>
      </c>
      <c r="CC50" s="237">
        <v>21.6</v>
      </c>
      <c r="CD50" s="237">
        <v>21.6</v>
      </c>
      <c r="CE50" s="237">
        <v>0</v>
      </c>
      <c r="CF50" s="237">
        <v>0</v>
      </c>
      <c r="CG50" s="237">
        <v>0</v>
      </c>
      <c r="CH50" s="30">
        <v>0</v>
      </c>
      <c r="CI50" s="30">
        <v>0</v>
      </c>
      <c r="CJ50" s="30" t="e">
        <f t="array" aca="1" ref="CJ50" ca="1">_xludf.XLOOKUP(C50,'PL TOTAL D0'!H:H,'PL TOTAL D0'!I:I,"")</f>
        <v>#NAME?</v>
      </c>
    </row>
    <row r="51" spans="1:88" ht="15.75" customHeight="1">
      <c r="A51" s="36" t="s">
        <v>2921</v>
      </c>
      <c r="B51" s="37" t="s">
        <v>3019</v>
      </c>
      <c r="C51" s="9">
        <v>440470</v>
      </c>
      <c r="D51" s="9" t="s">
        <v>2923</v>
      </c>
      <c r="E51" s="9" t="s">
        <v>20</v>
      </c>
      <c r="F51" s="6" t="s">
        <v>2924</v>
      </c>
      <c r="G51" s="7" t="e">
        <f t="shared" ca="1" si="0"/>
        <v>#NAME?</v>
      </c>
      <c r="H51" s="8" t="s">
        <v>143</v>
      </c>
      <c r="I51" s="24" t="s">
        <v>25</v>
      </c>
      <c r="J51" s="9" t="str">
        <f t="shared" si="1"/>
        <v>Não</v>
      </c>
      <c r="K51" s="239">
        <v>43769</v>
      </c>
      <c r="L51" s="107">
        <v>44637</v>
      </c>
      <c r="M51" s="6" t="s">
        <v>58</v>
      </c>
      <c r="N51" s="10">
        <v>0.01</v>
      </c>
      <c r="O51" s="9" t="s">
        <v>25</v>
      </c>
      <c r="P51" s="234">
        <v>0</v>
      </c>
      <c r="Q51" s="45"/>
      <c r="R51" s="108" t="s">
        <v>3020</v>
      </c>
      <c r="S51" s="7" t="s">
        <v>145</v>
      </c>
      <c r="T51" s="6" t="s">
        <v>3021</v>
      </c>
      <c r="U51" s="6" t="s">
        <v>20</v>
      </c>
      <c r="V51" s="24" t="e">
        <f t="shared" ca="1" si="2"/>
        <v>#NAME?</v>
      </c>
      <c r="W51" s="24"/>
      <c r="X51" s="24"/>
      <c r="Y51" s="6"/>
      <c r="Z51" s="6"/>
      <c r="AA51" s="6"/>
      <c r="AB51" s="6"/>
      <c r="AC51" s="110">
        <v>35970.589999999997</v>
      </c>
      <c r="AD51" s="110">
        <v>35338.239999999998</v>
      </c>
      <c r="AE51" s="110">
        <v>33967.449999999997</v>
      </c>
      <c r="AF51" s="110">
        <v>34255.51</v>
      </c>
      <c r="AG51" s="110">
        <v>34473.06</v>
      </c>
      <c r="AH51" s="110">
        <v>34599.53</v>
      </c>
      <c r="AI51" s="110">
        <v>35123.17</v>
      </c>
      <c r="AJ51" s="110">
        <v>34532.19</v>
      </c>
      <c r="AK51" s="110">
        <v>34373.050000000003</v>
      </c>
      <c r="AL51" s="110">
        <v>34383.29</v>
      </c>
      <c r="AM51" s="110">
        <v>35598.339999999997</v>
      </c>
      <c r="AN51" s="110">
        <v>35806.58</v>
      </c>
      <c r="AO51" s="110">
        <v>35478.480000000003</v>
      </c>
      <c r="AP51" s="110">
        <v>34506.11</v>
      </c>
      <c r="AQ51" s="110">
        <v>34058.5</v>
      </c>
      <c r="AR51" s="110">
        <v>31881.22</v>
      </c>
      <c r="AS51" s="110">
        <v>34619.83</v>
      </c>
      <c r="AT51" s="110">
        <v>34644.559999999998</v>
      </c>
      <c r="AU51" s="110">
        <v>34920.5</v>
      </c>
      <c r="AV51" s="110">
        <v>34813.480000000003</v>
      </c>
      <c r="AW51" s="110">
        <v>34679.86</v>
      </c>
      <c r="AX51" s="110">
        <v>34417.370000000003</v>
      </c>
      <c r="AY51" s="110">
        <v>34144.28</v>
      </c>
      <c r="AZ51" s="110">
        <v>33637.230000000003</v>
      </c>
      <c r="BA51" s="110">
        <v>12620.37</v>
      </c>
      <c r="BB51" s="110">
        <v>12645.41</v>
      </c>
      <c r="BC51" s="110">
        <v>3897.83</v>
      </c>
      <c r="BD51" s="110">
        <v>3918.4</v>
      </c>
      <c r="BE51" s="110">
        <v>3985.03</v>
      </c>
      <c r="BF51" s="110">
        <v>0</v>
      </c>
      <c r="BG51" s="241" t="s">
        <v>2932</v>
      </c>
      <c r="BH51" s="110">
        <v>0</v>
      </c>
      <c r="BI51" s="110">
        <v>0</v>
      </c>
      <c r="BJ51" s="110">
        <v>1.92</v>
      </c>
      <c r="BK51" s="237">
        <v>1.92</v>
      </c>
      <c r="BL51" s="237">
        <v>1.92</v>
      </c>
      <c r="BM51" s="237">
        <v>1.92</v>
      </c>
      <c r="BN51" s="237">
        <v>1.92</v>
      </c>
      <c r="BO51" s="237">
        <v>1.92</v>
      </c>
      <c r="BP51" s="237">
        <v>1.92</v>
      </c>
      <c r="BQ51" s="237">
        <v>1.92</v>
      </c>
      <c r="BR51" s="237">
        <v>1.92</v>
      </c>
      <c r="BS51" s="237">
        <v>1.92</v>
      </c>
      <c r="BT51" s="237">
        <v>0</v>
      </c>
      <c r="BU51" s="237">
        <v>0</v>
      </c>
      <c r="BV51" s="237">
        <v>0</v>
      </c>
      <c r="BW51" s="237">
        <v>0</v>
      </c>
      <c r="BX51" s="237">
        <v>0</v>
      </c>
      <c r="BY51" s="237">
        <v>0</v>
      </c>
      <c r="BZ51" s="237">
        <v>0</v>
      </c>
      <c r="CA51" s="237">
        <v>0</v>
      </c>
      <c r="CB51" s="237">
        <v>0</v>
      </c>
      <c r="CC51" s="237">
        <v>0</v>
      </c>
      <c r="CD51" s="237">
        <v>0</v>
      </c>
      <c r="CE51" s="237">
        <v>0</v>
      </c>
      <c r="CF51" s="237">
        <v>0</v>
      </c>
      <c r="CG51" s="237">
        <v>0</v>
      </c>
      <c r="CH51" s="30">
        <v>0</v>
      </c>
      <c r="CI51" s="30">
        <v>0</v>
      </c>
      <c r="CJ51" s="30" t="e">
        <f t="array" aca="1" ref="CJ51" ca="1">_xludf.XLOOKUP(C51,'PL TOTAL D0'!H:H,'PL TOTAL D0'!I:I,"")</f>
        <v>#NAME?</v>
      </c>
    </row>
    <row r="52" spans="1:88" ht="15.75" customHeight="1">
      <c r="A52" s="36" t="s">
        <v>2921</v>
      </c>
      <c r="B52" s="37" t="s">
        <v>3022</v>
      </c>
      <c r="C52" s="9">
        <v>428022</v>
      </c>
      <c r="D52" s="9" t="s">
        <v>2923</v>
      </c>
      <c r="E52" s="9" t="s">
        <v>20</v>
      </c>
      <c r="F52" s="6" t="s">
        <v>2924</v>
      </c>
      <c r="G52" s="7" t="e">
        <f t="shared" ca="1" si="0"/>
        <v>#NAME?</v>
      </c>
      <c r="H52" s="8" t="s">
        <v>143</v>
      </c>
      <c r="I52" s="24" t="s">
        <v>25</v>
      </c>
      <c r="J52" s="9" t="str">
        <f t="shared" si="1"/>
        <v>Não</v>
      </c>
      <c r="K52" s="107">
        <v>43665</v>
      </c>
      <c r="L52" s="107">
        <v>44309</v>
      </c>
      <c r="M52" s="6" t="s">
        <v>200</v>
      </c>
      <c r="N52" s="10">
        <v>0.01</v>
      </c>
      <c r="O52" s="9" t="s">
        <v>37</v>
      </c>
      <c r="P52" s="234">
        <v>0.1</v>
      </c>
      <c r="Q52" s="108"/>
      <c r="R52" s="45"/>
      <c r="S52" s="7" t="s">
        <v>145</v>
      </c>
      <c r="T52" s="6" t="s">
        <v>3023</v>
      </c>
      <c r="U52" s="6" t="s">
        <v>20</v>
      </c>
      <c r="V52" s="24" t="e">
        <f t="shared" ca="1" si="2"/>
        <v>#NAME?</v>
      </c>
      <c r="W52" s="24"/>
      <c r="X52" s="24"/>
      <c r="Y52" s="6"/>
      <c r="Z52" s="6"/>
      <c r="AA52" s="6"/>
      <c r="AB52" s="6"/>
      <c r="AC52" s="110">
        <v>255555.68</v>
      </c>
      <c r="AD52" s="110">
        <v>253417.99</v>
      </c>
      <c r="AE52" s="110">
        <v>241072.78</v>
      </c>
      <c r="AF52" s="110">
        <v>245330.8</v>
      </c>
      <c r="AG52" s="110">
        <v>247365.38</v>
      </c>
      <c r="AH52" s="110">
        <v>249142.84</v>
      </c>
      <c r="AI52" s="110">
        <v>254177.08</v>
      </c>
      <c r="AJ52" s="110">
        <v>280059.2</v>
      </c>
      <c r="AK52" s="110">
        <v>277113.49</v>
      </c>
      <c r="AL52" s="110">
        <v>278526.07</v>
      </c>
      <c r="AM52" s="110">
        <v>306021.71000000002</v>
      </c>
      <c r="AN52" s="110">
        <v>337713.16</v>
      </c>
      <c r="AO52" s="252">
        <v>1176.94</v>
      </c>
      <c r="AP52" s="252"/>
      <c r="AQ52" s="110">
        <v>2.93</v>
      </c>
      <c r="AR52" s="110">
        <v>47.86</v>
      </c>
      <c r="AS52" s="110">
        <v>47.86</v>
      </c>
      <c r="AT52" s="110">
        <v>47.86</v>
      </c>
      <c r="AU52" s="110"/>
      <c r="AV52" s="240"/>
      <c r="AW52" s="240"/>
      <c r="AX52" s="240"/>
      <c r="AY52" s="110"/>
      <c r="AZ52" s="110"/>
      <c r="BA52" s="110"/>
      <c r="BB52" s="110"/>
      <c r="BC52" s="110"/>
      <c r="BD52" s="110">
        <v>0</v>
      </c>
      <c r="BE52" s="110">
        <v>0</v>
      </c>
      <c r="BF52" s="110">
        <v>0</v>
      </c>
      <c r="BG52" s="110" t="s">
        <v>2932</v>
      </c>
      <c r="BH52" s="110">
        <v>0</v>
      </c>
      <c r="BI52" s="110">
        <v>0</v>
      </c>
      <c r="BJ52" s="110">
        <v>0</v>
      </c>
      <c r="BK52" s="237">
        <v>0</v>
      </c>
      <c r="BL52" s="237">
        <v>0</v>
      </c>
      <c r="BM52" s="237">
        <v>0</v>
      </c>
      <c r="BN52" s="237">
        <v>0</v>
      </c>
      <c r="BO52" s="237">
        <v>0</v>
      </c>
      <c r="BP52" s="237">
        <v>0</v>
      </c>
      <c r="BQ52" s="237">
        <v>0</v>
      </c>
      <c r="BR52" s="237">
        <v>0</v>
      </c>
      <c r="BS52" s="237">
        <v>0</v>
      </c>
      <c r="BT52" s="237">
        <v>0</v>
      </c>
      <c r="BU52" s="237">
        <v>0</v>
      </c>
      <c r="BV52" s="237">
        <v>0</v>
      </c>
      <c r="BW52" s="237">
        <v>0</v>
      </c>
      <c r="BX52" s="237">
        <v>0</v>
      </c>
      <c r="BY52" s="237">
        <v>0</v>
      </c>
      <c r="BZ52" s="237">
        <v>0</v>
      </c>
      <c r="CA52" s="237">
        <v>0</v>
      </c>
      <c r="CB52" s="237">
        <v>0</v>
      </c>
      <c r="CC52" s="237">
        <v>0</v>
      </c>
      <c r="CD52" s="237">
        <v>0</v>
      </c>
      <c r="CE52" s="237">
        <v>0</v>
      </c>
      <c r="CF52" s="237">
        <v>0</v>
      </c>
      <c r="CG52" s="237">
        <v>0</v>
      </c>
      <c r="CH52" s="30">
        <v>0</v>
      </c>
      <c r="CI52" s="30">
        <v>0</v>
      </c>
      <c r="CJ52" s="30" t="e">
        <f t="array" aca="1" ref="CJ52" ca="1">_xludf.XLOOKUP(C52,'PL TOTAL D0'!H:H,'PL TOTAL D0'!I:I,"")</f>
        <v>#NAME?</v>
      </c>
    </row>
    <row r="53" spans="1:88" ht="15.75" customHeight="1">
      <c r="A53" s="36" t="s">
        <v>2921</v>
      </c>
      <c r="B53" s="37" t="s">
        <v>3024</v>
      </c>
      <c r="C53" s="9">
        <v>293578</v>
      </c>
      <c r="D53" s="9" t="s">
        <v>19</v>
      </c>
      <c r="E53" s="9" t="s">
        <v>20</v>
      </c>
      <c r="F53" s="6" t="s">
        <v>449</v>
      </c>
      <c r="G53" s="7" t="e">
        <f t="shared" ca="1" si="0"/>
        <v>#NAME?</v>
      </c>
      <c r="H53" s="8" t="s">
        <v>143</v>
      </c>
      <c r="I53" s="24" t="s">
        <v>25</v>
      </c>
      <c r="J53" s="9" t="str">
        <f t="shared" si="1"/>
        <v>Não</v>
      </c>
      <c r="K53" s="107">
        <v>43509</v>
      </c>
      <c r="L53" s="107">
        <v>44309</v>
      </c>
      <c r="M53" s="6" t="s">
        <v>345</v>
      </c>
      <c r="N53" s="10">
        <v>7.4999999999999997E-3</v>
      </c>
      <c r="O53" s="9" t="s">
        <v>37</v>
      </c>
      <c r="P53" s="234">
        <v>0.2</v>
      </c>
      <c r="Q53" s="235"/>
      <c r="R53" s="108" t="s">
        <v>3025</v>
      </c>
      <c r="S53" s="7" t="s">
        <v>145</v>
      </c>
      <c r="T53" s="6" t="s">
        <v>3026</v>
      </c>
      <c r="U53" s="6" t="s">
        <v>20</v>
      </c>
      <c r="V53" s="24" t="e">
        <f t="shared" ca="1" si="2"/>
        <v>#NAME?</v>
      </c>
      <c r="W53" s="24"/>
      <c r="X53" s="24"/>
      <c r="Y53" s="6"/>
      <c r="Z53" s="6"/>
      <c r="AA53" s="6"/>
      <c r="AB53" s="6"/>
      <c r="AC53" s="110">
        <v>552688.85</v>
      </c>
      <c r="AD53" s="110">
        <v>517429.23</v>
      </c>
      <c r="AE53" s="110">
        <v>524081.55</v>
      </c>
      <c r="AF53" s="110">
        <v>544963.13</v>
      </c>
      <c r="AG53" s="110">
        <v>559620.29</v>
      </c>
      <c r="AH53" s="110">
        <v>606331.66</v>
      </c>
      <c r="AI53" s="110">
        <v>640320.64</v>
      </c>
      <c r="AJ53" s="110">
        <v>612044.24</v>
      </c>
      <c r="AK53" s="110">
        <v>642652.54</v>
      </c>
      <c r="AL53" s="110">
        <v>650187.21</v>
      </c>
      <c r="AM53" s="110">
        <v>707349.78</v>
      </c>
      <c r="AN53" s="110">
        <v>736361.46</v>
      </c>
      <c r="AO53" s="110">
        <v>720769.75</v>
      </c>
      <c r="AP53" s="110">
        <v>689726.59</v>
      </c>
      <c r="AQ53" s="110">
        <v>674863.11</v>
      </c>
      <c r="AR53" s="110">
        <v>772839.24</v>
      </c>
      <c r="AS53" s="110">
        <v>35060.089999999997</v>
      </c>
      <c r="AT53" s="110">
        <v>35060.089999999997</v>
      </c>
      <c r="AU53" s="110"/>
      <c r="AV53" s="240"/>
      <c r="AW53" s="240"/>
      <c r="AX53" s="240"/>
      <c r="AY53" s="110"/>
      <c r="AZ53" s="110"/>
      <c r="BA53" s="110"/>
      <c r="BB53" s="110"/>
      <c r="BC53" s="110"/>
      <c r="BD53" s="110">
        <v>0</v>
      </c>
      <c r="BE53" s="110">
        <v>0</v>
      </c>
      <c r="BF53" s="110">
        <v>0</v>
      </c>
      <c r="BG53" s="110" t="s">
        <v>2932</v>
      </c>
      <c r="BH53" s="110">
        <v>0</v>
      </c>
      <c r="BI53" s="110">
        <v>0</v>
      </c>
      <c r="BJ53" s="110">
        <v>0</v>
      </c>
      <c r="BK53" s="237">
        <v>0</v>
      </c>
      <c r="BL53" s="237">
        <v>0</v>
      </c>
      <c r="BM53" s="237">
        <v>0</v>
      </c>
      <c r="BN53" s="237">
        <v>0</v>
      </c>
      <c r="BO53" s="237">
        <v>0</v>
      </c>
      <c r="BP53" s="237">
        <v>0</v>
      </c>
      <c r="BQ53" s="237">
        <v>0</v>
      </c>
      <c r="BR53" s="237">
        <v>0</v>
      </c>
      <c r="BS53" s="237">
        <v>0</v>
      </c>
      <c r="BT53" s="237">
        <v>0</v>
      </c>
      <c r="BU53" s="237">
        <v>0</v>
      </c>
      <c r="BV53" s="237">
        <v>0</v>
      </c>
      <c r="BW53" s="237">
        <v>0</v>
      </c>
      <c r="BX53" s="237">
        <v>0</v>
      </c>
      <c r="BY53" s="237">
        <v>0</v>
      </c>
      <c r="BZ53" s="237">
        <v>0</v>
      </c>
      <c r="CA53" s="237">
        <v>0</v>
      </c>
      <c r="CB53" s="237">
        <v>0</v>
      </c>
      <c r="CC53" s="237">
        <v>0</v>
      </c>
      <c r="CD53" s="237">
        <v>0</v>
      </c>
      <c r="CE53" s="237">
        <v>0</v>
      </c>
      <c r="CF53" s="237">
        <v>0</v>
      </c>
      <c r="CG53" s="237">
        <v>0</v>
      </c>
      <c r="CH53" s="30">
        <v>0</v>
      </c>
      <c r="CI53" s="30">
        <v>0</v>
      </c>
      <c r="CJ53" s="30" t="e">
        <f t="array" aca="1" ref="CJ53" ca="1">_xludf.XLOOKUP(C53,'PL TOTAL D0'!H:H,'PL TOTAL D0'!I:I,"")</f>
        <v>#NAME?</v>
      </c>
    </row>
    <row r="54" spans="1:88" ht="15.75" customHeight="1">
      <c r="A54" s="36" t="s">
        <v>2921</v>
      </c>
      <c r="B54" s="37" t="s">
        <v>3024</v>
      </c>
      <c r="C54" s="9">
        <v>294408</v>
      </c>
      <c r="D54" s="9" t="s">
        <v>19</v>
      </c>
      <c r="E54" s="9" t="s">
        <v>20</v>
      </c>
      <c r="F54" s="6" t="s">
        <v>449</v>
      </c>
      <c r="G54" s="7" t="e">
        <f t="shared" ca="1" si="0"/>
        <v>#NAME?</v>
      </c>
      <c r="H54" s="8" t="s">
        <v>143</v>
      </c>
      <c r="I54" s="24" t="s">
        <v>25</v>
      </c>
      <c r="J54" s="9" t="str">
        <f t="shared" si="1"/>
        <v>Não</v>
      </c>
      <c r="K54" s="107">
        <v>43517</v>
      </c>
      <c r="L54" s="107">
        <v>44309</v>
      </c>
      <c r="M54" s="6" t="s">
        <v>87</v>
      </c>
      <c r="N54" s="10">
        <v>1.2500000000000001E-2</v>
      </c>
      <c r="O54" s="9" t="s">
        <v>183</v>
      </c>
      <c r="P54" s="234">
        <v>0.2</v>
      </c>
      <c r="Q54" s="45"/>
      <c r="R54" s="108" t="s">
        <v>3027</v>
      </c>
      <c r="S54" s="7" t="s">
        <v>145</v>
      </c>
      <c r="T54" s="6" t="s">
        <v>3026</v>
      </c>
      <c r="U54" s="6" t="s">
        <v>20</v>
      </c>
      <c r="V54" s="24" t="e">
        <f t="shared" ca="1" si="2"/>
        <v>#NAME?</v>
      </c>
      <c r="W54" s="24"/>
      <c r="X54" s="24"/>
      <c r="Y54" s="6"/>
      <c r="Z54" s="6"/>
      <c r="AA54" s="6"/>
      <c r="AB54" s="6"/>
      <c r="AC54" s="110">
        <v>0</v>
      </c>
      <c r="AD54" s="110">
        <v>0</v>
      </c>
      <c r="AE54" s="110">
        <v>0</v>
      </c>
      <c r="AF54" s="110">
        <v>0</v>
      </c>
      <c r="AG54" s="110">
        <v>0</v>
      </c>
      <c r="AH54" s="110">
        <v>0</v>
      </c>
      <c r="AI54" s="110">
        <v>0</v>
      </c>
      <c r="AJ54" s="110"/>
      <c r="AK54" s="110"/>
      <c r="AL54" s="110"/>
      <c r="AM54" s="110"/>
      <c r="AN54" s="110"/>
      <c r="AO54" s="110"/>
      <c r="AP54" s="110"/>
      <c r="AQ54" s="110"/>
      <c r="AR54" s="110"/>
      <c r="AS54" s="110"/>
      <c r="AT54" s="110"/>
      <c r="AU54" s="110"/>
      <c r="AV54" s="240"/>
      <c r="AW54" s="240"/>
      <c r="AX54" s="240"/>
      <c r="AY54" s="110"/>
      <c r="AZ54" s="110"/>
      <c r="BA54" s="110"/>
      <c r="BB54" s="110"/>
      <c r="BC54" s="110"/>
      <c r="BD54" s="110">
        <v>0</v>
      </c>
      <c r="BE54" s="110">
        <v>0</v>
      </c>
      <c r="BF54" s="110">
        <v>0</v>
      </c>
      <c r="BG54" s="110" t="s">
        <v>2932</v>
      </c>
      <c r="BH54" s="110">
        <v>0</v>
      </c>
      <c r="BI54" s="110">
        <v>0</v>
      </c>
      <c r="BJ54" s="110">
        <v>0</v>
      </c>
      <c r="BK54" s="237">
        <v>0</v>
      </c>
      <c r="BL54" s="237">
        <v>0</v>
      </c>
      <c r="BM54" s="237">
        <v>0</v>
      </c>
      <c r="BN54" s="237">
        <v>0</v>
      </c>
      <c r="BO54" s="237">
        <v>0</v>
      </c>
      <c r="BP54" s="237">
        <v>0</v>
      </c>
      <c r="BQ54" s="237">
        <v>0</v>
      </c>
      <c r="BR54" s="237">
        <v>0</v>
      </c>
      <c r="BS54" s="237">
        <v>0</v>
      </c>
      <c r="BT54" s="237">
        <v>0</v>
      </c>
      <c r="BU54" s="237">
        <v>0</v>
      </c>
      <c r="BV54" s="237">
        <v>0</v>
      </c>
      <c r="BW54" s="237">
        <v>0</v>
      </c>
      <c r="BX54" s="237">
        <v>0</v>
      </c>
      <c r="BY54" s="237">
        <v>0</v>
      </c>
      <c r="BZ54" s="237">
        <v>0</v>
      </c>
      <c r="CA54" s="237">
        <v>0</v>
      </c>
      <c r="CB54" s="237">
        <v>0</v>
      </c>
      <c r="CC54" s="237">
        <v>0</v>
      </c>
      <c r="CD54" s="237">
        <v>0</v>
      </c>
      <c r="CE54" s="237">
        <v>0</v>
      </c>
      <c r="CF54" s="237">
        <v>0</v>
      </c>
      <c r="CG54" s="237">
        <v>0</v>
      </c>
      <c r="CH54" s="30">
        <v>0</v>
      </c>
      <c r="CI54" s="30">
        <v>0</v>
      </c>
      <c r="CJ54" s="30" t="e">
        <f t="array" aca="1" ref="CJ54" ca="1">_xludf.XLOOKUP(C54,'PL TOTAL D0'!H:H,'PL TOTAL D0'!I:I,"")</f>
        <v>#NAME?</v>
      </c>
    </row>
    <row r="55" spans="1:88" ht="15.75" customHeight="1">
      <c r="A55" s="36" t="s">
        <v>2921</v>
      </c>
      <c r="B55" s="37" t="s">
        <v>531</v>
      </c>
      <c r="C55" s="9">
        <v>624134</v>
      </c>
      <c r="D55" s="9" t="s">
        <v>19</v>
      </c>
      <c r="E55" s="9" t="s">
        <v>34</v>
      </c>
      <c r="F55" s="9" t="s">
        <v>35</v>
      </c>
      <c r="G55" s="7" t="e">
        <f t="shared" ca="1" si="0"/>
        <v>#NAME?</v>
      </c>
      <c r="H55" s="8" t="s">
        <v>161</v>
      </c>
      <c r="I55" s="24" t="s">
        <v>162</v>
      </c>
      <c r="J55" s="9" t="str">
        <f t="shared" si="1"/>
        <v>Não</v>
      </c>
      <c r="K55" s="25">
        <v>44420</v>
      </c>
      <c r="L55" s="7"/>
      <c r="M55" s="6" t="s">
        <v>345</v>
      </c>
      <c r="N55" s="10">
        <v>0.02</v>
      </c>
      <c r="O55" s="9" t="s">
        <v>37</v>
      </c>
      <c r="P55" s="234">
        <v>0.2</v>
      </c>
      <c r="Q55" s="23"/>
      <c r="R55" s="28" t="s">
        <v>3028</v>
      </c>
      <c r="S55" s="7" t="s">
        <v>145</v>
      </c>
      <c r="T55" s="6" t="s">
        <v>533</v>
      </c>
      <c r="U55" s="7" t="s">
        <v>534</v>
      </c>
      <c r="V55" s="24" t="e">
        <f t="shared" ca="1" si="2"/>
        <v>#NAME?</v>
      </c>
      <c r="W55" s="24"/>
      <c r="X55" s="24"/>
      <c r="Y55" s="6" t="s">
        <v>253</v>
      </c>
      <c r="Z55" s="6"/>
      <c r="AA55" s="107">
        <v>44420</v>
      </c>
      <c r="AB55" s="6">
        <v>49075100003221</v>
      </c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110"/>
      <c r="AO55" s="110"/>
      <c r="AP55" s="236"/>
      <c r="AQ55" s="236"/>
      <c r="AR55" s="236"/>
      <c r="AS55" s="236"/>
      <c r="AT55" s="236"/>
      <c r="AU55" s="240"/>
      <c r="AV55" s="240"/>
      <c r="AW55" s="132"/>
      <c r="AX55" s="132">
        <v>102500.57</v>
      </c>
      <c r="AY55" s="110">
        <v>101670.58</v>
      </c>
      <c r="AZ55" s="110">
        <v>99262.13</v>
      </c>
      <c r="BA55" s="110">
        <v>99306.38</v>
      </c>
      <c r="BB55" s="110">
        <v>101696.74</v>
      </c>
      <c r="BC55" s="110">
        <v>107022.82</v>
      </c>
      <c r="BD55" s="110">
        <v>107623.65</v>
      </c>
      <c r="BE55" s="110">
        <v>115465.47</v>
      </c>
      <c r="BF55" s="110">
        <v>118294.01</v>
      </c>
      <c r="BG55" s="237">
        <v>119341.01</v>
      </c>
      <c r="BH55" s="237">
        <v>117310.74</v>
      </c>
      <c r="BI55" s="237">
        <v>121909.55</v>
      </c>
      <c r="BJ55" s="237">
        <v>126137.60000000001</v>
      </c>
      <c r="BK55" s="237">
        <v>128930.79</v>
      </c>
      <c r="BL55" s="237">
        <v>138420.54999999999</v>
      </c>
      <c r="BM55" s="237">
        <v>137152.64000000001</v>
      </c>
      <c r="BN55" s="237">
        <v>139892.18</v>
      </c>
      <c r="BO55" s="237">
        <v>142881.47</v>
      </c>
      <c r="BP55" s="237">
        <v>144768.29999999999</v>
      </c>
      <c r="BQ55" s="237">
        <v>148116.96</v>
      </c>
      <c r="BR55" s="237">
        <v>150668.16</v>
      </c>
      <c r="BS55" s="237">
        <v>157188.59</v>
      </c>
      <c r="BT55" s="237">
        <v>10447.799999999999</v>
      </c>
      <c r="BU55" s="237">
        <v>10538.14</v>
      </c>
      <c r="BV55" s="237">
        <v>10695.64</v>
      </c>
      <c r="BW55" s="237">
        <v>10512.7</v>
      </c>
      <c r="BX55" s="237">
        <v>49.92</v>
      </c>
      <c r="BY55" s="237">
        <v>25.83</v>
      </c>
      <c r="BZ55" s="237">
        <v>20.45</v>
      </c>
      <c r="CA55" s="237">
        <v>0</v>
      </c>
      <c r="CB55" s="237">
        <v>20.45</v>
      </c>
      <c r="CC55" s="237">
        <v>0</v>
      </c>
      <c r="CD55" s="237">
        <v>20.45</v>
      </c>
      <c r="CE55" s="237">
        <v>0</v>
      </c>
      <c r="CF55" s="237">
        <v>0</v>
      </c>
      <c r="CG55" s="237">
        <v>0</v>
      </c>
      <c r="CH55" s="30">
        <v>0</v>
      </c>
      <c r="CI55" s="30">
        <v>0</v>
      </c>
      <c r="CJ55" s="30" t="e">
        <f t="array" aca="1" ref="CJ55" ca="1">_xludf.XLOOKUP(C55,'PL TOTAL D0'!H:H,'PL TOTAL D0'!I:I,"")</f>
        <v>#NAME?</v>
      </c>
    </row>
    <row r="56" spans="1:88" ht="15.75" customHeight="1">
      <c r="A56" s="36" t="s">
        <v>2921</v>
      </c>
      <c r="B56" s="36" t="s">
        <v>3029</v>
      </c>
      <c r="C56" s="9">
        <v>435592</v>
      </c>
      <c r="D56" s="9" t="s">
        <v>2923</v>
      </c>
      <c r="E56" s="9" t="s">
        <v>20</v>
      </c>
      <c r="F56" s="9" t="s">
        <v>2924</v>
      </c>
      <c r="G56" s="7" t="e">
        <f t="shared" ca="1" si="0"/>
        <v>#NAME?</v>
      </c>
      <c r="H56" s="8" t="s">
        <v>143</v>
      </c>
      <c r="I56" s="24" t="s">
        <v>25</v>
      </c>
      <c r="J56" s="9" t="str">
        <f t="shared" si="1"/>
        <v>Não</v>
      </c>
      <c r="K56" s="232">
        <v>43713</v>
      </c>
      <c r="L56" s="107">
        <v>45154</v>
      </c>
      <c r="M56" s="6" t="s">
        <v>58</v>
      </c>
      <c r="N56" s="233">
        <v>0.01</v>
      </c>
      <c r="O56" s="9" t="s">
        <v>25</v>
      </c>
      <c r="P56" s="234">
        <v>0</v>
      </c>
      <c r="Q56" s="108"/>
      <c r="R56" s="108"/>
      <c r="S56" s="7" t="s">
        <v>145</v>
      </c>
      <c r="T56" s="9" t="s">
        <v>3030</v>
      </c>
      <c r="U56" s="6" t="s">
        <v>20</v>
      </c>
      <c r="V56" s="24" t="e">
        <f t="shared" ca="1" si="2"/>
        <v>#NAME?</v>
      </c>
      <c r="W56" s="24"/>
      <c r="X56" s="24"/>
      <c r="Y56" s="6" t="s">
        <v>253</v>
      </c>
      <c r="Z56" s="6"/>
      <c r="AA56" s="6"/>
      <c r="AB56" s="6"/>
      <c r="AC56" s="110">
        <v>223949.92</v>
      </c>
      <c r="AD56" s="110">
        <v>236385.79</v>
      </c>
      <c r="AE56" s="110">
        <v>235105.65</v>
      </c>
      <c r="AF56" s="110">
        <v>270640.93</v>
      </c>
      <c r="AG56" s="110">
        <v>278443.90000000002</v>
      </c>
      <c r="AH56" s="110">
        <v>282128.90000000002</v>
      </c>
      <c r="AI56" s="110">
        <v>325668.90000000002</v>
      </c>
      <c r="AJ56" s="110">
        <v>321274</v>
      </c>
      <c r="AK56" s="110">
        <v>317554.88</v>
      </c>
      <c r="AL56" s="110">
        <v>316405.06</v>
      </c>
      <c r="AM56" s="110">
        <v>578123.92000000004</v>
      </c>
      <c r="AN56" s="110">
        <v>605462.31999999995</v>
      </c>
      <c r="AO56" s="110">
        <v>618369.06999999995</v>
      </c>
      <c r="AP56" s="110">
        <v>609600</v>
      </c>
      <c r="AQ56" s="110">
        <v>615339.31999999995</v>
      </c>
      <c r="AR56" s="110">
        <v>626691.81000000006</v>
      </c>
      <c r="AS56" s="110">
        <v>637297.31000000006</v>
      </c>
      <c r="AT56" s="110">
        <v>637907.21</v>
      </c>
      <c r="AU56" s="110">
        <v>653592.42000000004</v>
      </c>
      <c r="AV56" s="110">
        <v>671207.65</v>
      </c>
      <c r="AW56" s="110">
        <v>686039.67</v>
      </c>
      <c r="AX56" s="110">
        <v>680618.94</v>
      </c>
      <c r="AY56" s="110">
        <v>645631.94999999995</v>
      </c>
      <c r="AZ56" s="110">
        <v>676018.55</v>
      </c>
      <c r="BA56" s="110">
        <v>689591.32</v>
      </c>
      <c r="BB56" s="110">
        <v>715982.3</v>
      </c>
      <c r="BC56" s="110">
        <v>737576.52</v>
      </c>
      <c r="BD56" s="110">
        <v>741955.33</v>
      </c>
      <c r="BE56" s="110">
        <v>770256.48</v>
      </c>
      <c r="BF56" s="110">
        <v>799832.48</v>
      </c>
      <c r="BG56" s="237">
        <v>803880.67</v>
      </c>
      <c r="BH56" s="237">
        <v>800999.59</v>
      </c>
      <c r="BI56" s="237">
        <v>818961.53</v>
      </c>
      <c r="BJ56" s="237">
        <v>830257.77</v>
      </c>
      <c r="BK56" s="237">
        <v>849935.52</v>
      </c>
      <c r="BL56" s="237">
        <v>887230.9</v>
      </c>
      <c r="BM56" s="237">
        <v>893694.71</v>
      </c>
      <c r="BN56" s="237">
        <v>918814.12</v>
      </c>
      <c r="BO56" s="237">
        <v>943977.23</v>
      </c>
      <c r="BP56" s="237">
        <v>960980.6</v>
      </c>
      <c r="BQ56" s="237">
        <v>972903.27</v>
      </c>
      <c r="BR56" s="237">
        <v>993613.44</v>
      </c>
      <c r="BS56" s="237">
        <v>1049556.32</v>
      </c>
      <c r="BT56" s="237">
        <v>1112247.46</v>
      </c>
      <c r="BU56" s="237">
        <v>1118956.51</v>
      </c>
      <c r="BV56" s="237">
        <v>29239.81</v>
      </c>
      <c r="BW56" s="237">
        <v>29331.06</v>
      </c>
      <c r="BX56" s="237">
        <v>90.68</v>
      </c>
      <c r="BY56" s="237">
        <v>26.07</v>
      </c>
      <c r="BZ56" s="237">
        <v>26.07</v>
      </c>
      <c r="CA56" s="237">
        <v>26.07</v>
      </c>
      <c r="CB56" s="237">
        <v>26.07</v>
      </c>
      <c r="CC56" s="237">
        <v>26.07</v>
      </c>
      <c r="CD56" s="237">
        <v>26.07</v>
      </c>
      <c r="CE56" s="237">
        <v>0</v>
      </c>
      <c r="CF56" s="237">
        <v>0</v>
      </c>
      <c r="CG56" s="237">
        <v>0</v>
      </c>
      <c r="CH56" s="30">
        <v>0</v>
      </c>
      <c r="CI56" s="30">
        <v>0</v>
      </c>
      <c r="CJ56" s="30" t="e">
        <f t="array" aca="1" ref="CJ56" ca="1">_xludf.XLOOKUP(C56,'PL TOTAL D0'!H:H,'PL TOTAL D0'!I:I,"")</f>
        <v>#NAME?</v>
      </c>
    </row>
    <row r="57" spans="1:88" ht="15.75" customHeight="1">
      <c r="A57" s="36" t="s">
        <v>2921</v>
      </c>
      <c r="B57" s="3" t="s">
        <v>541</v>
      </c>
      <c r="C57" s="9">
        <v>35841</v>
      </c>
      <c r="D57" s="9" t="s">
        <v>19</v>
      </c>
      <c r="E57" s="9" t="s">
        <v>34</v>
      </c>
      <c r="F57" s="9" t="s">
        <v>262</v>
      </c>
      <c r="G57" s="7" t="e">
        <f t="shared" ca="1" si="0"/>
        <v>#NAME?</v>
      </c>
      <c r="H57" s="8" t="s">
        <v>161</v>
      </c>
      <c r="I57" s="24" t="s">
        <v>162</v>
      </c>
      <c r="J57" s="9" t="str">
        <f t="shared" si="1"/>
        <v>Não</v>
      </c>
      <c r="K57" s="232">
        <v>44291</v>
      </c>
      <c r="L57" s="6"/>
      <c r="M57" s="6" t="s">
        <v>200</v>
      </c>
      <c r="N57" s="233">
        <v>1.4999999999999999E-2</v>
      </c>
      <c r="O57" s="9" t="s">
        <v>37</v>
      </c>
      <c r="P57" s="234">
        <v>0.1</v>
      </c>
      <c r="Q57" s="108"/>
      <c r="R57" s="108"/>
      <c r="S57" s="7" t="s">
        <v>145</v>
      </c>
      <c r="T57" s="6" t="s">
        <v>543</v>
      </c>
      <c r="U57" s="6" t="s">
        <v>39</v>
      </c>
      <c r="V57" s="24" t="e">
        <f t="shared" ca="1" si="2"/>
        <v>#NAME?</v>
      </c>
      <c r="W57" s="24"/>
      <c r="X57" s="24"/>
      <c r="Y57" s="6" t="s">
        <v>253</v>
      </c>
      <c r="Z57" s="6"/>
      <c r="AA57" s="107">
        <v>44291</v>
      </c>
      <c r="AB57" s="6">
        <v>49075100004617</v>
      </c>
      <c r="AC57" s="240"/>
      <c r="AD57" s="240"/>
      <c r="AE57" s="240"/>
      <c r="AF57" s="240"/>
      <c r="AG57" s="240"/>
      <c r="AH57" s="240"/>
      <c r="AI57" s="240"/>
      <c r="AJ57" s="240"/>
      <c r="AK57" s="240"/>
      <c r="AL57" s="240"/>
      <c r="AM57" s="240"/>
      <c r="AN57" s="240"/>
      <c r="AO57" s="240"/>
      <c r="AP57" s="110"/>
      <c r="AQ57" s="236"/>
      <c r="AR57" s="236">
        <v>554162.88</v>
      </c>
      <c r="AS57" s="236"/>
      <c r="AT57" s="236">
        <v>557827.93000000005</v>
      </c>
      <c r="AU57" s="236">
        <v>566049.39</v>
      </c>
      <c r="AV57" s="110">
        <v>565315.31999999995</v>
      </c>
      <c r="AW57" s="110">
        <v>560305.21</v>
      </c>
      <c r="AX57" s="110">
        <v>549161.57999999996</v>
      </c>
      <c r="AY57" s="110">
        <v>515748.16</v>
      </c>
      <c r="AZ57" s="110">
        <v>521941.15</v>
      </c>
      <c r="BA57" s="110">
        <v>518269.12</v>
      </c>
      <c r="BB57" s="110">
        <v>523165.74</v>
      </c>
      <c r="BC57" s="110">
        <v>529933.07999999996</v>
      </c>
      <c r="BD57" s="110">
        <v>532987.43000000005</v>
      </c>
      <c r="BE57" s="110">
        <v>553841.73</v>
      </c>
      <c r="BF57" s="110">
        <v>543469.29</v>
      </c>
      <c r="BG57" s="237">
        <v>541635.97</v>
      </c>
      <c r="BH57" s="237">
        <v>536423.19999999995</v>
      </c>
      <c r="BI57" s="237">
        <v>545778.09</v>
      </c>
      <c r="BJ57" s="237">
        <v>554286.97</v>
      </c>
      <c r="BK57" s="237">
        <v>561039.22</v>
      </c>
      <c r="BL57" s="237">
        <v>583045.56000000006</v>
      </c>
      <c r="BM57" s="237">
        <v>576084.6</v>
      </c>
      <c r="BN57" s="237">
        <v>581601.74</v>
      </c>
      <c r="BO57" s="237">
        <v>588466.75</v>
      </c>
      <c r="BP57" s="237">
        <v>591727.99</v>
      </c>
      <c r="BQ57" s="237">
        <v>598938.14</v>
      </c>
      <c r="BR57" s="237">
        <v>59207.34</v>
      </c>
      <c r="BS57" s="237">
        <v>0</v>
      </c>
      <c r="BT57" s="237">
        <v>0</v>
      </c>
      <c r="BU57" s="237">
        <v>0</v>
      </c>
      <c r="BV57" s="237">
        <v>0</v>
      </c>
      <c r="BW57" s="237">
        <v>0</v>
      </c>
      <c r="BX57" s="237">
        <v>0</v>
      </c>
      <c r="BY57" s="237">
        <v>0</v>
      </c>
      <c r="BZ57" s="237">
        <v>0</v>
      </c>
      <c r="CA57" s="237">
        <v>0</v>
      </c>
      <c r="CB57" s="237">
        <v>0</v>
      </c>
      <c r="CC57" s="237">
        <v>0</v>
      </c>
      <c r="CD57" s="237">
        <v>0</v>
      </c>
      <c r="CE57" s="237">
        <v>0</v>
      </c>
      <c r="CF57" s="237">
        <v>0</v>
      </c>
      <c r="CG57" s="237">
        <v>0</v>
      </c>
      <c r="CH57" s="30">
        <v>0</v>
      </c>
      <c r="CI57" s="30">
        <v>0</v>
      </c>
      <c r="CJ57" s="30" t="e">
        <f t="array" aca="1" ref="CJ57" ca="1">_xludf.XLOOKUP(C57,'PL TOTAL D0'!H:H,'PL TOTAL D0'!I:I,"")</f>
        <v>#NAME?</v>
      </c>
    </row>
    <row r="58" spans="1:88" ht="15.75" customHeight="1">
      <c r="A58" s="36" t="s">
        <v>2921</v>
      </c>
      <c r="B58" s="3" t="s">
        <v>547</v>
      </c>
      <c r="C58" s="9">
        <v>36284</v>
      </c>
      <c r="D58" s="9" t="s">
        <v>19</v>
      </c>
      <c r="E58" s="9" t="s">
        <v>34</v>
      </c>
      <c r="F58" s="9" t="s">
        <v>35</v>
      </c>
      <c r="G58" s="7" t="e">
        <f t="shared" ca="1" si="0"/>
        <v>#NAME?</v>
      </c>
      <c r="H58" s="8" t="s">
        <v>161</v>
      </c>
      <c r="I58" s="24" t="s">
        <v>162</v>
      </c>
      <c r="J58" s="9" t="str">
        <f t="shared" si="1"/>
        <v>Não</v>
      </c>
      <c r="K58" s="25">
        <v>44358</v>
      </c>
      <c r="L58" s="6"/>
      <c r="M58" s="6" t="s">
        <v>200</v>
      </c>
      <c r="N58" s="233">
        <v>1.4999999999999999E-2</v>
      </c>
      <c r="O58" s="9" t="s">
        <v>37</v>
      </c>
      <c r="P58" s="234">
        <v>0.1</v>
      </c>
      <c r="Q58" s="28"/>
      <c r="R58" s="28"/>
      <c r="S58" s="7" t="s">
        <v>145</v>
      </c>
      <c r="T58" s="6" t="s">
        <v>3031</v>
      </c>
      <c r="U58" s="6" t="s">
        <v>39</v>
      </c>
      <c r="V58" s="24" t="e">
        <f t="shared" ca="1" si="2"/>
        <v>#NAME?</v>
      </c>
      <c r="W58" s="24"/>
      <c r="X58" s="24"/>
      <c r="Y58" s="6" t="s">
        <v>147</v>
      </c>
      <c r="Z58" s="6"/>
      <c r="AA58" s="107">
        <v>44358</v>
      </c>
      <c r="AB58" s="6">
        <v>49075100004846</v>
      </c>
      <c r="AC58" s="132"/>
      <c r="AD58" s="132"/>
      <c r="AE58" s="132"/>
      <c r="AF58" s="132"/>
      <c r="AG58" s="132"/>
      <c r="AH58" s="132"/>
      <c r="AI58" s="132"/>
      <c r="AJ58" s="132"/>
      <c r="AK58" s="132"/>
      <c r="AL58" s="132"/>
      <c r="AM58" s="132"/>
      <c r="AN58" s="132"/>
      <c r="AO58" s="132"/>
      <c r="AP58" s="132"/>
      <c r="AQ58" s="236"/>
      <c r="AR58" s="236"/>
      <c r="AS58" s="132"/>
      <c r="AT58" s="132"/>
      <c r="AU58" s="132"/>
      <c r="AV58" s="110">
        <v>2199026.8199999998</v>
      </c>
      <c r="AW58" s="110">
        <v>2031941.23</v>
      </c>
      <c r="AX58" s="110">
        <v>1994210.49</v>
      </c>
      <c r="AY58" s="110">
        <v>1966999.8</v>
      </c>
      <c r="AZ58" s="110">
        <v>1904464.77</v>
      </c>
      <c r="BA58" s="110">
        <v>1890939.8</v>
      </c>
      <c r="BB58" s="110">
        <v>1906349.21</v>
      </c>
      <c r="BC58" s="110">
        <v>1957536.85</v>
      </c>
      <c r="BD58" s="110">
        <v>1969409.37</v>
      </c>
      <c r="BE58" s="110">
        <v>2054053.11</v>
      </c>
      <c r="BF58" s="110">
        <v>2018639.91</v>
      </c>
      <c r="BG58" s="237">
        <v>2014604.88</v>
      </c>
      <c r="BH58" s="237">
        <v>1992902.53</v>
      </c>
      <c r="BI58" s="237">
        <v>2022209.44</v>
      </c>
      <c r="BJ58" s="237">
        <v>2050569.4</v>
      </c>
      <c r="BK58" s="237">
        <v>2069985.79</v>
      </c>
      <c r="BL58" s="237">
        <v>2147561.71</v>
      </c>
      <c r="BM58" s="237">
        <v>2121934.34</v>
      </c>
      <c r="BN58" s="237">
        <v>2140081.33</v>
      </c>
      <c r="BO58" s="237">
        <v>2113000.8199999998</v>
      </c>
      <c r="BP58" s="237">
        <v>2182535.2799999998</v>
      </c>
      <c r="BQ58" s="237">
        <v>2210263.08</v>
      </c>
      <c r="BR58" s="237">
        <v>191485.05</v>
      </c>
      <c r="BS58" s="237">
        <v>199722.66</v>
      </c>
      <c r="BT58" s="237">
        <v>208674.2</v>
      </c>
      <c r="BU58" s="237">
        <v>210839.91</v>
      </c>
      <c r="BV58" s="237">
        <v>206594.37</v>
      </c>
      <c r="BW58" s="237">
        <v>88897.41</v>
      </c>
      <c r="BX58" s="237">
        <v>561.08000000000004</v>
      </c>
      <c r="BY58" s="237">
        <v>151.32</v>
      </c>
      <c r="BZ58" s="237">
        <v>151.32</v>
      </c>
      <c r="CA58" s="237">
        <v>151.32</v>
      </c>
      <c r="CB58" s="237">
        <v>151.32</v>
      </c>
      <c r="CC58" s="237">
        <v>0</v>
      </c>
      <c r="CD58" s="237">
        <v>0</v>
      </c>
      <c r="CE58" s="237">
        <v>0</v>
      </c>
      <c r="CF58" s="237">
        <v>0</v>
      </c>
      <c r="CG58" s="237">
        <v>0</v>
      </c>
      <c r="CH58" s="30">
        <v>0</v>
      </c>
      <c r="CI58" s="30">
        <v>0</v>
      </c>
      <c r="CJ58" s="30" t="e">
        <f t="array" aca="1" ref="CJ58" ca="1">_xludf.XLOOKUP(C58,'PL TOTAL D0'!H:H,'PL TOTAL D0'!I:I,"")</f>
        <v>#NAME?</v>
      </c>
    </row>
    <row r="59" spans="1:88" ht="15.75" customHeight="1">
      <c r="A59" s="36" t="s">
        <v>2921</v>
      </c>
      <c r="B59" s="3" t="s">
        <v>553</v>
      </c>
      <c r="C59" s="9">
        <v>46477</v>
      </c>
      <c r="D59" s="9" t="s">
        <v>19</v>
      </c>
      <c r="E59" s="9" t="s">
        <v>34</v>
      </c>
      <c r="F59" s="9" t="s">
        <v>262</v>
      </c>
      <c r="G59" s="7" t="e">
        <f t="shared" ca="1" si="0"/>
        <v>#NAME?</v>
      </c>
      <c r="H59" s="8" t="s">
        <v>161</v>
      </c>
      <c r="I59" s="24" t="s">
        <v>162</v>
      </c>
      <c r="J59" s="9" t="str">
        <f t="shared" si="1"/>
        <v>Não</v>
      </c>
      <c r="K59" s="232">
        <v>44333</v>
      </c>
      <c r="L59" s="6"/>
      <c r="M59" s="6" t="s">
        <v>58</v>
      </c>
      <c r="N59" s="10">
        <v>1.2E-2</v>
      </c>
      <c r="O59" s="9" t="s">
        <v>25</v>
      </c>
      <c r="P59" s="234">
        <v>0</v>
      </c>
      <c r="Q59" s="23"/>
      <c r="R59" s="28" t="s">
        <v>3032</v>
      </c>
      <c r="S59" s="7" t="s">
        <v>145</v>
      </c>
      <c r="T59" s="6" t="s">
        <v>555</v>
      </c>
      <c r="U59" s="6" t="s">
        <v>39</v>
      </c>
      <c r="V59" s="24" t="e">
        <f t="shared" ca="1" si="2"/>
        <v>#NAME?</v>
      </c>
      <c r="W59" s="24"/>
      <c r="X59" s="24"/>
      <c r="Y59" s="6" t="s">
        <v>253</v>
      </c>
      <c r="Z59" s="6"/>
      <c r="AA59" s="107">
        <v>44333</v>
      </c>
      <c r="AB59" s="6">
        <v>49075100003262</v>
      </c>
      <c r="AC59" s="132"/>
      <c r="AD59" s="132"/>
      <c r="AE59" s="132"/>
      <c r="AF59" s="132"/>
      <c r="AG59" s="132"/>
      <c r="AH59" s="132"/>
      <c r="AI59" s="132"/>
      <c r="AJ59" s="132"/>
      <c r="AK59" s="132"/>
      <c r="AL59" s="132"/>
      <c r="AM59" s="132"/>
      <c r="AN59" s="132"/>
      <c r="AO59" s="132"/>
      <c r="AP59" s="132"/>
      <c r="AQ59" s="236"/>
      <c r="AR59" s="236"/>
      <c r="AS59" s="236"/>
      <c r="AT59" s="132"/>
      <c r="AU59" s="132">
        <v>442600.57</v>
      </c>
      <c r="AV59" s="110">
        <v>446154.86</v>
      </c>
      <c r="AW59" s="110">
        <v>445905.44</v>
      </c>
      <c r="AX59" s="110">
        <v>444322.18</v>
      </c>
      <c r="AY59" s="110">
        <v>428557.56</v>
      </c>
      <c r="AZ59" s="110">
        <v>438951.53</v>
      </c>
      <c r="BA59" s="110">
        <v>428099.52</v>
      </c>
      <c r="BB59" s="110">
        <v>437756.37</v>
      </c>
      <c r="BC59" s="110">
        <v>441446.35</v>
      </c>
      <c r="BD59" s="110">
        <v>444444.15</v>
      </c>
      <c r="BE59" s="110">
        <v>456986.33</v>
      </c>
      <c r="BF59" s="110">
        <v>455190.68</v>
      </c>
      <c r="BG59" s="237">
        <v>457088.69</v>
      </c>
      <c r="BH59" s="237">
        <v>456407.78</v>
      </c>
      <c r="BI59" s="237">
        <v>459896.67</v>
      </c>
      <c r="BJ59" s="237">
        <v>465226.77</v>
      </c>
      <c r="BK59" s="237">
        <v>468390.07</v>
      </c>
      <c r="BL59" s="237">
        <v>478581.39</v>
      </c>
      <c r="BM59" s="237">
        <v>586761.31999999995</v>
      </c>
      <c r="BN59" s="237">
        <v>591981.39</v>
      </c>
      <c r="BO59" s="237">
        <v>598033.28</v>
      </c>
      <c r="BP59" s="237">
        <v>603883.74</v>
      </c>
      <c r="BQ59" s="237">
        <v>611562.92000000004</v>
      </c>
      <c r="BR59" s="237">
        <v>616404.31999999995</v>
      </c>
      <c r="BS59" s="237">
        <v>43902.15</v>
      </c>
      <c r="BT59" s="237">
        <v>47.92</v>
      </c>
      <c r="BU59" s="237">
        <v>0</v>
      </c>
      <c r="BV59" s="237">
        <v>0</v>
      </c>
      <c r="BW59" s="237">
        <v>0</v>
      </c>
      <c r="BX59" s="237">
        <v>0</v>
      </c>
      <c r="BY59" s="237">
        <v>0</v>
      </c>
      <c r="BZ59" s="237">
        <v>0</v>
      </c>
      <c r="CA59" s="237">
        <v>0</v>
      </c>
      <c r="CB59" s="237">
        <v>0</v>
      </c>
      <c r="CC59" s="237">
        <v>0</v>
      </c>
      <c r="CD59" s="237">
        <v>0</v>
      </c>
      <c r="CE59" s="237">
        <v>0</v>
      </c>
      <c r="CF59" s="237">
        <v>0</v>
      </c>
      <c r="CG59" s="237">
        <v>0</v>
      </c>
      <c r="CH59" s="30">
        <v>0</v>
      </c>
      <c r="CI59" s="30">
        <v>0</v>
      </c>
      <c r="CJ59" s="30" t="e">
        <f t="array" aca="1" ref="CJ59" ca="1">_xludf.XLOOKUP(C59,'PL TOTAL D0'!H:H,'PL TOTAL D0'!I:I,"")</f>
        <v>#NAME?</v>
      </c>
    </row>
    <row r="60" spans="1:88" ht="15.75" customHeight="1">
      <c r="A60" s="36" t="s">
        <v>2921</v>
      </c>
      <c r="B60" s="3" t="s">
        <v>557</v>
      </c>
      <c r="C60" s="9">
        <v>39943</v>
      </c>
      <c r="D60" s="9" t="s">
        <v>19</v>
      </c>
      <c r="E60" s="9" t="s">
        <v>34</v>
      </c>
      <c r="F60" s="9" t="s">
        <v>262</v>
      </c>
      <c r="G60" s="7" t="e">
        <f t="shared" ca="1" si="0"/>
        <v>#NAME?</v>
      </c>
      <c r="H60" s="8" t="s">
        <v>161</v>
      </c>
      <c r="I60" s="24" t="s">
        <v>162</v>
      </c>
      <c r="J60" s="9" t="str">
        <f t="shared" si="1"/>
        <v>Não</v>
      </c>
      <c r="K60" s="25">
        <v>44364</v>
      </c>
      <c r="L60" s="6"/>
      <c r="M60" s="6" t="s">
        <v>200</v>
      </c>
      <c r="N60" s="233">
        <v>1.4999999999999999E-2</v>
      </c>
      <c r="O60" s="9" t="s">
        <v>37</v>
      </c>
      <c r="P60" s="234">
        <v>0.1</v>
      </c>
      <c r="Q60" s="28"/>
      <c r="R60" s="28"/>
      <c r="S60" s="7" t="s">
        <v>145</v>
      </c>
      <c r="T60" s="6" t="s">
        <v>559</v>
      </c>
      <c r="U60" s="6" t="s">
        <v>39</v>
      </c>
      <c r="V60" s="24" t="e">
        <f t="shared" ca="1" si="2"/>
        <v>#NAME?</v>
      </c>
      <c r="W60" s="24"/>
      <c r="X60" s="24"/>
      <c r="Y60" s="6" t="s">
        <v>253</v>
      </c>
      <c r="Z60" s="6"/>
      <c r="AA60" s="107">
        <v>44364</v>
      </c>
      <c r="AB60" s="6">
        <v>49075100003270</v>
      </c>
      <c r="AC60" s="132"/>
      <c r="AD60" s="132"/>
      <c r="AE60" s="132"/>
      <c r="AF60" s="132"/>
      <c r="AG60" s="132"/>
      <c r="AH60" s="132"/>
      <c r="AI60" s="132"/>
      <c r="AJ60" s="132"/>
      <c r="AK60" s="132"/>
      <c r="AL60" s="132"/>
      <c r="AM60" s="132"/>
      <c r="AN60" s="132"/>
      <c r="AO60" s="132"/>
      <c r="AP60" s="236"/>
      <c r="AQ60" s="236"/>
      <c r="AR60" s="236"/>
      <c r="AS60" s="236"/>
      <c r="AT60" s="236"/>
      <c r="AU60" s="132"/>
      <c r="AV60" s="110">
        <v>135270.22</v>
      </c>
      <c r="AW60" s="110">
        <v>134432.85999999999</v>
      </c>
      <c r="AX60" s="110">
        <v>145717.99</v>
      </c>
      <c r="AY60" s="110">
        <v>129260.32</v>
      </c>
      <c r="AZ60" s="110">
        <v>200209.04</v>
      </c>
      <c r="BA60" s="110">
        <v>200642.53</v>
      </c>
      <c r="BB60" s="110">
        <v>201656.21</v>
      </c>
      <c r="BC60" s="110">
        <v>205839.28</v>
      </c>
      <c r="BD60" s="110">
        <v>207156.88</v>
      </c>
      <c r="BE60" s="110">
        <v>215650.24</v>
      </c>
      <c r="BF60" s="110">
        <v>211986.53</v>
      </c>
      <c r="BG60" s="237">
        <v>211358.16</v>
      </c>
      <c r="BH60" s="237">
        <v>209808.04</v>
      </c>
      <c r="BI60" s="237">
        <v>212713.99</v>
      </c>
      <c r="BJ60" s="237">
        <v>215632.82</v>
      </c>
      <c r="BK60" s="237">
        <v>217683.15</v>
      </c>
      <c r="BL60" s="237">
        <v>224496.98</v>
      </c>
      <c r="BM60" s="237">
        <v>222334.43</v>
      </c>
      <c r="BN60" s="237">
        <v>224113.22</v>
      </c>
      <c r="BO60" s="237">
        <v>226906.28</v>
      </c>
      <c r="BP60" s="237">
        <v>228592.36</v>
      </c>
      <c r="BQ60" s="237">
        <v>231466.74</v>
      </c>
      <c r="BR60" s="237">
        <v>232044.68</v>
      </c>
      <c r="BS60" s="237">
        <v>238202.87</v>
      </c>
      <c r="BT60" s="237">
        <v>241215.38</v>
      </c>
      <c r="BU60" s="237">
        <v>241411.72</v>
      </c>
      <c r="BV60" s="237">
        <v>46.37</v>
      </c>
      <c r="BW60" s="237">
        <v>0</v>
      </c>
      <c r="BX60" s="237">
        <v>7.64</v>
      </c>
      <c r="BY60" s="237">
        <v>7.54</v>
      </c>
      <c r="BZ60" s="237">
        <v>7.54</v>
      </c>
      <c r="CA60" s="237">
        <v>0</v>
      </c>
      <c r="CB60" s="237">
        <v>0</v>
      </c>
      <c r="CC60" s="237">
        <v>0</v>
      </c>
      <c r="CD60" s="237">
        <v>0</v>
      </c>
      <c r="CE60" s="237">
        <v>0</v>
      </c>
      <c r="CF60" s="237">
        <v>0</v>
      </c>
      <c r="CG60" s="237">
        <v>0</v>
      </c>
      <c r="CH60" s="30">
        <v>0</v>
      </c>
      <c r="CI60" s="30">
        <v>0</v>
      </c>
      <c r="CJ60" s="30" t="e">
        <f t="array" aca="1" ref="CJ60" ca="1">_xludf.XLOOKUP(C60,'PL TOTAL D0'!H:H,'PL TOTAL D0'!I:I,"")</f>
        <v>#NAME?</v>
      </c>
    </row>
    <row r="61" spans="1:88" ht="15.75" customHeight="1">
      <c r="A61" s="36" t="s">
        <v>2921</v>
      </c>
      <c r="B61" s="3" t="s">
        <v>3033</v>
      </c>
      <c r="C61" s="9">
        <v>31792</v>
      </c>
      <c r="D61" s="9" t="s">
        <v>19</v>
      </c>
      <c r="E61" s="9" t="s">
        <v>34</v>
      </c>
      <c r="F61" s="6" t="s">
        <v>2971</v>
      </c>
      <c r="G61" s="7" t="e">
        <f t="shared" ca="1" si="0"/>
        <v>#NAME?</v>
      </c>
      <c r="H61" s="8" t="s">
        <v>143</v>
      </c>
      <c r="I61" s="24" t="s">
        <v>25</v>
      </c>
      <c r="J61" s="9" t="str">
        <f t="shared" si="1"/>
        <v>Não</v>
      </c>
      <c r="K61" s="107">
        <v>44260</v>
      </c>
      <c r="L61" s="107">
        <v>44470</v>
      </c>
      <c r="M61" s="6" t="s">
        <v>200</v>
      </c>
      <c r="N61" s="10">
        <v>1.4999999999999999E-2</v>
      </c>
      <c r="O61" s="9" t="s">
        <v>37</v>
      </c>
      <c r="P61" s="234">
        <v>0.1</v>
      </c>
      <c r="Q61" s="45"/>
      <c r="R61" s="108"/>
      <c r="S61" s="7" t="s">
        <v>145</v>
      </c>
      <c r="T61" s="6" t="s">
        <v>3034</v>
      </c>
      <c r="U61" s="6" t="s">
        <v>60</v>
      </c>
      <c r="V61" s="24" t="e">
        <f t="shared" ca="1" si="2"/>
        <v>#NAME?</v>
      </c>
      <c r="W61" s="24"/>
      <c r="X61" s="24"/>
      <c r="Y61" s="6"/>
      <c r="Z61" s="6"/>
      <c r="AA61" s="6"/>
      <c r="AB61" s="6"/>
      <c r="AC61" s="240"/>
      <c r="AD61" s="240"/>
      <c r="AE61" s="240"/>
      <c r="AF61" s="240"/>
      <c r="AG61" s="240"/>
      <c r="AH61" s="240"/>
      <c r="AI61" s="240"/>
      <c r="AJ61" s="240"/>
      <c r="AK61" s="240"/>
      <c r="AL61" s="240"/>
      <c r="AM61" s="240"/>
      <c r="AN61" s="240"/>
      <c r="AO61" s="240"/>
      <c r="AP61" s="110"/>
      <c r="AQ61" s="110">
        <v>308886.23</v>
      </c>
      <c r="AR61" s="110">
        <v>257314.32</v>
      </c>
      <c r="AS61" s="110"/>
      <c r="AT61" s="110">
        <v>260062.48</v>
      </c>
      <c r="AU61" s="110">
        <v>212402.23</v>
      </c>
      <c r="AV61" s="110">
        <v>211760.66</v>
      </c>
      <c r="AW61" s="240">
        <v>200247.13</v>
      </c>
      <c r="AX61" s="240">
        <v>150641.92000000001</v>
      </c>
      <c r="AY61" s="110">
        <v>151371.24</v>
      </c>
      <c r="AZ61" s="110"/>
      <c r="BA61" s="110"/>
      <c r="BB61" s="110"/>
      <c r="BC61" s="110"/>
      <c r="BD61" s="110">
        <v>0</v>
      </c>
      <c r="BE61" s="110">
        <v>0</v>
      </c>
      <c r="BF61" s="110">
        <v>0</v>
      </c>
      <c r="BG61" s="110" t="s">
        <v>2932</v>
      </c>
      <c r="BH61" s="110">
        <v>0</v>
      </c>
      <c r="BI61" s="110">
        <v>0</v>
      </c>
      <c r="BJ61" s="110">
        <v>0</v>
      </c>
      <c r="BK61" s="237">
        <v>0</v>
      </c>
      <c r="BL61" s="237">
        <v>0</v>
      </c>
      <c r="BM61" s="237">
        <v>0</v>
      </c>
      <c r="BN61" s="237">
        <v>0</v>
      </c>
      <c r="BO61" s="237">
        <v>0</v>
      </c>
      <c r="BP61" s="237">
        <v>0</v>
      </c>
      <c r="BQ61" s="237">
        <v>0</v>
      </c>
      <c r="BR61" s="237">
        <v>0</v>
      </c>
      <c r="BS61" s="237">
        <v>0</v>
      </c>
      <c r="BT61" s="237">
        <v>0</v>
      </c>
      <c r="BU61" s="237">
        <v>0</v>
      </c>
      <c r="BV61" s="237">
        <v>0</v>
      </c>
      <c r="BW61" s="237">
        <v>0</v>
      </c>
      <c r="BX61" s="237">
        <v>0</v>
      </c>
      <c r="BY61" s="237">
        <v>0</v>
      </c>
      <c r="BZ61" s="237">
        <v>0</v>
      </c>
      <c r="CA61" s="237">
        <v>0</v>
      </c>
      <c r="CB61" s="237">
        <v>0</v>
      </c>
      <c r="CC61" s="237">
        <v>0</v>
      </c>
      <c r="CD61" s="237">
        <v>0</v>
      </c>
      <c r="CE61" s="237">
        <v>0</v>
      </c>
      <c r="CF61" s="237">
        <v>0</v>
      </c>
      <c r="CG61" s="237">
        <v>0</v>
      </c>
      <c r="CH61" s="30">
        <v>0</v>
      </c>
      <c r="CI61" s="30">
        <v>0</v>
      </c>
      <c r="CJ61" s="30" t="e">
        <f t="array" aca="1" ref="CJ61" ca="1">_xludf.XLOOKUP(C61,'PL TOTAL D0'!H:H,'PL TOTAL D0'!I:I,"")</f>
        <v>#NAME?</v>
      </c>
    </row>
    <row r="62" spans="1:88" ht="15.75" customHeight="1">
      <c r="A62" s="36" t="s">
        <v>2921</v>
      </c>
      <c r="B62" s="3" t="s">
        <v>3035</v>
      </c>
      <c r="C62" s="9">
        <v>434978</v>
      </c>
      <c r="D62" s="9" t="s">
        <v>2923</v>
      </c>
      <c r="E62" s="9" t="s">
        <v>20</v>
      </c>
      <c r="F62" s="6" t="s">
        <v>2924</v>
      </c>
      <c r="G62" s="7" t="e">
        <f t="shared" ca="1" si="0"/>
        <v>#NAME?</v>
      </c>
      <c r="H62" s="8" t="s">
        <v>143</v>
      </c>
      <c r="I62" s="24" t="s">
        <v>25</v>
      </c>
      <c r="J62" s="9" t="str">
        <f t="shared" si="1"/>
        <v>Não</v>
      </c>
      <c r="K62" s="107">
        <v>43707</v>
      </c>
      <c r="L62" s="107">
        <v>44734</v>
      </c>
      <c r="M62" s="6" t="s">
        <v>87</v>
      </c>
      <c r="N62" s="10">
        <v>0.01</v>
      </c>
      <c r="O62" s="9" t="s">
        <v>183</v>
      </c>
      <c r="P62" s="234">
        <v>0.2</v>
      </c>
      <c r="Q62" s="45"/>
      <c r="R62" s="108" t="s">
        <v>3036</v>
      </c>
      <c r="S62" s="7" t="s">
        <v>145</v>
      </c>
      <c r="T62" s="6" t="s">
        <v>3037</v>
      </c>
      <c r="U62" s="6" t="s">
        <v>20</v>
      </c>
      <c r="V62" s="24" t="e">
        <f t="shared" ca="1" si="2"/>
        <v>#NAME?</v>
      </c>
      <c r="W62" s="24"/>
      <c r="X62" s="24"/>
      <c r="Y62" s="6" t="s">
        <v>253</v>
      </c>
      <c r="Z62" s="6"/>
      <c r="AA62" s="6"/>
      <c r="AB62" s="6"/>
      <c r="AC62" s="110">
        <v>1026624.14</v>
      </c>
      <c r="AD62" s="110">
        <v>1013728.74</v>
      </c>
      <c r="AE62" s="110">
        <v>963371.85</v>
      </c>
      <c r="AF62" s="110">
        <v>978378.98</v>
      </c>
      <c r="AG62" s="110">
        <v>984641.89</v>
      </c>
      <c r="AH62" s="110">
        <v>991449.21</v>
      </c>
      <c r="AI62" s="110">
        <v>1003715.61</v>
      </c>
      <c r="AJ62" s="110">
        <v>992349.02</v>
      </c>
      <c r="AK62" s="110">
        <v>981481.29</v>
      </c>
      <c r="AL62" s="110">
        <v>371231.76</v>
      </c>
      <c r="AM62" s="110">
        <v>307551.03999999998</v>
      </c>
      <c r="AN62" s="110">
        <v>323350.59999999998</v>
      </c>
      <c r="AO62" s="110">
        <v>313686.51</v>
      </c>
      <c r="AP62" s="110">
        <v>296522.17</v>
      </c>
      <c r="AQ62" s="110">
        <v>291772.28000000003</v>
      </c>
      <c r="AR62" s="110">
        <v>310581.28000000003</v>
      </c>
      <c r="AS62" s="110">
        <v>311376.53999999998</v>
      </c>
      <c r="AT62" s="110">
        <v>312526.51</v>
      </c>
      <c r="AU62" s="110">
        <v>323116.44</v>
      </c>
      <c r="AV62" s="110">
        <v>319489.84999999998</v>
      </c>
      <c r="AW62" s="110">
        <v>312938.42</v>
      </c>
      <c r="AX62" s="110">
        <v>302352.69</v>
      </c>
      <c r="AY62" s="110">
        <v>293334.09999999998</v>
      </c>
      <c r="AZ62" s="110">
        <v>281161.18</v>
      </c>
      <c r="BA62" s="110">
        <v>130224.46</v>
      </c>
      <c r="BB62" s="110">
        <v>117831.72</v>
      </c>
      <c r="BC62" s="110">
        <v>128746.73</v>
      </c>
      <c r="BD62" s="110">
        <v>107180.17</v>
      </c>
      <c r="BE62" s="110">
        <v>113411.48</v>
      </c>
      <c r="BF62" s="110">
        <v>103014.67</v>
      </c>
      <c r="BG62" s="110">
        <v>101529.01</v>
      </c>
      <c r="BH62" s="110">
        <v>0</v>
      </c>
      <c r="BI62" s="110">
        <v>0</v>
      </c>
      <c r="BJ62" s="110">
        <v>0</v>
      </c>
      <c r="BK62" s="237">
        <v>0</v>
      </c>
      <c r="BL62" s="237">
        <v>0</v>
      </c>
      <c r="BM62" s="237">
        <v>0</v>
      </c>
      <c r="BN62" s="237">
        <v>0</v>
      </c>
      <c r="BO62" s="237">
        <v>0</v>
      </c>
      <c r="BP62" s="237">
        <v>0</v>
      </c>
      <c r="BQ62" s="237">
        <v>0</v>
      </c>
      <c r="BR62" s="237">
        <v>0</v>
      </c>
      <c r="BS62" s="237">
        <v>0</v>
      </c>
      <c r="BT62" s="237">
        <v>0</v>
      </c>
      <c r="BU62" s="237">
        <v>0</v>
      </c>
      <c r="BV62" s="237">
        <v>0</v>
      </c>
      <c r="BW62" s="237">
        <v>0</v>
      </c>
      <c r="BX62" s="237">
        <v>0</v>
      </c>
      <c r="BY62" s="237">
        <v>0</v>
      </c>
      <c r="BZ62" s="237">
        <v>0</v>
      </c>
      <c r="CA62" s="237">
        <v>0</v>
      </c>
      <c r="CB62" s="237">
        <v>0</v>
      </c>
      <c r="CC62" s="237">
        <v>0</v>
      </c>
      <c r="CD62" s="237">
        <v>0</v>
      </c>
      <c r="CE62" s="237">
        <v>0</v>
      </c>
      <c r="CF62" s="237">
        <v>0</v>
      </c>
      <c r="CG62" s="237">
        <v>0</v>
      </c>
      <c r="CH62" s="30">
        <v>0</v>
      </c>
      <c r="CI62" s="30">
        <v>0</v>
      </c>
      <c r="CJ62" s="30" t="e">
        <f t="array" aca="1" ref="CJ62" ca="1">_xludf.XLOOKUP(C62,'PL TOTAL D0'!H:H,'PL TOTAL D0'!I:I,"")</f>
        <v>#NAME?</v>
      </c>
    </row>
    <row r="63" spans="1:88" ht="15.75" customHeight="1">
      <c r="A63" s="36" t="s">
        <v>2921</v>
      </c>
      <c r="B63" s="3" t="s">
        <v>3038</v>
      </c>
      <c r="C63" s="9">
        <v>33280</v>
      </c>
      <c r="D63" s="9" t="s">
        <v>19</v>
      </c>
      <c r="E63" s="9" t="s">
        <v>34</v>
      </c>
      <c r="F63" s="6" t="s">
        <v>2971</v>
      </c>
      <c r="G63" s="7" t="e">
        <f t="shared" ca="1" si="0"/>
        <v>#NAME?</v>
      </c>
      <c r="H63" s="8" t="s">
        <v>143</v>
      </c>
      <c r="I63" s="24" t="s">
        <v>25</v>
      </c>
      <c r="J63" s="9" t="str">
        <f t="shared" si="1"/>
        <v>Não</v>
      </c>
      <c r="K63" s="107">
        <v>44273</v>
      </c>
      <c r="L63" s="107">
        <v>44435</v>
      </c>
      <c r="M63" s="6" t="s">
        <v>200</v>
      </c>
      <c r="N63" s="10">
        <v>1.4999999999999999E-2</v>
      </c>
      <c r="O63" s="9" t="s">
        <v>37</v>
      </c>
      <c r="P63" s="234">
        <v>0.1</v>
      </c>
      <c r="Q63" s="45"/>
      <c r="R63" s="108"/>
      <c r="S63" s="7" t="s">
        <v>145</v>
      </c>
      <c r="T63" s="6" t="s">
        <v>3039</v>
      </c>
      <c r="U63" s="6" t="s">
        <v>39</v>
      </c>
      <c r="V63" s="24" t="e">
        <f t="shared" ca="1" si="2"/>
        <v>#NAME?</v>
      </c>
      <c r="W63" s="24"/>
      <c r="X63" s="24"/>
      <c r="Y63" s="6"/>
      <c r="Z63" s="6"/>
      <c r="AA63" s="6"/>
      <c r="AB63" s="6"/>
      <c r="AC63" s="240"/>
      <c r="AD63" s="240"/>
      <c r="AE63" s="240"/>
      <c r="AF63" s="240"/>
      <c r="AG63" s="240"/>
      <c r="AH63" s="240"/>
      <c r="AI63" s="240"/>
      <c r="AJ63" s="240"/>
      <c r="AK63" s="240"/>
      <c r="AL63" s="240"/>
      <c r="AM63" s="240"/>
      <c r="AN63" s="240"/>
      <c r="AO63" s="240"/>
      <c r="AP63" s="110"/>
      <c r="AQ63" s="110">
        <v>437384.63</v>
      </c>
      <c r="AR63" s="110"/>
      <c r="AS63" s="110"/>
      <c r="AT63" s="110"/>
      <c r="AU63" s="110">
        <v>204511.42</v>
      </c>
      <c r="AV63" s="110">
        <v>154716.4</v>
      </c>
      <c r="AW63" s="110">
        <v>104633.35</v>
      </c>
      <c r="AX63" s="110">
        <v>32707.52</v>
      </c>
      <c r="AY63" s="110">
        <v>14398.24</v>
      </c>
      <c r="AZ63" s="110"/>
      <c r="BA63" s="110"/>
      <c r="BB63" s="110"/>
      <c r="BC63" s="110"/>
      <c r="BD63" s="110">
        <v>0</v>
      </c>
      <c r="BE63" s="110">
        <v>0</v>
      </c>
      <c r="BF63" s="110">
        <v>0</v>
      </c>
      <c r="BG63" s="110" t="s">
        <v>2932</v>
      </c>
      <c r="BH63" s="110">
        <v>0</v>
      </c>
      <c r="BI63" s="110">
        <v>0</v>
      </c>
      <c r="BJ63" s="110">
        <v>0</v>
      </c>
      <c r="BK63" s="237">
        <v>0</v>
      </c>
      <c r="BL63" s="237">
        <v>0</v>
      </c>
      <c r="BM63" s="237">
        <v>0</v>
      </c>
      <c r="BN63" s="237">
        <v>0</v>
      </c>
      <c r="BO63" s="237">
        <v>0</v>
      </c>
      <c r="BP63" s="237">
        <v>0</v>
      </c>
      <c r="BQ63" s="237">
        <v>0</v>
      </c>
      <c r="BR63" s="237">
        <v>0</v>
      </c>
      <c r="BS63" s="237">
        <v>0</v>
      </c>
      <c r="BT63" s="237">
        <v>0</v>
      </c>
      <c r="BU63" s="237">
        <v>0</v>
      </c>
      <c r="BV63" s="237">
        <v>0</v>
      </c>
      <c r="BW63" s="237">
        <v>0</v>
      </c>
      <c r="BX63" s="237">
        <v>0</v>
      </c>
      <c r="BY63" s="237">
        <v>0</v>
      </c>
      <c r="BZ63" s="237">
        <v>0</v>
      </c>
      <c r="CA63" s="237">
        <v>0</v>
      </c>
      <c r="CB63" s="237">
        <v>0</v>
      </c>
      <c r="CC63" s="237">
        <v>0</v>
      </c>
      <c r="CD63" s="237">
        <v>0</v>
      </c>
      <c r="CE63" s="237">
        <v>0</v>
      </c>
      <c r="CF63" s="237">
        <v>0</v>
      </c>
      <c r="CG63" s="237">
        <v>0</v>
      </c>
      <c r="CH63" s="30">
        <v>0</v>
      </c>
      <c r="CI63" s="30">
        <v>0</v>
      </c>
      <c r="CJ63" s="30" t="e">
        <f t="array" aca="1" ref="CJ63" ca="1">_xludf.XLOOKUP(C63,'PL TOTAL D0'!H:H,'PL TOTAL D0'!I:I,"")</f>
        <v>#NAME?</v>
      </c>
    </row>
    <row r="64" spans="1:88" ht="15.75" customHeight="1">
      <c r="A64" s="36" t="s">
        <v>2921</v>
      </c>
      <c r="B64" s="36" t="s">
        <v>3040</v>
      </c>
      <c r="C64" s="9">
        <v>32049</v>
      </c>
      <c r="D64" s="244" t="s">
        <v>2989</v>
      </c>
      <c r="E64" s="244" t="s">
        <v>20</v>
      </c>
      <c r="F64" s="244" t="s">
        <v>2989</v>
      </c>
      <c r="G64" s="7" t="e">
        <f t="shared" ca="1" si="0"/>
        <v>#NAME?</v>
      </c>
      <c r="H64" s="245" t="s">
        <v>161</v>
      </c>
      <c r="I64" s="24" t="s">
        <v>162</v>
      </c>
      <c r="J64" s="9" t="str">
        <f t="shared" si="1"/>
        <v>Não</v>
      </c>
      <c r="K64" s="246">
        <v>43370</v>
      </c>
      <c r="L64" s="247"/>
      <c r="M64" s="247" t="s">
        <v>87</v>
      </c>
      <c r="N64" s="251">
        <v>0.01</v>
      </c>
      <c r="O64" s="251"/>
      <c r="P64" s="249"/>
      <c r="Q64" s="23"/>
      <c r="R64" s="108" t="s">
        <v>3041</v>
      </c>
      <c r="S64" s="7" t="s">
        <v>145</v>
      </c>
      <c r="T64" s="9" t="s">
        <v>3042</v>
      </c>
      <c r="U64" s="6" t="s">
        <v>20</v>
      </c>
      <c r="V64" s="24" t="e">
        <f t="shared" ca="1" si="2"/>
        <v>#NAME?</v>
      </c>
      <c r="W64" s="24"/>
      <c r="X64" s="24"/>
      <c r="Y64" s="6" t="s">
        <v>253</v>
      </c>
      <c r="Z64" s="6"/>
      <c r="AA64" s="107">
        <v>43370</v>
      </c>
      <c r="AB64" s="6">
        <v>49075100003289</v>
      </c>
      <c r="AC64" s="110">
        <v>689191.58</v>
      </c>
      <c r="AD64" s="110">
        <v>659065</v>
      </c>
      <c r="AE64" s="110">
        <v>488148.27</v>
      </c>
      <c r="AF64" s="110">
        <v>521003.16</v>
      </c>
      <c r="AG64" s="110">
        <v>542638.99</v>
      </c>
      <c r="AH64" s="110">
        <v>587398.51</v>
      </c>
      <c r="AI64" s="110">
        <v>635980.4</v>
      </c>
      <c r="AJ64" s="110">
        <v>601738.59</v>
      </c>
      <c r="AK64" s="110">
        <v>566308.81000000006</v>
      </c>
      <c r="AL64" s="110">
        <v>577726.55000000005</v>
      </c>
      <c r="AM64" s="110">
        <v>653969.07999999996</v>
      </c>
      <c r="AN64" s="110">
        <v>686566.31</v>
      </c>
      <c r="AO64" s="110">
        <v>678974.48</v>
      </c>
      <c r="AP64" s="110">
        <v>627474.91</v>
      </c>
      <c r="AQ64" s="236">
        <v>609849.23</v>
      </c>
      <c r="AR64" s="236">
        <v>645153.94999999995</v>
      </c>
      <c r="AS64" s="236">
        <v>669200.34</v>
      </c>
      <c r="AT64" s="236">
        <v>673639.75</v>
      </c>
      <c r="AU64" s="236">
        <v>704389.3</v>
      </c>
      <c r="AV64" s="110">
        <v>695498.62</v>
      </c>
      <c r="AW64" s="110">
        <v>676011.75</v>
      </c>
      <c r="AX64" s="110">
        <v>644708.64</v>
      </c>
      <c r="AY64" s="110">
        <v>614415.29</v>
      </c>
      <c r="AZ64" s="110">
        <v>578004.06000000006</v>
      </c>
      <c r="BA64" s="110">
        <v>561341.31000000006</v>
      </c>
      <c r="BB64" s="110">
        <v>567936.93000000005</v>
      </c>
      <c r="BC64" s="110">
        <v>600192.68000000005</v>
      </c>
      <c r="BD64" s="110">
        <v>608135.56999999995</v>
      </c>
      <c r="BE64" s="110">
        <v>651086.85</v>
      </c>
      <c r="BF64" s="110">
        <v>626120.43999999994</v>
      </c>
      <c r="BG64" s="237">
        <v>615896.93999999994</v>
      </c>
      <c r="BH64" s="237">
        <v>588220.42000000004</v>
      </c>
      <c r="BI64" s="237">
        <v>616702.14</v>
      </c>
      <c r="BJ64" s="237">
        <v>623564.18999999994</v>
      </c>
      <c r="BK64" s="237">
        <v>629180.67000000004</v>
      </c>
      <c r="BL64" s="237">
        <v>676541.15</v>
      </c>
      <c r="BM64" s="237">
        <v>655267.91</v>
      </c>
      <c r="BN64" s="237">
        <v>651979.65</v>
      </c>
      <c r="BO64" s="237">
        <v>671934.78</v>
      </c>
      <c r="BP64" s="237">
        <v>648400.77</v>
      </c>
      <c r="BQ64" s="237">
        <v>647739.44999999995</v>
      </c>
      <c r="BR64" s="237">
        <v>633577.78</v>
      </c>
      <c r="BS64" s="237">
        <v>647121.23</v>
      </c>
      <c r="BT64" s="237">
        <v>661489.15</v>
      </c>
      <c r="BU64" s="237">
        <v>674359.9</v>
      </c>
      <c r="BV64" s="237">
        <v>684790.06</v>
      </c>
      <c r="BW64" s="237">
        <v>683855.75</v>
      </c>
      <c r="BX64" s="237">
        <v>694748.76</v>
      </c>
      <c r="BY64" s="237">
        <v>697442.58</v>
      </c>
      <c r="BZ64" s="237">
        <v>703568.6</v>
      </c>
      <c r="CA64" s="237">
        <v>439547.58</v>
      </c>
      <c r="CB64" s="237">
        <v>442280.61</v>
      </c>
      <c r="CC64" s="237">
        <v>420.42</v>
      </c>
      <c r="CD64" s="237">
        <v>420.42</v>
      </c>
      <c r="CE64" s="237">
        <v>0</v>
      </c>
      <c r="CF64" s="237">
        <v>0</v>
      </c>
      <c r="CG64" s="237">
        <v>0</v>
      </c>
      <c r="CH64" s="30">
        <v>0</v>
      </c>
      <c r="CI64" s="30">
        <v>0</v>
      </c>
      <c r="CJ64" s="30" t="e">
        <f t="array" aca="1" ref="CJ64" ca="1">_xludf.XLOOKUP(C64,'PL TOTAL D0'!H:H,'PL TOTAL D0'!I:I,"")</f>
        <v>#NAME?</v>
      </c>
    </row>
    <row r="65" spans="1:88" ht="15.75" customHeight="1">
      <c r="A65" s="36" t="s">
        <v>2921</v>
      </c>
      <c r="B65" s="37" t="s">
        <v>3043</v>
      </c>
      <c r="C65" s="9">
        <v>35069</v>
      </c>
      <c r="D65" s="9" t="s">
        <v>19</v>
      </c>
      <c r="E65" s="9" t="s">
        <v>34</v>
      </c>
      <c r="F65" s="9" t="s">
        <v>262</v>
      </c>
      <c r="G65" s="7" t="e">
        <f t="shared" ca="1" si="0"/>
        <v>#NAME?</v>
      </c>
      <c r="H65" s="8" t="s">
        <v>161</v>
      </c>
      <c r="I65" s="24" t="s">
        <v>162</v>
      </c>
      <c r="J65" s="9" t="str">
        <f t="shared" si="1"/>
        <v>Não</v>
      </c>
      <c r="K65" s="25">
        <v>44438</v>
      </c>
      <c r="L65" s="94"/>
      <c r="M65" s="6" t="s">
        <v>200</v>
      </c>
      <c r="N65" s="10">
        <v>0.01</v>
      </c>
      <c r="O65" s="9" t="s">
        <v>37</v>
      </c>
      <c r="P65" s="234">
        <v>0.1</v>
      </c>
      <c r="Q65" s="23"/>
      <c r="R65" s="28" t="s">
        <v>3044</v>
      </c>
      <c r="S65" s="7" t="s">
        <v>145</v>
      </c>
      <c r="T65" s="6" t="s">
        <v>3045</v>
      </c>
      <c r="U65" s="6" t="s">
        <v>39</v>
      </c>
      <c r="V65" s="24" t="e">
        <f t="shared" ca="1" si="2"/>
        <v>#NAME?</v>
      </c>
      <c r="W65" s="24"/>
      <c r="X65" s="24"/>
      <c r="Y65" s="6" t="s">
        <v>253</v>
      </c>
      <c r="Z65" s="6"/>
      <c r="AA65" s="107">
        <v>44438</v>
      </c>
      <c r="AB65" s="6">
        <v>49075100003297</v>
      </c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132"/>
      <c r="AO65" s="110"/>
      <c r="AP65" s="236"/>
      <c r="AQ65" s="236"/>
      <c r="AR65" s="236"/>
      <c r="AS65" s="236"/>
      <c r="AT65" s="236"/>
      <c r="AU65" s="110"/>
      <c r="AV65" s="110"/>
      <c r="AW65" s="132"/>
      <c r="AX65" s="132">
        <v>100099.16</v>
      </c>
      <c r="AY65" s="110">
        <v>233674.42</v>
      </c>
      <c r="AZ65" s="110">
        <v>242373.49</v>
      </c>
      <c r="BA65" s="110">
        <v>240873.86</v>
      </c>
      <c r="BB65" s="110">
        <v>241574.55</v>
      </c>
      <c r="BC65" s="110">
        <v>245453.44</v>
      </c>
      <c r="BD65" s="110">
        <v>246927.04</v>
      </c>
      <c r="BE65" s="110">
        <v>256606.9</v>
      </c>
      <c r="BF65" s="110">
        <v>252030.03</v>
      </c>
      <c r="BG65" s="237">
        <v>149833.97</v>
      </c>
      <c r="BH65" s="237">
        <v>148119.01999999999</v>
      </c>
      <c r="BI65" s="237">
        <v>150978.18</v>
      </c>
      <c r="BJ65" s="237">
        <v>152632.04</v>
      </c>
      <c r="BK65" s="237">
        <v>154404.70000000001</v>
      </c>
      <c r="BL65" s="237">
        <v>159990.49</v>
      </c>
      <c r="BM65" s="237">
        <v>158901.19</v>
      </c>
      <c r="BN65" s="237">
        <v>160267.43</v>
      </c>
      <c r="BO65" s="237">
        <v>162421.29</v>
      </c>
      <c r="BP65" s="237">
        <v>163197.64000000001</v>
      </c>
      <c r="BQ65" s="237">
        <v>165048.29999999999</v>
      </c>
      <c r="BR65" s="237">
        <v>6103.08</v>
      </c>
      <c r="BS65" s="237">
        <v>0</v>
      </c>
      <c r="BT65" s="237">
        <v>0</v>
      </c>
      <c r="BU65" s="237">
        <v>0</v>
      </c>
      <c r="BV65" s="237">
        <v>0</v>
      </c>
      <c r="BW65" s="237">
        <v>0</v>
      </c>
      <c r="BX65" s="237">
        <v>0</v>
      </c>
      <c r="BY65" s="237">
        <v>0</v>
      </c>
      <c r="BZ65" s="237">
        <v>0</v>
      </c>
      <c r="CA65" s="237">
        <v>0</v>
      </c>
      <c r="CB65" s="237">
        <v>0</v>
      </c>
      <c r="CC65" s="237">
        <v>0</v>
      </c>
      <c r="CD65" s="237">
        <v>0</v>
      </c>
      <c r="CE65" s="237">
        <v>0</v>
      </c>
      <c r="CF65" s="237">
        <v>0</v>
      </c>
      <c r="CG65" s="237">
        <v>0</v>
      </c>
      <c r="CH65" s="30">
        <v>0</v>
      </c>
      <c r="CI65" s="30">
        <v>0</v>
      </c>
      <c r="CJ65" s="30" t="e">
        <f t="array" aca="1" ref="CJ65" ca="1">_xludf.XLOOKUP(C65,'PL TOTAL D0'!H:H,'PL TOTAL D0'!I:I,"")</f>
        <v>#NAME?</v>
      </c>
    </row>
    <row r="66" spans="1:88" ht="15.75" customHeight="1">
      <c r="A66" s="36" t="s">
        <v>2921</v>
      </c>
      <c r="B66" s="3" t="s">
        <v>3046</v>
      </c>
      <c r="C66" s="9">
        <v>32441</v>
      </c>
      <c r="D66" s="9" t="s">
        <v>19</v>
      </c>
      <c r="E66" s="9" t="s">
        <v>34</v>
      </c>
      <c r="F66" s="9" t="s">
        <v>262</v>
      </c>
      <c r="G66" s="7" t="e">
        <f t="shared" ca="1" si="0"/>
        <v>#NAME?</v>
      </c>
      <c r="H66" s="8" t="s">
        <v>161</v>
      </c>
      <c r="I66" s="24" t="s">
        <v>162</v>
      </c>
      <c r="J66" s="9" t="str">
        <f t="shared" si="1"/>
        <v>Não</v>
      </c>
      <c r="K66" s="232">
        <v>44319</v>
      </c>
      <c r="L66" s="6"/>
      <c r="M66" s="6" t="s">
        <v>200</v>
      </c>
      <c r="N66" s="10">
        <v>0.01</v>
      </c>
      <c r="O66" s="9" t="s">
        <v>37</v>
      </c>
      <c r="P66" s="234">
        <v>0.1</v>
      </c>
      <c r="Q66" s="45"/>
      <c r="R66" s="28" t="s">
        <v>3047</v>
      </c>
      <c r="S66" s="7" t="s">
        <v>145</v>
      </c>
      <c r="T66" s="6" t="s">
        <v>3048</v>
      </c>
      <c r="U66" s="6" t="s">
        <v>39</v>
      </c>
      <c r="V66" s="24" t="e">
        <f t="shared" ca="1" si="2"/>
        <v>#NAME?</v>
      </c>
      <c r="W66" s="24"/>
      <c r="X66" s="24"/>
      <c r="Y66" s="6" t="s">
        <v>147</v>
      </c>
      <c r="Z66" s="6"/>
      <c r="AA66" s="107">
        <v>44319</v>
      </c>
      <c r="AB66" s="6">
        <v>49075100005338</v>
      </c>
      <c r="AC66" s="132"/>
      <c r="AD66" s="132"/>
      <c r="AE66" s="132"/>
      <c r="AF66" s="132"/>
      <c r="AG66" s="132"/>
      <c r="AH66" s="132"/>
      <c r="AI66" s="132"/>
      <c r="AJ66" s="132"/>
      <c r="AK66" s="132"/>
      <c r="AL66" s="132"/>
      <c r="AM66" s="132"/>
      <c r="AN66" s="132"/>
      <c r="AO66" s="132"/>
      <c r="AP66" s="110"/>
      <c r="AQ66" s="236"/>
      <c r="AR66" s="236"/>
      <c r="AS66" s="236"/>
      <c r="AT66" s="236"/>
      <c r="AU66" s="236">
        <v>1188131.99</v>
      </c>
      <c r="AV66" s="110">
        <v>1181785.1100000001</v>
      </c>
      <c r="AW66" s="110">
        <v>1170353.72</v>
      </c>
      <c r="AX66" s="110">
        <v>1149324.1399999999</v>
      </c>
      <c r="AY66" s="110">
        <v>1131813.73</v>
      </c>
      <c r="AZ66" s="110">
        <v>1102931.3799999999</v>
      </c>
      <c r="BA66" s="110">
        <v>1082660.99</v>
      </c>
      <c r="BB66" s="110">
        <v>1098424.04</v>
      </c>
      <c r="BC66" s="110">
        <v>1126681.93</v>
      </c>
      <c r="BD66" s="110">
        <v>1133803.8</v>
      </c>
      <c r="BE66" s="110">
        <v>1181269.8999999999</v>
      </c>
      <c r="BF66" s="110">
        <v>1162926.95</v>
      </c>
      <c r="BG66" s="253">
        <v>150882.57</v>
      </c>
      <c r="BH66" s="237">
        <v>149745.04999999999</v>
      </c>
      <c r="BI66" s="237">
        <v>365.85</v>
      </c>
      <c r="BJ66" s="237">
        <v>1050.1300000000001</v>
      </c>
      <c r="BK66" s="237">
        <v>307.02</v>
      </c>
      <c r="BL66" s="237">
        <v>309.51</v>
      </c>
      <c r="BM66" s="237">
        <v>311.93</v>
      </c>
      <c r="BN66" s="237">
        <v>314.39999999999998</v>
      </c>
      <c r="BO66" s="237">
        <v>585.41</v>
      </c>
      <c r="BP66" s="237">
        <v>587.72</v>
      </c>
      <c r="BQ66" s="237">
        <v>590.73</v>
      </c>
      <c r="BR66" s="237">
        <v>592.86</v>
      </c>
      <c r="BS66" s="237">
        <v>328.54</v>
      </c>
      <c r="BT66" s="237">
        <v>0</v>
      </c>
      <c r="BU66" s="237">
        <v>0</v>
      </c>
      <c r="BV66" s="237">
        <v>0</v>
      </c>
      <c r="BW66" s="237">
        <v>0</v>
      </c>
      <c r="BX66" s="237">
        <v>0</v>
      </c>
      <c r="BY66" s="237">
        <v>0</v>
      </c>
      <c r="BZ66" s="237">
        <v>0</v>
      </c>
      <c r="CA66" s="237">
        <v>0</v>
      </c>
      <c r="CB66" s="237">
        <v>0</v>
      </c>
      <c r="CC66" s="237">
        <v>0</v>
      </c>
      <c r="CD66" s="237">
        <v>0</v>
      </c>
      <c r="CE66" s="237">
        <v>0</v>
      </c>
      <c r="CF66" s="237">
        <v>0</v>
      </c>
      <c r="CG66" s="237">
        <v>0</v>
      </c>
      <c r="CH66" s="30">
        <v>0</v>
      </c>
      <c r="CI66" s="30">
        <v>0</v>
      </c>
      <c r="CJ66" s="30" t="e">
        <f t="array" aca="1" ref="CJ66" ca="1">_xludf.XLOOKUP(C66,'PL TOTAL D0'!H:H,'PL TOTAL D0'!I:I,"")</f>
        <v>#NAME?</v>
      </c>
    </row>
    <row r="67" spans="1:88" ht="15.75" customHeight="1">
      <c r="A67" s="36" t="s">
        <v>2921</v>
      </c>
      <c r="B67" s="3" t="s">
        <v>3049</v>
      </c>
      <c r="C67" s="9">
        <v>447493</v>
      </c>
      <c r="D67" s="9" t="s">
        <v>2923</v>
      </c>
      <c r="E67" s="9" t="s">
        <v>20</v>
      </c>
      <c r="F67" s="6" t="s">
        <v>2924</v>
      </c>
      <c r="G67" s="7" t="e">
        <f t="shared" ca="1" si="0"/>
        <v>#NAME?</v>
      </c>
      <c r="H67" s="8" t="s">
        <v>143</v>
      </c>
      <c r="I67" s="24" t="s">
        <v>25</v>
      </c>
      <c r="J67" s="9" t="str">
        <f t="shared" si="1"/>
        <v>Não</v>
      </c>
      <c r="K67" s="107">
        <v>43865</v>
      </c>
      <c r="L67" s="107">
        <v>44473</v>
      </c>
      <c r="M67" s="6" t="s">
        <v>200</v>
      </c>
      <c r="N67" s="10">
        <v>1.4999999999999999E-2</v>
      </c>
      <c r="O67" s="9" t="s">
        <v>37</v>
      </c>
      <c r="P67" s="234">
        <v>0.1</v>
      </c>
      <c r="Q67" s="45"/>
      <c r="R67" s="108"/>
      <c r="S67" s="7" t="s">
        <v>145</v>
      </c>
      <c r="T67" s="6" t="s">
        <v>3050</v>
      </c>
      <c r="U67" s="6" t="s">
        <v>20</v>
      </c>
      <c r="V67" s="24" t="e">
        <f t="shared" ca="1" si="2"/>
        <v>#NAME?</v>
      </c>
      <c r="W67" s="24"/>
      <c r="X67" s="24"/>
      <c r="Y67" s="6"/>
      <c r="Z67" s="6"/>
      <c r="AA67" s="6"/>
      <c r="AB67" s="6"/>
      <c r="AC67" s="110">
        <v>0</v>
      </c>
      <c r="AD67" s="110">
        <v>217836.28</v>
      </c>
      <c r="AE67" s="110">
        <v>199709.09</v>
      </c>
      <c r="AF67" s="110">
        <v>204655.32</v>
      </c>
      <c r="AG67" s="110">
        <v>207528.13</v>
      </c>
      <c r="AH67" s="110">
        <v>211010.91</v>
      </c>
      <c r="AI67" s="110">
        <v>217321.41</v>
      </c>
      <c r="AJ67" s="110">
        <v>209516.3</v>
      </c>
      <c r="AK67" s="110">
        <v>206424.62</v>
      </c>
      <c r="AL67" s="110">
        <v>208277.95</v>
      </c>
      <c r="AM67" s="110">
        <v>217627.73</v>
      </c>
      <c r="AN67" s="110">
        <v>221769.74</v>
      </c>
      <c r="AO67" s="110">
        <v>218485.48</v>
      </c>
      <c r="AP67" s="110">
        <v>211683.39</v>
      </c>
      <c r="AQ67" s="110">
        <v>209854.13</v>
      </c>
      <c r="AR67" s="110">
        <v>213853.81</v>
      </c>
      <c r="AS67" s="110">
        <v>217234.28</v>
      </c>
      <c r="AT67" s="110">
        <v>217317.63</v>
      </c>
      <c r="AU67" s="110">
        <v>211300.44</v>
      </c>
      <c r="AV67" s="110">
        <v>210145.39</v>
      </c>
      <c r="AW67" s="110">
        <v>208286.07</v>
      </c>
      <c r="AX67" s="110">
        <v>204481.03</v>
      </c>
      <c r="AY67" s="110">
        <v>172836.33</v>
      </c>
      <c r="AZ67" s="110">
        <v>195477.75</v>
      </c>
      <c r="BA67" s="110"/>
      <c r="BB67" s="110"/>
      <c r="BC67" s="110"/>
      <c r="BD67" s="110">
        <v>0</v>
      </c>
      <c r="BE67" s="110">
        <v>0</v>
      </c>
      <c r="BF67" s="110">
        <v>0</v>
      </c>
      <c r="BG67" s="110" t="s">
        <v>2932</v>
      </c>
      <c r="BH67" s="110">
        <v>0</v>
      </c>
      <c r="BI67" s="110">
        <v>0</v>
      </c>
      <c r="BJ67" s="110">
        <v>0</v>
      </c>
      <c r="BK67" s="237">
        <v>0</v>
      </c>
      <c r="BL67" s="237">
        <v>0</v>
      </c>
      <c r="BM67" s="237">
        <v>0</v>
      </c>
      <c r="BN67" s="237">
        <v>0</v>
      </c>
      <c r="BO67" s="237">
        <v>0</v>
      </c>
      <c r="BP67" s="237">
        <v>0</v>
      </c>
      <c r="BQ67" s="237">
        <v>0</v>
      </c>
      <c r="BR67" s="237">
        <v>0</v>
      </c>
      <c r="BS67" s="237">
        <v>0</v>
      </c>
      <c r="BT67" s="237">
        <v>0</v>
      </c>
      <c r="BU67" s="237">
        <v>0</v>
      </c>
      <c r="BV67" s="237">
        <v>0</v>
      </c>
      <c r="BW67" s="237">
        <v>0</v>
      </c>
      <c r="BX67" s="237">
        <v>0</v>
      </c>
      <c r="BY67" s="237">
        <v>0</v>
      </c>
      <c r="BZ67" s="237">
        <v>0</v>
      </c>
      <c r="CA67" s="237">
        <v>0</v>
      </c>
      <c r="CB67" s="237">
        <v>0</v>
      </c>
      <c r="CC67" s="237">
        <v>0</v>
      </c>
      <c r="CD67" s="237">
        <v>0</v>
      </c>
      <c r="CE67" s="237">
        <v>0</v>
      </c>
      <c r="CF67" s="237">
        <v>0</v>
      </c>
      <c r="CG67" s="237">
        <v>0</v>
      </c>
      <c r="CH67" s="30">
        <v>0</v>
      </c>
      <c r="CI67" s="30">
        <v>0</v>
      </c>
      <c r="CJ67" s="30" t="e">
        <f t="array" aca="1" ref="CJ67" ca="1">_xludf.XLOOKUP(C67,'PL TOTAL D0'!H:H,'PL TOTAL D0'!I:I,"")</f>
        <v>#NAME?</v>
      </c>
    </row>
    <row r="68" spans="1:88" ht="15.75" customHeight="1">
      <c r="A68" s="36" t="s">
        <v>2921</v>
      </c>
      <c r="B68" s="3" t="s">
        <v>614</v>
      </c>
      <c r="C68" s="9">
        <v>484477</v>
      </c>
      <c r="D68" s="9" t="s">
        <v>19</v>
      </c>
      <c r="E68" s="9" t="s">
        <v>34</v>
      </c>
      <c r="F68" s="6" t="s">
        <v>616</v>
      </c>
      <c r="G68" s="7" t="e">
        <f t="shared" ca="1" si="0"/>
        <v>#NAME?</v>
      </c>
      <c r="H68" s="8" t="s">
        <v>143</v>
      </c>
      <c r="I68" s="24" t="s">
        <v>25</v>
      </c>
      <c r="J68" s="9" t="str">
        <f t="shared" si="1"/>
        <v>Não</v>
      </c>
      <c r="K68" s="25">
        <v>44680</v>
      </c>
      <c r="L68" s="107">
        <v>44638</v>
      </c>
      <c r="M68" s="6" t="s">
        <v>42</v>
      </c>
      <c r="N68" s="10">
        <v>7.0000000000000001E-3</v>
      </c>
      <c r="O68" s="9" t="s">
        <v>25</v>
      </c>
      <c r="P68" s="234">
        <v>0</v>
      </c>
      <c r="Q68" s="45"/>
      <c r="R68" s="108"/>
      <c r="S68" s="7" t="s">
        <v>145</v>
      </c>
      <c r="T68" s="6" t="s">
        <v>617</v>
      </c>
      <c r="U68" s="6" t="s">
        <v>60</v>
      </c>
      <c r="V68" s="24" t="e">
        <f t="shared" ca="1" si="2"/>
        <v>#NAME?</v>
      </c>
      <c r="W68" s="24"/>
      <c r="X68" s="24"/>
      <c r="Y68" s="6"/>
      <c r="Z68" s="6"/>
      <c r="AA68" s="6"/>
      <c r="AB68" s="6"/>
      <c r="AC68" s="132"/>
      <c r="AD68" s="132"/>
      <c r="AE68" s="132"/>
      <c r="AF68" s="132"/>
      <c r="AG68" s="132"/>
      <c r="AH68" s="132"/>
      <c r="AI68" s="132"/>
      <c r="AJ68" s="132"/>
      <c r="AK68" s="132"/>
      <c r="AL68" s="132"/>
      <c r="AM68" s="132"/>
      <c r="AN68" s="132"/>
      <c r="AO68" s="132"/>
      <c r="AP68" s="110"/>
      <c r="AQ68" s="110"/>
      <c r="AR68" s="110"/>
      <c r="AS68" s="110"/>
      <c r="AT68" s="110"/>
      <c r="AU68" s="110"/>
      <c r="AV68" s="110"/>
      <c r="AW68" s="110"/>
      <c r="AX68" s="110"/>
      <c r="AY68" s="110"/>
      <c r="AZ68" s="110"/>
      <c r="BA68" s="110"/>
      <c r="BB68" s="110"/>
      <c r="BC68" s="110"/>
      <c r="BD68" s="110">
        <v>0</v>
      </c>
      <c r="BE68" s="110">
        <v>0</v>
      </c>
      <c r="BF68" s="110">
        <v>0</v>
      </c>
      <c r="BG68" s="110" t="s">
        <v>2932</v>
      </c>
      <c r="BH68" s="110">
        <v>0</v>
      </c>
      <c r="BI68" s="110">
        <v>0</v>
      </c>
      <c r="BJ68" s="110">
        <v>0</v>
      </c>
      <c r="BK68" s="237">
        <v>0</v>
      </c>
      <c r="BL68" s="237">
        <v>0</v>
      </c>
      <c r="BM68" s="237">
        <v>0</v>
      </c>
      <c r="BN68" s="237">
        <v>0</v>
      </c>
      <c r="BO68" s="237">
        <v>0</v>
      </c>
      <c r="BP68" s="237">
        <v>0</v>
      </c>
      <c r="BQ68" s="237">
        <v>0</v>
      </c>
      <c r="BR68" s="237">
        <v>0</v>
      </c>
      <c r="BS68" s="237">
        <v>0</v>
      </c>
      <c r="BT68" s="237">
        <v>0</v>
      </c>
      <c r="BU68" s="237">
        <v>0</v>
      </c>
      <c r="BV68" s="237">
        <v>0</v>
      </c>
      <c r="BW68" s="237">
        <v>0</v>
      </c>
      <c r="BX68" s="237">
        <v>0</v>
      </c>
      <c r="BY68" s="237">
        <v>0</v>
      </c>
      <c r="BZ68" s="237">
        <v>0</v>
      </c>
      <c r="CA68" s="237">
        <v>0</v>
      </c>
      <c r="CB68" s="237">
        <v>0</v>
      </c>
      <c r="CC68" s="237">
        <v>0</v>
      </c>
      <c r="CD68" s="237">
        <v>0</v>
      </c>
      <c r="CE68" s="237">
        <v>0</v>
      </c>
      <c r="CF68" s="237">
        <v>0</v>
      </c>
      <c r="CG68" s="237">
        <v>0</v>
      </c>
      <c r="CH68" s="30">
        <v>0</v>
      </c>
      <c r="CI68" s="30">
        <v>0</v>
      </c>
      <c r="CJ68" s="30" t="e">
        <f t="array" aca="1" ref="CJ68" ca="1">_xludf.XLOOKUP(C68,'PL TOTAL D0'!H:H,'PL TOTAL D0'!I:I,"")</f>
        <v>#NAME?</v>
      </c>
    </row>
    <row r="69" spans="1:88" ht="15.75" customHeight="1">
      <c r="A69" s="36" t="s">
        <v>2921</v>
      </c>
      <c r="B69" s="37" t="s">
        <v>614</v>
      </c>
      <c r="C69" s="9">
        <v>37718</v>
      </c>
      <c r="D69" s="9" t="s">
        <v>19</v>
      </c>
      <c r="E69" s="9" t="s">
        <v>34</v>
      </c>
      <c r="F69" s="9" t="s">
        <v>616</v>
      </c>
      <c r="G69" s="7" t="e">
        <f t="shared" ca="1" si="0"/>
        <v>#NAME?</v>
      </c>
      <c r="H69" s="8" t="s">
        <v>161</v>
      </c>
      <c r="I69" s="24" t="s">
        <v>162</v>
      </c>
      <c r="J69" s="9" t="str">
        <f t="shared" si="1"/>
        <v>Não</v>
      </c>
      <c r="K69" s="107">
        <v>44680</v>
      </c>
      <c r="L69" s="94"/>
      <c r="M69" s="6" t="s">
        <v>42</v>
      </c>
      <c r="N69" s="10">
        <v>7.0000000000000001E-3</v>
      </c>
      <c r="O69" s="9" t="s">
        <v>25</v>
      </c>
      <c r="P69" s="234">
        <v>0</v>
      </c>
      <c r="Q69" s="23"/>
      <c r="R69" s="235" t="s">
        <v>3044</v>
      </c>
      <c r="S69" s="7" t="s">
        <v>145</v>
      </c>
      <c r="T69" s="6" t="s">
        <v>617</v>
      </c>
      <c r="U69" s="6" t="s">
        <v>60</v>
      </c>
      <c r="V69" s="24" t="e">
        <f t="shared" ca="1" si="2"/>
        <v>#NAME?</v>
      </c>
      <c r="W69" s="24"/>
      <c r="X69" s="24"/>
      <c r="Y69" s="6" t="s">
        <v>147</v>
      </c>
      <c r="Z69" s="6"/>
      <c r="AA69" s="107">
        <v>44680</v>
      </c>
      <c r="AB69" s="6">
        <v>49075100014256</v>
      </c>
      <c r="AC69" s="236"/>
      <c r="AD69" s="236"/>
      <c r="AE69" s="236"/>
      <c r="AF69" s="236"/>
      <c r="AG69" s="236"/>
      <c r="AH69" s="236"/>
      <c r="AI69" s="236"/>
      <c r="AJ69" s="236"/>
      <c r="AK69" s="236"/>
      <c r="AL69" s="236"/>
      <c r="AM69" s="236"/>
      <c r="AN69" s="236"/>
      <c r="AO69" s="236"/>
      <c r="AP69" s="236"/>
      <c r="AQ69" s="236"/>
      <c r="AR69" s="236"/>
      <c r="AS69" s="236"/>
      <c r="AT69" s="236"/>
      <c r="AU69" s="236"/>
      <c r="AV69" s="254"/>
      <c r="AW69" s="254"/>
      <c r="AX69" s="254"/>
      <c r="AY69" s="110"/>
      <c r="AZ69" s="110"/>
      <c r="BA69" s="110"/>
      <c r="BB69" s="110"/>
      <c r="BC69" s="110"/>
      <c r="BD69" s="110"/>
      <c r="BE69" s="110"/>
      <c r="BF69" s="110">
        <v>1578132.64</v>
      </c>
      <c r="BG69" s="237">
        <v>1548270.63</v>
      </c>
      <c r="BH69" s="237">
        <v>1556970.08</v>
      </c>
      <c r="BI69" s="237">
        <v>1562866.84</v>
      </c>
      <c r="BJ69" s="237">
        <v>1581131.39</v>
      </c>
      <c r="BK69" s="237">
        <v>1591984.16</v>
      </c>
      <c r="BL69" s="237">
        <v>1606118.6</v>
      </c>
      <c r="BM69" s="237">
        <v>1609014.78</v>
      </c>
      <c r="BN69" s="237">
        <v>1624901.86</v>
      </c>
      <c r="BO69" s="237">
        <v>1644063.68</v>
      </c>
      <c r="BP69" s="237">
        <v>1660647.22</v>
      </c>
      <c r="BQ69" s="237">
        <v>1683086.65</v>
      </c>
      <c r="BR69" s="237">
        <v>68717.22</v>
      </c>
      <c r="BS69" s="237">
        <v>0.72</v>
      </c>
      <c r="BT69" s="237">
        <v>0</v>
      </c>
      <c r="BU69" s="237">
        <v>0</v>
      </c>
      <c r="BV69" s="237">
        <v>0</v>
      </c>
      <c r="BW69" s="237">
        <v>0</v>
      </c>
      <c r="BX69" s="237">
        <v>0</v>
      </c>
      <c r="BY69" s="237">
        <v>0</v>
      </c>
      <c r="BZ69" s="237">
        <v>0</v>
      </c>
      <c r="CA69" s="237">
        <v>0</v>
      </c>
      <c r="CB69" s="237">
        <v>0</v>
      </c>
      <c r="CC69" s="237">
        <v>0</v>
      </c>
      <c r="CD69" s="237">
        <v>0</v>
      </c>
      <c r="CE69" s="237">
        <v>0</v>
      </c>
      <c r="CF69" s="237">
        <v>0</v>
      </c>
      <c r="CG69" s="237">
        <v>0</v>
      </c>
      <c r="CH69" s="30">
        <v>0</v>
      </c>
      <c r="CI69" s="30">
        <v>0</v>
      </c>
      <c r="CJ69" s="30" t="e">
        <f t="array" aca="1" ref="CJ69" ca="1">_xludf.XLOOKUP(C69,'PL TOTAL D0'!H:H,'PL TOTAL D0'!I:I,"")</f>
        <v>#NAME?</v>
      </c>
    </row>
    <row r="70" spans="1:88" ht="15.75" customHeight="1">
      <c r="A70" s="36" t="s">
        <v>2921</v>
      </c>
      <c r="B70" s="37" t="s">
        <v>3051</v>
      </c>
      <c r="C70" s="9">
        <v>318729</v>
      </c>
      <c r="D70" s="9" t="s">
        <v>2923</v>
      </c>
      <c r="E70" s="9" t="s">
        <v>20</v>
      </c>
      <c r="F70" s="6" t="s">
        <v>2924</v>
      </c>
      <c r="G70" s="7" t="e">
        <f t="shared" ca="1" si="0"/>
        <v>#NAME?</v>
      </c>
      <c r="H70" s="8" t="s">
        <v>143</v>
      </c>
      <c r="I70" s="24" t="s">
        <v>25</v>
      </c>
      <c r="J70" s="9" t="str">
        <f t="shared" si="1"/>
        <v>Não</v>
      </c>
      <c r="K70" s="107">
        <v>43613</v>
      </c>
      <c r="L70" s="239">
        <v>44847</v>
      </c>
      <c r="M70" s="6" t="s">
        <v>200</v>
      </c>
      <c r="N70" s="10">
        <v>0.01</v>
      </c>
      <c r="O70" s="9" t="s">
        <v>37</v>
      </c>
      <c r="P70" s="234">
        <v>0.1</v>
      </c>
      <c r="Q70" s="108"/>
      <c r="R70" s="108"/>
      <c r="S70" s="7" t="s">
        <v>145</v>
      </c>
      <c r="T70" s="6" t="s">
        <v>3052</v>
      </c>
      <c r="U70" s="6" t="s">
        <v>20</v>
      </c>
      <c r="V70" s="24" t="e">
        <f t="shared" ca="1" si="2"/>
        <v>#NAME?</v>
      </c>
      <c r="W70" s="24"/>
      <c r="X70" s="24"/>
      <c r="Y70" s="6"/>
      <c r="Z70" s="6"/>
      <c r="AA70" s="6"/>
      <c r="AB70" s="6"/>
      <c r="AC70" s="110">
        <v>0</v>
      </c>
      <c r="AD70" s="110">
        <v>0</v>
      </c>
      <c r="AE70" s="110">
        <v>0</v>
      </c>
      <c r="AF70" s="110">
        <v>0</v>
      </c>
      <c r="AG70" s="110">
        <v>62.16</v>
      </c>
      <c r="AH70" s="110">
        <v>0</v>
      </c>
      <c r="AI70" s="110">
        <v>0</v>
      </c>
      <c r="AJ70" s="110"/>
      <c r="AK70" s="110"/>
      <c r="AL70" s="110">
        <v>112.43</v>
      </c>
      <c r="AM70" s="110">
        <v>112.43</v>
      </c>
      <c r="AN70" s="110">
        <v>112.43</v>
      </c>
      <c r="AO70" s="110">
        <v>112.43</v>
      </c>
      <c r="AP70" s="110">
        <v>112.43</v>
      </c>
      <c r="AQ70" s="110">
        <v>112.43</v>
      </c>
      <c r="AR70" s="110">
        <v>112.43</v>
      </c>
      <c r="AS70" s="110">
        <v>112.43</v>
      </c>
      <c r="AT70" s="110">
        <v>112.43</v>
      </c>
      <c r="AU70" s="110"/>
      <c r="AV70" s="240"/>
      <c r="AW70" s="240"/>
      <c r="AX70" s="240"/>
      <c r="AY70" s="110"/>
      <c r="AZ70" s="110"/>
      <c r="BA70" s="110"/>
      <c r="BB70" s="110"/>
      <c r="BC70" s="110"/>
      <c r="BD70" s="110"/>
      <c r="BE70" s="110"/>
      <c r="BF70" s="110">
        <v>0</v>
      </c>
      <c r="BG70" s="110" t="s">
        <v>2932</v>
      </c>
      <c r="BH70" s="110">
        <v>0</v>
      </c>
      <c r="BI70" s="110">
        <v>0</v>
      </c>
      <c r="BJ70" s="110">
        <v>0</v>
      </c>
      <c r="BK70" s="237">
        <v>0</v>
      </c>
      <c r="BL70" s="237">
        <v>0</v>
      </c>
      <c r="BM70" s="237">
        <v>0</v>
      </c>
      <c r="BN70" s="237">
        <v>0</v>
      </c>
      <c r="BO70" s="237">
        <v>0</v>
      </c>
      <c r="BP70" s="237">
        <v>0</v>
      </c>
      <c r="BQ70" s="237">
        <v>0</v>
      </c>
      <c r="BR70" s="237">
        <v>0</v>
      </c>
      <c r="BS70" s="237">
        <v>0</v>
      </c>
      <c r="BT70" s="237">
        <v>0</v>
      </c>
      <c r="BU70" s="237">
        <v>0</v>
      </c>
      <c r="BV70" s="237">
        <v>0</v>
      </c>
      <c r="BW70" s="237">
        <v>0</v>
      </c>
      <c r="BX70" s="237">
        <v>0</v>
      </c>
      <c r="BY70" s="237">
        <v>0</v>
      </c>
      <c r="BZ70" s="237">
        <v>0</v>
      </c>
      <c r="CA70" s="237">
        <v>0</v>
      </c>
      <c r="CB70" s="237">
        <v>0</v>
      </c>
      <c r="CC70" s="237">
        <v>0</v>
      </c>
      <c r="CD70" s="237">
        <v>0</v>
      </c>
      <c r="CE70" s="237">
        <v>0</v>
      </c>
      <c r="CF70" s="237">
        <v>0</v>
      </c>
      <c r="CG70" s="237">
        <v>0</v>
      </c>
      <c r="CH70" s="30">
        <v>0</v>
      </c>
      <c r="CI70" s="30">
        <v>0</v>
      </c>
      <c r="CJ70" s="30" t="e">
        <f t="array" aca="1" ref="CJ70" ca="1">_xludf.XLOOKUP(C70,'PL TOTAL D0'!H:H,'PL TOTAL D0'!I:I,"")</f>
        <v>#NAME?</v>
      </c>
    </row>
    <row r="71" spans="1:88" ht="15.75" customHeight="1">
      <c r="A71" s="36" t="s">
        <v>2921</v>
      </c>
      <c r="B71" s="106" t="s">
        <v>645</v>
      </c>
      <c r="C71" s="9">
        <v>33153</v>
      </c>
      <c r="D71" s="9" t="s">
        <v>19</v>
      </c>
      <c r="E71" s="9" t="s">
        <v>34</v>
      </c>
      <c r="F71" s="9" t="s">
        <v>2971</v>
      </c>
      <c r="G71" s="7" t="e">
        <f t="shared" ca="1" si="0"/>
        <v>#NAME?</v>
      </c>
      <c r="H71" s="8" t="s">
        <v>161</v>
      </c>
      <c r="I71" s="24" t="s">
        <v>162</v>
      </c>
      <c r="J71" s="9" t="str">
        <f t="shared" si="1"/>
        <v>Sim</v>
      </c>
      <c r="K71" s="107">
        <v>44260</v>
      </c>
      <c r="L71" s="6"/>
      <c r="M71" s="6" t="s">
        <v>58</v>
      </c>
      <c r="N71" s="10">
        <v>1.2E-2</v>
      </c>
      <c r="O71" s="9" t="s">
        <v>25</v>
      </c>
      <c r="P71" s="234">
        <v>0</v>
      </c>
      <c r="Q71" s="108" t="s">
        <v>3053</v>
      </c>
      <c r="R71" s="108"/>
      <c r="S71" s="7" t="s">
        <v>145</v>
      </c>
      <c r="T71" s="9" t="s">
        <v>648</v>
      </c>
      <c r="U71" s="6" t="s">
        <v>39</v>
      </c>
      <c r="V71" s="24" t="e">
        <f t="shared" ca="1" si="2"/>
        <v>#NAME?</v>
      </c>
      <c r="W71" s="24"/>
      <c r="X71" s="24"/>
      <c r="Y71" s="6" t="s">
        <v>253</v>
      </c>
      <c r="Z71" s="6"/>
      <c r="AA71" s="107">
        <v>44260</v>
      </c>
      <c r="AB71" s="6">
        <v>49075100004293</v>
      </c>
      <c r="AC71" s="240"/>
      <c r="AD71" s="240"/>
      <c r="AE71" s="240"/>
      <c r="AF71" s="240"/>
      <c r="AG71" s="240"/>
      <c r="AH71" s="240"/>
      <c r="AI71" s="240"/>
      <c r="AJ71" s="240"/>
      <c r="AK71" s="240"/>
      <c r="AL71" s="240"/>
      <c r="AM71" s="240"/>
      <c r="AN71" s="110"/>
      <c r="AO71" s="110"/>
      <c r="AP71" s="110"/>
      <c r="AQ71" s="236">
        <v>414083.79</v>
      </c>
      <c r="AR71" s="236">
        <v>414559.25</v>
      </c>
      <c r="AS71" s="236"/>
      <c r="AT71" s="236">
        <v>407509.47</v>
      </c>
      <c r="AU71" s="236">
        <v>423308.45</v>
      </c>
      <c r="AV71" s="110">
        <v>503282.47</v>
      </c>
      <c r="AW71" s="110">
        <v>501908.68</v>
      </c>
      <c r="AX71" s="110">
        <v>498949.97</v>
      </c>
      <c r="AY71" s="110">
        <v>466913.04</v>
      </c>
      <c r="AZ71" s="110">
        <v>491273.83</v>
      </c>
      <c r="BA71" s="110">
        <v>490067.87</v>
      </c>
      <c r="BB71" s="110">
        <v>491669.09</v>
      </c>
      <c r="BC71" s="110">
        <v>497242.3</v>
      </c>
      <c r="BD71" s="110">
        <v>520260.93</v>
      </c>
      <c r="BE71" s="110">
        <v>535280.6</v>
      </c>
      <c r="BF71" s="110">
        <v>547481.73</v>
      </c>
      <c r="BG71" s="237">
        <v>549384.91</v>
      </c>
      <c r="BH71" s="237">
        <v>549662.67000000004</v>
      </c>
      <c r="BI71" s="237">
        <v>601028.85</v>
      </c>
      <c r="BJ71" s="237">
        <v>608165.91</v>
      </c>
      <c r="BK71" s="237">
        <v>612635.25</v>
      </c>
      <c r="BL71" s="237">
        <v>622966.13</v>
      </c>
      <c r="BM71" s="237">
        <v>620822.77</v>
      </c>
      <c r="BN71" s="237">
        <v>548675.86</v>
      </c>
      <c r="BO71" s="237">
        <v>632642.87</v>
      </c>
      <c r="BP71" s="237">
        <v>638477.88</v>
      </c>
      <c r="BQ71" s="237">
        <v>0</v>
      </c>
      <c r="BR71" s="237">
        <v>652085.51</v>
      </c>
      <c r="BS71" s="237">
        <v>659448.62</v>
      </c>
      <c r="BT71" s="237">
        <v>388874.51</v>
      </c>
      <c r="BU71" s="237">
        <v>303844.40999999997</v>
      </c>
      <c r="BV71" s="237">
        <v>307858.73</v>
      </c>
      <c r="BW71" s="237">
        <v>54.41</v>
      </c>
      <c r="BX71" s="237">
        <v>204.07</v>
      </c>
      <c r="BY71" s="237">
        <v>10.35</v>
      </c>
      <c r="BZ71" s="237">
        <v>10.35</v>
      </c>
      <c r="CA71" s="237">
        <v>0</v>
      </c>
      <c r="CB71" s="237">
        <v>0</v>
      </c>
      <c r="CC71" s="237">
        <v>0</v>
      </c>
      <c r="CD71" s="237">
        <v>0</v>
      </c>
      <c r="CE71" s="237">
        <v>0</v>
      </c>
      <c r="CF71" s="237">
        <v>0</v>
      </c>
      <c r="CG71" s="237">
        <v>0</v>
      </c>
      <c r="CH71" s="30">
        <v>0</v>
      </c>
      <c r="CI71" s="30">
        <v>0</v>
      </c>
      <c r="CJ71" s="30" t="e">
        <f t="array" aca="1" ref="CJ71" ca="1">_xludf.XLOOKUP(C71,'PL TOTAL D0'!H:H,'PL TOTAL D0'!I:I,"")</f>
        <v>#NAME?</v>
      </c>
    </row>
    <row r="72" spans="1:88" ht="15.75" customHeight="1">
      <c r="A72" s="36" t="s">
        <v>2921</v>
      </c>
      <c r="B72" s="3" t="s">
        <v>649</v>
      </c>
      <c r="C72" s="9">
        <v>474439</v>
      </c>
      <c r="D72" s="9" t="s">
        <v>19</v>
      </c>
      <c r="E72" s="9" t="s">
        <v>34</v>
      </c>
      <c r="F72" s="6" t="s">
        <v>35</v>
      </c>
      <c r="G72" s="7" t="e">
        <f t="shared" ca="1" si="0"/>
        <v>#NAME?</v>
      </c>
      <c r="H72" s="8" t="s">
        <v>161</v>
      </c>
      <c r="I72" s="24" t="s">
        <v>162</v>
      </c>
      <c r="J72" s="9" t="str">
        <f t="shared" si="1"/>
        <v>Sim</v>
      </c>
      <c r="K72" s="232">
        <v>44615</v>
      </c>
      <c r="L72" s="6"/>
      <c r="M72" s="6" t="s">
        <v>42</v>
      </c>
      <c r="N72" s="233">
        <v>7.0000000000000001E-3</v>
      </c>
      <c r="O72" s="9" t="s">
        <v>25</v>
      </c>
      <c r="P72" s="234">
        <v>0</v>
      </c>
      <c r="Q72" s="28" t="s">
        <v>3054</v>
      </c>
      <c r="R72" s="28"/>
      <c r="S72" s="7" t="s">
        <v>145</v>
      </c>
      <c r="T72" s="6" t="s">
        <v>651</v>
      </c>
      <c r="U72" s="7" t="s">
        <v>39</v>
      </c>
      <c r="V72" s="24" t="e">
        <f t="shared" ca="1" si="2"/>
        <v>#NAME?</v>
      </c>
      <c r="W72" s="24"/>
      <c r="X72" s="24"/>
      <c r="Y72" s="6" t="s">
        <v>253</v>
      </c>
      <c r="Z72" s="6"/>
      <c r="AA72" s="107">
        <v>44615</v>
      </c>
      <c r="AB72" s="6">
        <v>49075100010498</v>
      </c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3"/>
      <c r="AN72" s="23"/>
      <c r="AO72" s="110"/>
      <c r="AP72" s="236"/>
      <c r="AQ72" s="236"/>
      <c r="AR72" s="236"/>
      <c r="AS72" s="236"/>
      <c r="AT72" s="236"/>
      <c r="AU72" s="110"/>
      <c r="AV72" s="110"/>
      <c r="AW72" s="110"/>
      <c r="AX72" s="110"/>
      <c r="AY72" s="110"/>
      <c r="AZ72" s="110"/>
      <c r="BA72" s="110"/>
      <c r="BB72" s="23"/>
      <c r="BC72" s="110"/>
      <c r="BD72" s="110">
        <v>82004.92</v>
      </c>
      <c r="BE72" s="110">
        <v>82885.53</v>
      </c>
      <c r="BF72" s="110">
        <v>422585.88</v>
      </c>
      <c r="BG72" s="237">
        <v>265984.24</v>
      </c>
      <c r="BH72" s="237">
        <v>267998.78000000003</v>
      </c>
      <c r="BI72" s="237">
        <v>269760.09999999998</v>
      </c>
      <c r="BJ72" s="237">
        <v>271367.57</v>
      </c>
      <c r="BK72" s="237">
        <v>272879.39</v>
      </c>
      <c r="BL72" s="237">
        <v>259665.28</v>
      </c>
      <c r="BM72" s="237">
        <v>261606.68</v>
      </c>
      <c r="BN72" s="237">
        <v>263543.95</v>
      </c>
      <c r="BO72" s="237">
        <v>365968.69</v>
      </c>
      <c r="BP72" s="237">
        <v>368843.57</v>
      </c>
      <c r="BQ72" s="237">
        <v>372410.75</v>
      </c>
      <c r="BR72" s="237">
        <v>374980.62</v>
      </c>
      <c r="BS72" s="237">
        <v>378646.46</v>
      </c>
      <c r="BT72" s="237">
        <v>381719.47</v>
      </c>
      <c r="BU72" s="237">
        <v>384351.72</v>
      </c>
      <c r="BV72" s="237">
        <v>27.53</v>
      </c>
      <c r="BW72" s="237">
        <v>0</v>
      </c>
      <c r="BX72" s="237">
        <v>27.53</v>
      </c>
      <c r="BY72" s="237">
        <v>0</v>
      </c>
      <c r="BZ72" s="237">
        <v>0</v>
      </c>
      <c r="CA72" s="237">
        <v>0</v>
      </c>
      <c r="CB72" s="237">
        <v>0</v>
      </c>
      <c r="CC72" s="237">
        <v>0</v>
      </c>
      <c r="CD72" s="237">
        <v>0</v>
      </c>
      <c r="CE72" s="237">
        <v>0</v>
      </c>
      <c r="CF72" s="237">
        <v>0</v>
      </c>
      <c r="CG72" s="237">
        <v>0</v>
      </c>
      <c r="CH72" s="30">
        <v>0</v>
      </c>
      <c r="CI72" s="30">
        <v>0</v>
      </c>
      <c r="CJ72" s="30" t="e">
        <f t="array" aca="1" ref="CJ72" ca="1">_xludf.XLOOKUP(C72,'PL TOTAL D0'!H:H,'PL TOTAL D0'!I:I,"")</f>
        <v>#NAME?</v>
      </c>
    </row>
    <row r="73" spans="1:88" ht="15.75" customHeight="1">
      <c r="A73" s="36" t="s">
        <v>2921</v>
      </c>
      <c r="B73" s="3" t="s">
        <v>3055</v>
      </c>
      <c r="C73" s="9">
        <v>424833</v>
      </c>
      <c r="D73" s="9" t="s">
        <v>19</v>
      </c>
      <c r="E73" s="9" t="s">
        <v>34</v>
      </c>
      <c r="F73" s="9" t="s">
        <v>35</v>
      </c>
      <c r="G73" s="7" t="e">
        <f t="shared" ca="1" si="0"/>
        <v>#NAME?</v>
      </c>
      <c r="H73" s="8" t="s">
        <v>152</v>
      </c>
      <c r="I73" s="24" t="s">
        <v>25</v>
      </c>
      <c r="J73" s="9" t="str">
        <f t="shared" si="1"/>
        <v>Não</v>
      </c>
      <c r="K73" s="232">
        <v>44321</v>
      </c>
      <c r="L73" s="6"/>
      <c r="M73" s="6" t="s">
        <v>200</v>
      </c>
      <c r="N73" s="233">
        <v>1.4999999999999999E-2</v>
      </c>
      <c r="O73" s="9" t="s">
        <v>37</v>
      </c>
      <c r="P73" s="234">
        <v>0.1</v>
      </c>
      <c r="Q73" s="28"/>
      <c r="R73" s="28"/>
      <c r="S73" s="7" t="s">
        <v>145</v>
      </c>
      <c r="T73" s="6" t="s">
        <v>3056</v>
      </c>
      <c r="U73" s="6" t="s">
        <v>39</v>
      </c>
      <c r="V73" s="24" t="e">
        <f t="shared" ca="1" si="2"/>
        <v>#NAME?</v>
      </c>
      <c r="W73" s="24"/>
      <c r="X73" s="24"/>
      <c r="Y73" s="6" t="s">
        <v>253</v>
      </c>
      <c r="Z73" s="6"/>
      <c r="AA73" s="107">
        <v>44321</v>
      </c>
      <c r="AB73" s="6">
        <v>49075100009864</v>
      </c>
      <c r="AC73" s="132"/>
      <c r="AD73" s="132"/>
      <c r="AE73" s="132"/>
      <c r="AF73" s="132"/>
      <c r="AG73" s="132"/>
      <c r="AH73" s="132"/>
      <c r="AI73" s="132"/>
      <c r="AJ73" s="132"/>
      <c r="AK73" s="132"/>
      <c r="AL73" s="132"/>
      <c r="AM73" s="132"/>
      <c r="AN73" s="132"/>
      <c r="AO73" s="132"/>
      <c r="AP73" s="110"/>
      <c r="AQ73" s="236"/>
      <c r="AR73" s="236"/>
      <c r="AS73" s="236"/>
      <c r="AT73" s="236"/>
      <c r="AU73" s="236">
        <v>154549.98000000001</v>
      </c>
      <c r="AV73" s="110">
        <v>154520.20000000001</v>
      </c>
      <c r="AW73" s="110">
        <v>153405.98000000001</v>
      </c>
      <c r="AX73" s="110">
        <v>150839.82</v>
      </c>
      <c r="AY73" s="110">
        <v>149081.38</v>
      </c>
      <c r="AZ73" s="110">
        <v>144569.38</v>
      </c>
      <c r="BA73" s="110">
        <v>142178.01999999999</v>
      </c>
      <c r="BB73" s="110">
        <v>141821.25</v>
      </c>
      <c r="BC73" s="110">
        <v>143513.96</v>
      </c>
      <c r="BD73" s="110">
        <v>144419.29999999999</v>
      </c>
      <c r="BE73" s="110">
        <v>150530.18</v>
      </c>
      <c r="BF73" s="110">
        <v>147846.76999999999</v>
      </c>
      <c r="BG73" s="237">
        <v>147330.72</v>
      </c>
      <c r="BH73" s="237">
        <v>145923.99</v>
      </c>
      <c r="BI73" s="237">
        <v>148356.18</v>
      </c>
      <c r="BJ73" s="237">
        <v>150278.72</v>
      </c>
      <c r="BK73" s="237">
        <v>151844.94</v>
      </c>
      <c r="BL73" s="237">
        <v>157743.17000000001</v>
      </c>
      <c r="BM73" s="237">
        <v>155921.76</v>
      </c>
      <c r="BN73" s="237">
        <v>157144.25</v>
      </c>
      <c r="BO73" s="237">
        <v>158993.94</v>
      </c>
      <c r="BP73" s="237">
        <v>159946.22</v>
      </c>
      <c r="BQ73" s="237">
        <v>161873.38</v>
      </c>
      <c r="BR73" s="237">
        <v>162419.46</v>
      </c>
      <c r="BS73" s="237">
        <v>166627.71</v>
      </c>
      <c r="BT73" s="237">
        <v>163669.97</v>
      </c>
      <c r="BU73" s="237">
        <v>118849.53</v>
      </c>
      <c r="BV73" s="237">
        <v>166360.45000000001</v>
      </c>
      <c r="BW73" s="237">
        <v>167799.63</v>
      </c>
      <c r="BX73" s="237">
        <v>168930.89</v>
      </c>
      <c r="BY73" s="237">
        <v>171772.42</v>
      </c>
      <c r="BZ73" s="237">
        <v>174814.04</v>
      </c>
      <c r="CA73" s="237">
        <v>133129.24</v>
      </c>
      <c r="CB73" s="237">
        <v>174127.59</v>
      </c>
      <c r="CC73" s="237">
        <v>137212.70000000001</v>
      </c>
      <c r="CD73" s="237">
        <v>172937.01</v>
      </c>
      <c r="CE73" s="237">
        <v>168969.58</v>
      </c>
      <c r="CF73" s="237">
        <v>173590.88</v>
      </c>
      <c r="CG73" s="237">
        <v>176021.53</v>
      </c>
      <c r="CH73" s="30">
        <v>176284.41</v>
      </c>
      <c r="CI73" s="30">
        <v>176360.11</v>
      </c>
      <c r="CJ73" s="30" t="e">
        <f t="array" aca="1" ref="CJ73" ca="1">_xludf.XLOOKUP(C73,'PL TOTAL D0'!H:H,'PL TOTAL D0'!I:I,"")</f>
        <v>#NAME?</v>
      </c>
    </row>
    <row r="74" spans="1:88" ht="15.75" customHeight="1">
      <c r="A74" s="36" t="s">
        <v>2921</v>
      </c>
      <c r="B74" s="37" t="s">
        <v>667</v>
      </c>
      <c r="C74" s="9">
        <v>253798</v>
      </c>
      <c r="D74" s="9" t="s">
        <v>19</v>
      </c>
      <c r="E74" s="9" t="s">
        <v>34</v>
      </c>
      <c r="F74" s="9" t="s">
        <v>262</v>
      </c>
      <c r="G74" s="7" t="e">
        <f t="shared" ca="1" si="0"/>
        <v>#NAME?</v>
      </c>
      <c r="H74" s="8" t="s">
        <v>161</v>
      </c>
      <c r="I74" s="24" t="s">
        <v>162</v>
      </c>
      <c r="J74" s="9" t="str">
        <f t="shared" si="1"/>
        <v>Não</v>
      </c>
      <c r="K74" s="107">
        <v>44614</v>
      </c>
      <c r="L74" s="7"/>
      <c r="M74" s="6" t="s">
        <v>58</v>
      </c>
      <c r="N74" s="10">
        <v>1.2E-2</v>
      </c>
      <c r="O74" s="9" t="s">
        <v>25</v>
      </c>
      <c r="P74" s="234">
        <v>0</v>
      </c>
      <c r="Q74" s="108"/>
      <c r="R74" s="108"/>
      <c r="S74" s="7" t="s">
        <v>145</v>
      </c>
      <c r="T74" s="6" t="s">
        <v>669</v>
      </c>
      <c r="U74" s="6" t="s">
        <v>39</v>
      </c>
      <c r="V74" s="24" t="e">
        <f t="shared" ca="1" si="2"/>
        <v>#NAME?</v>
      </c>
      <c r="W74" s="24"/>
      <c r="X74" s="24"/>
      <c r="Y74" s="6" t="s">
        <v>253</v>
      </c>
      <c r="Z74" s="6"/>
      <c r="AA74" s="107">
        <v>44614</v>
      </c>
      <c r="AB74" s="6">
        <v>49075100003351</v>
      </c>
      <c r="AC74" s="240"/>
      <c r="AD74" s="240"/>
      <c r="AE74" s="240"/>
      <c r="AF74" s="240"/>
      <c r="AG74" s="240"/>
      <c r="AH74" s="240"/>
      <c r="AI74" s="240"/>
      <c r="AJ74" s="240"/>
      <c r="AK74" s="240"/>
      <c r="AL74" s="240"/>
      <c r="AM74" s="240"/>
      <c r="AN74" s="110"/>
      <c r="AO74" s="110"/>
      <c r="AP74" s="110"/>
      <c r="AQ74" s="236"/>
      <c r="AR74" s="236"/>
      <c r="AS74" s="236"/>
      <c r="AT74" s="236"/>
      <c r="AU74" s="236"/>
      <c r="AV74" s="110"/>
      <c r="AW74" s="110"/>
      <c r="AX74" s="110"/>
      <c r="AY74" s="110"/>
      <c r="AZ74" s="110"/>
      <c r="BA74" s="110"/>
      <c r="BB74" s="110"/>
      <c r="BC74" s="110"/>
      <c r="BD74" s="110">
        <v>191071.54</v>
      </c>
      <c r="BE74" s="110">
        <v>185843.26</v>
      </c>
      <c r="BF74" s="110">
        <v>185877.58</v>
      </c>
      <c r="BG74" s="237">
        <v>186670.76</v>
      </c>
      <c r="BH74" s="237">
        <v>186279.36</v>
      </c>
      <c r="BI74" s="237">
        <v>188184.67</v>
      </c>
      <c r="BJ74" s="237">
        <v>190295.39</v>
      </c>
      <c r="BK74" s="237">
        <v>201987.54</v>
      </c>
      <c r="BL74" s="237">
        <v>205917.8</v>
      </c>
      <c r="BM74" s="237">
        <v>205648.38</v>
      </c>
      <c r="BN74" s="237">
        <v>207534.56</v>
      </c>
      <c r="BO74" s="237">
        <v>194628.35</v>
      </c>
      <c r="BP74" s="237">
        <v>161569.13</v>
      </c>
      <c r="BQ74" s="237">
        <v>185400</v>
      </c>
      <c r="BR74" s="237">
        <v>186775.67</v>
      </c>
      <c r="BS74" s="237">
        <v>188810.93</v>
      </c>
      <c r="BT74" s="237">
        <v>191874.03</v>
      </c>
      <c r="BU74" s="237">
        <v>210293.42</v>
      </c>
      <c r="BV74" s="237">
        <v>115403.94</v>
      </c>
      <c r="BW74" s="237">
        <v>19.510000000000002</v>
      </c>
      <c r="BX74" s="237">
        <v>0.7</v>
      </c>
      <c r="BY74" s="237">
        <v>0</v>
      </c>
      <c r="BZ74" s="237">
        <v>0</v>
      </c>
      <c r="CA74" s="237">
        <v>0</v>
      </c>
      <c r="CB74" s="237">
        <v>0</v>
      </c>
      <c r="CC74" s="237">
        <v>0</v>
      </c>
      <c r="CD74" s="237">
        <v>0</v>
      </c>
      <c r="CE74" s="237">
        <v>0</v>
      </c>
      <c r="CF74" s="237">
        <v>0</v>
      </c>
      <c r="CG74" s="237">
        <v>0</v>
      </c>
      <c r="CH74" s="30">
        <v>0</v>
      </c>
      <c r="CI74" s="30">
        <v>0</v>
      </c>
      <c r="CJ74" s="30" t="e">
        <f t="array" aca="1" ref="CJ74" ca="1">_xludf.XLOOKUP(C74,'PL TOTAL D0'!H:H,'PL TOTAL D0'!I:I,"")</f>
        <v>#NAME?</v>
      </c>
    </row>
    <row r="75" spans="1:88" ht="15.75" customHeight="1">
      <c r="A75" s="36" t="s">
        <v>2921</v>
      </c>
      <c r="B75" s="3" t="s">
        <v>674</v>
      </c>
      <c r="C75" s="9">
        <v>32208</v>
      </c>
      <c r="D75" s="9" t="s">
        <v>19</v>
      </c>
      <c r="E75" s="9" t="s">
        <v>34</v>
      </c>
      <c r="F75" s="9" t="s">
        <v>35</v>
      </c>
      <c r="G75" s="7" t="e">
        <f t="shared" ca="1" si="0"/>
        <v>#NAME?</v>
      </c>
      <c r="H75" s="8" t="s">
        <v>161</v>
      </c>
      <c r="I75" s="24" t="s">
        <v>162</v>
      </c>
      <c r="J75" s="9" t="str">
        <f t="shared" si="1"/>
        <v>Não</v>
      </c>
      <c r="K75" s="107">
        <v>44273</v>
      </c>
      <c r="L75" s="7"/>
      <c r="M75" s="6" t="s">
        <v>200</v>
      </c>
      <c r="N75" s="10">
        <v>1.4999999999999999E-2</v>
      </c>
      <c r="O75" s="9" t="s">
        <v>37</v>
      </c>
      <c r="P75" s="234">
        <v>0.1</v>
      </c>
      <c r="Q75" s="108"/>
      <c r="R75" s="108"/>
      <c r="S75" s="7" t="s">
        <v>145</v>
      </c>
      <c r="T75" s="6" t="s">
        <v>676</v>
      </c>
      <c r="U75" s="6" t="s">
        <v>39</v>
      </c>
      <c r="V75" s="24" t="e">
        <f t="shared" ca="1" si="2"/>
        <v>#NAME?</v>
      </c>
      <c r="W75" s="24"/>
      <c r="X75" s="24"/>
      <c r="Y75" s="6" t="s">
        <v>253</v>
      </c>
      <c r="Z75" s="6"/>
      <c r="AA75" s="107">
        <v>44273</v>
      </c>
      <c r="AB75" s="6">
        <v>49075100003361</v>
      </c>
      <c r="AC75" s="240"/>
      <c r="AD75" s="240"/>
      <c r="AE75" s="240"/>
      <c r="AF75" s="240"/>
      <c r="AG75" s="240"/>
      <c r="AH75" s="240"/>
      <c r="AI75" s="240"/>
      <c r="AJ75" s="240"/>
      <c r="AK75" s="240"/>
      <c r="AL75" s="240"/>
      <c r="AM75" s="240"/>
      <c r="AN75" s="110"/>
      <c r="AO75" s="110"/>
      <c r="AP75" s="110"/>
      <c r="AQ75" s="236">
        <v>119340.97</v>
      </c>
      <c r="AR75" s="236">
        <v>125216.26</v>
      </c>
      <c r="AS75" s="236"/>
      <c r="AT75" s="236">
        <v>128207.62</v>
      </c>
      <c r="AU75" s="236">
        <v>135631.98000000001</v>
      </c>
      <c r="AV75" s="110">
        <v>139758.99</v>
      </c>
      <c r="AW75" s="110">
        <v>145201.91</v>
      </c>
      <c r="AX75" s="110">
        <v>149388.22</v>
      </c>
      <c r="AY75" s="110">
        <v>153836.46</v>
      </c>
      <c r="AZ75" s="110">
        <v>153108.17000000001</v>
      </c>
      <c r="BA75" s="110">
        <v>154429.94</v>
      </c>
      <c r="BB75" s="110">
        <v>148147.79999999999</v>
      </c>
      <c r="BC75" s="110">
        <v>166773.48000000001</v>
      </c>
      <c r="BD75" s="110">
        <v>170552.42</v>
      </c>
      <c r="BE75" s="110">
        <v>200380.55</v>
      </c>
      <c r="BF75" s="110">
        <v>198830.47</v>
      </c>
      <c r="BG75" s="237">
        <v>201548.7</v>
      </c>
      <c r="BH75" s="237">
        <v>199788.74</v>
      </c>
      <c r="BI75" s="237">
        <v>229883.69</v>
      </c>
      <c r="BJ75" s="237">
        <v>232566.65</v>
      </c>
      <c r="BK75" s="237">
        <v>305700.86</v>
      </c>
      <c r="BL75" s="237">
        <v>334312.36</v>
      </c>
      <c r="BM75" s="237">
        <v>348256.62</v>
      </c>
      <c r="BN75" s="237">
        <v>388534.61</v>
      </c>
      <c r="BO75" s="237">
        <v>395425.27</v>
      </c>
      <c r="BP75" s="237">
        <v>402692.22</v>
      </c>
      <c r="BQ75" s="237">
        <v>418587.79</v>
      </c>
      <c r="BR75" s="237">
        <v>427573.29</v>
      </c>
      <c r="BS75" s="237">
        <v>447505.34</v>
      </c>
      <c r="BT75" s="237">
        <v>387534.36</v>
      </c>
      <c r="BU75" s="237">
        <v>402158.11</v>
      </c>
      <c r="BV75" s="237">
        <v>14170.67</v>
      </c>
      <c r="BW75" s="237">
        <v>14128.73</v>
      </c>
      <c r="BX75" s="237">
        <v>163.58000000000001</v>
      </c>
      <c r="BY75" s="237">
        <v>15.85</v>
      </c>
      <c r="BZ75" s="237">
        <v>15.85</v>
      </c>
      <c r="CA75" s="237">
        <v>0</v>
      </c>
      <c r="CB75" s="237">
        <v>0</v>
      </c>
      <c r="CC75" s="237">
        <v>0</v>
      </c>
      <c r="CD75" s="237">
        <v>0</v>
      </c>
      <c r="CE75" s="237">
        <v>0</v>
      </c>
      <c r="CF75" s="237">
        <v>0</v>
      </c>
      <c r="CG75" s="237">
        <v>0</v>
      </c>
      <c r="CH75" s="30">
        <v>0</v>
      </c>
      <c r="CI75" s="30">
        <v>0</v>
      </c>
      <c r="CJ75" s="30" t="e">
        <f t="array" aca="1" ref="CJ75" ca="1">_xludf.XLOOKUP(C75,'PL TOTAL D0'!H:H,'PL TOTAL D0'!I:I,"")</f>
        <v>#NAME?</v>
      </c>
    </row>
    <row r="76" spans="1:88" ht="15.75" customHeight="1">
      <c r="A76" s="36" t="s">
        <v>2921</v>
      </c>
      <c r="B76" s="37" t="s">
        <v>3057</v>
      </c>
      <c r="C76" s="9">
        <v>578989</v>
      </c>
      <c r="D76" s="9" t="s">
        <v>2923</v>
      </c>
      <c r="E76" s="9" t="s">
        <v>20</v>
      </c>
      <c r="F76" s="6" t="s">
        <v>2930</v>
      </c>
      <c r="G76" s="7" t="e">
        <f t="shared" ca="1" si="0"/>
        <v>#NAME?</v>
      </c>
      <c r="H76" s="8" t="s">
        <v>143</v>
      </c>
      <c r="I76" s="24" t="s">
        <v>25</v>
      </c>
      <c r="J76" s="9" t="str">
        <f t="shared" si="1"/>
        <v>Não</v>
      </c>
      <c r="K76" s="107">
        <v>43609</v>
      </c>
      <c r="L76" s="239">
        <v>44847</v>
      </c>
      <c r="M76" s="6" t="s">
        <v>87</v>
      </c>
      <c r="N76" s="10">
        <v>0.02</v>
      </c>
      <c r="O76" s="9" t="s">
        <v>183</v>
      </c>
      <c r="P76" s="234">
        <v>0.2</v>
      </c>
      <c r="Q76" s="108"/>
      <c r="R76" s="108"/>
      <c r="S76" s="7" t="s">
        <v>145</v>
      </c>
      <c r="T76" s="6" t="s">
        <v>3058</v>
      </c>
      <c r="U76" s="6" t="s">
        <v>20</v>
      </c>
      <c r="V76" s="24" t="e">
        <f t="shared" ca="1" si="2"/>
        <v>#NAME?</v>
      </c>
      <c r="W76" s="24"/>
      <c r="X76" s="24"/>
      <c r="Y76" s="6"/>
      <c r="Z76" s="6"/>
      <c r="AA76" s="6"/>
      <c r="AB76" s="6"/>
      <c r="AC76" s="110">
        <v>0</v>
      </c>
      <c r="AD76" s="110">
        <v>0</v>
      </c>
      <c r="AE76" s="110">
        <v>0</v>
      </c>
      <c r="AF76" s="110">
        <v>0</v>
      </c>
      <c r="AG76" s="110">
        <v>0</v>
      </c>
      <c r="AH76" s="110">
        <v>0</v>
      </c>
      <c r="AI76" s="110">
        <v>0</v>
      </c>
      <c r="AJ76" s="110"/>
      <c r="AK76" s="110"/>
      <c r="AL76" s="110"/>
      <c r="AM76" s="110"/>
      <c r="AN76" s="110"/>
      <c r="AO76" s="110"/>
      <c r="AP76" s="110"/>
      <c r="AQ76" s="110"/>
      <c r="AR76" s="110"/>
      <c r="AS76" s="110"/>
      <c r="AT76" s="110"/>
      <c r="AU76" s="110"/>
      <c r="AV76" s="240"/>
      <c r="AW76" s="240"/>
      <c r="AX76" s="240"/>
      <c r="AY76" s="110"/>
      <c r="AZ76" s="110"/>
      <c r="BA76" s="110"/>
      <c r="BB76" s="110"/>
      <c r="BC76" s="110"/>
      <c r="BD76" s="110">
        <v>0</v>
      </c>
      <c r="BE76" s="110">
        <v>0</v>
      </c>
      <c r="BF76" s="110">
        <v>0</v>
      </c>
      <c r="BG76" s="110" t="s">
        <v>2932</v>
      </c>
      <c r="BH76" s="110">
        <v>0</v>
      </c>
      <c r="BI76" s="110" t="s">
        <v>2932</v>
      </c>
      <c r="BJ76" s="110">
        <v>0</v>
      </c>
      <c r="BK76" s="237">
        <v>0</v>
      </c>
      <c r="BL76" s="237">
        <v>0</v>
      </c>
      <c r="BM76" s="237">
        <v>0</v>
      </c>
      <c r="BN76" s="237">
        <v>0</v>
      </c>
      <c r="BO76" s="237">
        <v>0</v>
      </c>
      <c r="BP76" s="237">
        <v>0</v>
      </c>
      <c r="BQ76" s="237">
        <v>0</v>
      </c>
      <c r="BR76" s="237">
        <v>0</v>
      </c>
      <c r="BS76" s="237">
        <v>0</v>
      </c>
      <c r="BT76" s="237">
        <v>0</v>
      </c>
      <c r="BU76" s="237">
        <v>0</v>
      </c>
      <c r="BV76" s="237">
        <v>0</v>
      </c>
      <c r="BW76" s="237">
        <v>0</v>
      </c>
      <c r="BX76" s="237">
        <v>0</v>
      </c>
      <c r="BY76" s="237">
        <v>0</v>
      </c>
      <c r="BZ76" s="237">
        <v>0</v>
      </c>
      <c r="CA76" s="237">
        <v>0</v>
      </c>
      <c r="CB76" s="237">
        <v>0</v>
      </c>
      <c r="CC76" s="237">
        <v>0</v>
      </c>
      <c r="CD76" s="237">
        <v>0</v>
      </c>
      <c r="CE76" s="237">
        <v>0</v>
      </c>
      <c r="CF76" s="237">
        <v>0</v>
      </c>
      <c r="CG76" s="237">
        <v>0</v>
      </c>
      <c r="CH76" s="30">
        <v>0</v>
      </c>
      <c r="CI76" s="30">
        <v>0</v>
      </c>
      <c r="CJ76" s="30" t="e">
        <f t="array" aca="1" ref="CJ76" ca="1">_xludf.XLOOKUP(C76,'PL TOTAL D0'!H:H,'PL TOTAL D0'!I:I,"")</f>
        <v>#NAME?</v>
      </c>
    </row>
    <row r="77" spans="1:88" ht="15.75" customHeight="1">
      <c r="A77" s="36" t="s">
        <v>2921</v>
      </c>
      <c r="B77" s="37" t="s">
        <v>3057</v>
      </c>
      <c r="C77" s="9">
        <v>80764</v>
      </c>
      <c r="D77" s="9" t="s">
        <v>2923</v>
      </c>
      <c r="E77" s="9" t="s">
        <v>20</v>
      </c>
      <c r="F77" s="6" t="s">
        <v>2930</v>
      </c>
      <c r="G77" s="7" t="e">
        <f t="shared" ca="1" si="0"/>
        <v>#NAME?</v>
      </c>
      <c r="H77" s="8" t="s">
        <v>143</v>
      </c>
      <c r="I77" s="24" t="s">
        <v>25</v>
      </c>
      <c r="J77" s="9" t="str">
        <f t="shared" si="1"/>
        <v>Não</v>
      </c>
      <c r="K77" s="107">
        <v>43609</v>
      </c>
      <c r="L77" s="239">
        <v>44482</v>
      </c>
      <c r="M77" s="6" t="s">
        <v>58</v>
      </c>
      <c r="N77" s="10">
        <v>5.0000000000000001E-3</v>
      </c>
      <c r="O77" s="9" t="s">
        <v>25</v>
      </c>
      <c r="P77" s="234">
        <v>0</v>
      </c>
      <c r="Q77" s="108"/>
      <c r="R77" s="108"/>
      <c r="S77" s="7" t="s">
        <v>145</v>
      </c>
      <c r="T77" s="6" t="s">
        <v>3058</v>
      </c>
      <c r="U77" s="6" t="s">
        <v>20</v>
      </c>
      <c r="V77" s="24" t="e">
        <f t="shared" ca="1" si="2"/>
        <v>#NAME?</v>
      </c>
      <c r="W77" s="24"/>
      <c r="X77" s="24"/>
      <c r="Y77" s="6"/>
      <c r="Z77" s="6"/>
      <c r="AA77" s="6"/>
      <c r="AB77" s="6"/>
      <c r="AC77" s="110">
        <v>55295.03</v>
      </c>
      <c r="AD77" s="110">
        <v>0</v>
      </c>
      <c r="AE77" s="110">
        <v>0</v>
      </c>
      <c r="AF77" s="110">
        <v>0</v>
      </c>
      <c r="AG77" s="110">
        <v>0.68</v>
      </c>
      <c r="AH77" s="110">
        <v>0</v>
      </c>
      <c r="AI77" s="110">
        <v>0</v>
      </c>
      <c r="AJ77" s="110"/>
      <c r="AK77" s="110"/>
      <c r="AL77" s="110">
        <v>0.68</v>
      </c>
      <c r="AM77" s="110">
        <v>0.68</v>
      </c>
      <c r="AN77" s="110">
        <v>0.68</v>
      </c>
      <c r="AO77" s="110">
        <v>0.68</v>
      </c>
      <c r="AP77" s="110">
        <v>0.68</v>
      </c>
      <c r="AQ77" s="110">
        <v>0.68</v>
      </c>
      <c r="AR77" s="110">
        <v>0.68</v>
      </c>
      <c r="AS77" s="110">
        <v>0.68</v>
      </c>
      <c r="AT77" s="110">
        <v>0.68</v>
      </c>
      <c r="AU77" s="110"/>
      <c r="AV77" s="240"/>
      <c r="AW77" s="240"/>
      <c r="AX77" s="240"/>
      <c r="AY77" s="110"/>
      <c r="AZ77" s="110"/>
      <c r="BA77" s="110"/>
      <c r="BB77" s="110"/>
      <c r="BC77" s="110"/>
      <c r="BD77" s="110">
        <v>0</v>
      </c>
      <c r="BE77" s="110">
        <v>0</v>
      </c>
      <c r="BF77" s="110">
        <v>0</v>
      </c>
      <c r="BG77" s="110" t="s">
        <v>2932</v>
      </c>
      <c r="BH77" s="110">
        <v>0</v>
      </c>
      <c r="BI77" s="110" t="s">
        <v>2932</v>
      </c>
      <c r="BJ77" s="110">
        <v>0</v>
      </c>
      <c r="BK77" s="237">
        <v>0</v>
      </c>
      <c r="BL77" s="237">
        <v>0</v>
      </c>
      <c r="BM77" s="237">
        <v>0</v>
      </c>
      <c r="BN77" s="237">
        <v>0</v>
      </c>
      <c r="BO77" s="237">
        <v>0</v>
      </c>
      <c r="BP77" s="237">
        <v>0</v>
      </c>
      <c r="BQ77" s="237">
        <v>0</v>
      </c>
      <c r="BR77" s="237">
        <v>0</v>
      </c>
      <c r="BS77" s="237">
        <v>0</v>
      </c>
      <c r="BT77" s="237">
        <v>0</v>
      </c>
      <c r="BU77" s="237">
        <v>0</v>
      </c>
      <c r="BV77" s="237">
        <v>0</v>
      </c>
      <c r="BW77" s="237">
        <v>0</v>
      </c>
      <c r="BX77" s="237">
        <v>0</v>
      </c>
      <c r="BY77" s="237">
        <v>0</v>
      </c>
      <c r="BZ77" s="237">
        <v>0</v>
      </c>
      <c r="CA77" s="237">
        <v>0</v>
      </c>
      <c r="CB77" s="237">
        <v>0</v>
      </c>
      <c r="CC77" s="237">
        <v>0</v>
      </c>
      <c r="CD77" s="237">
        <v>0</v>
      </c>
      <c r="CE77" s="237">
        <v>0</v>
      </c>
      <c r="CF77" s="237">
        <v>0</v>
      </c>
      <c r="CG77" s="237">
        <v>0</v>
      </c>
      <c r="CH77" s="30">
        <v>0</v>
      </c>
      <c r="CI77" s="30">
        <v>0</v>
      </c>
      <c r="CJ77" s="30" t="e">
        <f t="array" aca="1" ref="CJ77" ca="1">_xludf.XLOOKUP(C77,'PL TOTAL D0'!H:H,'PL TOTAL D0'!I:I,"")</f>
        <v>#NAME?</v>
      </c>
    </row>
    <row r="78" spans="1:88" ht="15.75" customHeight="1">
      <c r="A78" s="36" t="s">
        <v>2921</v>
      </c>
      <c r="B78" s="3" t="s">
        <v>3059</v>
      </c>
      <c r="C78" s="9">
        <v>48783</v>
      </c>
      <c r="D78" s="9" t="s">
        <v>19</v>
      </c>
      <c r="E78" s="9" t="s">
        <v>34</v>
      </c>
      <c r="F78" s="6" t="s">
        <v>262</v>
      </c>
      <c r="G78" s="7" t="e">
        <f t="shared" ca="1" si="0"/>
        <v>#NAME?</v>
      </c>
      <c r="H78" s="8" t="s">
        <v>161</v>
      </c>
      <c r="I78" s="24" t="s">
        <v>162</v>
      </c>
      <c r="J78" s="9" t="str">
        <f t="shared" si="1"/>
        <v>Não</v>
      </c>
      <c r="K78" s="25">
        <v>44364</v>
      </c>
      <c r="L78" s="6"/>
      <c r="M78" s="6" t="s">
        <v>58</v>
      </c>
      <c r="N78" s="10">
        <v>1.2E-2</v>
      </c>
      <c r="O78" s="9" t="s">
        <v>25</v>
      </c>
      <c r="P78" s="234">
        <v>0</v>
      </c>
      <c r="Q78" s="28"/>
      <c r="R78" s="28"/>
      <c r="S78" s="7" t="s">
        <v>145</v>
      </c>
      <c r="T78" s="6" t="s">
        <v>693</v>
      </c>
      <c r="U78" s="6" t="s">
        <v>39</v>
      </c>
      <c r="V78" s="24" t="e">
        <f t="shared" ca="1" si="2"/>
        <v>#NAME?</v>
      </c>
      <c r="W78" s="24"/>
      <c r="X78" s="24"/>
      <c r="Y78" s="6" t="s">
        <v>253</v>
      </c>
      <c r="Z78" s="6"/>
      <c r="AA78" s="107">
        <v>44364</v>
      </c>
      <c r="AB78" s="6">
        <v>49075100003378</v>
      </c>
      <c r="AC78" s="132"/>
      <c r="AD78" s="132"/>
      <c r="AE78" s="132"/>
      <c r="AF78" s="132"/>
      <c r="AG78" s="132"/>
      <c r="AH78" s="132"/>
      <c r="AI78" s="132"/>
      <c r="AJ78" s="132"/>
      <c r="AK78" s="132"/>
      <c r="AL78" s="132"/>
      <c r="AM78" s="132"/>
      <c r="AN78" s="132"/>
      <c r="AO78" s="132"/>
      <c r="AP78" s="110"/>
      <c r="AQ78" s="110"/>
      <c r="AR78" s="110"/>
      <c r="AS78" s="110"/>
      <c r="AT78" s="110"/>
      <c r="AU78" s="132"/>
      <c r="AV78" s="110">
        <v>206169.8</v>
      </c>
      <c r="AW78" s="110">
        <v>206583.34</v>
      </c>
      <c r="AX78" s="110">
        <v>206861.97</v>
      </c>
      <c r="AY78" s="110">
        <v>207683.07</v>
      </c>
      <c r="AZ78" s="110">
        <v>207851.19</v>
      </c>
      <c r="BA78" s="110">
        <v>208075.33</v>
      </c>
      <c r="BB78" s="110">
        <v>208651.07</v>
      </c>
      <c r="BC78" s="110">
        <v>210859.65</v>
      </c>
      <c r="BD78" s="110">
        <v>212442.36</v>
      </c>
      <c r="BE78" s="110">
        <v>216901.68</v>
      </c>
      <c r="BF78" s="110">
        <v>231112.74</v>
      </c>
      <c r="BG78" s="237">
        <v>232022.08</v>
      </c>
      <c r="BH78" s="237">
        <v>233407.92</v>
      </c>
      <c r="BI78" s="237">
        <v>236220.3</v>
      </c>
      <c r="BJ78" s="237">
        <v>273293.09999999998</v>
      </c>
      <c r="BK78" s="237">
        <v>275593.86</v>
      </c>
      <c r="BL78" s="237">
        <v>279727.7</v>
      </c>
      <c r="BM78" s="237">
        <v>280746.18</v>
      </c>
      <c r="BN78" s="237">
        <v>283005.13</v>
      </c>
      <c r="BO78" s="237">
        <v>295297.96999999997</v>
      </c>
      <c r="BP78" s="237">
        <v>297650.78000000003</v>
      </c>
      <c r="BQ78" s="237">
        <v>300618.93</v>
      </c>
      <c r="BR78" s="237">
        <v>302626.27</v>
      </c>
      <c r="BS78" s="237">
        <v>305696.15000000002</v>
      </c>
      <c r="BT78" s="237">
        <v>309893.09999999998</v>
      </c>
      <c r="BU78" s="237">
        <v>310029.62</v>
      </c>
      <c r="BV78" s="237">
        <v>312850.78999999998</v>
      </c>
      <c r="BW78" s="237">
        <v>20.23</v>
      </c>
      <c r="BX78" s="237">
        <v>268.39999999999998</v>
      </c>
      <c r="BY78" s="237">
        <v>0</v>
      </c>
      <c r="BZ78" s="237">
        <v>0</v>
      </c>
      <c r="CA78" s="237">
        <v>0</v>
      </c>
      <c r="CB78" s="237">
        <v>0</v>
      </c>
      <c r="CC78" s="237">
        <v>0</v>
      </c>
      <c r="CD78" s="237">
        <v>0</v>
      </c>
      <c r="CE78" s="237">
        <v>0</v>
      </c>
      <c r="CF78" s="237">
        <v>0</v>
      </c>
      <c r="CG78" s="237">
        <v>0</v>
      </c>
      <c r="CH78" s="30">
        <v>0</v>
      </c>
      <c r="CI78" s="30">
        <v>0</v>
      </c>
      <c r="CJ78" s="30" t="e">
        <f t="array" aca="1" ref="CJ78" ca="1">_xludf.XLOOKUP(C78,'PL TOTAL D0'!H:H,'PL TOTAL D0'!I:I,"")</f>
        <v>#NAME?</v>
      </c>
    </row>
    <row r="79" spans="1:88" ht="15.75" customHeight="1">
      <c r="A79" s="36" t="s">
        <v>2921</v>
      </c>
      <c r="B79" s="37" t="s">
        <v>3060</v>
      </c>
      <c r="C79" s="9">
        <v>325711</v>
      </c>
      <c r="D79" s="9" t="s">
        <v>2923</v>
      </c>
      <c r="E79" s="9" t="s">
        <v>20</v>
      </c>
      <c r="F79" s="6" t="s">
        <v>2924</v>
      </c>
      <c r="G79" s="7" t="e">
        <f t="shared" ca="1" si="0"/>
        <v>#NAME?</v>
      </c>
      <c r="H79" s="8" t="s">
        <v>143</v>
      </c>
      <c r="I79" s="24" t="s">
        <v>25</v>
      </c>
      <c r="J79" s="9" t="str">
        <f t="shared" si="1"/>
        <v>Não</v>
      </c>
      <c r="K79" s="239">
        <v>43453</v>
      </c>
      <c r="L79" s="107">
        <v>43997</v>
      </c>
      <c r="M79" s="6" t="s">
        <v>87</v>
      </c>
      <c r="N79" s="10">
        <v>2.5000000000000001E-2</v>
      </c>
      <c r="O79" s="9" t="s">
        <v>183</v>
      </c>
      <c r="P79" s="234">
        <v>0.2</v>
      </c>
      <c r="Q79" s="108"/>
      <c r="R79" s="108"/>
      <c r="S79" s="7" t="s">
        <v>145</v>
      </c>
      <c r="T79" s="6" t="s">
        <v>3061</v>
      </c>
      <c r="U79" s="6" t="s">
        <v>20</v>
      </c>
      <c r="V79" s="24" t="e">
        <f t="shared" ca="1" si="2"/>
        <v>#NAME?</v>
      </c>
      <c r="W79" s="24"/>
      <c r="X79" s="24"/>
      <c r="Y79" s="6"/>
      <c r="Z79" s="6"/>
      <c r="AA79" s="6"/>
      <c r="AB79" s="6"/>
      <c r="AC79" s="110">
        <v>0</v>
      </c>
      <c r="AD79" s="110">
        <v>0</v>
      </c>
      <c r="AE79" s="110">
        <v>0</v>
      </c>
      <c r="AF79" s="110">
        <v>0</v>
      </c>
      <c r="AG79" s="110">
        <v>0</v>
      </c>
      <c r="AH79" s="110">
        <v>0</v>
      </c>
      <c r="AI79" s="110">
        <v>0</v>
      </c>
      <c r="AJ79" s="110"/>
      <c r="AK79" s="110"/>
      <c r="AL79" s="110"/>
      <c r="AM79" s="110"/>
      <c r="AN79" s="110"/>
      <c r="AO79" s="110"/>
      <c r="AP79" s="110"/>
      <c r="AQ79" s="110"/>
      <c r="AR79" s="110"/>
      <c r="AS79" s="110"/>
      <c r="AT79" s="110"/>
      <c r="AU79" s="110"/>
      <c r="AV79" s="240"/>
      <c r="AW79" s="240"/>
      <c r="AX79" s="240"/>
      <c r="AY79" s="110"/>
      <c r="AZ79" s="110"/>
      <c r="BA79" s="110"/>
      <c r="BB79" s="110"/>
      <c r="BC79" s="110"/>
      <c r="BD79" s="110">
        <v>0</v>
      </c>
      <c r="BE79" s="110">
        <v>0</v>
      </c>
      <c r="BF79" s="110">
        <v>0</v>
      </c>
      <c r="BG79" s="110" t="s">
        <v>2932</v>
      </c>
      <c r="BH79" s="110">
        <v>0</v>
      </c>
      <c r="BI79" s="110" t="s">
        <v>2932</v>
      </c>
      <c r="BJ79" s="110">
        <v>0</v>
      </c>
      <c r="BK79" s="237">
        <v>0</v>
      </c>
      <c r="BL79" s="237">
        <v>0</v>
      </c>
      <c r="BM79" s="237">
        <v>0</v>
      </c>
      <c r="BN79" s="237">
        <v>0</v>
      </c>
      <c r="BO79" s="237">
        <v>0</v>
      </c>
      <c r="BP79" s="237">
        <v>0</v>
      </c>
      <c r="BQ79" s="237">
        <v>0</v>
      </c>
      <c r="BR79" s="237">
        <v>0</v>
      </c>
      <c r="BS79" s="237">
        <v>0</v>
      </c>
      <c r="BT79" s="237">
        <v>0</v>
      </c>
      <c r="BU79" s="237">
        <v>0</v>
      </c>
      <c r="BV79" s="237">
        <v>0</v>
      </c>
      <c r="BW79" s="237">
        <v>0</v>
      </c>
      <c r="BX79" s="237">
        <v>0</v>
      </c>
      <c r="BY79" s="237">
        <v>0</v>
      </c>
      <c r="BZ79" s="237">
        <v>0</v>
      </c>
      <c r="CA79" s="237">
        <v>0</v>
      </c>
      <c r="CB79" s="237">
        <v>0</v>
      </c>
      <c r="CC79" s="237">
        <v>0</v>
      </c>
      <c r="CD79" s="237">
        <v>0</v>
      </c>
      <c r="CE79" s="237">
        <v>0</v>
      </c>
      <c r="CF79" s="237">
        <v>0</v>
      </c>
      <c r="CG79" s="237">
        <v>0</v>
      </c>
      <c r="CH79" s="30">
        <v>0</v>
      </c>
      <c r="CI79" s="30">
        <v>0</v>
      </c>
      <c r="CJ79" s="30" t="e">
        <f t="array" aca="1" ref="CJ79" ca="1">_xludf.XLOOKUP(C79,'PL TOTAL D0'!H:H,'PL TOTAL D0'!I:I,"")</f>
        <v>#NAME?</v>
      </c>
    </row>
    <row r="80" spans="1:88" ht="15.75" customHeight="1">
      <c r="A80" s="36" t="s">
        <v>2921</v>
      </c>
      <c r="B80" s="37" t="s">
        <v>3060</v>
      </c>
      <c r="C80" s="9">
        <v>33186</v>
      </c>
      <c r="D80" s="9" t="s">
        <v>2923</v>
      </c>
      <c r="E80" s="9" t="s">
        <v>20</v>
      </c>
      <c r="F80" s="6" t="s">
        <v>2924</v>
      </c>
      <c r="G80" s="7" t="e">
        <f t="shared" ca="1" si="0"/>
        <v>#NAME?</v>
      </c>
      <c r="H80" s="8" t="s">
        <v>143</v>
      </c>
      <c r="I80" s="24" t="s">
        <v>25</v>
      </c>
      <c r="J80" s="9" t="str">
        <f t="shared" si="1"/>
        <v>Não</v>
      </c>
      <c r="K80" s="107">
        <v>43997</v>
      </c>
      <c r="L80" s="107">
        <v>43997</v>
      </c>
      <c r="M80" s="6" t="s">
        <v>200</v>
      </c>
      <c r="N80" s="10">
        <v>0.01</v>
      </c>
      <c r="O80" s="9" t="s">
        <v>37</v>
      </c>
      <c r="P80" s="234">
        <v>0.1</v>
      </c>
      <c r="Q80" s="108"/>
      <c r="R80" s="108"/>
      <c r="S80" s="7" t="s">
        <v>145</v>
      </c>
      <c r="T80" s="6" t="s">
        <v>3061</v>
      </c>
      <c r="U80" s="6" t="s">
        <v>20</v>
      </c>
      <c r="V80" s="24" t="e">
        <f t="shared" ca="1" si="2"/>
        <v>#NAME?</v>
      </c>
      <c r="W80" s="24"/>
      <c r="X80" s="24"/>
      <c r="Y80" s="6"/>
      <c r="Z80" s="6"/>
      <c r="AA80" s="6"/>
      <c r="AB80" s="6"/>
      <c r="AC80" s="110">
        <v>64330.07</v>
      </c>
      <c r="AD80" s="110">
        <v>44235.94</v>
      </c>
      <c r="AE80" s="110">
        <v>42030.239999999998</v>
      </c>
      <c r="AF80" s="110">
        <v>36239.379999999997</v>
      </c>
      <c r="AG80" s="110">
        <v>36013.410000000003</v>
      </c>
      <c r="AH80" s="110">
        <v>0</v>
      </c>
      <c r="AI80" s="110">
        <v>0</v>
      </c>
      <c r="AJ80" s="110"/>
      <c r="AK80" s="110"/>
      <c r="AL80" s="110"/>
      <c r="AM80" s="110">
        <v>35900.32</v>
      </c>
      <c r="AN80" s="110">
        <v>36072.15</v>
      </c>
      <c r="AO80" s="110">
        <v>36109.919999999998</v>
      </c>
      <c r="AP80" s="110">
        <v>36113.050000000003</v>
      </c>
      <c r="AQ80" s="110">
        <v>36127.360000000001</v>
      </c>
      <c r="AR80" s="110">
        <v>37124.81</v>
      </c>
      <c r="AS80" s="110">
        <v>37195.19</v>
      </c>
      <c r="AT80" s="110">
        <v>37253.46</v>
      </c>
      <c r="AU80" s="110">
        <v>37640.97</v>
      </c>
      <c r="AV80" s="110">
        <v>37852.49</v>
      </c>
      <c r="AW80" s="110">
        <v>37777.949999999997</v>
      </c>
      <c r="AX80" s="110">
        <v>37700.870000000003</v>
      </c>
      <c r="AY80" s="110">
        <v>37637.01</v>
      </c>
      <c r="AZ80" s="110">
        <v>37437.550000000003</v>
      </c>
      <c r="BA80" s="110"/>
      <c r="BB80" s="110"/>
      <c r="BC80" s="110"/>
      <c r="BD80" s="110">
        <v>0</v>
      </c>
      <c r="BE80" s="110">
        <v>0</v>
      </c>
      <c r="BF80" s="110">
        <v>0</v>
      </c>
      <c r="BG80" s="110" t="s">
        <v>2932</v>
      </c>
      <c r="BH80" s="110">
        <v>0</v>
      </c>
      <c r="BI80" s="110" t="s">
        <v>2932</v>
      </c>
      <c r="BJ80" s="110">
        <v>0</v>
      </c>
      <c r="BK80" s="237">
        <v>0</v>
      </c>
      <c r="BL80" s="237">
        <v>0</v>
      </c>
      <c r="BM80" s="237">
        <v>0</v>
      </c>
      <c r="BN80" s="237">
        <v>0</v>
      </c>
      <c r="BO80" s="237">
        <v>0</v>
      </c>
      <c r="BP80" s="237">
        <v>0</v>
      </c>
      <c r="BQ80" s="237">
        <v>0</v>
      </c>
      <c r="BR80" s="237">
        <v>0</v>
      </c>
      <c r="BS80" s="237">
        <v>0</v>
      </c>
      <c r="BT80" s="237">
        <v>0</v>
      </c>
      <c r="BU80" s="237">
        <v>0</v>
      </c>
      <c r="BV80" s="237">
        <v>0</v>
      </c>
      <c r="BW80" s="237">
        <v>0</v>
      </c>
      <c r="BX80" s="237">
        <v>0</v>
      </c>
      <c r="BY80" s="237">
        <v>0</v>
      </c>
      <c r="BZ80" s="237">
        <v>0</v>
      </c>
      <c r="CA80" s="237">
        <v>0</v>
      </c>
      <c r="CB80" s="237">
        <v>0</v>
      </c>
      <c r="CC80" s="237">
        <v>0</v>
      </c>
      <c r="CD80" s="237">
        <v>0</v>
      </c>
      <c r="CE80" s="237">
        <v>0</v>
      </c>
      <c r="CF80" s="237">
        <v>0</v>
      </c>
      <c r="CG80" s="237">
        <v>0</v>
      </c>
      <c r="CH80" s="30">
        <v>0</v>
      </c>
      <c r="CI80" s="30">
        <v>0</v>
      </c>
      <c r="CJ80" s="30" t="e">
        <f t="array" aca="1" ref="CJ80" ca="1">_xludf.XLOOKUP(C80,'PL TOTAL D0'!H:H,'PL TOTAL D0'!I:I,"")</f>
        <v>#NAME?</v>
      </c>
    </row>
    <row r="81" spans="1:88" ht="15.75" customHeight="1">
      <c r="A81" s="36" t="s">
        <v>2921</v>
      </c>
      <c r="B81" s="3" t="s">
        <v>3062</v>
      </c>
      <c r="C81" s="9">
        <v>441042</v>
      </c>
      <c r="D81" s="9" t="s">
        <v>19</v>
      </c>
      <c r="E81" s="9" t="s">
        <v>34</v>
      </c>
      <c r="F81" s="6" t="s">
        <v>35</v>
      </c>
      <c r="G81" s="7" t="e">
        <f t="shared" ca="1" si="0"/>
        <v>#NAME?</v>
      </c>
      <c r="H81" s="8" t="s">
        <v>161</v>
      </c>
      <c r="I81" s="24" t="s">
        <v>25</v>
      </c>
      <c r="J81" s="9" t="str">
        <f t="shared" si="1"/>
        <v>Não</v>
      </c>
      <c r="K81" s="25">
        <v>44593</v>
      </c>
      <c r="L81" s="7"/>
      <c r="M81" s="6" t="s">
        <v>42</v>
      </c>
      <c r="N81" s="10">
        <v>7.0000000000000001E-3</v>
      </c>
      <c r="O81" s="9" t="s">
        <v>25</v>
      </c>
      <c r="P81" s="234">
        <v>0</v>
      </c>
      <c r="Q81" s="28"/>
      <c r="R81" s="28" t="s">
        <v>3063</v>
      </c>
      <c r="S81" s="7" t="s">
        <v>145</v>
      </c>
      <c r="T81" s="6" t="s">
        <v>3064</v>
      </c>
      <c r="U81" s="6" t="s">
        <v>39</v>
      </c>
      <c r="V81" s="24" t="e">
        <f t="shared" ca="1" si="2"/>
        <v>#NAME?</v>
      </c>
      <c r="W81" s="24"/>
      <c r="X81" s="24"/>
      <c r="Y81" s="6" t="s">
        <v>253</v>
      </c>
      <c r="Z81" s="6"/>
      <c r="AA81" s="107">
        <v>44593</v>
      </c>
      <c r="AB81" s="6">
        <v>49075100010293</v>
      </c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AN81" s="23"/>
      <c r="AO81" s="110"/>
      <c r="AP81" s="236"/>
      <c r="AQ81" s="236"/>
      <c r="AR81" s="236"/>
      <c r="AS81" s="236"/>
      <c r="AT81" s="236"/>
      <c r="AU81" s="110"/>
      <c r="AV81" s="110"/>
      <c r="AW81" s="110"/>
      <c r="AX81" s="110"/>
      <c r="AY81" s="110"/>
      <c r="AZ81" s="110"/>
      <c r="BA81" s="110"/>
      <c r="BB81" s="23"/>
      <c r="BC81" s="110">
        <v>118748.73</v>
      </c>
      <c r="BD81" s="110">
        <v>119592.31</v>
      </c>
      <c r="BE81" s="110">
        <v>120851.41</v>
      </c>
      <c r="BF81" s="110">
        <v>121403.99</v>
      </c>
      <c r="BG81" s="237">
        <v>122481.43</v>
      </c>
      <c r="BH81" s="237">
        <v>123280.12</v>
      </c>
      <c r="BI81" s="237">
        <v>124127.96</v>
      </c>
      <c r="BJ81" s="237">
        <v>125540.83</v>
      </c>
      <c r="BK81" s="237">
        <v>126637.98</v>
      </c>
      <c r="BL81" s="237">
        <v>127711.77</v>
      </c>
      <c r="BM81" s="237">
        <v>128251.47</v>
      </c>
      <c r="BN81" s="237">
        <v>129510.51</v>
      </c>
      <c r="BO81" s="237">
        <v>130939.73</v>
      </c>
      <c r="BP81" s="237">
        <v>132039.64000000001</v>
      </c>
      <c r="BQ81" s="237">
        <v>133656.87</v>
      </c>
      <c r="BR81" s="237">
        <v>134677.67000000001</v>
      </c>
      <c r="BS81" s="237">
        <v>136177.23000000001</v>
      </c>
      <c r="BT81" s="237">
        <v>138113.14000000001</v>
      </c>
      <c r="BU81" s="237">
        <v>138996.31</v>
      </c>
      <c r="BV81" s="237">
        <v>141042.13</v>
      </c>
      <c r="BW81" s="237">
        <v>142132.89000000001</v>
      </c>
      <c r="BX81" s="237">
        <v>143477.56</v>
      </c>
      <c r="BY81" s="237">
        <v>144648.14000000001</v>
      </c>
      <c r="BZ81" s="237">
        <v>145936.43</v>
      </c>
      <c r="CA81" s="237">
        <v>122841.65</v>
      </c>
      <c r="CB81" s="237">
        <v>144887.82999999999</v>
      </c>
      <c r="CC81" s="237">
        <v>146215.20000000001</v>
      </c>
      <c r="CD81" s="237">
        <v>147428.85</v>
      </c>
      <c r="CE81" s="237">
        <v>148678.94</v>
      </c>
      <c r="CF81" s="237">
        <v>149880.62</v>
      </c>
      <c r="CG81" s="237">
        <v>128619.4</v>
      </c>
      <c r="CH81" s="30">
        <v>129662.51</v>
      </c>
      <c r="CI81" s="30">
        <v>115021.48</v>
      </c>
      <c r="CJ81" s="30" t="e">
        <f t="array" aca="1" ref="CJ81" ca="1">_xludf.XLOOKUP(C81,'PL TOTAL D0'!H:H,'PL TOTAL D0'!I:I,"")</f>
        <v>#NAME?</v>
      </c>
    </row>
    <row r="82" spans="1:88" ht="15.75" customHeight="1">
      <c r="A82" s="36" t="s">
        <v>2921</v>
      </c>
      <c r="B82" s="3" t="s">
        <v>3065</v>
      </c>
      <c r="C82" s="9">
        <v>37885</v>
      </c>
      <c r="D82" s="9" t="s">
        <v>2923</v>
      </c>
      <c r="E82" s="9" t="s">
        <v>20</v>
      </c>
      <c r="F82" s="6" t="s">
        <v>2924</v>
      </c>
      <c r="G82" s="7" t="e">
        <f t="shared" ca="1" si="0"/>
        <v>#NAME?</v>
      </c>
      <c r="H82" s="8" t="s">
        <v>143</v>
      </c>
      <c r="I82" s="24" t="s">
        <v>25</v>
      </c>
      <c r="J82" s="9" t="str">
        <f t="shared" si="1"/>
        <v>Não</v>
      </c>
      <c r="K82" s="239">
        <v>43796</v>
      </c>
      <c r="L82" s="107">
        <v>44312</v>
      </c>
      <c r="M82" s="6" t="s">
        <v>200</v>
      </c>
      <c r="N82" s="10">
        <v>1.4999999999999999E-2</v>
      </c>
      <c r="O82" s="9" t="s">
        <v>37</v>
      </c>
      <c r="P82" s="234">
        <v>0.1</v>
      </c>
      <c r="Q82" s="108"/>
      <c r="R82" s="108"/>
      <c r="S82" s="7" t="s">
        <v>145</v>
      </c>
      <c r="T82" s="6" t="s">
        <v>3066</v>
      </c>
      <c r="U82" s="6" t="s">
        <v>20</v>
      </c>
      <c r="V82" s="24" t="e">
        <f t="shared" ca="1" si="2"/>
        <v>#NAME?</v>
      </c>
      <c r="W82" s="24"/>
      <c r="X82" s="24"/>
      <c r="Y82" s="6"/>
      <c r="Z82" s="6"/>
      <c r="AA82" s="6"/>
      <c r="AB82" s="6"/>
      <c r="AC82" s="240"/>
      <c r="AD82" s="240"/>
      <c r="AE82" s="240"/>
      <c r="AF82" s="110"/>
      <c r="AG82" s="110"/>
      <c r="AH82" s="240"/>
      <c r="AI82" s="240"/>
      <c r="AJ82" s="240"/>
      <c r="AK82" s="240"/>
      <c r="AL82" s="110">
        <v>6.32</v>
      </c>
      <c r="AM82" s="110">
        <v>6.32</v>
      </c>
      <c r="AN82" s="110">
        <v>6.32</v>
      </c>
      <c r="AO82" s="110">
        <v>6.32</v>
      </c>
      <c r="AP82" s="110">
        <v>6.32</v>
      </c>
      <c r="AQ82" s="110">
        <v>6.32</v>
      </c>
      <c r="AR82" s="110">
        <v>6.32</v>
      </c>
      <c r="AS82" s="110">
        <v>6.32</v>
      </c>
      <c r="AT82" s="110">
        <v>6.32</v>
      </c>
      <c r="AU82" s="110"/>
      <c r="AV82" s="240"/>
      <c r="AW82" s="240"/>
      <c r="AX82" s="240"/>
      <c r="AY82" s="110"/>
      <c r="AZ82" s="110"/>
      <c r="BA82" s="110"/>
      <c r="BB82" s="110"/>
      <c r="BC82" s="110"/>
      <c r="BD82" s="110">
        <v>0</v>
      </c>
      <c r="BE82" s="110">
        <v>0</v>
      </c>
      <c r="BF82" s="110">
        <v>0</v>
      </c>
      <c r="BG82" s="110" t="s">
        <v>2932</v>
      </c>
      <c r="BH82" s="110">
        <v>0</v>
      </c>
      <c r="BI82" s="110" t="s">
        <v>2932</v>
      </c>
      <c r="BJ82" s="110">
        <v>0</v>
      </c>
      <c r="BK82" s="237">
        <v>0</v>
      </c>
      <c r="BL82" s="237">
        <v>0</v>
      </c>
      <c r="BM82" s="237">
        <v>0</v>
      </c>
      <c r="BN82" s="237">
        <v>0</v>
      </c>
      <c r="BO82" s="237">
        <v>0</v>
      </c>
      <c r="BP82" s="237">
        <v>0</v>
      </c>
      <c r="BQ82" s="237">
        <v>0</v>
      </c>
      <c r="BR82" s="237">
        <v>0</v>
      </c>
      <c r="BS82" s="237">
        <v>0</v>
      </c>
      <c r="BT82" s="237">
        <v>0</v>
      </c>
      <c r="BU82" s="237">
        <v>0</v>
      </c>
      <c r="BV82" s="237">
        <v>0</v>
      </c>
      <c r="BW82" s="237">
        <v>0</v>
      </c>
      <c r="BX82" s="237">
        <v>0</v>
      </c>
      <c r="BY82" s="237">
        <v>0</v>
      </c>
      <c r="BZ82" s="237">
        <v>0</v>
      </c>
      <c r="CA82" s="237">
        <v>0</v>
      </c>
      <c r="CB82" s="237">
        <v>0</v>
      </c>
      <c r="CC82" s="237">
        <v>0</v>
      </c>
      <c r="CD82" s="237">
        <v>0</v>
      </c>
      <c r="CE82" s="237">
        <v>0</v>
      </c>
      <c r="CF82" s="237">
        <v>0</v>
      </c>
      <c r="CG82" s="237">
        <v>0</v>
      </c>
      <c r="CH82" s="30">
        <v>0</v>
      </c>
      <c r="CI82" s="30">
        <v>0</v>
      </c>
      <c r="CJ82" s="30" t="e">
        <f t="array" aca="1" ref="CJ82" ca="1">_xludf.XLOOKUP(C82,'PL TOTAL D0'!H:H,'PL TOTAL D0'!I:I,"")</f>
        <v>#NAME?</v>
      </c>
    </row>
    <row r="83" spans="1:88" ht="15.75" customHeight="1">
      <c r="A83" s="36" t="s">
        <v>2921</v>
      </c>
      <c r="B83" s="3" t="s">
        <v>3067</v>
      </c>
      <c r="C83" s="9">
        <v>32368</v>
      </c>
      <c r="D83" s="9" t="s">
        <v>2923</v>
      </c>
      <c r="E83" s="9" t="s">
        <v>20</v>
      </c>
      <c r="F83" s="6" t="s">
        <v>2924</v>
      </c>
      <c r="G83" s="7" t="e">
        <f t="shared" ca="1" si="0"/>
        <v>#NAME?</v>
      </c>
      <c r="H83" s="8" t="s">
        <v>143</v>
      </c>
      <c r="I83" s="24" t="s">
        <v>25</v>
      </c>
      <c r="J83" s="9" t="str">
        <f t="shared" si="1"/>
        <v>Não</v>
      </c>
      <c r="K83" s="239">
        <v>43822</v>
      </c>
      <c r="L83" s="239">
        <v>44545</v>
      </c>
      <c r="M83" s="6" t="s">
        <v>58</v>
      </c>
      <c r="N83" s="10">
        <v>1.2E-2</v>
      </c>
      <c r="O83" s="9" t="s">
        <v>25</v>
      </c>
      <c r="P83" s="234">
        <v>0</v>
      </c>
      <c r="Q83" s="108"/>
      <c r="R83" s="108"/>
      <c r="S83" s="7" t="s">
        <v>145</v>
      </c>
      <c r="T83" s="6" t="s">
        <v>3068</v>
      </c>
      <c r="U83" s="6" t="s">
        <v>20</v>
      </c>
      <c r="V83" s="24" t="e">
        <f t="shared" ca="1" si="2"/>
        <v>#NAME?</v>
      </c>
      <c r="W83" s="24"/>
      <c r="X83" s="24"/>
      <c r="Y83" s="6"/>
      <c r="Z83" s="6"/>
      <c r="AA83" s="6"/>
      <c r="AB83" s="6"/>
      <c r="AC83" s="110">
        <v>282028.34999999998</v>
      </c>
      <c r="AD83" s="110">
        <v>287314.96000000002</v>
      </c>
      <c r="AE83" s="110">
        <v>275831.46000000002</v>
      </c>
      <c r="AF83" s="110">
        <v>279662.76</v>
      </c>
      <c r="AG83" s="110">
        <v>282313.01</v>
      </c>
      <c r="AH83" s="110">
        <v>284893.12</v>
      </c>
      <c r="AI83" s="110">
        <v>299366.31</v>
      </c>
      <c r="AJ83" s="110">
        <v>295299.15000000002</v>
      </c>
      <c r="AK83" s="110">
        <v>291681.40000000002</v>
      </c>
      <c r="AL83" s="110">
        <v>290995</v>
      </c>
      <c r="AM83" s="110">
        <v>300059.87</v>
      </c>
      <c r="AN83" s="110">
        <v>303602.96999999997</v>
      </c>
      <c r="AO83" s="110">
        <v>307182.03999999998</v>
      </c>
      <c r="AP83" s="110">
        <v>301826.28000000003</v>
      </c>
      <c r="AQ83" s="110">
        <v>220055.19</v>
      </c>
      <c r="AR83" s="110">
        <v>200867.89</v>
      </c>
      <c r="AS83" s="110">
        <v>204418.82</v>
      </c>
      <c r="AT83" s="110">
        <v>204403.81</v>
      </c>
      <c r="AU83" s="110">
        <v>206721.94</v>
      </c>
      <c r="AV83" s="110">
        <v>206280.99</v>
      </c>
      <c r="AW83" s="110">
        <v>205836.87</v>
      </c>
      <c r="AX83" s="110">
        <v>220220.71</v>
      </c>
      <c r="AY83" s="110">
        <v>202279.47</v>
      </c>
      <c r="AZ83" s="110">
        <v>198874.55</v>
      </c>
      <c r="BA83" s="110">
        <v>236487.19</v>
      </c>
      <c r="BB83" s="110">
        <v>238899.17</v>
      </c>
      <c r="BC83" s="110">
        <v>237350.81</v>
      </c>
      <c r="BD83" s="110">
        <v>0</v>
      </c>
      <c r="BE83" s="110">
        <v>0</v>
      </c>
      <c r="BF83" s="110">
        <v>0</v>
      </c>
      <c r="BG83" s="110" t="s">
        <v>2932</v>
      </c>
      <c r="BH83" s="110">
        <v>0</v>
      </c>
      <c r="BI83" s="110" t="s">
        <v>2932</v>
      </c>
      <c r="BJ83" s="110">
        <v>0</v>
      </c>
      <c r="BK83" s="237">
        <v>0</v>
      </c>
      <c r="BL83" s="237">
        <v>0</v>
      </c>
      <c r="BM83" s="237">
        <v>0</v>
      </c>
      <c r="BN83" s="237">
        <v>0</v>
      </c>
      <c r="BO83" s="237">
        <v>0</v>
      </c>
      <c r="BP83" s="237">
        <v>0</v>
      </c>
      <c r="BQ83" s="237">
        <v>0</v>
      </c>
      <c r="BR83" s="237">
        <v>0</v>
      </c>
      <c r="BS83" s="237">
        <v>0</v>
      </c>
      <c r="BT83" s="237">
        <v>0</v>
      </c>
      <c r="BU83" s="237">
        <v>0</v>
      </c>
      <c r="BV83" s="237">
        <v>0</v>
      </c>
      <c r="BW83" s="237">
        <v>0</v>
      </c>
      <c r="BX83" s="237">
        <v>0</v>
      </c>
      <c r="BY83" s="237">
        <v>0</v>
      </c>
      <c r="BZ83" s="237">
        <v>0</v>
      </c>
      <c r="CA83" s="237">
        <v>0</v>
      </c>
      <c r="CB83" s="237">
        <v>0</v>
      </c>
      <c r="CC83" s="237">
        <v>0</v>
      </c>
      <c r="CD83" s="237">
        <v>0</v>
      </c>
      <c r="CE83" s="237">
        <v>0</v>
      </c>
      <c r="CF83" s="237">
        <v>0</v>
      </c>
      <c r="CG83" s="237">
        <v>0</v>
      </c>
      <c r="CH83" s="30">
        <v>0</v>
      </c>
      <c r="CI83" s="30">
        <v>0</v>
      </c>
      <c r="CJ83" s="30" t="e">
        <f t="array" aca="1" ref="CJ83" ca="1">_xludf.XLOOKUP(C83,'PL TOTAL D0'!H:H,'PL TOTAL D0'!I:I,"")</f>
        <v>#NAME?</v>
      </c>
    </row>
    <row r="84" spans="1:88" ht="15.75" customHeight="1">
      <c r="A84" s="36" t="s">
        <v>2921</v>
      </c>
      <c r="B84" s="3" t="s">
        <v>736</v>
      </c>
      <c r="C84" s="9">
        <v>455761</v>
      </c>
      <c r="D84" s="9" t="s">
        <v>19</v>
      </c>
      <c r="E84" s="9" t="s">
        <v>34</v>
      </c>
      <c r="F84" s="6" t="s">
        <v>35</v>
      </c>
      <c r="G84" s="7" t="e">
        <f t="shared" ca="1" si="0"/>
        <v>#NAME?</v>
      </c>
      <c r="H84" s="8" t="s">
        <v>161</v>
      </c>
      <c r="I84" s="24" t="s">
        <v>162</v>
      </c>
      <c r="J84" s="9" t="str">
        <f t="shared" si="1"/>
        <v>Não</v>
      </c>
      <c r="K84" s="232">
        <v>44383</v>
      </c>
      <c r="L84" s="6"/>
      <c r="M84" s="6" t="s">
        <v>58</v>
      </c>
      <c r="N84" s="10">
        <v>1.2E-2</v>
      </c>
      <c r="O84" s="9" t="s">
        <v>25</v>
      </c>
      <c r="P84" s="234">
        <v>0</v>
      </c>
      <c r="Q84" s="28"/>
      <c r="R84" s="28"/>
      <c r="S84" s="7" t="s">
        <v>145</v>
      </c>
      <c r="T84" s="6" t="s">
        <v>3069</v>
      </c>
      <c r="U84" s="6" t="s">
        <v>39</v>
      </c>
      <c r="V84" s="24" t="e">
        <f t="shared" ca="1" si="2"/>
        <v>#NAME?</v>
      </c>
      <c r="W84" s="24"/>
      <c r="X84" s="24"/>
      <c r="Y84" s="6" t="s">
        <v>253</v>
      </c>
      <c r="Z84" s="6"/>
      <c r="AA84" s="107">
        <v>44383</v>
      </c>
      <c r="AB84" s="6">
        <v>49075100014264</v>
      </c>
      <c r="AC84" s="132"/>
      <c r="AD84" s="132"/>
      <c r="AE84" s="132"/>
      <c r="AF84" s="132"/>
      <c r="AG84" s="132"/>
      <c r="AH84" s="132"/>
      <c r="AI84" s="132"/>
      <c r="AJ84" s="132"/>
      <c r="AK84" s="132"/>
      <c r="AL84" s="132"/>
      <c r="AM84" s="132"/>
      <c r="AN84" s="132"/>
      <c r="AO84" s="252"/>
      <c r="AP84" s="240"/>
      <c r="AQ84" s="110"/>
      <c r="AR84" s="110"/>
      <c r="AS84" s="110"/>
      <c r="AT84" s="110"/>
      <c r="AU84" s="110"/>
      <c r="AV84" s="132"/>
      <c r="AW84" s="110">
        <v>269535.96999999997</v>
      </c>
      <c r="AX84" s="110">
        <v>288725.21000000002</v>
      </c>
      <c r="AY84" s="110">
        <v>287494.64</v>
      </c>
      <c r="AZ84" s="110">
        <v>249914.84</v>
      </c>
      <c r="BA84" s="110">
        <v>249764.3</v>
      </c>
      <c r="BB84" s="110">
        <v>316967.58</v>
      </c>
      <c r="BC84" s="110">
        <v>321677.63</v>
      </c>
      <c r="BD84" s="110"/>
      <c r="BE84" s="110">
        <v>331334.78999999998</v>
      </c>
      <c r="BF84" s="110">
        <v>328992.2</v>
      </c>
      <c r="BG84" s="237">
        <v>330021.46999999997</v>
      </c>
      <c r="BH84" s="237">
        <v>329497.11</v>
      </c>
      <c r="BI84" s="237">
        <v>331913.28999999998</v>
      </c>
      <c r="BJ84" s="237">
        <v>336292.55</v>
      </c>
      <c r="BK84" s="237">
        <v>338901.85</v>
      </c>
      <c r="BL84" s="237">
        <v>305175.28000000003</v>
      </c>
      <c r="BM84" s="237">
        <v>303761.73</v>
      </c>
      <c r="BN84" s="237">
        <v>306456.34999999998</v>
      </c>
      <c r="BO84" s="237">
        <v>310310.33</v>
      </c>
      <c r="BP84" s="237">
        <v>302923.69</v>
      </c>
      <c r="BQ84" s="237">
        <v>260764.18</v>
      </c>
      <c r="BR84" s="237">
        <v>257539.32</v>
      </c>
      <c r="BS84" s="237">
        <v>260307.98</v>
      </c>
      <c r="BT84" s="237">
        <v>263279.98</v>
      </c>
      <c r="BU84" s="237">
        <v>0</v>
      </c>
      <c r="BV84" s="237">
        <v>0</v>
      </c>
      <c r="BW84" s="237">
        <v>0</v>
      </c>
      <c r="BX84" s="237">
        <v>38.28</v>
      </c>
      <c r="BY84" s="237">
        <v>4.09</v>
      </c>
      <c r="BZ84" s="237">
        <v>0</v>
      </c>
      <c r="CA84" s="237">
        <v>0</v>
      </c>
      <c r="CB84" s="237">
        <v>0</v>
      </c>
      <c r="CC84" s="237">
        <v>0</v>
      </c>
      <c r="CD84" s="237">
        <v>0</v>
      </c>
      <c r="CE84" s="237">
        <v>0</v>
      </c>
      <c r="CF84" s="237">
        <v>0</v>
      </c>
      <c r="CG84" s="237">
        <v>0</v>
      </c>
      <c r="CH84" s="30">
        <v>0</v>
      </c>
      <c r="CI84" s="30">
        <v>0</v>
      </c>
      <c r="CJ84" s="30" t="e">
        <f t="array" aca="1" ref="CJ84" ca="1">_xludf.XLOOKUP(C84,'PL TOTAL D0'!H:H,'PL TOTAL D0'!I:I,"")</f>
        <v>#NAME?</v>
      </c>
    </row>
    <row r="85" spans="1:88" ht="15.75" customHeight="1">
      <c r="A85" s="36" t="s">
        <v>2921</v>
      </c>
      <c r="B85" s="3" t="s">
        <v>736</v>
      </c>
      <c r="C85" s="9">
        <v>362237</v>
      </c>
      <c r="D85" s="9" t="s">
        <v>19</v>
      </c>
      <c r="E85" s="9" t="s">
        <v>34</v>
      </c>
      <c r="F85" s="6" t="s">
        <v>35</v>
      </c>
      <c r="G85" s="7" t="e">
        <f t="shared" ca="1" si="0"/>
        <v>#NAME?</v>
      </c>
      <c r="H85" s="8" t="s">
        <v>161</v>
      </c>
      <c r="I85" s="24" t="s">
        <v>162</v>
      </c>
      <c r="J85" s="9" t="str">
        <f t="shared" si="1"/>
        <v>Não</v>
      </c>
      <c r="K85" s="107">
        <v>44860</v>
      </c>
      <c r="L85" s="6"/>
      <c r="M85" s="6" t="s">
        <v>257</v>
      </c>
      <c r="N85" s="10">
        <v>8.0000000000000002E-3</v>
      </c>
      <c r="O85" s="9" t="s">
        <v>258</v>
      </c>
      <c r="P85" s="234">
        <v>0.1</v>
      </c>
      <c r="Q85" s="28"/>
      <c r="R85" s="255"/>
      <c r="S85" s="7" t="s">
        <v>145</v>
      </c>
      <c r="T85" s="6" t="s">
        <v>739</v>
      </c>
      <c r="U85" s="6" t="s">
        <v>39</v>
      </c>
      <c r="V85" s="24" t="e">
        <f t="shared" ca="1" si="2"/>
        <v>#NAME?</v>
      </c>
      <c r="W85" s="24"/>
      <c r="X85" s="24"/>
      <c r="Y85" s="6" t="s">
        <v>253</v>
      </c>
      <c r="Z85" s="6"/>
      <c r="AA85" s="107">
        <v>44860</v>
      </c>
      <c r="AB85" s="6">
        <v>49075100007284</v>
      </c>
      <c r="AC85" s="240"/>
      <c r="AD85" s="240"/>
      <c r="AE85" s="240"/>
      <c r="AF85" s="240"/>
      <c r="AG85" s="240"/>
      <c r="AH85" s="240"/>
      <c r="AI85" s="240"/>
      <c r="AJ85" s="240"/>
      <c r="AK85" s="240"/>
      <c r="AL85" s="240"/>
      <c r="AM85" s="240"/>
      <c r="AN85" s="240"/>
      <c r="AO85" s="240"/>
      <c r="AP85" s="252"/>
      <c r="AQ85" s="240"/>
      <c r="AR85" s="110"/>
      <c r="AS85" s="110"/>
      <c r="AT85" s="110"/>
      <c r="AU85" s="110"/>
      <c r="AV85" s="110"/>
      <c r="AW85" s="110"/>
      <c r="AX85" s="110"/>
      <c r="AY85" s="110"/>
      <c r="AZ85" s="110"/>
      <c r="BA85" s="110"/>
      <c r="BB85" s="110"/>
      <c r="BC85" s="110"/>
      <c r="BD85" s="110"/>
      <c r="BE85" s="110"/>
      <c r="BF85" s="110"/>
      <c r="BG85" s="237"/>
      <c r="BH85" s="237"/>
      <c r="BI85" s="237"/>
      <c r="BJ85" s="237"/>
      <c r="BK85" s="237">
        <v>0</v>
      </c>
      <c r="BL85" s="237">
        <v>0</v>
      </c>
      <c r="BM85" s="237">
        <v>39675.599999999999</v>
      </c>
      <c r="BN85" s="237">
        <v>39958.76</v>
      </c>
      <c r="BO85" s="237">
        <v>40273.54</v>
      </c>
      <c r="BP85" s="237">
        <v>40397</v>
      </c>
      <c r="BQ85" s="237">
        <v>40259.79</v>
      </c>
      <c r="BR85" s="237">
        <v>40785.99</v>
      </c>
      <c r="BS85" s="237">
        <v>42323.58</v>
      </c>
      <c r="BT85" s="237">
        <v>43018.58</v>
      </c>
      <c r="BU85" s="237">
        <v>43618.87</v>
      </c>
      <c r="BV85" s="237">
        <v>34839.42</v>
      </c>
      <c r="BW85" s="237">
        <v>4076.08</v>
      </c>
      <c r="BX85" s="237">
        <v>311.05</v>
      </c>
      <c r="BY85" s="237">
        <v>0</v>
      </c>
      <c r="BZ85" s="237">
        <v>0</v>
      </c>
      <c r="CA85" s="237">
        <v>0</v>
      </c>
      <c r="CB85" s="237">
        <v>0</v>
      </c>
      <c r="CC85" s="237">
        <v>0</v>
      </c>
      <c r="CD85" s="237">
        <v>0</v>
      </c>
      <c r="CE85" s="237">
        <v>0</v>
      </c>
      <c r="CF85" s="237">
        <v>0</v>
      </c>
      <c r="CG85" s="237">
        <v>0</v>
      </c>
      <c r="CH85" s="30">
        <v>0</v>
      </c>
      <c r="CI85" s="30">
        <v>0</v>
      </c>
      <c r="CJ85" s="30" t="e">
        <f t="array" aca="1" ref="CJ85" ca="1">_xludf.XLOOKUP(C85,'PL TOTAL D0'!H:H,'PL TOTAL D0'!I:I,"")</f>
        <v>#NAME?</v>
      </c>
    </row>
    <row r="86" spans="1:88" ht="15.75" customHeight="1">
      <c r="A86" s="36" t="s">
        <v>2921</v>
      </c>
      <c r="B86" s="3" t="s">
        <v>745</v>
      </c>
      <c r="C86" s="9">
        <v>36371</v>
      </c>
      <c r="D86" s="9" t="s">
        <v>19</v>
      </c>
      <c r="E86" s="9" t="s">
        <v>34</v>
      </c>
      <c r="F86" s="9" t="s">
        <v>35</v>
      </c>
      <c r="G86" s="7" t="e">
        <f t="shared" ca="1" si="0"/>
        <v>#NAME?</v>
      </c>
      <c r="H86" s="8" t="s">
        <v>161</v>
      </c>
      <c r="I86" s="24" t="s">
        <v>162</v>
      </c>
      <c r="J86" s="9" t="str">
        <f t="shared" si="1"/>
        <v>Sim</v>
      </c>
      <c r="K86" s="107">
        <v>44280</v>
      </c>
      <c r="L86" s="6"/>
      <c r="M86" s="6" t="s">
        <v>200</v>
      </c>
      <c r="N86" s="10">
        <v>1.4999999999999999E-2</v>
      </c>
      <c r="O86" s="9" t="s">
        <v>37</v>
      </c>
      <c r="P86" s="234">
        <v>0.1</v>
      </c>
      <c r="Q86" s="28" t="s">
        <v>3070</v>
      </c>
      <c r="R86" s="255"/>
      <c r="S86" s="7" t="s">
        <v>145</v>
      </c>
      <c r="T86" s="6" t="s">
        <v>747</v>
      </c>
      <c r="U86" s="6" t="s">
        <v>39</v>
      </c>
      <c r="V86" s="24" t="e">
        <f t="shared" ca="1" si="2"/>
        <v>#NAME?</v>
      </c>
      <c r="W86" s="24"/>
      <c r="X86" s="24"/>
      <c r="Y86" s="6" t="s">
        <v>253</v>
      </c>
      <c r="Z86" s="6"/>
      <c r="AA86" s="107">
        <v>44280</v>
      </c>
      <c r="AB86" s="6">
        <v>49075100003408</v>
      </c>
      <c r="AC86" s="240"/>
      <c r="AD86" s="240"/>
      <c r="AE86" s="240"/>
      <c r="AF86" s="240"/>
      <c r="AG86" s="240"/>
      <c r="AH86" s="240"/>
      <c r="AI86" s="240"/>
      <c r="AJ86" s="240"/>
      <c r="AK86" s="240"/>
      <c r="AL86" s="240"/>
      <c r="AM86" s="240"/>
      <c r="AN86" s="240"/>
      <c r="AO86" s="240"/>
      <c r="AP86" s="252"/>
      <c r="AQ86" s="240"/>
      <c r="AR86" s="110">
        <v>512789.81</v>
      </c>
      <c r="AS86" s="110"/>
      <c r="AT86" s="110">
        <v>538868.86</v>
      </c>
      <c r="AU86" s="110">
        <v>543937.5</v>
      </c>
      <c r="AV86" s="110">
        <v>592485.14</v>
      </c>
      <c r="AW86" s="110">
        <v>602145.18000000005</v>
      </c>
      <c r="AX86" s="110">
        <v>591402.11</v>
      </c>
      <c r="AY86" s="110">
        <v>446282.89</v>
      </c>
      <c r="AZ86" s="110">
        <v>468714.66</v>
      </c>
      <c r="BA86" s="110">
        <v>459506.17</v>
      </c>
      <c r="BB86" s="110">
        <v>426009.32</v>
      </c>
      <c r="BC86" s="110">
        <v>428946.08</v>
      </c>
      <c r="BD86" s="110">
        <v>419192.49</v>
      </c>
      <c r="BE86" s="110">
        <v>428070.28</v>
      </c>
      <c r="BF86" s="110">
        <v>423387.29</v>
      </c>
      <c r="BG86" s="237">
        <v>393028.39</v>
      </c>
      <c r="BH86" s="237">
        <v>381233.05</v>
      </c>
      <c r="BI86" s="237">
        <v>383182.09</v>
      </c>
      <c r="BJ86" s="237">
        <v>377398.37</v>
      </c>
      <c r="BK86" s="237">
        <v>379295.42</v>
      </c>
      <c r="BL86" s="237">
        <v>375972.35</v>
      </c>
      <c r="BM86" s="237">
        <v>370394.94</v>
      </c>
      <c r="BN86" s="237">
        <v>371623.42</v>
      </c>
      <c r="BO86" s="237">
        <v>374827.14</v>
      </c>
      <c r="BP86" s="237">
        <v>375505.34</v>
      </c>
      <c r="BQ86" s="237">
        <v>376390.88</v>
      </c>
      <c r="BR86" s="237">
        <v>379887.68</v>
      </c>
      <c r="BS86" s="237">
        <v>398999.22</v>
      </c>
      <c r="BT86" s="237">
        <v>406978.93</v>
      </c>
      <c r="BU86" s="237">
        <v>410930.95</v>
      </c>
      <c r="BV86" s="237">
        <v>416003.51</v>
      </c>
      <c r="BW86" s="237">
        <v>415253.36</v>
      </c>
      <c r="BX86" s="237">
        <v>19997.310000000001</v>
      </c>
      <c r="BY86" s="237">
        <v>7.67</v>
      </c>
      <c r="BZ86" s="237">
        <v>7.67</v>
      </c>
      <c r="CA86" s="237">
        <v>0</v>
      </c>
      <c r="CB86" s="237">
        <v>0</v>
      </c>
      <c r="CC86" s="237">
        <v>0</v>
      </c>
      <c r="CD86" s="237">
        <v>0</v>
      </c>
      <c r="CE86" s="237">
        <v>0</v>
      </c>
      <c r="CF86" s="237">
        <v>0</v>
      </c>
      <c r="CG86" s="237">
        <v>0</v>
      </c>
      <c r="CH86" s="30">
        <v>0</v>
      </c>
      <c r="CI86" s="30">
        <v>0</v>
      </c>
      <c r="CJ86" s="30" t="e">
        <f t="array" aca="1" ref="CJ86" ca="1">_xludf.XLOOKUP(C86,'PL TOTAL D0'!H:H,'PL TOTAL D0'!I:I,"")</f>
        <v>#NAME?</v>
      </c>
    </row>
    <row r="87" spans="1:88" ht="15.75" customHeight="1">
      <c r="A87" s="36" t="s">
        <v>2921</v>
      </c>
      <c r="B87" s="37" t="s">
        <v>745</v>
      </c>
      <c r="C87" s="9">
        <v>560488</v>
      </c>
      <c r="D87" s="9" t="s">
        <v>19</v>
      </c>
      <c r="E87" s="9" t="s">
        <v>34</v>
      </c>
      <c r="F87" s="9" t="s">
        <v>35</v>
      </c>
      <c r="G87" s="7" t="e">
        <f t="shared" ca="1" si="0"/>
        <v>#NAME?</v>
      </c>
      <c r="H87" s="8" t="s">
        <v>161</v>
      </c>
      <c r="I87" s="24" t="s">
        <v>162</v>
      </c>
      <c r="J87" s="9" t="str">
        <f t="shared" si="1"/>
        <v>Não</v>
      </c>
      <c r="K87" s="25">
        <v>44607</v>
      </c>
      <c r="L87" s="6"/>
      <c r="M87" s="6" t="s">
        <v>42</v>
      </c>
      <c r="N87" s="10">
        <v>7.0000000000000001E-3</v>
      </c>
      <c r="O87" s="9" t="s">
        <v>25</v>
      </c>
      <c r="P87" s="234">
        <v>0</v>
      </c>
      <c r="Q87" s="108"/>
      <c r="R87" s="108"/>
      <c r="S87" s="7" t="s">
        <v>145</v>
      </c>
      <c r="T87" s="6" t="s">
        <v>747</v>
      </c>
      <c r="U87" s="6" t="s">
        <v>39</v>
      </c>
      <c r="V87" s="24" t="e">
        <f t="shared" ca="1" si="2"/>
        <v>#NAME?</v>
      </c>
      <c r="W87" s="24"/>
      <c r="X87" s="24"/>
      <c r="Y87" s="6" t="s">
        <v>253</v>
      </c>
      <c r="Z87" s="6"/>
      <c r="AA87" s="107">
        <v>44607</v>
      </c>
      <c r="AB87" s="6">
        <v>49075100010501</v>
      </c>
      <c r="AC87" s="110"/>
      <c r="AD87" s="110"/>
      <c r="AE87" s="110"/>
      <c r="AF87" s="110"/>
      <c r="AG87" s="110"/>
      <c r="AH87" s="110"/>
      <c r="AI87" s="110"/>
      <c r="AJ87" s="110"/>
      <c r="AK87" s="110"/>
      <c r="AL87" s="110"/>
      <c r="AM87" s="110"/>
      <c r="AN87" s="110"/>
      <c r="AO87" s="252"/>
      <c r="AP87" s="252"/>
      <c r="AQ87" s="110"/>
      <c r="AR87" s="110"/>
      <c r="AS87" s="110"/>
      <c r="AT87" s="110"/>
      <c r="AU87" s="110"/>
      <c r="AV87" s="240"/>
      <c r="AW87" s="240"/>
      <c r="AX87" s="240"/>
      <c r="AY87" s="110"/>
      <c r="AZ87" s="110"/>
      <c r="BA87" s="110"/>
      <c r="BB87" s="110"/>
      <c r="BC87" s="110"/>
      <c r="BD87" s="110">
        <v>20017.61</v>
      </c>
      <c r="BE87" s="110">
        <v>10139.370000000001</v>
      </c>
      <c r="BF87" s="110">
        <v>10179.950000000001</v>
      </c>
      <c r="BG87" s="237">
        <v>10257.32</v>
      </c>
      <c r="BH87" s="237">
        <v>10331.93</v>
      </c>
      <c r="BI87" s="237">
        <v>10415.530000000001</v>
      </c>
      <c r="BJ87" s="237">
        <v>10523.57</v>
      </c>
      <c r="BK87" s="237">
        <v>10617.92</v>
      </c>
      <c r="BL87" s="237">
        <v>375972.35</v>
      </c>
      <c r="BM87" s="237">
        <v>10793.59</v>
      </c>
      <c r="BN87" s="237">
        <v>10882.8</v>
      </c>
      <c r="BO87" s="237">
        <v>10989.37</v>
      </c>
      <c r="BP87" s="237">
        <v>11095.4</v>
      </c>
      <c r="BQ87" s="237">
        <v>11208.33</v>
      </c>
      <c r="BR87" s="237">
        <v>11284.42</v>
      </c>
      <c r="BS87" s="237">
        <v>54</v>
      </c>
      <c r="BT87" s="237">
        <v>0</v>
      </c>
      <c r="BU87" s="237">
        <v>0</v>
      </c>
      <c r="BV87" s="237">
        <v>0</v>
      </c>
      <c r="BW87" s="237">
        <v>0</v>
      </c>
      <c r="BX87" s="237">
        <v>0</v>
      </c>
      <c r="BY87" s="237">
        <v>0</v>
      </c>
      <c r="BZ87" s="237">
        <v>0</v>
      </c>
      <c r="CA87" s="237">
        <v>0</v>
      </c>
      <c r="CB87" s="237">
        <v>0</v>
      </c>
      <c r="CC87" s="237">
        <v>0</v>
      </c>
      <c r="CD87" s="237">
        <v>0</v>
      </c>
      <c r="CE87" s="237">
        <v>0</v>
      </c>
      <c r="CF87" s="237">
        <v>0</v>
      </c>
      <c r="CG87" s="237">
        <v>0</v>
      </c>
      <c r="CH87" s="30">
        <v>0</v>
      </c>
      <c r="CI87" s="30">
        <v>0</v>
      </c>
      <c r="CJ87" s="30" t="e">
        <f t="array" aca="1" ref="CJ87" ca="1">_xludf.XLOOKUP(C87,'PL TOTAL D0'!H:H,'PL TOTAL D0'!I:I,"")</f>
        <v>#NAME?</v>
      </c>
    </row>
    <row r="88" spans="1:88" ht="15.75" customHeight="1">
      <c r="A88" s="36" t="s">
        <v>2921</v>
      </c>
      <c r="B88" s="36" t="s">
        <v>3071</v>
      </c>
      <c r="C88" s="9">
        <v>266130</v>
      </c>
      <c r="D88" s="9" t="s">
        <v>19</v>
      </c>
      <c r="E88" s="9" t="s">
        <v>20</v>
      </c>
      <c r="F88" s="9" t="s">
        <v>3072</v>
      </c>
      <c r="G88" s="7" t="e">
        <f t="shared" ca="1" si="0"/>
        <v>#NAME?</v>
      </c>
      <c r="H88" s="8" t="s">
        <v>161</v>
      </c>
      <c r="I88" s="24" t="s">
        <v>162</v>
      </c>
      <c r="J88" s="9" t="str">
        <f t="shared" si="1"/>
        <v>Não</v>
      </c>
      <c r="K88" s="238">
        <v>43416</v>
      </c>
      <c r="L88" s="6"/>
      <c r="M88" s="6" t="s">
        <v>87</v>
      </c>
      <c r="N88" s="233">
        <v>0.03</v>
      </c>
      <c r="O88" s="9" t="s">
        <v>183</v>
      </c>
      <c r="P88" s="234">
        <v>0.2</v>
      </c>
      <c r="Q88" s="108"/>
      <c r="R88" s="108"/>
      <c r="S88" s="7" t="s">
        <v>187</v>
      </c>
      <c r="T88" s="9" t="s">
        <v>3073</v>
      </c>
      <c r="U88" s="6" t="s">
        <v>60</v>
      </c>
      <c r="V88" s="24" t="e">
        <f t="shared" ca="1" si="2"/>
        <v>#NAME?</v>
      </c>
      <c r="W88" s="24"/>
      <c r="X88" s="24"/>
      <c r="Y88" s="6" t="s">
        <v>253</v>
      </c>
      <c r="Z88" s="6"/>
      <c r="AA88" s="239">
        <v>43416</v>
      </c>
      <c r="AB88" s="6">
        <v>49075100010511</v>
      </c>
      <c r="AC88" s="110">
        <v>1138641.22</v>
      </c>
      <c r="AD88" s="110">
        <v>1094686.42</v>
      </c>
      <c r="AE88" s="110">
        <v>818793.98</v>
      </c>
      <c r="AF88" s="110">
        <v>870567.24</v>
      </c>
      <c r="AG88" s="110">
        <v>907502.14</v>
      </c>
      <c r="AH88" s="110">
        <v>966283.14</v>
      </c>
      <c r="AI88" s="110">
        <v>1014990.17</v>
      </c>
      <c r="AJ88" s="110">
        <v>950118.82</v>
      </c>
      <c r="AK88" s="110">
        <v>895770.18</v>
      </c>
      <c r="AL88" s="110">
        <v>903602.37</v>
      </c>
      <c r="AM88" s="110">
        <v>1040533.67</v>
      </c>
      <c r="AN88" s="110">
        <v>1105232.33</v>
      </c>
      <c r="AO88" s="252">
        <v>387296.5</v>
      </c>
      <c r="AP88" s="252">
        <v>359512.5</v>
      </c>
      <c r="AQ88" s="110">
        <v>351795.85</v>
      </c>
      <c r="AR88" s="110">
        <v>5567.24</v>
      </c>
      <c r="AS88" s="110"/>
      <c r="AT88" s="110"/>
      <c r="AU88" s="110"/>
      <c r="AV88" s="240"/>
      <c r="AW88" s="240"/>
      <c r="AX88" s="240"/>
      <c r="AY88" s="110"/>
      <c r="AZ88" s="110"/>
      <c r="BA88" s="110"/>
      <c r="BB88" s="110"/>
      <c r="BC88" s="110"/>
      <c r="BD88" s="110">
        <v>0</v>
      </c>
      <c r="BE88" s="110">
        <v>0</v>
      </c>
      <c r="BF88" s="110">
        <v>0</v>
      </c>
      <c r="BG88" s="237" t="s">
        <v>2932</v>
      </c>
      <c r="BH88" s="237">
        <v>0</v>
      </c>
      <c r="BI88" s="237" t="s">
        <v>2932</v>
      </c>
      <c r="BJ88" s="237">
        <v>0</v>
      </c>
      <c r="BK88" s="237">
        <v>0</v>
      </c>
      <c r="BL88" s="237">
        <v>0</v>
      </c>
      <c r="BM88" s="237">
        <v>0</v>
      </c>
      <c r="BN88" s="237">
        <v>0</v>
      </c>
      <c r="BO88" s="237">
        <v>0</v>
      </c>
      <c r="BP88" s="237">
        <v>0</v>
      </c>
      <c r="BQ88" s="237">
        <v>0</v>
      </c>
      <c r="BR88" s="237">
        <v>0</v>
      </c>
      <c r="BS88" s="237">
        <v>0</v>
      </c>
      <c r="BT88" s="237">
        <v>0</v>
      </c>
      <c r="BU88" s="237">
        <v>0</v>
      </c>
      <c r="BV88" s="237">
        <v>0</v>
      </c>
      <c r="BW88" s="237">
        <v>0</v>
      </c>
      <c r="BX88" s="237">
        <v>0</v>
      </c>
      <c r="BY88" s="237">
        <v>0</v>
      </c>
      <c r="BZ88" s="237">
        <v>0</v>
      </c>
      <c r="CA88" s="237">
        <v>0</v>
      </c>
      <c r="CB88" s="237">
        <v>0</v>
      </c>
      <c r="CC88" s="237">
        <v>0</v>
      </c>
      <c r="CD88" s="237">
        <v>0</v>
      </c>
      <c r="CE88" s="237">
        <v>0</v>
      </c>
      <c r="CF88" s="237">
        <v>0</v>
      </c>
      <c r="CG88" s="237">
        <v>0</v>
      </c>
      <c r="CH88" s="30">
        <v>0</v>
      </c>
      <c r="CI88" s="30">
        <v>0</v>
      </c>
      <c r="CJ88" s="30" t="e">
        <f t="array" aca="1" ref="CJ88" ca="1">_xludf.XLOOKUP(C88,'PL TOTAL D0'!H:H,'PL TOTAL D0'!I:I,"")</f>
        <v>#NAME?</v>
      </c>
    </row>
    <row r="89" spans="1:88" ht="15.75" customHeight="1">
      <c r="A89" s="36" t="s">
        <v>2921</v>
      </c>
      <c r="B89" s="3" t="s">
        <v>3074</v>
      </c>
      <c r="C89" s="9">
        <v>452899</v>
      </c>
      <c r="D89" s="9" t="s">
        <v>19</v>
      </c>
      <c r="E89" s="9" t="s">
        <v>34</v>
      </c>
      <c r="F89" s="6" t="s">
        <v>35</v>
      </c>
      <c r="G89" s="7" t="e">
        <f t="shared" ca="1" si="0"/>
        <v>#NAME?</v>
      </c>
      <c r="H89" s="8" t="s">
        <v>143</v>
      </c>
      <c r="I89" s="24" t="s">
        <v>25</v>
      </c>
      <c r="J89" s="9" t="str">
        <f t="shared" si="1"/>
        <v>Não</v>
      </c>
      <c r="K89" s="107">
        <v>44263</v>
      </c>
      <c r="L89" s="107">
        <v>44676</v>
      </c>
      <c r="M89" s="6" t="s">
        <v>87</v>
      </c>
      <c r="N89" s="10">
        <v>2.5000000000000001E-2</v>
      </c>
      <c r="O89" s="9" t="s">
        <v>183</v>
      </c>
      <c r="P89" s="234">
        <v>0.2</v>
      </c>
      <c r="Q89" s="108"/>
      <c r="R89" s="108"/>
      <c r="S89" s="7" t="s">
        <v>145</v>
      </c>
      <c r="T89" s="6" t="s">
        <v>3075</v>
      </c>
      <c r="U89" s="6" t="s">
        <v>39</v>
      </c>
      <c r="V89" s="24" t="e">
        <f t="shared" ca="1" si="2"/>
        <v>#NAME?</v>
      </c>
      <c r="W89" s="24"/>
      <c r="X89" s="24"/>
      <c r="Y89" s="6" t="s">
        <v>253</v>
      </c>
      <c r="Z89" s="6"/>
      <c r="AA89" s="6"/>
      <c r="AB89" s="6"/>
      <c r="AC89" s="240"/>
      <c r="AD89" s="240"/>
      <c r="AE89" s="240"/>
      <c r="AF89" s="240"/>
      <c r="AG89" s="240"/>
      <c r="AH89" s="240"/>
      <c r="AI89" s="240"/>
      <c r="AJ89" s="240"/>
      <c r="AK89" s="240"/>
      <c r="AL89" s="240"/>
      <c r="AM89" s="240"/>
      <c r="AN89" s="240"/>
      <c r="AO89" s="240"/>
      <c r="AP89" s="110"/>
      <c r="AQ89" s="110">
        <v>1038443.86</v>
      </c>
      <c r="AR89" s="110">
        <v>1092368.3700000001</v>
      </c>
      <c r="AS89" s="110"/>
      <c r="AT89" s="110">
        <v>1105735.1200000001</v>
      </c>
      <c r="AU89" s="110">
        <v>1154870.76</v>
      </c>
      <c r="AV89" s="110">
        <v>1139672.54</v>
      </c>
      <c r="AW89" s="110">
        <v>1107838.97</v>
      </c>
      <c r="AX89" s="110">
        <v>1054657.53</v>
      </c>
      <c r="AY89" s="110">
        <v>1010483.47</v>
      </c>
      <c r="AZ89" s="110">
        <v>952448.24</v>
      </c>
      <c r="BA89" s="110">
        <v>927353.75</v>
      </c>
      <c r="BB89" s="110">
        <v>926457.6</v>
      </c>
      <c r="BC89" s="110">
        <v>978740.3</v>
      </c>
      <c r="BD89" s="110">
        <v>988383.63</v>
      </c>
      <c r="BE89" s="110">
        <v>1056989.49</v>
      </c>
      <c r="BF89" s="110">
        <v>2200</v>
      </c>
      <c r="BG89" s="241" t="s">
        <v>2932</v>
      </c>
      <c r="BH89" s="110">
        <v>0</v>
      </c>
      <c r="BI89" s="110" t="s">
        <v>2932</v>
      </c>
      <c r="BJ89" s="110">
        <v>0</v>
      </c>
      <c r="BK89" s="237">
        <v>0</v>
      </c>
      <c r="BL89" s="237">
        <v>0</v>
      </c>
      <c r="BM89" s="237">
        <v>0</v>
      </c>
      <c r="BN89" s="237">
        <v>0</v>
      </c>
      <c r="BO89" s="237">
        <v>0</v>
      </c>
      <c r="BP89" s="237">
        <v>0</v>
      </c>
      <c r="BQ89" s="237">
        <v>0</v>
      </c>
      <c r="BR89" s="237">
        <v>0</v>
      </c>
      <c r="BS89" s="237">
        <v>0</v>
      </c>
      <c r="BT89" s="237">
        <v>0</v>
      </c>
      <c r="BU89" s="237">
        <v>0</v>
      </c>
      <c r="BV89" s="237">
        <v>0</v>
      </c>
      <c r="BW89" s="237">
        <v>0</v>
      </c>
      <c r="BX89" s="237">
        <v>0</v>
      </c>
      <c r="BY89" s="237">
        <v>0</v>
      </c>
      <c r="BZ89" s="237">
        <v>0</v>
      </c>
      <c r="CA89" s="237">
        <v>0</v>
      </c>
      <c r="CB89" s="237">
        <v>0</v>
      </c>
      <c r="CC89" s="237">
        <v>0</v>
      </c>
      <c r="CD89" s="237">
        <v>0</v>
      </c>
      <c r="CE89" s="237">
        <v>0</v>
      </c>
      <c r="CF89" s="237">
        <v>0</v>
      </c>
      <c r="CG89" s="237">
        <v>0</v>
      </c>
      <c r="CH89" s="30">
        <v>0</v>
      </c>
      <c r="CI89" s="30">
        <v>0</v>
      </c>
      <c r="CJ89" s="30" t="e">
        <f t="array" aca="1" ref="CJ89" ca="1">_xludf.XLOOKUP(C89,'PL TOTAL D0'!H:H,'PL TOTAL D0'!I:I,"")</f>
        <v>#NAME?</v>
      </c>
    </row>
    <row r="90" spans="1:88" ht="15.75" customHeight="1">
      <c r="A90" s="36" t="s">
        <v>2921</v>
      </c>
      <c r="B90" s="37" t="s">
        <v>3076</v>
      </c>
      <c r="C90" s="9">
        <v>467488</v>
      </c>
      <c r="D90" s="9" t="s">
        <v>2923</v>
      </c>
      <c r="E90" s="9" t="s">
        <v>20</v>
      </c>
      <c r="F90" s="6" t="s">
        <v>2923</v>
      </c>
      <c r="G90" s="7" t="e">
        <f t="shared" ca="1" si="0"/>
        <v>#NAME?</v>
      </c>
      <c r="H90" s="8" t="s">
        <v>143</v>
      </c>
      <c r="I90" s="24" t="s">
        <v>25</v>
      </c>
      <c r="J90" s="9" t="str">
        <f t="shared" si="1"/>
        <v>Não</v>
      </c>
      <c r="K90" s="239">
        <v>44124</v>
      </c>
      <c r="L90" s="239">
        <v>44482</v>
      </c>
      <c r="M90" s="6" t="s">
        <v>200</v>
      </c>
      <c r="N90" s="10">
        <v>1.4999999999999999E-2</v>
      </c>
      <c r="O90" s="9" t="s">
        <v>37</v>
      </c>
      <c r="P90" s="234">
        <v>0.1</v>
      </c>
      <c r="Q90" s="108"/>
      <c r="R90" s="108"/>
      <c r="S90" s="7" t="s">
        <v>187</v>
      </c>
      <c r="T90" s="6" t="s">
        <v>3077</v>
      </c>
      <c r="U90" s="6" t="s">
        <v>20</v>
      </c>
      <c r="V90" s="24" t="e">
        <f t="shared" ca="1" si="2"/>
        <v>#NAME?</v>
      </c>
      <c r="W90" s="24"/>
      <c r="X90" s="24"/>
      <c r="Y90" s="6" t="s">
        <v>253</v>
      </c>
      <c r="Z90" s="6"/>
      <c r="AA90" s="6"/>
      <c r="AB90" s="6"/>
      <c r="AC90" s="240"/>
      <c r="AD90" s="240"/>
      <c r="AE90" s="240"/>
      <c r="AF90" s="110"/>
      <c r="AG90" s="110"/>
      <c r="AH90" s="240"/>
      <c r="AI90" s="240"/>
      <c r="AJ90" s="240"/>
      <c r="AK90" s="110">
        <v>0</v>
      </c>
      <c r="AL90" s="110">
        <v>98242.31</v>
      </c>
      <c r="AM90" s="110">
        <v>105864.77</v>
      </c>
      <c r="AN90" s="110">
        <v>109243.45</v>
      </c>
      <c r="AO90" s="110">
        <v>106839.47</v>
      </c>
      <c r="AP90" s="110">
        <v>393554.66</v>
      </c>
      <c r="AQ90" s="110">
        <v>389651.18</v>
      </c>
      <c r="AR90" s="110">
        <v>402036.27</v>
      </c>
      <c r="AS90" s="110">
        <v>403878.26</v>
      </c>
      <c r="AT90" s="110">
        <v>405479.42</v>
      </c>
      <c r="AU90" s="110">
        <v>102940.98</v>
      </c>
      <c r="AV90" s="110">
        <v>2965.97</v>
      </c>
      <c r="AW90" s="110">
        <v>2983.82</v>
      </c>
      <c r="AX90" s="110">
        <v>3048.9</v>
      </c>
      <c r="AY90" s="110">
        <v>3049.18</v>
      </c>
      <c r="AZ90" s="110">
        <v>-0.56000000000000005</v>
      </c>
      <c r="BA90" s="110">
        <v>54.93</v>
      </c>
      <c r="BB90" s="110">
        <v>538.77</v>
      </c>
      <c r="BC90" s="110">
        <v>602.03</v>
      </c>
      <c r="BD90" s="110">
        <v>602.03</v>
      </c>
      <c r="BE90" s="110">
        <v>602.03</v>
      </c>
      <c r="BF90" s="110">
        <v>602.03</v>
      </c>
      <c r="BG90" s="241" t="s">
        <v>2932</v>
      </c>
      <c r="BH90" s="110">
        <v>0</v>
      </c>
      <c r="BI90" s="110" t="s">
        <v>2932</v>
      </c>
      <c r="BJ90" s="110">
        <v>0</v>
      </c>
      <c r="BK90" s="237">
        <v>0</v>
      </c>
      <c r="BL90" s="237">
        <v>0</v>
      </c>
      <c r="BM90" s="237">
        <v>0</v>
      </c>
      <c r="BN90" s="237">
        <v>0</v>
      </c>
      <c r="BO90" s="237">
        <v>0</v>
      </c>
      <c r="BP90" s="237">
        <v>0</v>
      </c>
      <c r="BQ90" s="237">
        <v>0</v>
      </c>
      <c r="BR90" s="237">
        <v>0</v>
      </c>
      <c r="BS90" s="237">
        <v>0</v>
      </c>
      <c r="BT90" s="237">
        <v>0</v>
      </c>
      <c r="BU90" s="237">
        <v>0</v>
      </c>
      <c r="BV90" s="237">
        <v>0</v>
      </c>
      <c r="BW90" s="237">
        <v>0</v>
      </c>
      <c r="BX90" s="237">
        <v>0</v>
      </c>
      <c r="BY90" s="237">
        <v>0</v>
      </c>
      <c r="BZ90" s="237">
        <v>0</v>
      </c>
      <c r="CA90" s="237">
        <v>0</v>
      </c>
      <c r="CB90" s="237">
        <v>0</v>
      </c>
      <c r="CC90" s="237">
        <v>0</v>
      </c>
      <c r="CD90" s="237">
        <v>0</v>
      </c>
      <c r="CE90" s="237">
        <v>0</v>
      </c>
      <c r="CF90" s="237">
        <v>0</v>
      </c>
      <c r="CG90" s="237">
        <v>0</v>
      </c>
      <c r="CH90" s="30">
        <v>0</v>
      </c>
      <c r="CI90" s="30">
        <v>0</v>
      </c>
      <c r="CJ90" s="30" t="e">
        <f t="array" aca="1" ref="CJ90" ca="1">_xludf.XLOOKUP(C90,'PL TOTAL D0'!H:H,'PL TOTAL D0'!I:I,"")</f>
        <v>#NAME?</v>
      </c>
    </row>
    <row r="91" spans="1:88" ht="15.75" customHeight="1">
      <c r="A91" s="36" t="s">
        <v>2921</v>
      </c>
      <c r="B91" s="37" t="s">
        <v>3078</v>
      </c>
      <c r="C91" s="9">
        <v>467483</v>
      </c>
      <c r="D91" s="9" t="s">
        <v>2923</v>
      </c>
      <c r="E91" s="9" t="s">
        <v>20</v>
      </c>
      <c r="F91" s="6" t="s">
        <v>2923</v>
      </c>
      <c r="G91" s="7" t="e">
        <f t="shared" ca="1" si="0"/>
        <v>#NAME?</v>
      </c>
      <c r="H91" s="8" t="s">
        <v>143</v>
      </c>
      <c r="I91" s="24" t="s">
        <v>25</v>
      </c>
      <c r="J91" s="9" t="str">
        <f t="shared" si="1"/>
        <v>Não</v>
      </c>
      <c r="K91" s="239">
        <v>44118</v>
      </c>
      <c r="L91" s="239">
        <v>44482</v>
      </c>
      <c r="M91" s="6" t="s">
        <v>200</v>
      </c>
      <c r="N91" s="10">
        <v>1.4999999999999999E-2</v>
      </c>
      <c r="O91" s="9" t="s">
        <v>37</v>
      </c>
      <c r="P91" s="234">
        <v>0.1</v>
      </c>
      <c r="Q91" s="108"/>
      <c r="R91" s="108"/>
      <c r="S91" s="7" t="s">
        <v>187</v>
      </c>
      <c r="T91" s="6" t="s">
        <v>3079</v>
      </c>
      <c r="U91" s="6" t="s">
        <v>20</v>
      </c>
      <c r="V91" s="24" t="e">
        <f t="shared" ca="1" si="2"/>
        <v>#NAME?</v>
      </c>
      <c r="W91" s="24"/>
      <c r="X91" s="24"/>
      <c r="Y91" s="6" t="s">
        <v>253</v>
      </c>
      <c r="Z91" s="6"/>
      <c r="AA91" s="6"/>
      <c r="AB91" s="6"/>
      <c r="AC91" s="240"/>
      <c r="AD91" s="240"/>
      <c r="AE91" s="240"/>
      <c r="AF91" s="110"/>
      <c r="AG91" s="110"/>
      <c r="AH91" s="240"/>
      <c r="AI91" s="240"/>
      <c r="AJ91" s="240"/>
      <c r="AK91" s="110">
        <v>0</v>
      </c>
      <c r="AL91" s="110">
        <v>98847.86</v>
      </c>
      <c r="AM91" s="110">
        <v>102801.87</v>
      </c>
      <c r="AN91" s="110">
        <v>104422.97</v>
      </c>
      <c r="AO91" s="110">
        <v>103605.01</v>
      </c>
      <c r="AP91" s="110">
        <v>100627.67</v>
      </c>
      <c r="AQ91" s="110">
        <v>99788.99</v>
      </c>
      <c r="AR91" s="110">
        <v>103024.54</v>
      </c>
      <c r="AS91" s="110">
        <v>103360.58</v>
      </c>
      <c r="AT91" s="110">
        <v>103664.69</v>
      </c>
      <c r="AU91" s="110">
        <v>870.26</v>
      </c>
      <c r="AV91" s="110">
        <v>670.03</v>
      </c>
      <c r="AW91" s="110">
        <v>670.03</v>
      </c>
      <c r="AX91" s="110">
        <v>693.98</v>
      </c>
      <c r="AY91" s="110">
        <v>693.98</v>
      </c>
      <c r="AZ91" s="110"/>
      <c r="BA91" s="110">
        <v>13.53</v>
      </c>
      <c r="BB91" s="110">
        <v>133.77000000000001</v>
      </c>
      <c r="BC91" s="110">
        <v>146.9</v>
      </c>
      <c r="BD91" s="110">
        <v>146.9</v>
      </c>
      <c r="BE91" s="110">
        <v>146.9</v>
      </c>
      <c r="BF91" s="110">
        <v>146.9</v>
      </c>
      <c r="BG91" s="241" t="s">
        <v>2932</v>
      </c>
      <c r="BH91" s="110">
        <v>0</v>
      </c>
      <c r="BI91" s="110" t="s">
        <v>2932</v>
      </c>
      <c r="BJ91" s="110">
        <v>0</v>
      </c>
      <c r="BK91" s="237">
        <v>0</v>
      </c>
      <c r="BL91" s="237">
        <v>0</v>
      </c>
      <c r="BM91" s="237">
        <v>0</v>
      </c>
      <c r="BN91" s="237">
        <v>0</v>
      </c>
      <c r="BO91" s="237">
        <v>0</v>
      </c>
      <c r="BP91" s="237">
        <v>0</v>
      </c>
      <c r="BQ91" s="237">
        <v>0</v>
      </c>
      <c r="BR91" s="237">
        <v>0</v>
      </c>
      <c r="BS91" s="237">
        <v>0</v>
      </c>
      <c r="BT91" s="237">
        <v>0</v>
      </c>
      <c r="BU91" s="237">
        <v>0</v>
      </c>
      <c r="BV91" s="237">
        <v>0</v>
      </c>
      <c r="BW91" s="237">
        <v>0</v>
      </c>
      <c r="BX91" s="237">
        <v>0</v>
      </c>
      <c r="BY91" s="237">
        <v>0</v>
      </c>
      <c r="BZ91" s="237">
        <v>0</v>
      </c>
      <c r="CA91" s="237">
        <v>0</v>
      </c>
      <c r="CB91" s="237">
        <v>0</v>
      </c>
      <c r="CC91" s="237">
        <v>0</v>
      </c>
      <c r="CD91" s="237">
        <v>0</v>
      </c>
      <c r="CE91" s="237">
        <v>0</v>
      </c>
      <c r="CF91" s="237">
        <v>0</v>
      </c>
      <c r="CG91" s="237">
        <v>0</v>
      </c>
      <c r="CH91" s="30">
        <v>0</v>
      </c>
      <c r="CI91" s="30">
        <v>0</v>
      </c>
      <c r="CJ91" s="30" t="e">
        <f t="array" aca="1" ref="CJ91" ca="1">_xludf.XLOOKUP(C91,'PL TOTAL D0'!H:H,'PL TOTAL D0'!I:I,"")</f>
        <v>#NAME?</v>
      </c>
    </row>
    <row r="92" spans="1:88" ht="15.75" customHeight="1">
      <c r="A92" s="36" t="s">
        <v>2921</v>
      </c>
      <c r="B92" s="37" t="s">
        <v>3080</v>
      </c>
      <c r="C92" s="9">
        <v>32091</v>
      </c>
      <c r="D92" s="9" t="s">
        <v>19</v>
      </c>
      <c r="E92" s="9" t="s">
        <v>34</v>
      </c>
      <c r="F92" s="6" t="s">
        <v>35</v>
      </c>
      <c r="G92" s="7" t="e">
        <f t="shared" ca="1" si="0"/>
        <v>#NAME?</v>
      </c>
      <c r="H92" s="8" t="s">
        <v>143</v>
      </c>
      <c r="I92" s="24" t="s">
        <v>25</v>
      </c>
      <c r="J92" s="9" t="str">
        <f t="shared" si="1"/>
        <v>Não</v>
      </c>
      <c r="K92" s="239">
        <v>44328</v>
      </c>
      <c r="L92" s="239">
        <v>44701</v>
      </c>
      <c r="M92" s="6" t="s">
        <v>200</v>
      </c>
      <c r="N92" s="10">
        <v>1.4999999999999999E-2</v>
      </c>
      <c r="O92" s="9" t="s">
        <v>37</v>
      </c>
      <c r="P92" s="234">
        <v>0.1</v>
      </c>
      <c r="Q92" s="28"/>
      <c r="R92" s="28"/>
      <c r="S92" s="7" t="s">
        <v>145</v>
      </c>
      <c r="T92" s="6" t="s">
        <v>3081</v>
      </c>
      <c r="U92" s="6" t="s">
        <v>39</v>
      </c>
      <c r="V92" s="24" t="e">
        <f t="shared" ca="1" si="2"/>
        <v>#NAME?</v>
      </c>
      <c r="W92" s="24"/>
      <c r="X92" s="24"/>
      <c r="Y92" s="6" t="s">
        <v>253</v>
      </c>
      <c r="Z92" s="6"/>
      <c r="AA92" s="6"/>
      <c r="AB92" s="6"/>
      <c r="AC92" s="132"/>
      <c r="AD92" s="132"/>
      <c r="AE92" s="132"/>
      <c r="AF92" s="132"/>
      <c r="AG92" s="132"/>
      <c r="AH92" s="132"/>
      <c r="AI92" s="132"/>
      <c r="AJ92" s="132"/>
      <c r="AK92" s="132"/>
      <c r="AL92" s="132"/>
      <c r="AM92" s="132"/>
      <c r="AN92" s="132"/>
      <c r="AO92" s="132"/>
      <c r="AP92" s="110"/>
      <c r="AQ92" s="110"/>
      <c r="AR92" s="110"/>
      <c r="AS92" s="110"/>
      <c r="AT92" s="110"/>
      <c r="AU92" s="110">
        <v>601379.43999999994</v>
      </c>
      <c r="AV92" s="110">
        <v>320167.31</v>
      </c>
      <c r="AW92" s="110">
        <v>316991.35999999999</v>
      </c>
      <c r="AX92" s="110">
        <v>240895.03</v>
      </c>
      <c r="AY92" s="110">
        <v>145454.98000000001</v>
      </c>
      <c r="AZ92" s="110">
        <v>142365.03</v>
      </c>
      <c r="BA92" s="110">
        <v>95266.49</v>
      </c>
      <c r="BB92" s="110">
        <v>73406.350000000006</v>
      </c>
      <c r="BC92" s="110">
        <v>76523.59</v>
      </c>
      <c r="BD92" s="110">
        <v>73024.67</v>
      </c>
      <c r="BE92" s="110">
        <v>58334.69</v>
      </c>
      <c r="BF92" s="110">
        <v>55977.49</v>
      </c>
      <c r="BG92" s="110" t="s">
        <v>2932</v>
      </c>
      <c r="BH92" s="110">
        <v>0</v>
      </c>
      <c r="BI92" s="110" t="s">
        <v>2932</v>
      </c>
      <c r="BJ92" s="110">
        <v>0</v>
      </c>
      <c r="BK92" s="237">
        <v>0</v>
      </c>
      <c r="BL92" s="237">
        <v>0</v>
      </c>
      <c r="BM92" s="237">
        <v>0</v>
      </c>
      <c r="BN92" s="237">
        <v>0</v>
      </c>
      <c r="BO92" s="237">
        <v>0</v>
      </c>
      <c r="BP92" s="237">
        <v>0</v>
      </c>
      <c r="BQ92" s="237">
        <v>0</v>
      </c>
      <c r="BR92" s="237">
        <v>0</v>
      </c>
      <c r="BS92" s="237">
        <v>0</v>
      </c>
      <c r="BT92" s="237">
        <v>0</v>
      </c>
      <c r="BU92" s="237">
        <v>0</v>
      </c>
      <c r="BV92" s="237">
        <v>0</v>
      </c>
      <c r="BW92" s="237">
        <v>0</v>
      </c>
      <c r="BX92" s="237">
        <v>0</v>
      </c>
      <c r="BY92" s="237">
        <v>0</v>
      </c>
      <c r="BZ92" s="237">
        <v>0</v>
      </c>
      <c r="CA92" s="237">
        <v>0</v>
      </c>
      <c r="CB92" s="237">
        <v>0</v>
      </c>
      <c r="CC92" s="237">
        <v>0</v>
      </c>
      <c r="CD92" s="237">
        <v>0</v>
      </c>
      <c r="CE92" s="237">
        <v>0</v>
      </c>
      <c r="CF92" s="237">
        <v>0</v>
      </c>
      <c r="CG92" s="237">
        <v>0</v>
      </c>
      <c r="CH92" s="30">
        <v>0</v>
      </c>
      <c r="CI92" s="30">
        <v>0</v>
      </c>
      <c r="CJ92" s="30" t="e">
        <f t="array" aca="1" ref="CJ92" ca="1">_xludf.XLOOKUP(C92,'PL TOTAL D0'!H:H,'PL TOTAL D0'!I:I,"")</f>
        <v>#NAME?</v>
      </c>
    </row>
    <row r="93" spans="1:88" ht="15.75" customHeight="1">
      <c r="A93" s="36" t="s">
        <v>2921</v>
      </c>
      <c r="B93" s="37" t="s">
        <v>3082</v>
      </c>
      <c r="C93" s="9">
        <v>86633</v>
      </c>
      <c r="D93" s="9" t="s">
        <v>2989</v>
      </c>
      <c r="E93" s="9" t="s">
        <v>20</v>
      </c>
      <c r="F93" s="6" t="s">
        <v>2989</v>
      </c>
      <c r="G93" s="7" t="e">
        <f t="shared" ca="1" si="0"/>
        <v>#NAME?</v>
      </c>
      <c r="H93" s="8" t="s">
        <v>143</v>
      </c>
      <c r="I93" s="24" t="s">
        <v>25</v>
      </c>
      <c r="J93" s="9" t="str">
        <f>IF(R93=0,"Não","Sim")</f>
        <v>Sim</v>
      </c>
      <c r="K93" s="239">
        <v>43384</v>
      </c>
      <c r="L93" s="107">
        <v>45495</v>
      </c>
      <c r="M93" s="6" t="s">
        <v>87</v>
      </c>
      <c r="N93" s="10">
        <v>0.01</v>
      </c>
      <c r="O93" s="9" t="s">
        <v>25</v>
      </c>
      <c r="P93" s="234">
        <v>0</v>
      </c>
      <c r="R93" s="108" t="s">
        <v>3083</v>
      </c>
      <c r="S93" s="7" t="s">
        <v>145</v>
      </c>
      <c r="T93" s="6" t="s">
        <v>3084</v>
      </c>
      <c r="U93" s="6" t="s">
        <v>20</v>
      </c>
      <c r="V93" s="24" t="e">
        <f t="shared" ca="1" si="2"/>
        <v>#NAME?</v>
      </c>
      <c r="W93" s="24"/>
      <c r="X93" s="24"/>
      <c r="Y93" s="6" t="s">
        <v>253</v>
      </c>
      <c r="Z93" s="6"/>
      <c r="AA93" s="239">
        <v>43384</v>
      </c>
      <c r="AB93" s="6">
        <v>49075100013081</v>
      </c>
      <c r="AC93" s="110">
        <v>205068.75</v>
      </c>
      <c r="AD93" s="110">
        <v>194637.58</v>
      </c>
      <c r="AE93" s="110">
        <v>149672.14000000001</v>
      </c>
      <c r="AF93" s="110">
        <v>173036.79999999999</v>
      </c>
      <c r="AG93" s="110">
        <v>181072.38</v>
      </c>
      <c r="AH93" s="110">
        <v>191574.28</v>
      </c>
      <c r="AI93" s="110">
        <v>206479.45</v>
      </c>
      <c r="AJ93" s="110">
        <v>196276.75</v>
      </c>
      <c r="AK93" s="110">
        <v>188459.12</v>
      </c>
      <c r="AL93" s="110">
        <v>195882.41</v>
      </c>
      <c r="AM93" s="110">
        <v>223676.02</v>
      </c>
      <c r="AN93" s="110">
        <v>235669.93</v>
      </c>
      <c r="AO93" s="110">
        <v>232670.34</v>
      </c>
      <c r="AP93" s="110">
        <v>219967.46</v>
      </c>
      <c r="AQ93" s="110">
        <v>213179.34</v>
      </c>
      <c r="AR93" s="110">
        <v>225469.26</v>
      </c>
      <c r="AS93" s="110">
        <v>234844.84</v>
      </c>
      <c r="AT93" s="110">
        <v>236584.69</v>
      </c>
      <c r="AU93" s="110">
        <v>246589.27</v>
      </c>
      <c r="AV93" s="110">
        <v>243281.18</v>
      </c>
      <c r="AW93" s="110">
        <v>236355.29</v>
      </c>
      <c r="AX93" s="110">
        <v>226144.2</v>
      </c>
      <c r="AY93" s="110">
        <v>215176.48</v>
      </c>
      <c r="AZ93" s="110">
        <v>202879.39</v>
      </c>
      <c r="BA93" s="110">
        <v>197165.96</v>
      </c>
      <c r="BB93" s="110">
        <v>199309.59</v>
      </c>
      <c r="BC93" s="110">
        <v>210785.69</v>
      </c>
      <c r="BD93" s="110">
        <v>213489.51</v>
      </c>
      <c r="BE93" s="110">
        <v>229383.99</v>
      </c>
      <c r="BF93" s="110">
        <v>219018.86</v>
      </c>
      <c r="BG93" s="110">
        <v>214069.43</v>
      </c>
      <c r="BH93" s="110">
        <v>204305.98</v>
      </c>
      <c r="BI93" s="110">
        <v>214189.2</v>
      </c>
      <c r="BJ93" s="110">
        <v>216549.67</v>
      </c>
      <c r="BK93" s="237">
        <v>218523.72</v>
      </c>
      <c r="BL93" s="237">
        <v>235226.26</v>
      </c>
      <c r="BM93" s="237">
        <v>230876.66</v>
      </c>
      <c r="BN93" s="237">
        <v>229696.37</v>
      </c>
      <c r="BO93" s="237">
        <v>236598.76</v>
      </c>
      <c r="BP93" s="237">
        <v>228306.25</v>
      </c>
      <c r="BQ93" s="237">
        <v>227543.52</v>
      </c>
      <c r="BR93" s="237">
        <v>222547.35</v>
      </c>
      <c r="BS93" s="237">
        <v>233484.73</v>
      </c>
      <c r="BT93" s="237">
        <v>252838.75</v>
      </c>
      <c r="BU93" s="237">
        <v>266028.87</v>
      </c>
      <c r="BV93" s="237">
        <v>263108.74</v>
      </c>
      <c r="BW93" s="237">
        <v>254010.76</v>
      </c>
      <c r="BX93" s="237">
        <v>241434.66</v>
      </c>
      <c r="BY93" s="237">
        <v>260343.85</v>
      </c>
      <c r="BZ93" s="237">
        <v>271707.39</v>
      </c>
      <c r="CA93" s="237">
        <v>253589.78</v>
      </c>
      <c r="CB93" s="237">
        <v>258916.97</v>
      </c>
      <c r="CC93" s="237">
        <v>176514.87</v>
      </c>
      <c r="CD93" s="237">
        <v>217762.4</v>
      </c>
      <c r="CE93" s="237">
        <v>192049</v>
      </c>
      <c r="CF93" s="237">
        <v>210296.32000000001</v>
      </c>
      <c r="CG93" s="237">
        <v>0</v>
      </c>
      <c r="CH93" s="30">
        <v>0</v>
      </c>
      <c r="CI93" s="30">
        <v>0</v>
      </c>
      <c r="CJ93" s="30" t="e">
        <f t="array" aca="1" ref="CJ93" ca="1">_xludf.XLOOKUP(C93,'PL TOTAL D0'!H:H,'PL TOTAL D0'!I:I,"")</f>
        <v>#NAME?</v>
      </c>
    </row>
    <row r="94" spans="1:88" ht="15.75" customHeight="1">
      <c r="A94" s="36" t="s">
        <v>2921</v>
      </c>
      <c r="B94" s="3" t="s">
        <v>3085</v>
      </c>
      <c r="C94" s="9">
        <v>43175</v>
      </c>
      <c r="D94" s="9" t="s">
        <v>19</v>
      </c>
      <c r="E94" s="9" t="s">
        <v>34</v>
      </c>
      <c r="F94" s="6" t="s">
        <v>262</v>
      </c>
      <c r="G94" s="7" t="e">
        <f t="shared" ca="1" si="0"/>
        <v>#NAME?</v>
      </c>
      <c r="H94" s="8" t="s">
        <v>143</v>
      </c>
      <c r="I94" s="24" t="s">
        <v>25</v>
      </c>
      <c r="J94" s="9" t="str">
        <f t="shared" ref="J94:J348" si="3">IF(Q94=0,"Não","Sim")</f>
        <v>Não</v>
      </c>
      <c r="K94" s="25">
        <v>44393</v>
      </c>
      <c r="L94" s="25">
        <v>44701</v>
      </c>
      <c r="M94" s="7" t="s">
        <v>466</v>
      </c>
      <c r="N94" s="10">
        <v>3.0000000000000001E-3</v>
      </c>
      <c r="O94" s="9" t="s">
        <v>25</v>
      </c>
      <c r="P94" s="234">
        <v>0</v>
      </c>
      <c r="Q94" s="28"/>
      <c r="R94" s="28"/>
      <c r="S94" s="7" t="s">
        <v>187</v>
      </c>
      <c r="T94" s="6" t="s">
        <v>3086</v>
      </c>
      <c r="U94" s="6" t="s">
        <v>39</v>
      </c>
      <c r="V94" s="24" t="e">
        <f t="shared" ca="1" si="2"/>
        <v>#NAME?</v>
      </c>
      <c r="W94" s="24"/>
      <c r="X94" s="24"/>
      <c r="Y94" s="6"/>
      <c r="Z94" s="6"/>
      <c r="AA94" s="6"/>
      <c r="AB94" s="6"/>
      <c r="AC94" s="132"/>
      <c r="AD94" s="132"/>
      <c r="AE94" s="132"/>
      <c r="AF94" s="132"/>
      <c r="AG94" s="132"/>
      <c r="AH94" s="132"/>
      <c r="AI94" s="132"/>
      <c r="AJ94" s="132"/>
      <c r="AK94" s="132"/>
      <c r="AL94" s="132"/>
      <c r="AM94" s="132"/>
      <c r="AN94" s="132"/>
      <c r="AO94" s="110"/>
      <c r="AP94" s="110"/>
      <c r="AQ94" s="110"/>
      <c r="AR94" s="110"/>
      <c r="AS94" s="110"/>
      <c r="AT94" s="110"/>
      <c r="AU94" s="110"/>
      <c r="AV94" s="132"/>
      <c r="AW94" s="110">
        <v>689777.47</v>
      </c>
      <c r="AX94" s="110">
        <v>579324.72</v>
      </c>
      <c r="AY94" s="110">
        <v>537118.56999999995</v>
      </c>
      <c r="AZ94" s="110">
        <v>285605.32</v>
      </c>
      <c r="BA94" s="110"/>
      <c r="BB94" s="110"/>
      <c r="BC94" s="110"/>
      <c r="BD94" s="110">
        <v>0</v>
      </c>
      <c r="BE94" s="110">
        <v>0</v>
      </c>
      <c r="BF94" s="110">
        <v>0</v>
      </c>
      <c r="BG94" s="110" t="s">
        <v>2932</v>
      </c>
      <c r="BH94" s="110">
        <v>0</v>
      </c>
      <c r="BI94" s="110" t="s">
        <v>2932</v>
      </c>
      <c r="BJ94" s="110">
        <v>0</v>
      </c>
      <c r="BK94" s="237">
        <v>0</v>
      </c>
      <c r="BL94" s="237">
        <v>0</v>
      </c>
      <c r="BM94" s="237">
        <v>0</v>
      </c>
      <c r="BN94" s="237">
        <v>0</v>
      </c>
      <c r="BO94" s="237">
        <v>0</v>
      </c>
      <c r="BP94" s="237">
        <v>0</v>
      </c>
      <c r="BQ94" s="237">
        <v>0</v>
      </c>
      <c r="BR94" s="237">
        <v>0</v>
      </c>
      <c r="BS94" s="237">
        <v>0</v>
      </c>
      <c r="BT94" s="237">
        <v>0</v>
      </c>
      <c r="BU94" s="237">
        <v>0</v>
      </c>
      <c r="BV94" s="237">
        <v>0</v>
      </c>
      <c r="BW94" s="237">
        <v>0</v>
      </c>
      <c r="BX94" s="237">
        <v>0</v>
      </c>
      <c r="BY94" s="237">
        <v>0</v>
      </c>
      <c r="BZ94" s="237">
        <v>0</v>
      </c>
      <c r="CA94" s="237">
        <v>0</v>
      </c>
      <c r="CB94" s="237">
        <v>0</v>
      </c>
      <c r="CC94" s="237">
        <v>0</v>
      </c>
      <c r="CD94" s="237">
        <v>0</v>
      </c>
      <c r="CE94" s="237">
        <v>0</v>
      </c>
      <c r="CF94" s="237">
        <v>0</v>
      </c>
      <c r="CG94" s="237">
        <v>0</v>
      </c>
      <c r="CH94" s="30">
        <v>0</v>
      </c>
      <c r="CI94" s="30">
        <v>0</v>
      </c>
      <c r="CJ94" s="30" t="e">
        <f t="array" aca="1" ref="CJ94" ca="1">_xludf.XLOOKUP(C94,'PL TOTAL D0'!H:H,'PL TOTAL D0'!I:I,"")</f>
        <v>#NAME?</v>
      </c>
    </row>
    <row r="95" spans="1:88" ht="15.75" customHeight="1">
      <c r="A95" s="36" t="s">
        <v>2921</v>
      </c>
      <c r="B95" s="3" t="s">
        <v>3087</v>
      </c>
      <c r="C95" s="9">
        <v>435801</v>
      </c>
      <c r="D95" s="9" t="s">
        <v>19</v>
      </c>
      <c r="E95" s="9" t="s">
        <v>20</v>
      </c>
      <c r="F95" s="9" t="s">
        <v>171</v>
      </c>
      <c r="G95" s="7" t="e">
        <f t="shared" ca="1" si="0"/>
        <v>#NAME?</v>
      </c>
      <c r="H95" s="8" t="s">
        <v>152</v>
      </c>
      <c r="I95" s="24" t="s">
        <v>25</v>
      </c>
      <c r="J95" s="9" t="str">
        <f t="shared" si="3"/>
        <v>Sim</v>
      </c>
      <c r="K95" s="232">
        <v>43713</v>
      </c>
      <c r="L95" s="107"/>
      <c r="M95" s="6" t="s">
        <v>58</v>
      </c>
      <c r="N95" s="233">
        <v>0.01</v>
      </c>
      <c r="O95" s="9" t="s">
        <v>25</v>
      </c>
      <c r="P95" s="234">
        <v>0</v>
      </c>
      <c r="Q95" s="108" t="s">
        <v>3088</v>
      </c>
      <c r="R95" s="108" t="s">
        <v>3089</v>
      </c>
      <c r="S95" s="7" t="s">
        <v>145</v>
      </c>
      <c r="T95" s="6" t="s">
        <v>3090</v>
      </c>
      <c r="U95" s="6" t="s">
        <v>20</v>
      </c>
      <c r="V95" s="24" t="e">
        <f t="shared" ca="1" si="2"/>
        <v>#NAME?</v>
      </c>
      <c r="W95" s="24"/>
      <c r="X95" s="24"/>
      <c r="Y95" s="6" t="s">
        <v>253</v>
      </c>
      <c r="Z95" s="6"/>
      <c r="AA95" s="107">
        <v>43713</v>
      </c>
      <c r="AB95" s="6">
        <v>49075100014647</v>
      </c>
      <c r="AC95" s="110">
        <v>164108.32999999999</v>
      </c>
      <c r="AD95" s="110">
        <v>161984.91</v>
      </c>
      <c r="AE95" s="110">
        <v>157060.91</v>
      </c>
      <c r="AF95" s="110">
        <v>158131.67000000001</v>
      </c>
      <c r="AG95" s="110">
        <v>159250.76</v>
      </c>
      <c r="AH95" s="110">
        <v>209349.19</v>
      </c>
      <c r="AI95" s="110">
        <v>212035.4</v>
      </c>
      <c r="AJ95" s="110">
        <v>209328.36</v>
      </c>
      <c r="AK95" s="110">
        <v>206677.93</v>
      </c>
      <c r="AL95" s="110">
        <v>206164.36</v>
      </c>
      <c r="AM95" s="110">
        <v>212425.61</v>
      </c>
      <c r="AN95" s="110">
        <v>214945.96</v>
      </c>
      <c r="AO95" s="110">
        <v>213292.15</v>
      </c>
      <c r="AP95" s="110">
        <v>209064.21</v>
      </c>
      <c r="AQ95" s="236">
        <v>207574.85</v>
      </c>
      <c r="AR95" s="236">
        <v>211397.39</v>
      </c>
      <c r="AS95" s="236">
        <v>211372.39</v>
      </c>
      <c r="AT95" s="236">
        <v>211518.89</v>
      </c>
      <c r="AU95" s="236">
        <v>213694.81</v>
      </c>
      <c r="AV95" s="110">
        <v>213358.23</v>
      </c>
      <c r="AW95" s="110">
        <v>212709.41</v>
      </c>
      <c r="AX95" s="110">
        <v>211090.65</v>
      </c>
      <c r="AY95" s="110">
        <v>185184.42</v>
      </c>
      <c r="AZ95" s="110">
        <v>207080.61</v>
      </c>
      <c r="BA95" s="110">
        <v>207069.91</v>
      </c>
      <c r="BB95" s="110">
        <v>208926.35</v>
      </c>
      <c r="BC95" s="110">
        <v>211790.32</v>
      </c>
      <c r="BD95" s="110">
        <v>213724.62</v>
      </c>
      <c r="BE95" s="110">
        <v>218766.97</v>
      </c>
      <c r="BF95" s="110">
        <v>218546.05</v>
      </c>
      <c r="BG95" s="237">
        <v>220274.03</v>
      </c>
      <c r="BH95" s="237">
        <v>219831.59</v>
      </c>
      <c r="BI95" s="237">
        <v>221956.32</v>
      </c>
      <c r="BJ95" s="237">
        <v>224426.11</v>
      </c>
      <c r="BK95" s="237">
        <v>226155.84</v>
      </c>
      <c r="BL95" s="237">
        <v>231065.62</v>
      </c>
      <c r="BM95" s="237">
        <v>230564.61</v>
      </c>
      <c r="BN95" s="237">
        <v>232232.54</v>
      </c>
      <c r="BO95" s="237">
        <v>234983.09</v>
      </c>
      <c r="BP95" s="237">
        <v>237015.07</v>
      </c>
      <c r="BQ95" s="237">
        <v>239772.97</v>
      </c>
      <c r="BR95" s="237">
        <v>241598.76</v>
      </c>
      <c r="BS95" s="237">
        <v>244187.01</v>
      </c>
      <c r="BT95" s="237">
        <v>246902.39999999999</v>
      </c>
      <c r="BU95" s="237">
        <v>248519.04000000001</v>
      </c>
      <c r="BV95" s="237">
        <v>225532.24</v>
      </c>
      <c r="BW95" s="237">
        <v>227295.55</v>
      </c>
      <c r="BX95" s="237">
        <v>229225.69</v>
      </c>
      <c r="BY95" s="237">
        <v>216170.76</v>
      </c>
      <c r="BZ95" s="237">
        <v>201282.36</v>
      </c>
      <c r="CA95" s="237">
        <v>203301.82</v>
      </c>
      <c r="CB95" s="237">
        <v>204838.21</v>
      </c>
      <c r="CC95" s="237">
        <v>206635.41</v>
      </c>
      <c r="CD95" s="237">
        <v>208302.5</v>
      </c>
      <c r="CE95" s="237">
        <v>217359.37</v>
      </c>
      <c r="CF95" s="237">
        <v>242370.34</v>
      </c>
      <c r="CG95" s="237">
        <v>244347.63</v>
      </c>
      <c r="CH95" s="30">
        <v>245344.12</v>
      </c>
      <c r="CI95" s="30">
        <v>240760.11</v>
      </c>
      <c r="CJ95" s="30" t="e">
        <f t="array" aca="1" ref="CJ95" ca="1">_xludf.XLOOKUP(C95,'PL TOTAL D0'!H:H,'PL TOTAL D0'!I:I,"")</f>
        <v>#NAME?</v>
      </c>
    </row>
    <row r="96" spans="1:88" ht="15.75" customHeight="1">
      <c r="A96" s="36" t="s">
        <v>2921</v>
      </c>
      <c r="B96" s="3" t="s">
        <v>3091</v>
      </c>
      <c r="C96" s="9">
        <v>363494</v>
      </c>
      <c r="D96" s="9" t="s">
        <v>19</v>
      </c>
      <c r="E96" s="9" t="s">
        <v>34</v>
      </c>
      <c r="F96" s="6" t="s">
        <v>35</v>
      </c>
      <c r="G96" s="7" t="e">
        <f t="shared" ca="1" si="0"/>
        <v>#NAME?</v>
      </c>
      <c r="H96" s="8" t="s">
        <v>161</v>
      </c>
      <c r="I96" s="24" t="s">
        <v>162</v>
      </c>
      <c r="J96" s="9" t="str">
        <f t="shared" si="3"/>
        <v>Não</v>
      </c>
      <c r="K96" s="232">
        <v>44838</v>
      </c>
      <c r="L96" s="6"/>
      <c r="M96" s="6" t="s">
        <v>42</v>
      </c>
      <c r="N96" s="10">
        <v>0.01</v>
      </c>
      <c r="O96" s="9" t="s">
        <v>25</v>
      </c>
      <c r="P96" s="234">
        <v>0</v>
      </c>
      <c r="Q96" s="45"/>
      <c r="R96" s="108" t="s">
        <v>3092</v>
      </c>
      <c r="S96" s="7" t="s">
        <v>145</v>
      </c>
      <c r="T96" s="6" t="s">
        <v>3093</v>
      </c>
      <c r="U96" s="6" t="s">
        <v>39</v>
      </c>
      <c r="V96" s="24" t="e">
        <f t="shared" ca="1" si="2"/>
        <v>#NAME?</v>
      </c>
      <c r="W96" s="24"/>
      <c r="X96" s="24"/>
      <c r="Y96" s="6" t="s">
        <v>253</v>
      </c>
      <c r="Z96" s="6"/>
      <c r="AA96" s="107">
        <v>44838</v>
      </c>
      <c r="AB96" s="6">
        <v>49075100010528</v>
      </c>
      <c r="AC96" s="240"/>
      <c r="AD96" s="240"/>
      <c r="AE96" s="240"/>
      <c r="AF96" s="240"/>
      <c r="AG96" s="240"/>
      <c r="AH96" s="240"/>
      <c r="AI96" s="240"/>
      <c r="AJ96" s="240"/>
      <c r="AK96" s="240"/>
      <c r="AL96" s="240"/>
      <c r="AM96" s="240"/>
      <c r="AN96" s="240"/>
      <c r="AO96" s="240"/>
      <c r="AP96" s="110"/>
      <c r="AQ96" s="236"/>
      <c r="AR96" s="236"/>
      <c r="AS96" s="236"/>
      <c r="AT96" s="236"/>
      <c r="AU96" s="236"/>
      <c r="AV96" s="110"/>
      <c r="AW96" s="110"/>
      <c r="AX96" s="110"/>
      <c r="AY96" s="110"/>
      <c r="AZ96" s="110"/>
      <c r="BA96" s="110"/>
      <c r="BB96" s="110"/>
      <c r="BC96" s="110"/>
      <c r="BD96" s="110"/>
      <c r="BE96" s="110"/>
      <c r="BF96" s="110"/>
      <c r="BG96" s="237"/>
      <c r="BH96" s="237"/>
      <c r="BI96" s="237"/>
      <c r="BJ96" s="237"/>
      <c r="BK96" s="237">
        <v>0</v>
      </c>
      <c r="BL96" s="237">
        <v>110493.93</v>
      </c>
      <c r="BM96" s="237">
        <v>111149.03</v>
      </c>
      <c r="BN96" s="237">
        <v>137.41</v>
      </c>
      <c r="BO96" s="237">
        <v>78.81</v>
      </c>
      <c r="BP96" s="237">
        <v>78.87</v>
      </c>
      <c r="BQ96" s="237">
        <v>78.87</v>
      </c>
      <c r="BR96" s="237">
        <v>78.87</v>
      </c>
      <c r="BS96" s="237">
        <v>78.87</v>
      </c>
      <c r="BT96" s="237">
        <v>0</v>
      </c>
      <c r="BU96" s="237">
        <v>0</v>
      </c>
      <c r="BV96" s="237">
        <v>0</v>
      </c>
      <c r="BW96" s="237">
        <v>0</v>
      </c>
      <c r="BX96" s="237">
        <v>0</v>
      </c>
      <c r="BY96" s="237">
        <v>0</v>
      </c>
      <c r="BZ96" s="237">
        <v>0</v>
      </c>
      <c r="CA96" s="237">
        <v>0</v>
      </c>
      <c r="CB96" s="237">
        <v>0</v>
      </c>
      <c r="CC96" s="237">
        <v>0</v>
      </c>
      <c r="CD96" s="237">
        <v>0</v>
      </c>
      <c r="CE96" s="237">
        <v>0</v>
      </c>
      <c r="CF96" s="237">
        <v>0</v>
      </c>
      <c r="CG96" s="237">
        <v>0</v>
      </c>
      <c r="CH96" s="30">
        <v>0</v>
      </c>
      <c r="CI96" s="30">
        <v>0</v>
      </c>
      <c r="CJ96" s="30" t="e">
        <f t="array" aca="1" ref="CJ96" ca="1">_xludf.XLOOKUP(C96,'PL TOTAL D0'!H:H,'PL TOTAL D0'!I:I,"")</f>
        <v>#NAME?</v>
      </c>
    </row>
    <row r="97" spans="1:88" ht="15.75" customHeight="1">
      <c r="A97" s="36" t="s">
        <v>2921</v>
      </c>
      <c r="B97" s="3" t="s">
        <v>837</v>
      </c>
      <c r="C97" s="9">
        <v>79850</v>
      </c>
      <c r="D97" s="9" t="s">
        <v>19</v>
      </c>
      <c r="E97" s="9" t="s">
        <v>34</v>
      </c>
      <c r="F97" s="9" t="s">
        <v>2971</v>
      </c>
      <c r="G97" s="7" t="e">
        <f t="shared" ca="1" si="0"/>
        <v>#NAME?</v>
      </c>
      <c r="H97" s="8" t="s">
        <v>161</v>
      </c>
      <c r="I97" s="24" t="s">
        <v>162</v>
      </c>
      <c r="J97" s="9" t="str">
        <f t="shared" si="3"/>
        <v>Não</v>
      </c>
      <c r="K97" s="232">
        <v>44299</v>
      </c>
      <c r="L97" s="6"/>
      <c r="M97" s="6" t="s">
        <v>200</v>
      </c>
      <c r="N97" s="10">
        <v>1.4999999999999999E-2</v>
      </c>
      <c r="O97" s="9" t="s">
        <v>37</v>
      </c>
      <c r="P97" s="234">
        <v>0.1</v>
      </c>
      <c r="Q97" s="45"/>
      <c r="R97" s="108" t="s">
        <v>3094</v>
      </c>
      <c r="S97" s="7" t="s">
        <v>145</v>
      </c>
      <c r="T97" s="6" t="s">
        <v>840</v>
      </c>
      <c r="U97" s="6" t="s">
        <v>39</v>
      </c>
      <c r="V97" s="24" t="e">
        <f t="shared" ca="1" si="2"/>
        <v>#NAME?</v>
      </c>
      <c r="W97" s="24"/>
      <c r="X97" s="24"/>
      <c r="Y97" s="6" t="s">
        <v>253</v>
      </c>
      <c r="Z97" s="6"/>
      <c r="AA97" s="107">
        <v>44299</v>
      </c>
      <c r="AB97" s="6">
        <v>49075100003459</v>
      </c>
      <c r="AC97" s="240"/>
      <c r="AD97" s="240"/>
      <c r="AE97" s="240"/>
      <c r="AF97" s="240"/>
      <c r="AG97" s="240"/>
      <c r="AH97" s="240"/>
      <c r="AI97" s="240"/>
      <c r="AJ97" s="240"/>
      <c r="AK97" s="240"/>
      <c r="AL97" s="240"/>
      <c r="AM97" s="240"/>
      <c r="AN97" s="240"/>
      <c r="AO97" s="240"/>
      <c r="AP97" s="110"/>
      <c r="AQ97" s="236">
        <v>20.27</v>
      </c>
      <c r="AR97" s="236">
        <v>354778.98</v>
      </c>
      <c r="AS97" s="236"/>
      <c r="AT97" s="236">
        <v>360513.21</v>
      </c>
      <c r="AU97" s="236">
        <v>364268.02</v>
      </c>
      <c r="AV97" s="110">
        <v>365882.77</v>
      </c>
      <c r="AW97" s="110">
        <v>363978.78</v>
      </c>
      <c r="AX97" s="110">
        <v>358346.73</v>
      </c>
      <c r="AY97" s="110">
        <v>320440.45</v>
      </c>
      <c r="AZ97" s="110">
        <v>293354.03000000003</v>
      </c>
      <c r="BA97" s="110">
        <v>241357.78</v>
      </c>
      <c r="BB97" s="110">
        <v>242344.82</v>
      </c>
      <c r="BC97" s="110">
        <v>245494.33</v>
      </c>
      <c r="BD97" s="110">
        <v>247016.97</v>
      </c>
      <c r="BE97" s="110">
        <v>256557.7</v>
      </c>
      <c r="BF97" s="110">
        <v>252830.18</v>
      </c>
      <c r="BG97" s="237">
        <v>237763.94</v>
      </c>
      <c r="BH97" s="237">
        <v>235842.33</v>
      </c>
      <c r="BI97" s="237">
        <v>238342.08</v>
      </c>
      <c r="BJ97" s="237">
        <v>241093.14</v>
      </c>
      <c r="BK97" s="237">
        <v>243412.74</v>
      </c>
      <c r="BL97" s="237">
        <v>250716.06</v>
      </c>
      <c r="BM97" s="237">
        <v>233894.89</v>
      </c>
      <c r="BN97" s="237">
        <v>250934.03</v>
      </c>
      <c r="BO97" s="237">
        <v>254056.72</v>
      </c>
      <c r="BP97" s="237">
        <v>255993.96</v>
      </c>
      <c r="BQ97" s="237">
        <v>258603.69</v>
      </c>
      <c r="BR97" s="237">
        <v>258664</v>
      </c>
      <c r="BS97" s="237">
        <v>266459.75</v>
      </c>
      <c r="BT97" s="237">
        <v>9634.0300000000007</v>
      </c>
      <c r="BU97" s="237">
        <v>51.47</v>
      </c>
      <c r="BV97" s="237">
        <v>146.15</v>
      </c>
      <c r="BW97" s="237">
        <v>0</v>
      </c>
      <c r="BX97" s="237">
        <v>104.71</v>
      </c>
      <c r="BY97" s="237">
        <v>9.9700000000000006</v>
      </c>
      <c r="BZ97" s="237">
        <v>9.9700000000000006</v>
      </c>
      <c r="CA97" s="237">
        <v>0</v>
      </c>
      <c r="CB97" s="237">
        <v>0</v>
      </c>
      <c r="CC97" s="237">
        <v>0</v>
      </c>
      <c r="CD97" s="237">
        <v>0</v>
      </c>
      <c r="CE97" s="237">
        <v>0</v>
      </c>
      <c r="CF97" s="237">
        <v>0</v>
      </c>
      <c r="CG97" s="237">
        <v>0</v>
      </c>
      <c r="CH97" s="30">
        <v>0</v>
      </c>
      <c r="CI97" s="30">
        <v>0</v>
      </c>
      <c r="CJ97" s="30" t="e">
        <f t="array" aca="1" ref="CJ97" ca="1">_xludf.XLOOKUP(C97,'PL TOTAL D0'!H:H,'PL TOTAL D0'!I:I,"")</f>
        <v>#NAME?</v>
      </c>
    </row>
    <row r="98" spans="1:88" ht="15.75" customHeight="1">
      <c r="A98" s="36" t="s">
        <v>2921</v>
      </c>
      <c r="B98" s="3" t="s">
        <v>3095</v>
      </c>
      <c r="C98" s="9">
        <v>449049</v>
      </c>
      <c r="D98" s="9" t="s">
        <v>2923</v>
      </c>
      <c r="E98" s="9" t="s">
        <v>20</v>
      </c>
      <c r="F98" s="9" t="s">
        <v>2924</v>
      </c>
      <c r="G98" s="7" t="e">
        <f t="shared" ca="1" si="0"/>
        <v>#NAME?</v>
      </c>
      <c r="H98" s="8" t="s">
        <v>161</v>
      </c>
      <c r="I98" s="24" t="s">
        <v>162</v>
      </c>
      <c r="J98" s="9" t="str">
        <f t="shared" si="3"/>
        <v>Não</v>
      </c>
      <c r="K98" s="232">
        <v>43895</v>
      </c>
      <c r="L98" s="6"/>
      <c r="M98" s="6" t="s">
        <v>58</v>
      </c>
      <c r="N98" s="10">
        <v>1.2E-2</v>
      </c>
      <c r="O98" s="9" t="s">
        <v>25</v>
      </c>
      <c r="P98" s="234">
        <v>0</v>
      </c>
      <c r="Q98" s="108"/>
      <c r="R98" s="108" t="s">
        <v>3096</v>
      </c>
      <c r="S98" s="7" t="s">
        <v>145</v>
      </c>
      <c r="T98" s="6" t="s">
        <v>3097</v>
      </c>
      <c r="U98" s="6" t="s">
        <v>20</v>
      </c>
      <c r="V98" s="24" t="e">
        <f t="shared" ca="1" si="2"/>
        <v>#NAME?</v>
      </c>
      <c r="W98" s="24"/>
      <c r="X98" s="24"/>
      <c r="Y98" s="6" t="s">
        <v>253</v>
      </c>
      <c r="Z98" s="6"/>
      <c r="AA98" s="107">
        <v>43895</v>
      </c>
      <c r="AB98" s="6">
        <v>49075100004579</v>
      </c>
      <c r="AC98" s="110">
        <v>0</v>
      </c>
      <c r="AD98" s="110">
        <v>0</v>
      </c>
      <c r="AE98" s="110">
        <v>94729.27</v>
      </c>
      <c r="AF98" s="110">
        <v>96106.67</v>
      </c>
      <c r="AG98" s="110">
        <v>97058.93</v>
      </c>
      <c r="AH98" s="110">
        <v>97294.82</v>
      </c>
      <c r="AI98" s="110">
        <v>98132.87</v>
      </c>
      <c r="AJ98" s="110">
        <v>97107.15</v>
      </c>
      <c r="AK98" s="110">
        <v>95774.77</v>
      </c>
      <c r="AL98" s="110">
        <v>95565.18</v>
      </c>
      <c r="AM98" s="110">
        <v>98272.39</v>
      </c>
      <c r="AN98" s="110">
        <v>98872.88</v>
      </c>
      <c r="AO98" s="110">
        <v>97974.71</v>
      </c>
      <c r="AP98" s="110">
        <v>96059.29</v>
      </c>
      <c r="AQ98" s="236">
        <v>95244.11</v>
      </c>
      <c r="AR98" s="236">
        <v>96676.99</v>
      </c>
      <c r="AS98" s="236">
        <v>96388.52</v>
      </c>
      <c r="AT98" s="236">
        <v>96324.71</v>
      </c>
      <c r="AU98" s="236">
        <v>97026.94</v>
      </c>
      <c r="AV98" s="110">
        <v>96897.84</v>
      </c>
      <c r="AW98" s="110">
        <v>96742.59</v>
      </c>
      <c r="AX98" s="110">
        <v>95967.92</v>
      </c>
      <c r="AY98" s="110">
        <v>95292.46</v>
      </c>
      <c r="AZ98" s="110">
        <v>94239.23</v>
      </c>
      <c r="BA98" s="110">
        <v>94098.53</v>
      </c>
      <c r="BB98" s="110">
        <v>94532.12</v>
      </c>
      <c r="BC98" s="110">
        <v>96062.78</v>
      </c>
      <c r="BD98" s="110">
        <v>96727.4</v>
      </c>
      <c r="BE98" s="110">
        <v>98642.63</v>
      </c>
      <c r="BF98" s="110">
        <v>98577.54</v>
      </c>
      <c r="BG98" s="237">
        <v>99210.61</v>
      </c>
      <c r="BH98" s="237">
        <v>77651.62</v>
      </c>
      <c r="BI98" s="237">
        <v>160.30000000000001</v>
      </c>
      <c r="BJ98" s="237">
        <v>23.2</v>
      </c>
      <c r="BK98" s="237">
        <v>23.2</v>
      </c>
      <c r="BL98" s="237">
        <v>23.2</v>
      </c>
      <c r="BM98" s="237">
        <v>0</v>
      </c>
      <c r="BN98" s="237">
        <v>0</v>
      </c>
      <c r="BO98" s="237">
        <v>76.87</v>
      </c>
      <c r="BP98" s="237">
        <v>76.87</v>
      </c>
      <c r="BQ98" s="237">
        <v>0</v>
      </c>
      <c r="BR98" s="237">
        <v>76.87</v>
      </c>
      <c r="BS98" s="237">
        <v>0</v>
      </c>
      <c r="BT98" s="237">
        <v>0</v>
      </c>
      <c r="BU98" s="237">
        <v>0</v>
      </c>
      <c r="BV98" s="237">
        <v>0</v>
      </c>
      <c r="BW98" s="237">
        <v>0</v>
      </c>
      <c r="BX98" s="237">
        <v>0</v>
      </c>
      <c r="BY98" s="237">
        <v>0</v>
      </c>
      <c r="BZ98" s="237">
        <v>0</v>
      </c>
      <c r="CA98" s="237">
        <v>0</v>
      </c>
      <c r="CB98" s="237">
        <v>0</v>
      </c>
      <c r="CC98" s="237">
        <v>0</v>
      </c>
      <c r="CD98" s="237">
        <v>0</v>
      </c>
      <c r="CE98" s="237">
        <v>0</v>
      </c>
      <c r="CF98" s="237">
        <v>0</v>
      </c>
      <c r="CG98" s="237">
        <v>0</v>
      </c>
      <c r="CH98" s="30">
        <v>0</v>
      </c>
      <c r="CI98" s="30">
        <v>0</v>
      </c>
      <c r="CJ98" s="30" t="e">
        <f t="array" aca="1" ref="CJ98" ca="1">_xludf.XLOOKUP(C98,'PL TOTAL D0'!H:H,'PL TOTAL D0'!I:I,"")</f>
        <v>#NAME?</v>
      </c>
    </row>
    <row r="99" spans="1:88" ht="15.75" customHeight="1">
      <c r="A99" s="36" t="s">
        <v>2921</v>
      </c>
      <c r="B99" s="3" t="s">
        <v>3098</v>
      </c>
      <c r="C99" s="9">
        <v>438733</v>
      </c>
      <c r="D99" s="9" t="s">
        <v>2923</v>
      </c>
      <c r="E99" s="9" t="s">
        <v>20</v>
      </c>
      <c r="F99" s="6" t="s">
        <v>2930</v>
      </c>
      <c r="G99" s="7" t="e">
        <f t="shared" ca="1" si="0"/>
        <v>#NAME?</v>
      </c>
      <c r="H99" s="8" t="s">
        <v>143</v>
      </c>
      <c r="I99" s="24" t="s">
        <v>25</v>
      </c>
      <c r="J99" s="9" t="str">
        <f t="shared" si="3"/>
        <v>Não</v>
      </c>
      <c r="K99" s="107">
        <v>43913</v>
      </c>
      <c r="L99" s="107">
        <v>44086</v>
      </c>
      <c r="M99" s="6" t="s">
        <v>200</v>
      </c>
      <c r="N99" s="10">
        <v>1.4999999999999999E-2</v>
      </c>
      <c r="O99" s="9" t="s">
        <v>37</v>
      </c>
      <c r="P99" s="234">
        <v>0.1</v>
      </c>
      <c r="Q99" s="108"/>
      <c r="R99" s="108"/>
      <c r="S99" s="7" t="s">
        <v>145</v>
      </c>
      <c r="T99" s="6" t="s">
        <v>3099</v>
      </c>
      <c r="U99" s="6" t="s">
        <v>49</v>
      </c>
      <c r="V99" s="24" t="e">
        <f t="shared" ca="1" si="2"/>
        <v>#NAME?</v>
      </c>
      <c r="W99" s="24"/>
      <c r="X99" s="24"/>
      <c r="Y99" s="6"/>
      <c r="Z99" s="6"/>
      <c r="AA99" s="6"/>
      <c r="AB99" s="6"/>
      <c r="AC99" s="110">
        <v>0</v>
      </c>
      <c r="AD99" s="110">
        <v>0</v>
      </c>
      <c r="AE99" s="110">
        <v>140065.04</v>
      </c>
      <c r="AF99" s="110">
        <v>140445.03</v>
      </c>
      <c r="AG99" s="110">
        <v>40501.199999999997</v>
      </c>
      <c r="AH99" s="110">
        <v>40078.019999999997</v>
      </c>
      <c r="AI99" s="110">
        <v>40024.080000000002</v>
      </c>
      <c r="AJ99" s="110">
        <v>0</v>
      </c>
      <c r="AK99" s="240"/>
      <c r="AL99" s="240"/>
      <c r="AM99" s="240"/>
      <c r="AN99" s="240"/>
      <c r="AO99" s="240"/>
      <c r="AP99" s="110"/>
      <c r="AQ99" s="110"/>
      <c r="AR99" s="110"/>
      <c r="AS99" s="110"/>
      <c r="AT99" s="110"/>
      <c r="AU99" s="110"/>
      <c r="AV99" s="240"/>
      <c r="AW99" s="240"/>
      <c r="AX99" s="240"/>
      <c r="AY99" s="110"/>
      <c r="AZ99" s="110"/>
      <c r="BA99" s="110"/>
      <c r="BB99" s="110"/>
      <c r="BC99" s="110"/>
      <c r="BD99" s="110">
        <v>0</v>
      </c>
      <c r="BE99" s="110">
        <v>0</v>
      </c>
      <c r="BF99" s="110">
        <v>0</v>
      </c>
      <c r="BG99" s="110" t="s">
        <v>2932</v>
      </c>
      <c r="BH99" s="110">
        <v>0</v>
      </c>
      <c r="BI99" s="110" t="s">
        <v>2932</v>
      </c>
      <c r="BJ99" s="110">
        <v>0</v>
      </c>
      <c r="BK99" s="237">
        <v>0</v>
      </c>
      <c r="BL99" s="237">
        <v>0</v>
      </c>
      <c r="BM99" s="237">
        <v>0</v>
      </c>
      <c r="BN99" s="237">
        <v>0</v>
      </c>
      <c r="BO99" s="237">
        <v>0</v>
      </c>
      <c r="BP99" s="237">
        <v>0</v>
      </c>
      <c r="BQ99" s="237">
        <v>0</v>
      </c>
      <c r="BR99" s="237">
        <v>0</v>
      </c>
      <c r="BS99" s="237">
        <v>0</v>
      </c>
      <c r="BT99" s="237">
        <v>0</v>
      </c>
      <c r="BU99" s="237">
        <v>0</v>
      </c>
      <c r="BV99" s="237">
        <v>0</v>
      </c>
      <c r="BW99" s="237">
        <v>0</v>
      </c>
      <c r="BX99" s="237">
        <v>0</v>
      </c>
      <c r="BY99" s="237">
        <v>0</v>
      </c>
      <c r="BZ99" s="237">
        <v>0</v>
      </c>
      <c r="CA99" s="237">
        <v>0</v>
      </c>
      <c r="CB99" s="237">
        <v>0</v>
      </c>
      <c r="CC99" s="237">
        <v>0</v>
      </c>
      <c r="CD99" s="237">
        <v>0</v>
      </c>
      <c r="CE99" s="237">
        <v>0</v>
      </c>
      <c r="CF99" s="237">
        <v>0</v>
      </c>
      <c r="CG99" s="237">
        <v>0</v>
      </c>
      <c r="CH99" s="30">
        <v>0</v>
      </c>
      <c r="CI99" s="30">
        <v>0</v>
      </c>
      <c r="CJ99" s="30" t="e">
        <f t="array" aca="1" ref="CJ99" ca="1">_xludf.XLOOKUP(C99,'PL TOTAL D0'!H:H,'PL TOTAL D0'!I:I,"")</f>
        <v>#NAME?</v>
      </c>
    </row>
    <row r="100" spans="1:88" ht="15.75" customHeight="1">
      <c r="A100" s="36" t="s">
        <v>2921</v>
      </c>
      <c r="B100" s="3" t="s">
        <v>3100</v>
      </c>
      <c r="C100" s="9">
        <v>338439</v>
      </c>
      <c r="D100" s="9" t="s">
        <v>19</v>
      </c>
      <c r="E100" s="9" t="s">
        <v>20</v>
      </c>
      <c r="F100" s="9" t="s">
        <v>21</v>
      </c>
      <c r="G100" s="7" t="e">
        <f t="shared" ca="1" si="0"/>
        <v>#NAME?</v>
      </c>
      <c r="H100" s="8" t="s">
        <v>161</v>
      </c>
      <c r="I100" s="24" t="s">
        <v>162</v>
      </c>
      <c r="J100" s="9" t="str">
        <f t="shared" si="3"/>
        <v>Não</v>
      </c>
      <c r="K100" s="232">
        <v>43860</v>
      </c>
      <c r="L100" s="6"/>
      <c r="M100" s="6" t="s">
        <v>200</v>
      </c>
      <c r="N100" s="10">
        <v>1.4999999999999999E-2</v>
      </c>
      <c r="O100" s="9" t="s">
        <v>25</v>
      </c>
      <c r="P100" s="234">
        <v>0</v>
      </c>
      <c r="Q100" s="23"/>
      <c r="R100" s="108" t="s">
        <v>3101</v>
      </c>
      <c r="S100" s="7" t="s">
        <v>145</v>
      </c>
      <c r="T100" s="6" t="s">
        <v>3102</v>
      </c>
      <c r="U100" s="6" t="s">
        <v>20</v>
      </c>
      <c r="V100" s="24" t="e">
        <f t="shared" ca="1" si="2"/>
        <v>#NAME?</v>
      </c>
      <c r="W100" s="24"/>
      <c r="X100" s="24"/>
      <c r="Y100" s="6" t="s">
        <v>147</v>
      </c>
      <c r="Z100" s="6"/>
      <c r="AA100" s="107">
        <v>43860</v>
      </c>
      <c r="AB100" s="6">
        <v>49075100003475</v>
      </c>
      <c r="AC100" s="110">
        <v>477655.85</v>
      </c>
      <c r="AD100" s="110">
        <v>901999.65</v>
      </c>
      <c r="AE100" s="110">
        <v>1084083.46</v>
      </c>
      <c r="AF100" s="110">
        <v>1123493.82</v>
      </c>
      <c r="AG100" s="110">
        <v>1167852.25</v>
      </c>
      <c r="AH100" s="110">
        <v>1191560.46</v>
      </c>
      <c r="AI100" s="110">
        <v>1224465.1499999999</v>
      </c>
      <c r="AJ100" s="110">
        <v>1239269.07</v>
      </c>
      <c r="AK100" s="110">
        <v>1216818.31</v>
      </c>
      <c r="AL100" s="110">
        <v>1222115.06</v>
      </c>
      <c r="AM100" s="110">
        <v>1309981.8999999999</v>
      </c>
      <c r="AN100" s="110">
        <v>1330814.6299999999</v>
      </c>
      <c r="AO100" s="110">
        <v>1316285.25</v>
      </c>
      <c r="AP100" s="110">
        <v>1391075.79</v>
      </c>
      <c r="AQ100" s="236">
        <v>1372554.72</v>
      </c>
      <c r="AR100" s="236">
        <v>1433891.5</v>
      </c>
      <c r="AS100" s="236">
        <v>1439806.49</v>
      </c>
      <c r="AT100" s="236">
        <v>1443026.05</v>
      </c>
      <c r="AU100" s="236">
        <v>1471637.22</v>
      </c>
      <c r="AV100" s="110">
        <v>1464236.69</v>
      </c>
      <c r="AW100" s="110">
        <v>1450358.97</v>
      </c>
      <c r="AX100" s="110">
        <v>1423457.63</v>
      </c>
      <c r="AY100" s="110">
        <v>1401137.76</v>
      </c>
      <c r="AZ100" s="110">
        <v>1369200.63</v>
      </c>
      <c r="BA100" s="110">
        <v>1356644.13</v>
      </c>
      <c r="BB100" s="110">
        <v>1357575.43</v>
      </c>
      <c r="BC100" s="110">
        <v>1397558.87</v>
      </c>
      <c r="BD100" s="110">
        <v>1406596.64</v>
      </c>
      <c r="BE100" s="110">
        <v>1458843.57</v>
      </c>
      <c r="BF100" s="110">
        <v>1433947.98</v>
      </c>
      <c r="BG100" s="237">
        <v>1426669.67</v>
      </c>
      <c r="BH100" s="237">
        <v>1415008.16</v>
      </c>
      <c r="BI100" s="237">
        <v>1442841.61</v>
      </c>
      <c r="BJ100" s="237">
        <v>1456433.18</v>
      </c>
      <c r="BK100" s="237">
        <v>1470545.53</v>
      </c>
      <c r="BL100" s="237">
        <v>1523827.01</v>
      </c>
      <c r="BM100" s="237">
        <v>1514477.32</v>
      </c>
      <c r="BN100" s="237">
        <v>1526158.39</v>
      </c>
      <c r="BO100" s="237">
        <v>1543469.78</v>
      </c>
      <c r="BP100" s="237">
        <v>1548949.08</v>
      </c>
      <c r="BQ100" s="237">
        <v>1564009.8</v>
      </c>
      <c r="BR100" s="237">
        <v>1567394.37</v>
      </c>
      <c r="BS100" s="237">
        <v>1606612.37</v>
      </c>
      <c r="BT100" s="237">
        <v>1641578.02</v>
      </c>
      <c r="BU100" s="237">
        <v>1646606.86</v>
      </c>
      <c r="BV100" s="237">
        <v>1614894.96</v>
      </c>
      <c r="BW100" s="237">
        <v>1656470.27</v>
      </c>
      <c r="BX100" s="237">
        <v>330426.36</v>
      </c>
      <c r="BY100" s="237">
        <v>472.76</v>
      </c>
      <c r="BZ100" s="237">
        <v>472.76</v>
      </c>
      <c r="CA100" s="237">
        <v>0</v>
      </c>
      <c r="CB100" s="237">
        <v>0</v>
      </c>
      <c r="CC100" s="237">
        <v>0</v>
      </c>
      <c r="CD100" s="237">
        <v>0</v>
      </c>
      <c r="CE100" s="237">
        <v>0</v>
      </c>
      <c r="CF100" s="237">
        <v>0</v>
      </c>
      <c r="CG100" s="237">
        <v>0</v>
      </c>
      <c r="CH100" s="30">
        <v>0</v>
      </c>
      <c r="CI100" s="30">
        <v>0</v>
      </c>
      <c r="CJ100" s="30" t="e">
        <f t="array" aca="1" ref="CJ100" ca="1">_xludf.XLOOKUP(C100,'PL TOTAL D0'!H:H,'PL TOTAL D0'!I:I,"")</f>
        <v>#NAME?</v>
      </c>
    </row>
    <row r="101" spans="1:88" ht="15.75" customHeight="1">
      <c r="A101" s="36" t="s">
        <v>2921</v>
      </c>
      <c r="B101" s="106" t="s">
        <v>859</v>
      </c>
      <c r="C101" s="9">
        <v>36791</v>
      </c>
      <c r="D101" s="9" t="s">
        <v>19</v>
      </c>
      <c r="E101" s="9" t="s">
        <v>34</v>
      </c>
      <c r="F101" s="9" t="s">
        <v>35</v>
      </c>
      <c r="G101" s="7" t="e">
        <f t="shared" ca="1" si="0"/>
        <v>#NAME?</v>
      </c>
      <c r="H101" s="8" t="s">
        <v>161</v>
      </c>
      <c r="I101" s="24" t="s">
        <v>162</v>
      </c>
      <c r="J101" s="9" t="str">
        <f t="shared" si="3"/>
        <v>Não</v>
      </c>
      <c r="K101" s="232">
        <v>44321</v>
      </c>
      <c r="L101" s="6"/>
      <c r="M101" s="6" t="s">
        <v>200</v>
      </c>
      <c r="N101" s="26">
        <v>1.4999999999999999E-2</v>
      </c>
      <c r="O101" s="9" t="s">
        <v>37</v>
      </c>
      <c r="P101" s="234">
        <v>0.1</v>
      </c>
      <c r="Q101" s="28"/>
      <c r="R101" s="28"/>
      <c r="S101" s="7" t="s">
        <v>145</v>
      </c>
      <c r="T101" s="9" t="s">
        <v>861</v>
      </c>
      <c r="U101" s="6" t="s">
        <v>39</v>
      </c>
      <c r="V101" s="24" t="e">
        <f t="shared" ca="1" si="2"/>
        <v>#NAME?</v>
      </c>
      <c r="W101" s="24"/>
      <c r="X101" s="24"/>
      <c r="Y101" s="6" t="s">
        <v>147</v>
      </c>
      <c r="Z101" s="6"/>
      <c r="AA101" s="107">
        <v>44321</v>
      </c>
      <c r="AB101" s="6">
        <v>49075100006601</v>
      </c>
      <c r="AC101" s="132"/>
      <c r="AD101" s="132"/>
      <c r="AE101" s="132"/>
      <c r="AF101" s="132"/>
      <c r="AG101" s="132"/>
      <c r="AH101" s="132"/>
      <c r="AI101" s="132"/>
      <c r="AJ101" s="132"/>
      <c r="AK101" s="132"/>
      <c r="AL101" s="132"/>
      <c r="AM101" s="132"/>
      <c r="AN101" s="132"/>
      <c r="AO101" s="132"/>
      <c r="AP101" s="110"/>
      <c r="AQ101" s="110"/>
      <c r="AR101" s="110"/>
      <c r="AS101" s="110"/>
      <c r="AT101" s="110"/>
      <c r="AU101" s="110">
        <v>3181234.05</v>
      </c>
      <c r="AV101" s="110">
        <v>4116558.03</v>
      </c>
      <c r="AW101" s="110">
        <v>4037929.14</v>
      </c>
      <c r="AX101" s="110">
        <v>3926907.13</v>
      </c>
      <c r="AY101" s="110">
        <v>3771191.19</v>
      </c>
      <c r="AZ101" s="110">
        <v>3673324.69</v>
      </c>
      <c r="BA101" s="110">
        <v>3593906.28</v>
      </c>
      <c r="BB101" s="110">
        <v>3568909.81</v>
      </c>
      <c r="BC101" s="110">
        <v>3614577.1</v>
      </c>
      <c r="BD101" s="110">
        <v>3600045.46</v>
      </c>
      <c r="BE101" s="110">
        <v>3719991.01</v>
      </c>
      <c r="BF101" s="110">
        <v>4699584.1500000004</v>
      </c>
      <c r="BG101" s="237">
        <v>4640169.96</v>
      </c>
      <c r="BH101" s="237">
        <v>4560950.66</v>
      </c>
      <c r="BI101" s="237">
        <v>4587874.0199999996</v>
      </c>
      <c r="BJ101" s="237">
        <v>4600285.8499999996</v>
      </c>
      <c r="BK101" s="237">
        <v>4588221.37</v>
      </c>
      <c r="BL101" s="237">
        <v>4719722.07</v>
      </c>
      <c r="BM101" s="237">
        <v>4554692.67</v>
      </c>
      <c r="BN101" s="237">
        <v>4553935.58</v>
      </c>
      <c r="BO101" s="237">
        <v>4567455.87</v>
      </c>
      <c r="BP101" s="237">
        <v>4560378.46</v>
      </c>
      <c r="BQ101" s="237">
        <v>4569018.78</v>
      </c>
      <c r="BR101" s="237">
        <v>4541379.72</v>
      </c>
      <c r="BS101" s="237">
        <v>218413.97</v>
      </c>
      <c r="BT101" s="237">
        <v>180079.79</v>
      </c>
      <c r="BU101" s="237">
        <v>131156.49</v>
      </c>
      <c r="BV101" s="237">
        <v>1309.99</v>
      </c>
      <c r="BW101" s="237">
        <v>0</v>
      </c>
      <c r="BX101" s="237">
        <v>311.85000000000002</v>
      </c>
      <c r="BY101" s="237">
        <v>304.42</v>
      </c>
      <c r="BZ101" s="237">
        <v>304.42</v>
      </c>
      <c r="CA101" s="237">
        <v>0</v>
      </c>
      <c r="CB101" s="237">
        <v>0</v>
      </c>
      <c r="CC101" s="237">
        <v>0</v>
      </c>
      <c r="CD101" s="237">
        <v>0</v>
      </c>
      <c r="CE101" s="237">
        <v>0</v>
      </c>
      <c r="CF101" s="237">
        <v>0</v>
      </c>
      <c r="CG101" s="237">
        <v>0</v>
      </c>
      <c r="CH101" s="30">
        <v>0</v>
      </c>
      <c r="CI101" s="30">
        <v>0</v>
      </c>
      <c r="CJ101" s="30" t="e">
        <f t="array" aca="1" ref="CJ101" ca="1">_xludf.XLOOKUP(C101,'PL TOTAL D0'!H:H,'PL TOTAL D0'!I:I,"")</f>
        <v>#NAME?</v>
      </c>
    </row>
    <row r="102" spans="1:88" ht="15" customHeight="1">
      <c r="A102" s="36" t="s">
        <v>2921</v>
      </c>
      <c r="B102" s="3" t="s">
        <v>863</v>
      </c>
      <c r="C102" s="9">
        <v>32374</v>
      </c>
      <c r="D102" s="9" t="s">
        <v>19</v>
      </c>
      <c r="E102" s="9" t="s">
        <v>34</v>
      </c>
      <c r="F102" s="6" t="s">
        <v>262</v>
      </c>
      <c r="G102" s="7" t="e">
        <f t="shared" ca="1" si="0"/>
        <v>#NAME?</v>
      </c>
      <c r="H102" s="8" t="s">
        <v>161</v>
      </c>
      <c r="I102" s="24" t="s">
        <v>162</v>
      </c>
      <c r="J102" s="9" t="str">
        <f t="shared" si="3"/>
        <v>Não</v>
      </c>
      <c r="K102" s="232">
        <v>44586</v>
      </c>
      <c r="L102" s="6"/>
      <c r="M102" s="6" t="s">
        <v>42</v>
      </c>
      <c r="N102" s="10">
        <v>7.0000000000000001E-3</v>
      </c>
      <c r="O102" s="9" t="s">
        <v>25</v>
      </c>
      <c r="P102" s="234">
        <v>0</v>
      </c>
      <c r="Q102" s="256"/>
      <c r="R102" s="256"/>
      <c r="S102" s="7" t="s">
        <v>145</v>
      </c>
      <c r="T102" s="6" t="s">
        <v>866</v>
      </c>
      <c r="U102" s="6" t="s">
        <v>39</v>
      </c>
      <c r="V102" s="24" t="e">
        <f t="shared" ca="1" si="2"/>
        <v>#NAME?</v>
      </c>
      <c r="W102" s="24"/>
      <c r="X102" s="24"/>
      <c r="Y102" s="6" t="s">
        <v>253</v>
      </c>
      <c r="Z102" s="6"/>
      <c r="AA102" s="107">
        <v>44586</v>
      </c>
      <c r="AB102" s="6">
        <v>49075100003491</v>
      </c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110"/>
      <c r="AQ102" s="110"/>
      <c r="AR102" s="110"/>
      <c r="AS102" s="110"/>
      <c r="AT102" s="110"/>
      <c r="AU102" s="240"/>
      <c r="AV102" s="240"/>
      <c r="AW102" s="240"/>
      <c r="AX102" s="110"/>
      <c r="AY102" s="110"/>
      <c r="AZ102" s="110"/>
      <c r="BA102" s="110"/>
      <c r="BB102" s="23"/>
      <c r="BC102" s="110">
        <v>153835.81</v>
      </c>
      <c r="BD102" s="110">
        <v>154743.82</v>
      </c>
      <c r="BE102" s="110">
        <v>157483.16</v>
      </c>
      <c r="BF102" s="110">
        <v>158294.95000000001</v>
      </c>
      <c r="BG102" s="237">
        <v>159744.82</v>
      </c>
      <c r="BH102" s="237">
        <v>160584.04</v>
      </c>
      <c r="BI102" s="237">
        <v>160854.32999999999</v>
      </c>
      <c r="BJ102" s="237">
        <v>162604.57999999999</v>
      </c>
      <c r="BK102" s="237">
        <v>163479.04999999999</v>
      </c>
      <c r="BL102" s="237">
        <v>164857.04999999999</v>
      </c>
      <c r="BM102" s="237">
        <v>164805</v>
      </c>
      <c r="BN102" s="237">
        <v>166324.31</v>
      </c>
      <c r="BO102" s="237">
        <v>148414.75</v>
      </c>
      <c r="BP102" s="237">
        <v>169930.19</v>
      </c>
      <c r="BQ102" s="237">
        <v>172150.93</v>
      </c>
      <c r="BR102" s="237">
        <v>173566.34</v>
      </c>
      <c r="BS102" s="237">
        <v>175575.6</v>
      </c>
      <c r="BT102" s="237">
        <v>177312.17</v>
      </c>
      <c r="BU102" s="237">
        <v>178605.67</v>
      </c>
      <c r="BV102" s="237">
        <v>174803.39</v>
      </c>
      <c r="BW102" s="237">
        <v>181863.57</v>
      </c>
      <c r="BX102" s="237">
        <v>183441.39</v>
      </c>
      <c r="BY102" s="237">
        <v>184790.43</v>
      </c>
      <c r="BZ102" s="237">
        <v>186593.69</v>
      </c>
      <c r="CA102" s="237">
        <v>188422.53</v>
      </c>
      <c r="CB102" s="237">
        <v>189690.65</v>
      </c>
      <c r="CC102" s="237">
        <v>42652.33</v>
      </c>
      <c r="CD102" s="237">
        <v>187785.65</v>
      </c>
      <c r="CE102" s="237">
        <v>189454.57</v>
      </c>
      <c r="CF102" s="237">
        <v>191071.03</v>
      </c>
      <c r="CG102" s="237">
        <v>27701.73</v>
      </c>
      <c r="CH102" s="30">
        <v>0</v>
      </c>
      <c r="CI102" s="30">
        <v>0</v>
      </c>
      <c r="CJ102" s="30" t="e">
        <f t="array" aca="1" ref="CJ102" ca="1">_xludf.XLOOKUP(C102,'PL TOTAL D0'!H:H,'PL TOTAL D0'!I:I,"")</f>
        <v>#NAME?</v>
      </c>
    </row>
    <row r="103" spans="1:88" ht="15.75" customHeight="1">
      <c r="A103" s="36" t="s">
        <v>2921</v>
      </c>
      <c r="B103" s="37" t="s">
        <v>873</v>
      </c>
      <c r="C103" s="9">
        <v>649661</v>
      </c>
      <c r="D103" s="9" t="s">
        <v>19</v>
      </c>
      <c r="E103" s="9" t="s">
        <v>34</v>
      </c>
      <c r="F103" s="9" t="s">
        <v>35</v>
      </c>
      <c r="G103" s="7" t="e">
        <f t="shared" ca="1" si="0"/>
        <v>#NAME?</v>
      </c>
      <c r="H103" s="8" t="s">
        <v>143</v>
      </c>
      <c r="I103" s="24" t="s">
        <v>25</v>
      </c>
      <c r="J103" s="9" t="str">
        <f t="shared" si="3"/>
        <v>Não</v>
      </c>
      <c r="K103" s="107">
        <v>44715</v>
      </c>
      <c r="L103" s="107">
        <v>45061</v>
      </c>
      <c r="M103" s="6" t="s">
        <v>58</v>
      </c>
      <c r="N103" s="10">
        <v>1.2E-2</v>
      </c>
      <c r="O103" s="9" t="s">
        <v>25</v>
      </c>
      <c r="P103" s="234">
        <v>0</v>
      </c>
      <c r="Q103" s="108"/>
      <c r="R103" s="108"/>
      <c r="S103" s="7" t="s">
        <v>145</v>
      </c>
      <c r="T103" s="6" t="s">
        <v>876</v>
      </c>
      <c r="U103" s="7" t="s">
        <v>39</v>
      </c>
      <c r="V103" s="24" t="e">
        <f t="shared" ca="1" si="2"/>
        <v>#NAME?</v>
      </c>
      <c r="W103" s="24"/>
      <c r="X103" s="24"/>
      <c r="Y103" s="6"/>
      <c r="Z103" s="6"/>
      <c r="AA103" s="6"/>
      <c r="AB103" s="6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110"/>
      <c r="AQ103" s="110"/>
      <c r="AR103" s="110"/>
      <c r="AS103" s="110"/>
      <c r="AT103" s="110"/>
      <c r="AU103" s="240"/>
      <c r="AV103" s="240"/>
      <c r="AW103" s="240"/>
      <c r="AX103" s="110"/>
      <c r="AY103" s="110"/>
      <c r="AZ103" s="110"/>
      <c r="BA103" s="110"/>
      <c r="BB103" s="23"/>
      <c r="BC103" s="110"/>
      <c r="BD103" s="110"/>
      <c r="BE103" s="110"/>
      <c r="BF103" s="110"/>
      <c r="BG103" s="253">
        <v>100000</v>
      </c>
      <c r="BH103" s="237">
        <v>99586.89</v>
      </c>
      <c r="BI103" s="237">
        <v>100518.74</v>
      </c>
      <c r="BJ103" s="237">
        <v>101774.65</v>
      </c>
      <c r="BK103" s="237">
        <v>322018.84000000003</v>
      </c>
      <c r="BL103" s="237">
        <v>327982.67</v>
      </c>
      <c r="BM103" s="237">
        <v>327911.77</v>
      </c>
      <c r="BN103" s="237">
        <v>331139.08</v>
      </c>
      <c r="BO103" s="237">
        <v>334636.90000000002</v>
      </c>
      <c r="BP103" s="237">
        <v>337342.66</v>
      </c>
      <c r="BQ103" s="237">
        <v>371659.01</v>
      </c>
      <c r="BR103" s="237">
        <v>374321.38</v>
      </c>
      <c r="BS103" s="237">
        <v>364218.67</v>
      </c>
      <c r="BT103" s="237">
        <v>0</v>
      </c>
      <c r="BU103" s="237">
        <v>0</v>
      </c>
      <c r="BV103" s="237">
        <v>0</v>
      </c>
      <c r="BW103" s="237">
        <v>0</v>
      </c>
      <c r="BX103" s="237">
        <v>0</v>
      </c>
      <c r="BY103" s="237">
        <v>0</v>
      </c>
      <c r="BZ103" s="237">
        <v>0</v>
      </c>
      <c r="CA103" s="237">
        <v>0</v>
      </c>
      <c r="CB103" s="237">
        <v>0</v>
      </c>
      <c r="CC103" s="237">
        <v>0</v>
      </c>
      <c r="CD103" s="237">
        <v>0</v>
      </c>
      <c r="CE103" s="237">
        <v>0</v>
      </c>
      <c r="CF103" s="237">
        <v>0</v>
      </c>
      <c r="CG103" s="237">
        <v>0</v>
      </c>
      <c r="CH103" s="30">
        <v>0</v>
      </c>
      <c r="CI103" s="30">
        <v>0</v>
      </c>
      <c r="CJ103" s="30" t="e">
        <f t="array" aca="1" ref="CJ103" ca="1">_xludf.XLOOKUP(C103,'PL TOTAL D0'!H:H,'PL TOTAL D0'!I:I,"")</f>
        <v>#NAME?</v>
      </c>
    </row>
    <row r="104" spans="1:88" ht="15.75" customHeight="1">
      <c r="A104" s="36" t="s">
        <v>2921</v>
      </c>
      <c r="B104" s="37" t="s">
        <v>873</v>
      </c>
      <c r="C104" s="9">
        <v>377958</v>
      </c>
      <c r="D104" s="9" t="s">
        <v>19</v>
      </c>
      <c r="E104" s="9" t="s">
        <v>34</v>
      </c>
      <c r="F104" s="6" t="s">
        <v>3103</v>
      </c>
      <c r="G104" s="7" t="e">
        <f t="shared" ca="1" si="0"/>
        <v>#NAME?</v>
      </c>
      <c r="H104" s="8" t="s">
        <v>143</v>
      </c>
      <c r="I104" s="24" t="s">
        <v>25</v>
      </c>
      <c r="J104" s="9" t="str">
        <f t="shared" si="3"/>
        <v>Não</v>
      </c>
      <c r="K104" s="232">
        <v>44999</v>
      </c>
      <c r="L104" s="107">
        <v>43966</v>
      </c>
      <c r="M104" s="6" t="s">
        <v>875</v>
      </c>
      <c r="N104" s="10">
        <v>0.02</v>
      </c>
      <c r="O104" s="9" t="s">
        <v>183</v>
      </c>
      <c r="P104" s="234">
        <v>0.2</v>
      </c>
      <c r="Q104" s="108"/>
      <c r="R104" s="108"/>
      <c r="S104" s="7" t="s">
        <v>145</v>
      </c>
      <c r="T104" s="6" t="s">
        <v>876</v>
      </c>
      <c r="U104" s="6" t="s">
        <v>39</v>
      </c>
      <c r="V104" s="24" t="e">
        <f t="shared" ca="1" si="2"/>
        <v>#NAME?</v>
      </c>
      <c r="W104" s="24"/>
      <c r="X104" s="24"/>
      <c r="Y104" s="6"/>
      <c r="Z104" s="6"/>
      <c r="AA104" s="6"/>
      <c r="AB104" s="6"/>
      <c r="AC104" s="240"/>
      <c r="AD104" s="240"/>
      <c r="AE104" s="240"/>
      <c r="AF104" s="110"/>
      <c r="AG104" s="110"/>
      <c r="AH104" s="110"/>
      <c r="AI104" s="110"/>
      <c r="AJ104" s="110"/>
      <c r="AK104" s="110"/>
      <c r="AL104" s="110"/>
      <c r="AM104" s="110"/>
      <c r="AN104" s="110"/>
      <c r="AO104" s="110"/>
      <c r="AP104" s="110"/>
      <c r="AQ104" s="110"/>
      <c r="AR104" s="110"/>
      <c r="AS104" s="110"/>
      <c r="AT104" s="110"/>
      <c r="AU104" s="110"/>
      <c r="AV104" s="240"/>
      <c r="AW104" s="240"/>
      <c r="AX104" s="240"/>
      <c r="AY104" s="110"/>
      <c r="AZ104" s="110"/>
      <c r="BA104" s="110"/>
      <c r="BB104" s="110"/>
      <c r="BC104" s="110"/>
      <c r="BD104" s="110"/>
      <c r="BE104" s="110"/>
      <c r="BF104" s="110"/>
      <c r="BG104" s="110"/>
      <c r="BH104" s="110"/>
      <c r="BI104" s="110"/>
      <c r="BJ104" s="110"/>
      <c r="BK104" s="237"/>
      <c r="BL104" s="237"/>
      <c r="BM104" s="237"/>
      <c r="BN104" s="237"/>
      <c r="BO104" s="237"/>
      <c r="BP104" s="237"/>
      <c r="BQ104" s="237">
        <v>49584.54</v>
      </c>
      <c r="BR104" s="237">
        <v>50539.09</v>
      </c>
      <c r="BS104" s="237">
        <v>43341.95</v>
      </c>
      <c r="BT104" s="237">
        <v>0</v>
      </c>
      <c r="BU104" s="237">
        <v>0</v>
      </c>
      <c r="BV104" s="237">
        <v>0</v>
      </c>
      <c r="BW104" s="237">
        <v>0</v>
      </c>
      <c r="BX104" s="237">
        <v>0</v>
      </c>
      <c r="BY104" s="237">
        <v>0</v>
      </c>
      <c r="BZ104" s="237">
        <v>0</v>
      </c>
      <c r="CA104" s="237">
        <v>0</v>
      </c>
      <c r="CB104" s="237">
        <v>0</v>
      </c>
      <c r="CC104" s="237">
        <v>0</v>
      </c>
      <c r="CD104" s="237">
        <v>0</v>
      </c>
      <c r="CE104" s="237">
        <v>0</v>
      </c>
      <c r="CF104" s="237">
        <v>0</v>
      </c>
      <c r="CG104" s="237">
        <v>0</v>
      </c>
      <c r="CH104" s="30">
        <v>0</v>
      </c>
      <c r="CI104" s="30">
        <v>0</v>
      </c>
      <c r="CJ104" s="30" t="e">
        <f t="array" aca="1" ref="CJ104" ca="1">_xludf.XLOOKUP(C104,'PL TOTAL D0'!H:H,'PL TOTAL D0'!I:I,"")</f>
        <v>#NAME?</v>
      </c>
    </row>
    <row r="105" spans="1:88" ht="15.75" customHeight="1">
      <c r="A105" s="36" t="s">
        <v>2921</v>
      </c>
      <c r="B105" s="3" t="s">
        <v>3104</v>
      </c>
      <c r="C105" s="9">
        <v>453416</v>
      </c>
      <c r="D105" s="9" t="s">
        <v>2923</v>
      </c>
      <c r="E105" s="9" t="s">
        <v>20</v>
      </c>
      <c r="F105" s="6" t="s">
        <v>2923</v>
      </c>
      <c r="G105" s="7" t="e">
        <f t="shared" ca="1" si="0"/>
        <v>#NAME?</v>
      </c>
      <c r="H105" s="8" t="s">
        <v>143</v>
      </c>
      <c r="I105" s="24" t="s">
        <v>25</v>
      </c>
      <c r="J105" s="9" t="str">
        <f t="shared" si="3"/>
        <v>Não</v>
      </c>
      <c r="K105" s="107">
        <v>43924</v>
      </c>
      <c r="L105" s="239">
        <v>44482</v>
      </c>
      <c r="M105" s="6" t="s">
        <v>200</v>
      </c>
      <c r="N105" s="10">
        <v>1.4999999999999999E-2</v>
      </c>
      <c r="O105" s="9" t="s">
        <v>37</v>
      </c>
      <c r="P105" s="234">
        <v>0.1</v>
      </c>
      <c r="Q105" s="108"/>
      <c r="R105" s="108"/>
      <c r="S105" s="7" t="s">
        <v>145</v>
      </c>
      <c r="T105" s="6" t="s">
        <v>3105</v>
      </c>
      <c r="U105" s="6" t="s">
        <v>20</v>
      </c>
      <c r="V105" s="24" t="e">
        <f t="shared" ca="1" si="2"/>
        <v>#NAME?</v>
      </c>
      <c r="W105" s="24"/>
      <c r="X105" s="24"/>
      <c r="Y105" s="6"/>
      <c r="Z105" s="6"/>
      <c r="AA105" s="6"/>
      <c r="AB105" s="6"/>
      <c r="AC105" s="240"/>
      <c r="AD105" s="240"/>
      <c r="AE105" s="240"/>
      <c r="AF105" s="110"/>
      <c r="AG105" s="110"/>
      <c r="AH105" s="110"/>
      <c r="AI105" s="110"/>
      <c r="AJ105" s="110"/>
      <c r="AK105" s="110"/>
      <c r="AL105" s="110"/>
      <c r="AM105" s="110"/>
      <c r="AN105" s="110"/>
      <c r="AO105" s="110"/>
      <c r="AP105" s="110"/>
      <c r="AQ105" s="110"/>
      <c r="AR105" s="110"/>
      <c r="AS105" s="110"/>
      <c r="AT105" s="110"/>
      <c r="AU105" s="110"/>
      <c r="AV105" s="240"/>
      <c r="AW105" s="240"/>
      <c r="AX105" s="240"/>
      <c r="AY105" s="110"/>
      <c r="AZ105" s="110"/>
      <c r="BA105" s="110"/>
      <c r="BB105" s="110"/>
      <c r="BC105" s="110"/>
      <c r="BD105" s="110">
        <v>0</v>
      </c>
      <c r="BE105" s="110">
        <v>0</v>
      </c>
      <c r="BF105" s="110">
        <v>0</v>
      </c>
      <c r="BG105" s="110" t="s">
        <v>2932</v>
      </c>
      <c r="BH105" s="110">
        <v>0</v>
      </c>
      <c r="BI105" s="110" t="s">
        <v>2932</v>
      </c>
      <c r="BJ105" s="110">
        <v>0</v>
      </c>
      <c r="BK105" s="237">
        <v>0</v>
      </c>
      <c r="BL105" s="237">
        <v>0</v>
      </c>
      <c r="BM105" s="237">
        <v>0</v>
      </c>
      <c r="BN105" s="237">
        <v>0</v>
      </c>
      <c r="BO105" s="237">
        <v>0</v>
      </c>
      <c r="BP105" s="237">
        <v>0</v>
      </c>
      <c r="BQ105" s="237">
        <v>0</v>
      </c>
      <c r="BR105" s="237">
        <v>0</v>
      </c>
      <c r="BS105" s="237">
        <v>0</v>
      </c>
      <c r="BT105" s="237">
        <v>0</v>
      </c>
      <c r="BU105" s="237">
        <v>0</v>
      </c>
      <c r="BV105" s="237">
        <v>0</v>
      </c>
      <c r="BW105" s="237">
        <v>0</v>
      </c>
      <c r="BX105" s="237">
        <v>0</v>
      </c>
      <c r="BY105" s="237">
        <v>0</v>
      </c>
      <c r="BZ105" s="237">
        <v>0</v>
      </c>
      <c r="CA105" s="237">
        <v>0</v>
      </c>
      <c r="CB105" s="237">
        <v>0</v>
      </c>
      <c r="CC105" s="237">
        <v>0</v>
      </c>
      <c r="CD105" s="237">
        <v>0</v>
      </c>
      <c r="CE105" s="237">
        <v>0</v>
      </c>
      <c r="CF105" s="237">
        <v>0</v>
      </c>
      <c r="CG105" s="237">
        <v>0</v>
      </c>
      <c r="CH105" s="30">
        <v>0</v>
      </c>
      <c r="CI105" s="30">
        <v>0</v>
      </c>
      <c r="CJ105" s="30" t="e">
        <f t="array" aca="1" ref="CJ105" ca="1">_xludf.XLOOKUP(C105,'PL TOTAL D0'!H:H,'PL TOTAL D0'!I:I,"")</f>
        <v>#NAME?</v>
      </c>
    </row>
    <row r="106" spans="1:88" ht="15.75" customHeight="1">
      <c r="A106" s="36" t="s">
        <v>2921</v>
      </c>
      <c r="B106" s="36" t="s">
        <v>933</v>
      </c>
      <c r="C106" s="9">
        <v>362767</v>
      </c>
      <c r="D106" s="9" t="s">
        <v>19</v>
      </c>
      <c r="E106" s="9" t="s">
        <v>34</v>
      </c>
      <c r="F106" s="9" t="s">
        <v>35</v>
      </c>
      <c r="G106" s="7" t="e">
        <f t="shared" ca="1" si="0"/>
        <v>#NAME?</v>
      </c>
      <c r="H106" s="8" t="s">
        <v>161</v>
      </c>
      <c r="I106" s="24" t="s">
        <v>162</v>
      </c>
      <c r="J106" s="9" t="str">
        <f t="shared" si="3"/>
        <v>Não</v>
      </c>
      <c r="K106" s="238">
        <v>44844</v>
      </c>
      <c r="L106" s="6"/>
      <c r="M106" s="6" t="s">
        <v>42</v>
      </c>
      <c r="N106" s="233">
        <v>0.01</v>
      </c>
      <c r="O106" s="9" t="s">
        <v>25</v>
      </c>
      <c r="P106" s="234">
        <v>0</v>
      </c>
      <c r="Q106" s="108"/>
      <c r="R106" s="108"/>
      <c r="S106" s="7" t="s">
        <v>145</v>
      </c>
      <c r="T106" s="9" t="s">
        <v>936</v>
      </c>
      <c r="U106" s="6" t="s">
        <v>39</v>
      </c>
      <c r="V106" s="24" t="e">
        <f t="shared" ca="1" si="2"/>
        <v>#NAME?</v>
      </c>
      <c r="W106" s="24"/>
      <c r="X106" s="24"/>
      <c r="Y106" s="6" t="s">
        <v>253</v>
      </c>
      <c r="Z106" s="6"/>
      <c r="AA106" s="239">
        <v>44844</v>
      </c>
      <c r="AB106" s="6">
        <v>49075100010536</v>
      </c>
      <c r="AC106" s="110"/>
      <c r="AD106" s="110"/>
      <c r="AE106" s="110"/>
      <c r="AF106" s="110"/>
      <c r="AG106" s="110"/>
      <c r="AH106" s="110"/>
      <c r="AI106" s="110"/>
      <c r="AJ106" s="110"/>
      <c r="AK106" s="110"/>
      <c r="AL106" s="110"/>
      <c r="AM106" s="110"/>
      <c r="AN106" s="110"/>
      <c r="AO106" s="110"/>
      <c r="AP106" s="110"/>
      <c r="AQ106" s="236"/>
      <c r="AR106" s="236"/>
      <c r="AS106" s="236"/>
      <c r="AT106" s="236"/>
      <c r="AU106" s="236"/>
      <c r="AV106" s="110"/>
      <c r="AW106" s="110"/>
      <c r="AX106" s="110"/>
      <c r="AY106" s="110"/>
      <c r="AZ106" s="110"/>
      <c r="BA106" s="110"/>
      <c r="BB106" s="110"/>
      <c r="BC106" s="110"/>
      <c r="BD106" s="110"/>
      <c r="BE106" s="110"/>
      <c r="BF106" s="110"/>
      <c r="BG106" s="237"/>
      <c r="BH106" s="237"/>
      <c r="BI106" s="237"/>
      <c r="BJ106" s="237"/>
      <c r="BK106" s="237">
        <v>0</v>
      </c>
      <c r="BL106" s="237">
        <v>23558.51</v>
      </c>
      <c r="BM106" s="237">
        <v>23648.02</v>
      </c>
      <c r="BN106" s="237">
        <v>27890.639999999999</v>
      </c>
      <c r="BO106" s="237">
        <v>28242.25</v>
      </c>
      <c r="BP106" s="237">
        <v>36446.980000000003</v>
      </c>
      <c r="BQ106" s="237">
        <v>40875.599999999999</v>
      </c>
      <c r="BR106" s="237">
        <v>41178.79</v>
      </c>
      <c r="BS106" s="237">
        <v>41639.199999999997</v>
      </c>
      <c r="BT106" s="237">
        <v>0</v>
      </c>
      <c r="BU106" s="237">
        <v>0</v>
      </c>
      <c r="BV106" s="237">
        <v>0</v>
      </c>
      <c r="BW106" s="237">
        <v>0</v>
      </c>
      <c r="BX106" s="237">
        <v>0</v>
      </c>
      <c r="BY106" s="237">
        <v>0</v>
      </c>
      <c r="BZ106" s="237">
        <v>0</v>
      </c>
      <c r="CA106" s="237">
        <v>0</v>
      </c>
      <c r="CB106" s="237">
        <v>0</v>
      </c>
      <c r="CC106" s="237">
        <v>0</v>
      </c>
      <c r="CD106" s="237">
        <v>0</v>
      </c>
      <c r="CE106" s="237">
        <v>0</v>
      </c>
      <c r="CF106" s="237">
        <v>0</v>
      </c>
      <c r="CG106" s="237">
        <v>0</v>
      </c>
      <c r="CH106" s="30">
        <v>0</v>
      </c>
      <c r="CI106" s="30">
        <v>0</v>
      </c>
      <c r="CJ106" s="30" t="e">
        <f t="array" aca="1" ref="CJ106" ca="1">_xludf.XLOOKUP(C106,'PL TOTAL D0'!H:H,'PL TOTAL D0'!I:I,"")</f>
        <v>#NAME?</v>
      </c>
    </row>
    <row r="107" spans="1:88" ht="15.75" customHeight="1">
      <c r="A107" s="36" t="s">
        <v>2921</v>
      </c>
      <c r="B107" s="37" t="s">
        <v>937</v>
      </c>
      <c r="C107" s="9">
        <v>38407</v>
      </c>
      <c r="D107" s="9" t="s">
        <v>19</v>
      </c>
      <c r="E107" s="9" t="s">
        <v>34</v>
      </c>
      <c r="F107" s="9" t="s">
        <v>262</v>
      </c>
      <c r="G107" s="7" t="e">
        <f t="shared" ca="1" si="0"/>
        <v>#NAME?</v>
      </c>
      <c r="H107" s="8" t="s">
        <v>161</v>
      </c>
      <c r="I107" s="24" t="s">
        <v>162</v>
      </c>
      <c r="J107" s="9" t="str">
        <f t="shared" si="3"/>
        <v>Não</v>
      </c>
      <c r="K107" s="232">
        <v>44328</v>
      </c>
      <c r="L107" s="7"/>
      <c r="M107" s="6" t="s">
        <v>345</v>
      </c>
      <c r="N107" s="10">
        <v>0.02</v>
      </c>
      <c r="O107" s="9" t="s">
        <v>37</v>
      </c>
      <c r="P107" s="234">
        <v>0.2</v>
      </c>
      <c r="Q107" s="45"/>
      <c r="R107" s="28" t="s">
        <v>3106</v>
      </c>
      <c r="S107" s="7" t="s">
        <v>145</v>
      </c>
      <c r="T107" s="6" t="s">
        <v>939</v>
      </c>
      <c r="U107" s="6" t="s">
        <v>39</v>
      </c>
      <c r="V107" s="24" t="e">
        <f t="shared" ca="1" si="2"/>
        <v>#NAME?</v>
      </c>
      <c r="W107" s="24"/>
      <c r="X107" s="24"/>
      <c r="Y107" s="6" t="s">
        <v>147</v>
      </c>
      <c r="Z107" s="6"/>
      <c r="AA107" s="107">
        <v>44328</v>
      </c>
      <c r="AB107" s="6">
        <v>49075100003513</v>
      </c>
      <c r="AC107" s="132"/>
      <c r="AD107" s="132"/>
      <c r="AE107" s="132"/>
      <c r="AF107" s="132"/>
      <c r="AG107" s="132"/>
      <c r="AH107" s="132"/>
      <c r="AI107" s="132"/>
      <c r="AJ107" s="132"/>
      <c r="AK107" s="132"/>
      <c r="AL107" s="132"/>
      <c r="AM107" s="132"/>
      <c r="AN107" s="132"/>
      <c r="AO107" s="132"/>
      <c r="AP107" s="132"/>
      <c r="AQ107" s="110"/>
      <c r="AR107" s="110"/>
      <c r="AS107" s="110"/>
      <c r="AT107" s="132"/>
      <c r="AU107" s="132">
        <v>1177660.82</v>
      </c>
      <c r="AV107" s="110">
        <v>1173871.7</v>
      </c>
      <c r="AW107" s="110">
        <v>1156923.57</v>
      </c>
      <c r="AX107" s="110">
        <v>1111457.52</v>
      </c>
      <c r="AY107" s="110">
        <v>1053312.32</v>
      </c>
      <c r="AZ107" s="110">
        <v>1035451.03</v>
      </c>
      <c r="BA107" s="110">
        <v>1013952.29</v>
      </c>
      <c r="BB107" s="110">
        <v>1020123.94</v>
      </c>
      <c r="BC107" s="110">
        <v>1050556.69</v>
      </c>
      <c r="BD107" s="110">
        <v>1057285.97</v>
      </c>
      <c r="BE107" s="110">
        <v>1120291.52</v>
      </c>
      <c r="BF107" s="110">
        <v>1088310.95</v>
      </c>
      <c r="BG107" s="237">
        <v>1061984.96</v>
      </c>
      <c r="BH107" s="237">
        <v>1024991.07</v>
      </c>
      <c r="BI107" s="237">
        <v>1049233.51</v>
      </c>
      <c r="BJ107" s="237">
        <v>1074699.3500000001</v>
      </c>
      <c r="BK107" s="237">
        <v>1081669.3</v>
      </c>
      <c r="BL107" s="237">
        <v>1126458.3600000001</v>
      </c>
      <c r="BM107" s="237">
        <v>1116842.3899999999</v>
      </c>
      <c r="BN107" s="237">
        <v>1121409.05</v>
      </c>
      <c r="BO107" s="237">
        <v>1136767.01</v>
      </c>
      <c r="BP107" s="237">
        <v>1129380.32</v>
      </c>
      <c r="BQ107" s="237">
        <v>1139300.3700000001</v>
      </c>
      <c r="BR107" s="237">
        <v>134100.62</v>
      </c>
      <c r="BS107" s="237">
        <v>98137.73</v>
      </c>
      <c r="BT107" s="237">
        <v>104414.87</v>
      </c>
      <c r="BU107" s="237">
        <v>1473.31</v>
      </c>
      <c r="BV107" s="237">
        <v>1443.5</v>
      </c>
      <c r="BW107" s="237">
        <v>0</v>
      </c>
      <c r="BX107" s="237">
        <v>0</v>
      </c>
      <c r="BY107" s="237">
        <v>0</v>
      </c>
      <c r="BZ107" s="237">
        <v>0</v>
      </c>
      <c r="CA107" s="237">
        <v>0</v>
      </c>
      <c r="CB107" s="237">
        <v>0</v>
      </c>
      <c r="CC107" s="237">
        <v>0</v>
      </c>
      <c r="CD107" s="237">
        <v>0</v>
      </c>
      <c r="CE107" s="237">
        <v>0</v>
      </c>
      <c r="CF107" s="237">
        <v>0</v>
      </c>
      <c r="CG107" s="237">
        <v>0</v>
      </c>
      <c r="CH107" s="30">
        <v>0</v>
      </c>
      <c r="CI107" s="30">
        <v>0</v>
      </c>
      <c r="CJ107" s="30" t="e">
        <f t="array" aca="1" ref="CJ107" ca="1">_xludf.XLOOKUP(C107,'PL TOTAL D0'!H:H,'PL TOTAL D0'!I:I,"")</f>
        <v>#NAME?</v>
      </c>
    </row>
    <row r="108" spans="1:88" ht="15.75" customHeight="1">
      <c r="A108" s="36" t="s">
        <v>2921</v>
      </c>
      <c r="B108" s="37" t="s">
        <v>3107</v>
      </c>
      <c r="C108" s="9">
        <v>35124</v>
      </c>
      <c r="D108" s="9" t="s">
        <v>19</v>
      </c>
      <c r="E108" s="9" t="s">
        <v>34</v>
      </c>
      <c r="F108" s="9" t="s">
        <v>35</v>
      </c>
      <c r="G108" s="7" t="e">
        <f t="shared" ca="1" si="0"/>
        <v>#NAME?</v>
      </c>
      <c r="H108" s="8" t="s">
        <v>143</v>
      </c>
      <c r="I108" s="24" t="s">
        <v>25</v>
      </c>
      <c r="J108" s="9" t="str">
        <f t="shared" si="3"/>
        <v>Não</v>
      </c>
      <c r="K108" s="107">
        <v>44594</v>
      </c>
      <c r="L108" s="25">
        <v>44937</v>
      </c>
      <c r="M108" s="6" t="s">
        <v>200</v>
      </c>
      <c r="N108" s="10">
        <v>1.4999999999999999E-2</v>
      </c>
      <c r="O108" s="9" t="s">
        <v>37</v>
      </c>
      <c r="P108" s="234">
        <v>0.1</v>
      </c>
      <c r="Q108" s="45"/>
      <c r="R108" s="235"/>
      <c r="S108" s="7" t="s">
        <v>145</v>
      </c>
      <c r="T108" s="6" t="s">
        <v>3108</v>
      </c>
      <c r="U108" s="6" t="s">
        <v>39</v>
      </c>
      <c r="V108" s="24" t="e">
        <f t="shared" ca="1" si="2"/>
        <v>#NAME?</v>
      </c>
      <c r="W108" s="24"/>
      <c r="X108" s="24"/>
      <c r="Y108" s="6" t="s">
        <v>253</v>
      </c>
      <c r="Z108" s="6"/>
      <c r="AA108" s="6"/>
      <c r="AB108" s="6"/>
      <c r="AC108" s="110"/>
      <c r="AD108" s="110"/>
      <c r="AE108" s="110"/>
      <c r="AF108" s="110"/>
      <c r="AG108" s="110"/>
      <c r="AH108" s="110"/>
      <c r="AI108" s="110"/>
      <c r="AJ108" s="110"/>
      <c r="AK108" s="110"/>
      <c r="AL108" s="110"/>
      <c r="AM108" s="110"/>
      <c r="AN108" s="110"/>
      <c r="AO108" s="110"/>
      <c r="AP108" s="110"/>
      <c r="AQ108" s="236"/>
      <c r="AR108" s="236"/>
      <c r="AS108" s="236"/>
      <c r="AT108" s="236"/>
      <c r="AU108" s="236"/>
      <c r="AV108" s="110"/>
      <c r="AW108" s="110"/>
      <c r="AX108" s="110"/>
      <c r="AY108" s="110"/>
      <c r="AZ108" s="110"/>
      <c r="BA108" s="110"/>
      <c r="BB108" s="110"/>
      <c r="BC108" s="110"/>
      <c r="BD108" s="110">
        <v>47584.6</v>
      </c>
      <c r="BE108" s="110">
        <v>49321.57</v>
      </c>
      <c r="BF108" s="110">
        <v>48854.82</v>
      </c>
      <c r="BG108" s="237">
        <v>48877.72</v>
      </c>
      <c r="BH108" s="237">
        <v>48673.64</v>
      </c>
      <c r="BI108" s="237">
        <v>49278.23</v>
      </c>
      <c r="BJ108" s="237">
        <v>49791.56</v>
      </c>
      <c r="BK108" s="237">
        <v>50136.61</v>
      </c>
      <c r="BL108" s="237">
        <v>51402.78</v>
      </c>
      <c r="BM108" s="237">
        <v>14897.18</v>
      </c>
      <c r="BN108" s="237">
        <v>108.22</v>
      </c>
      <c r="BO108" s="237">
        <v>176.14</v>
      </c>
      <c r="BP108" s="237">
        <v>0</v>
      </c>
      <c r="BQ108" s="237">
        <v>1.65</v>
      </c>
      <c r="BR108" s="237">
        <v>1.65</v>
      </c>
      <c r="BS108" s="237">
        <v>1.65</v>
      </c>
      <c r="BT108" s="237">
        <v>0</v>
      </c>
      <c r="BU108" s="237">
        <v>0</v>
      </c>
      <c r="BV108" s="237">
        <v>0</v>
      </c>
      <c r="BW108" s="237">
        <v>0</v>
      </c>
      <c r="BX108" s="237">
        <v>0</v>
      </c>
      <c r="BY108" s="237">
        <v>0</v>
      </c>
      <c r="BZ108" s="237">
        <v>0</v>
      </c>
      <c r="CA108" s="237">
        <v>0</v>
      </c>
      <c r="CB108" s="237">
        <v>0</v>
      </c>
      <c r="CC108" s="237">
        <v>0</v>
      </c>
      <c r="CD108" s="237">
        <v>0</v>
      </c>
      <c r="CE108" s="237">
        <v>0</v>
      </c>
      <c r="CF108" s="237">
        <v>0</v>
      </c>
      <c r="CG108" s="237">
        <v>0</v>
      </c>
      <c r="CH108" s="30">
        <v>0</v>
      </c>
      <c r="CI108" s="30">
        <v>0</v>
      </c>
      <c r="CJ108" s="30" t="e">
        <f t="array" aca="1" ref="CJ108" ca="1">_xludf.XLOOKUP(C108,'PL TOTAL D0'!H:H,'PL TOTAL D0'!I:I,"")</f>
        <v>#NAME?</v>
      </c>
    </row>
    <row r="109" spans="1:88" ht="15.75" customHeight="1">
      <c r="A109" s="36" t="s">
        <v>2921</v>
      </c>
      <c r="B109" s="36" t="s">
        <v>3109</v>
      </c>
      <c r="C109" s="9">
        <v>446581</v>
      </c>
      <c r="D109" s="9" t="s">
        <v>19</v>
      </c>
      <c r="E109" s="9" t="s">
        <v>20</v>
      </c>
      <c r="F109" s="9" t="s">
        <v>199</v>
      </c>
      <c r="G109" s="7" t="e">
        <f t="shared" ca="1" si="0"/>
        <v>#NAME?</v>
      </c>
      <c r="H109" s="8" t="s">
        <v>161</v>
      </c>
      <c r="I109" s="24" t="s">
        <v>3110</v>
      </c>
      <c r="J109" s="9" t="str">
        <f t="shared" si="3"/>
        <v>Sim</v>
      </c>
      <c r="K109" s="232">
        <v>43888</v>
      </c>
      <c r="L109" s="6"/>
      <c r="M109" s="6" t="s">
        <v>58</v>
      </c>
      <c r="N109" s="10">
        <v>1.2E-2</v>
      </c>
      <c r="O109" s="9" t="s">
        <v>25</v>
      </c>
      <c r="P109" s="234">
        <v>0</v>
      </c>
      <c r="Q109" s="108" t="s">
        <v>3111</v>
      </c>
      <c r="R109" s="108" t="s">
        <v>3112</v>
      </c>
      <c r="S109" s="7" t="s">
        <v>145</v>
      </c>
      <c r="T109" s="9" t="s">
        <v>3113</v>
      </c>
      <c r="U109" s="9" t="s">
        <v>20</v>
      </c>
      <c r="V109" s="24" t="e">
        <f t="shared" ca="1" si="2"/>
        <v>#NAME?</v>
      </c>
      <c r="W109" s="24"/>
      <c r="X109" s="24"/>
      <c r="Y109" s="6" t="s">
        <v>253</v>
      </c>
      <c r="Z109" s="6"/>
      <c r="AA109" s="107">
        <v>43888</v>
      </c>
      <c r="AB109" s="6">
        <v>49075100003531</v>
      </c>
      <c r="AC109" s="110">
        <v>0</v>
      </c>
      <c r="AD109" s="110">
        <v>210400.38</v>
      </c>
      <c r="AE109" s="110">
        <v>217537.66</v>
      </c>
      <c r="AF109" s="110">
        <v>249728.8</v>
      </c>
      <c r="AG109" s="110">
        <v>277118.75</v>
      </c>
      <c r="AH109" s="110">
        <v>299494.14</v>
      </c>
      <c r="AI109" s="110">
        <v>323571.34999999998</v>
      </c>
      <c r="AJ109" s="110">
        <v>344286.6</v>
      </c>
      <c r="AK109" s="110">
        <v>359317.68</v>
      </c>
      <c r="AL109" s="110">
        <v>379151.05</v>
      </c>
      <c r="AM109" s="110">
        <v>407924.05</v>
      </c>
      <c r="AN109" s="110">
        <v>422219.3</v>
      </c>
      <c r="AO109" s="110">
        <v>439150.77</v>
      </c>
      <c r="AP109" s="110">
        <v>429584.67</v>
      </c>
      <c r="AQ109" s="236">
        <v>426457.31</v>
      </c>
      <c r="AR109" s="236">
        <v>455338.65</v>
      </c>
      <c r="AS109" s="236">
        <v>465971.13</v>
      </c>
      <c r="AT109" s="236">
        <v>466403.01</v>
      </c>
      <c r="AU109" s="236">
        <v>486198.89</v>
      </c>
      <c r="AV109" s="110">
        <v>495584.15</v>
      </c>
      <c r="AW109" s="110">
        <v>553906.92000000004</v>
      </c>
      <c r="AX109" s="110">
        <v>579837.71</v>
      </c>
      <c r="AY109" s="110">
        <v>610455.91</v>
      </c>
      <c r="AZ109" s="110">
        <v>617582.86</v>
      </c>
      <c r="BA109" s="110">
        <v>626347.31999999995</v>
      </c>
      <c r="BB109" s="110">
        <v>641991.9</v>
      </c>
      <c r="BC109" s="110">
        <v>649911.37</v>
      </c>
      <c r="BD109" s="110">
        <v>681637.59</v>
      </c>
      <c r="BE109" s="110">
        <v>717139.63</v>
      </c>
      <c r="BF109" s="110">
        <v>732718.91</v>
      </c>
      <c r="BG109" s="237">
        <v>754811.04</v>
      </c>
      <c r="BH109" s="237">
        <v>778566.21</v>
      </c>
      <c r="BI109" s="237">
        <v>784532.41</v>
      </c>
      <c r="BJ109" s="237">
        <v>794687.47</v>
      </c>
      <c r="BK109" s="237">
        <v>801054.97</v>
      </c>
      <c r="BL109" s="237">
        <v>819054.75</v>
      </c>
      <c r="BM109" s="237">
        <v>815004.14</v>
      </c>
      <c r="BN109" s="237">
        <v>822514.96</v>
      </c>
      <c r="BO109" s="237">
        <v>832926.55</v>
      </c>
      <c r="BP109" s="237">
        <v>770434.61</v>
      </c>
      <c r="BQ109" s="237">
        <v>852375.88</v>
      </c>
      <c r="BR109" s="237">
        <v>859318.81</v>
      </c>
      <c r="BS109" s="237">
        <v>868808.02</v>
      </c>
      <c r="BT109" s="237">
        <v>877665.15</v>
      </c>
      <c r="BU109" s="237">
        <v>883878.37</v>
      </c>
      <c r="BV109" s="237">
        <v>895996.57</v>
      </c>
      <c r="BW109" s="237">
        <v>899543.32</v>
      </c>
      <c r="BX109" s="237">
        <v>906046.77</v>
      </c>
      <c r="BY109" s="237">
        <v>914888.44</v>
      </c>
      <c r="BZ109" s="237">
        <v>923420.55</v>
      </c>
      <c r="CA109" s="237">
        <v>930389.3</v>
      </c>
      <c r="CB109" s="237">
        <v>936580.8</v>
      </c>
      <c r="CC109" s="237">
        <v>911170.25</v>
      </c>
      <c r="CD109" s="237">
        <v>947648.35</v>
      </c>
      <c r="CE109" s="237">
        <v>940545.61</v>
      </c>
      <c r="CF109" s="237">
        <v>946306.62</v>
      </c>
      <c r="CG109" s="237">
        <v>950817.92</v>
      </c>
      <c r="CH109" s="30">
        <v>956788.03</v>
      </c>
      <c r="CI109" s="30">
        <v>961401.03</v>
      </c>
      <c r="CJ109" s="30" t="e">
        <f t="array" aca="1" ref="CJ109" ca="1">_xludf.XLOOKUP(C109,'PL TOTAL D0'!H:H,'PL TOTAL D0'!I:I,"")</f>
        <v>#NAME?</v>
      </c>
    </row>
    <row r="110" spans="1:88" ht="15.75" customHeight="1">
      <c r="A110" s="36" t="s">
        <v>2921</v>
      </c>
      <c r="B110" s="36" t="s">
        <v>3114</v>
      </c>
      <c r="C110" s="9">
        <v>295437</v>
      </c>
      <c r="D110" s="9" t="s">
        <v>19</v>
      </c>
      <c r="E110" s="9" t="s">
        <v>20</v>
      </c>
      <c r="F110" s="9" t="s">
        <v>199</v>
      </c>
      <c r="G110" s="7" t="e">
        <f t="shared" ca="1" si="0"/>
        <v>#NAME?</v>
      </c>
      <c r="H110" s="8" t="s">
        <v>161</v>
      </c>
      <c r="I110" s="24" t="s">
        <v>162</v>
      </c>
      <c r="J110" s="9" t="str">
        <f t="shared" si="3"/>
        <v>Não</v>
      </c>
      <c r="K110" s="238">
        <v>43398</v>
      </c>
      <c r="L110" s="6"/>
      <c r="M110" s="6" t="s">
        <v>87</v>
      </c>
      <c r="N110" s="233">
        <v>1.7999999999999999E-2</v>
      </c>
      <c r="O110" s="9" t="s">
        <v>183</v>
      </c>
      <c r="P110" s="234">
        <v>0.2</v>
      </c>
      <c r="Q110" s="108"/>
      <c r="R110" s="108"/>
      <c r="S110" s="7" t="s">
        <v>145</v>
      </c>
      <c r="T110" s="9" t="s">
        <v>3115</v>
      </c>
      <c r="U110" s="6" t="s">
        <v>20</v>
      </c>
      <c r="V110" s="24" t="e">
        <f t="shared" ca="1" si="2"/>
        <v>#NAME?</v>
      </c>
      <c r="W110" s="24"/>
      <c r="X110" s="24"/>
      <c r="Y110" s="6" t="s">
        <v>253</v>
      </c>
      <c r="Z110" s="6"/>
      <c r="AA110" s="239">
        <v>43398</v>
      </c>
      <c r="AB110" s="6">
        <v>49075100010544</v>
      </c>
      <c r="AC110" s="110">
        <v>190526.58</v>
      </c>
      <c r="AD110" s="110">
        <v>190363.44</v>
      </c>
      <c r="AE110" s="110">
        <v>142434.56</v>
      </c>
      <c r="AF110" s="110">
        <v>152346.03</v>
      </c>
      <c r="AG110" s="110">
        <v>158359.09</v>
      </c>
      <c r="AH110" s="110">
        <v>169377.55</v>
      </c>
      <c r="AI110" s="110">
        <v>185081.26</v>
      </c>
      <c r="AJ110" s="110">
        <v>172369.15</v>
      </c>
      <c r="AK110" s="110">
        <v>164563.19</v>
      </c>
      <c r="AL110" s="110">
        <v>171355.7</v>
      </c>
      <c r="AM110" s="110">
        <v>190011.51</v>
      </c>
      <c r="AN110" s="110">
        <v>196843.64</v>
      </c>
      <c r="AO110" s="110">
        <v>190897.04</v>
      </c>
      <c r="AP110" s="110">
        <v>175709.02</v>
      </c>
      <c r="AQ110" s="236">
        <v>169008.31</v>
      </c>
      <c r="AR110" s="236">
        <v>181927.66</v>
      </c>
      <c r="AS110" s="236">
        <v>183143.2</v>
      </c>
      <c r="AT110" s="236">
        <v>184337.44</v>
      </c>
      <c r="AU110" s="236">
        <v>192538.32</v>
      </c>
      <c r="AV110" s="110">
        <v>190021.02</v>
      </c>
      <c r="AW110" s="110">
        <v>184765.32</v>
      </c>
      <c r="AX110" s="110">
        <v>176851.26</v>
      </c>
      <c r="AY110" s="110">
        <v>169799.21</v>
      </c>
      <c r="AZ110" s="110">
        <v>159701.85999999999</v>
      </c>
      <c r="BA110" s="110">
        <v>157605.91</v>
      </c>
      <c r="BB110" s="110">
        <v>160237.03</v>
      </c>
      <c r="BC110" s="110">
        <v>174203.55</v>
      </c>
      <c r="BD110" s="110">
        <v>179887.94</v>
      </c>
      <c r="BE110" s="110">
        <v>7177.72</v>
      </c>
      <c r="BF110" s="110">
        <v>0</v>
      </c>
      <c r="BG110" s="237" t="s">
        <v>2932</v>
      </c>
      <c r="BH110" s="237">
        <v>0</v>
      </c>
      <c r="BI110" s="237" t="s">
        <v>2932</v>
      </c>
      <c r="BJ110" s="237">
        <v>0</v>
      </c>
      <c r="BK110" s="237">
        <v>0</v>
      </c>
      <c r="BL110" s="237">
        <v>0</v>
      </c>
      <c r="BM110" s="237">
        <v>0</v>
      </c>
      <c r="BN110" s="237">
        <v>0</v>
      </c>
      <c r="BO110" s="237">
        <v>0</v>
      </c>
      <c r="BP110" s="237">
        <v>0</v>
      </c>
      <c r="BQ110" s="237">
        <v>0</v>
      </c>
      <c r="BR110" s="237">
        <v>0</v>
      </c>
      <c r="BS110" s="237">
        <v>0</v>
      </c>
      <c r="BT110" s="237">
        <v>0</v>
      </c>
      <c r="BU110" s="237">
        <v>0</v>
      </c>
      <c r="BV110" s="237">
        <v>0</v>
      </c>
      <c r="BW110" s="237">
        <v>0</v>
      </c>
      <c r="BX110" s="237">
        <v>0</v>
      </c>
      <c r="BY110" s="237">
        <v>0</v>
      </c>
      <c r="BZ110" s="237">
        <v>0</v>
      </c>
      <c r="CA110" s="237">
        <v>0</v>
      </c>
      <c r="CB110" s="237">
        <v>0</v>
      </c>
      <c r="CC110" s="237">
        <v>0</v>
      </c>
      <c r="CD110" s="237">
        <v>0</v>
      </c>
      <c r="CE110" s="237">
        <v>0</v>
      </c>
      <c r="CF110" s="237">
        <v>0</v>
      </c>
      <c r="CG110" s="237">
        <v>0</v>
      </c>
      <c r="CH110" s="30">
        <v>0</v>
      </c>
      <c r="CI110" s="30">
        <v>0</v>
      </c>
      <c r="CJ110" s="30" t="e">
        <f t="array" aca="1" ref="CJ110" ca="1">_xludf.XLOOKUP(C110,'PL TOTAL D0'!H:H,'PL TOTAL D0'!I:I,"")</f>
        <v>#NAME?</v>
      </c>
    </row>
    <row r="111" spans="1:88" ht="15.75" customHeight="1">
      <c r="A111" s="36" t="s">
        <v>2921</v>
      </c>
      <c r="B111" s="37" t="s">
        <v>3116</v>
      </c>
      <c r="C111" s="9">
        <v>254180</v>
      </c>
      <c r="D111" s="9" t="s">
        <v>19</v>
      </c>
      <c r="E111" s="9" t="s">
        <v>34</v>
      </c>
      <c r="F111" s="9" t="s">
        <v>35</v>
      </c>
      <c r="G111" s="7" t="e">
        <f t="shared" ca="1" si="0"/>
        <v>#NAME?</v>
      </c>
      <c r="H111" s="8" t="s">
        <v>152</v>
      </c>
      <c r="I111" s="24" t="s">
        <v>25</v>
      </c>
      <c r="J111" s="9" t="str">
        <f t="shared" si="3"/>
        <v>Sim</v>
      </c>
      <c r="K111" s="79">
        <v>44524</v>
      </c>
      <c r="L111" s="7"/>
      <c r="M111" s="6" t="s">
        <v>42</v>
      </c>
      <c r="N111" s="233">
        <v>7.0000000000000001E-3</v>
      </c>
      <c r="O111" s="9" t="s">
        <v>25</v>
      </c>
      <c r="P111" s="234">
        <v>0</v>
      </c>
      <c r="Q111" s="28" t="s">
        <v>3117</v>
      </c>
      <c r="R111" s="28"/>
      <c r="S111" s="7" t="s">
        <v>145</v>
      </c>
      <c r="T111" s="6" t="s">
        <v>3118</v>
      </c>
      <c r="U111" s="6" t="s">
        <v>39</v>
      </c>
      <c r="V111" s="24" t="e">
        <f t="shared" ca="1" si="2"/>
        <v>#NAME?</v>
      </c>
      <c r="W111" s="24"/>
      <c r="X111" s="24"/>
      <c r="Y111" s="6" t="s">
        <v>253</v>
      </c>
      <c r="Z111" s="6"/>
      <c r="AA111" s="239">
        <v>44524</v>
      </c>
      <c r="AB111" s="6">
        <v>49075100003548</v>
      </c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110"/>
      <c r="AN111" s="110"/>
      <c r="AO111" s="110"/>
      <c r="AP111" s="236"/>
      <c r="AQ111" s="236"/>
      <c r="AR111" s="236"/>
      <c r="AS111" s="236"/>
      <c r="AT111" s="236"/>
      <c r="AU111" s="110"/>
      <c r="AV111" s="110"/>
      <c r="AW111" s="110"/>
      <c r="AX111" s="110"/>
      <c r="AY111" s="110"/>
      <c r="AZ111" s="23"/>
      <c r="BA111" s="132">
        <v>229043.46</v>
      </c>
      <c r="BB111" s="132">
        <v>232348.43</v>
      </c>
      <c r="BC111" s="110">
        <v>232935.9</v>
      </c>
      <c r="BD111" s="110">
        <v>284187.59000000003</v>
      </c>
      <c r="BE111" s="110">
        <v>289383.96000000002</v>
      </c>
      <c r="BF111" s="110">
        <v>290744.64</v>
      </c>
      <c r="BG111" s="237">
        <v>293277.74</v>
      </c>
      <c r="BH111" s="237">
        <v>295123.03999999998</v>
      </c>
      <c r="BI111" s="237">
        <v>274339.08</v>
      </c>
      <c r="BJ111" s="237">
        <v>262192.99</v>
      </c>
      <c r="BK111" s="237">
        <v>258661.31</v>
      </c>
      <c r="BL111" s="237">
        <v>253744.99</v>
      </c>
      <c r="BM111" s="237">
        <v>253604.87</v>
      </c>
      <c r="BN111" s="237">
        <v>255370.22</v>
      </c>
      <c r="BO111" s="237">
        <v>247651.98</v>
      </c>
      <c r="BP111" s="237">
        <v>239602.49</v>
      </c>
      <c r="BQ111" s="237">
        <v>242585.09</v>
      </c>
      <c r="BR111" s="237">
        <v>244054.02</v>
      </c>
      <c r="BS111" s="237">
        <v>246894.62</v>
      </c>
      <c r="BT111" s="237">
        <v>237137.67</v>
      </c>
      <c r="BU111" s="237">
        <v>223931.8</v>
      </c>
      <c r="BV111" s="237">
        <v>196437.45</v>
      </c>
      <c r="BW111" s="237">
        <v>197421.16</v>
      </c>
      <c r="BX111" s="237">
        <v>196259.97</v>
      </c>
      <c r="BY111" s="237">
        <v>172276.81</v>
      </c>
      <c r="BZ111" s="237">
        <v>199564.95</v>
      </c>
      <c r="CA111" s="237">
        <v>193033.34</v>
      </c>
      <c r="CB111" s="237">
        <v>178904.74</v>
      </c>
      <c r="CC111" s="237">
        <v>60942.67</v>
      </c>
      <c r="CD111" s="237">
        <v>189779.27</v>
      </c>
      <c r="CE111" s="237">
        <v>184105.71</v>
      </c>
      <c r="CF111" s="237">
        <v>185689.03</v>
      </c>
      <c r="CG111" s="237">
        <v>187447.73</v>
      </c>
      <c r="CH111" s="30">
        <v>184529.64</v>
      </c>
      <c r="CI111" s="30">
        <v>185061.85</v>
      </c>
      <c r="CJ111" s="30" t="e">
        <f t="array" aca="1" ref="CJ111" ca="1">_xludf.XLOOKUP(C111,'PL TOTAL D0'!H:H,'PL TOTAL D0'!I:I,"")</f>
        <v>#NAME?</v>
      </c>
    </row>
    <row r="112" spans="1:88" ht="15.75" customHeight="1">
      <c r="A112" s="36" t="s">
        <v>2921</v>
      </c>
      <c r="B112" s="36" t="s">
        <v>3119</v>
      </c>
      <c r="C112" s="9">
        <v>578866</v>
      </c>
      <c r="D112" s="9" t="s">
        <v>19</v>
      </c>
      <c r="E112" s="9" t="s">
        <v>20</v>
      </c>
      <c r="F112" s="9" t="s">
        <v>199</v>
      </c>
      <c r="G112" s="7" t="e">
        <f t="shared" ca="1" si="0"/>
        <v>#NAME?</v>
      </c>
      <c r="H112" s="8" t="s">
        <v>152</v>
      </c>
      <c r="I112" s="24" t="s">
        <v>25</v>
      </c>
      <c r="J112" s="9" t="str">
        <f t="shared" si="3"/>
        <v>Não</v>
      </c>
      <c r="K112" s="232">
        <v>43564</v>
      </c>
      <c r="L112" s="6"/>
      <c r="M112" s="6" t="s">
        <v>42</v>
      </c>
      <c r="N112" s="233">
        <v>0.01</v>
      </c>
      <c r="O112" s="9" t="s">
        <v>25</v>
      </c>
      <c r="P112" s="234">
        <v>0</v>
      </c>
      <c r="Q112" s="108"/>
      <c r="R112" s="108"/>
      <c r="S112" s="7" t="s">
        <v>145</v>
      </c>
      <c r="T112" s="9" t="s">
        <v>3120</v>
      </c>
      <c r="U112" s="6" t="s">
        <v>20</v>
      </c>
      <c r="V112" s="24" t="e">
        <f t="shared" ca="1" si="2"/>
        <v>#NAME?</v>
      </c>
      <c r="W112" s="24"/>
      <c r="X112" s="24"/>
      <c r="Y112" s="6" t="s">
        <v>253</v>
      </c>
      <c r="Z112" s="6"/>
      <c r="AA112" s="107">
        <v>43564</v>
      </c>
      <c r="AB112" s="6">
        <v>49075100009309</v>
      </c>
      <c r="AC112" s="110">
        <v>219150.83</v>
      </c>
      <c r="AD112" s="110">
        <v>219584.26</v>
      </c>
      <c r="AE112" s="110">
        <v>220264.41</v>
      </c>
      <c r="AF112" s="110">
        <v>219703.53</v>
      </c>
      <c r="AG112" s="110">
        <v>219973.24</v>
      </c>
      <c r="AH112" s="110">
        <v>220250.78</v>
      </c>
      <c r="AI112" s="110">
        <v>220572.31</v>
      </c>
      <c r="AJ112" s="110">
        <v>221062.45</v>
      </c>
      <c r="AK112" s="110">
        <v>220356.76</v>
      </c>
      <c r="AL112" s="110">
        <v>219680.43</v>
      </c>
      <c r="AM112" s="110">
        <v>219600.06</v>
      </c>
      <c r="AN112" s="110">
        <v>219782.51</v>
      </c>
      <c r="AO112" s="110">
        <v>220111.87</v>
      </c>
      <c r="AP112" s="110">
        <v>219965.22</v>
      </c>
      <c r="AQ112" s="236">
        <v>219906.62</v>
      </c>
      <c r="AR112" s="236">
        <v>220055.54</v>
      </c>
      <c r="AS112" s="236">
        <v>219851.36</v>
      </c>
      <c r="AT112" s="236">
        <v>219560.38</v>
      </c>
      <c r="AU112" s="236">
        <v>219855.34</v>
      </c>
      <c r="AV112" s="110">
        <v>220342.97</v>
      </c>
      <c r="AW112" s="110">
        <v>221212.58</v>
      </c>
      <c r="AX112" s="110">
        <v>221794.61</v>
      </c>
      <c r="AY112" s="110">
        <v>222191.4</v>
      </c>
      <c r="AZ112" s="110">
        <v>218959.19</v>
      </c>
      <c r="BA112" s="110">
        <v>218100.59</v>
      </c>
      <c r="BB112" s="110">
        <v>219591.83</v>
      </c>
      <c r="BC112" s="110">
        <v>222705.35</v>
      </c>
      <c r="BD112" s="110">
        <v>223811.91</v>
      </c>
      <c r="BE112" s="110">
        <v>230503.12</v>
      </c>
      <c r="BF112" s="110">
        <v>229127.08</v>
      </c>
      <c r="BG112" s="237">
        <v>230042.14</v>
      </c>
      <c r="BH112" s="237">
        <v>231494.95</v>
      </c>
      <c r="BI112" s="237">
        <v>232087.76</v>
      </c>
      <c r="BJ112" s="237">
        <v>234428.97</v>
      </c>
      <c r="BK112" s="237">
        <v>235743.67</v>
      </c>
      <c r="BL112" s="237">
        <v>237567.76</v>
      </c>
      <c r="BM112" s="237">
        <v>237777.36</v>
      </c>
      <c r="BN112" s="237">
        <v>240038.76</v>
      </c>
      <c r="BO112" s="237">
        <v>242890.48</v>
      </c>
      <c r="BP112" s="237">
        <v>245375.08</v>
      </c>
      <c r="BQ112" s="237">
        <v>248756.44</v>
      </c>
      <c r="BR112" s="237">
        <v>265366.59000000003</v>
      </c>
      <c r="BS112" s="237">
        <v>268432.88</v>
      </c>
      <c r="BT112" s="237">
        <v>270784.84999999998</v>
      </c>
      <c r="BU112" s="237">
        <v>272125.74</v>
      </c>
      <c r="BV112" s="237">
        <v>276243.45</v>
      </c>
      <c r="BW112" s="237">
        <v>277218.77</v>
      </c>
      <c r="BX112" s="237">
        <v>279448</v>
      </c>
      <c r="BY112" s="237">
        <v>281520.37</v>
      </c>
      <c r="BZ112" s="237">
        <v>284318.26</v>
      </c>
      <c r="CA112" s="237">
        <v>271183.49</v>
      </c>
      <c r="CB112" s="237">
        <v>288153.68</v>
      </c>
      <c r="CC112" s="237">
        <v>290362.46000000002</v>
      </c>
      <c r="CD112" s="237">
        <v>292351.17</v>
      </c>
      <c r="CE112" s="237">
        <v>293832.19</v>
      </c>
      <c r="CF112" s="237">
        <v>295904.36</v>
      </c>
      <c r="CG112" s="237">
        <v>290846.96999999997</v>
      </c>
      <c r="CH112" s="30">
        <v>236456.75</v>
      </c>
      <c r="CI112" s="30">
        <v>293818.76</v>
      </c>
      <c r="CJ112" s="30" t="e">
        <f t="array" aca="1" ref="CJ112" ca="1">_xludf.XLOOKUP(C112,'PL TOTAL D0'!H:H,'PL TOTAL D0'!I:I,"")</f>
        <v>#NAME?</v>
      </c>
    </row>
    <row r="113" spans="1:88" ht="15.75" customHeight="1">
      <c r="A113" s="36" t="s">
        <v>2921</v>
      </c>
      <c r="B113" s="36" t="s">
        <v>3119</v>
      </c>
      <c r="C113" s="9">
        <v>579753</v>
      </c>
      <c r="D113" s="9" t="s">
        <v>19</v>
      </c>
      <c r="E113" s="9" t="s">
        <v>20</v>
      </c>
      <c r="F113" s="9" t="s">
        <v>199</v>
      </c>
      <c r="G113" s="7" t="e">
        <f t="shared" ca="1" si="0"/>
        <v>#NAME?</v>
      </c>
      <c r="H113" s="8" t="s">
        <v>161</v>
      </c>
      <c r="I113" s="24" t="s">
        <v>1133</v>
      </c>
      <c r="J113" s="9" t="str">
        <f t="shared" si="3"/>
        <v>Sim</v>
      </c>
      <c r="K113" s="232">
        <v>43564</v>
      </c>
      <c r="L113" s="6"/>
      <c r="M113" s="6" t="s">
        <v>87</v>
      </c>
      <c r="N113" s="233">
        <v>0.02</v>
      </c>
      <c r="O113" s="9" t="s">
        <v>183</v>
      </c>
      <c r="P113" s="234">
        <v>0.2</v>
      </c>
      <c r="Q113" s="108" t="s">
        <v>3121</v>
      </c>
      <c r="R113" s="108"/>
      <c r="S113" s="7" t="s">
        <v>145</v>
      </c>
      <c r="T113" s="9" t="s">
        <v>3120</v>
      </c>
      <c r="U113" s="6" t="s">
        <v>20</v>
      </c>
      <c r="V113" s="24" t="e">
        <f t="shared" ca="1" si="2"/>
        <v>#NAME?</v>
      </c>
      <c r="W113" s="24"/>
      <c r="X113" s="24"/>
      <c r="Y113" s="6" t="s">
        <v>253</v>
      </c>
      <c r="Z113" s="6"/>
      <c r="AA113" s="107">
        <v>43564</v>
      </c>
      <c r="AB113" s="6">
        <v>49075100009317</v>
      </c>
      <c r="AC113" s="110">
        <v>201777.06</v>
      </c>
      <c r="AD113" s="110">
        <v>191420.96</v>
      </c>
      <c r="AE113" s="110">
        <v>143787.26</v>
      </c>
      <c r="AF113" s="110">
        <v>153967.29999999999</v>
      </c>
      <c r="AG113" s="110">
        <v>159503.41</v>
      </c>
      <c r="AH113" s="110">
        <v>168822.04</v>
      </c>
      <c r="AI113" s="110">
        <v>187175.46</v>
      </c>
      <c r="AJ113" s="110">
        <v>176953.82</v>
      </c>
      <c r="AK113" s="110">
        <v>165800.53</v>
      </c>
      <c r="AL113" s="110">
        <v>170847.63</v>
      </c>
      <c r="AM113" s="110">
        <v>191787.25</v>
      </c>
      <c r="AN113" s="110">
        <v>199160.83</v>
      </c>
      <c r="AO113" s="110">
        <v>197792.71</v>
      </c>
      <c r="AP113" s="110">
        <v>184179.23</v>
      </c>
      <c r="AQ113" s="236">
        <v>177836.88</v>
      </c>
      <c r="AR113" s="236">
        <v>191019.05</v>
      </c>
      <c r="AS113" s="236">
        <v>192119.93</v>
      </c>
      <c r="AT113" s="236">
        <v>193291.82</v>
      </c>
      <c r="AU113" s="236">
        <v>200849.2</v>
      </c>
      <c r="AV113" s="110">
        <v>197790.59</v>
      </c>
      <c r="AW113" s="110">
        <v>192538.48</v>
      </c>
      <c r="AX113" s="110">
        <v>183515.37</v>
      </c>
      <c r="AY113" s="110">
        <v>174839.93</v>
      </c>
      <c r="AZ113" s="110">
        <v>164309.12</v>
      </c>
      <c r="BA113" s="110">
        <v>159144</v>
      </c>
      <c r="BB113" s="110">
        <v>161145</v>
      </c>
      <c r="BC113" s="110">
        <v>169924.92</v>
      </c>
      <c r="BD113" s="110">
        <v>172089.91</v>
      </c>
      <c r="BE113" s="110">
        <v>183792.77</v>
      </c>
      <c r="BF113" s="110">
        <v>175360.5</v>
      </c>
      <c r="BG113" s="237">
        <v>171413.93</v>
      </c>
      <c r="BH113" s="237">
        <v>172594.68</v>
      </c>
      <c r="BI113" s="237">
        <v>173728.89</v>
      </c>
      <c r="BJ113" s="237">
        <v>174555.39</v>
      </c>
      <c r="BK113" s="237">
        <v>175504.72</v>
      </c>
      <c r="BL113" s="237">
        <v>176536.65</v>
      </c>
      <c r="BM113" s="237">
        <v>177843.84</v>
      </c>
      <c r="BN113" s="237">
        <v>179057.85</v>
      </c>
      <c r="BO113" s="237">
        <v>181308.28</v>
      </c>
      <c r="BP113" s="237">
        <v>182507.31</v>
      </c>
      <c r="BQ113" s="237">
        <v>184169.46</v>
      </c>
      <c r="BR113" s="237">
        <v>185147.09</v>
      </c>
      <c r="BS113" s="237">
        <v>187131.27</v>
      </c>
      <c r="BT113" s="237">
        <v>188397.92</v>
      </c>
      <c r="BU113" s="237">
        <v>189857.04</v>
      </c>
      <c r="BV113" s="237">
        <v>192064.4</v>
      </c>
      <c r="BW113" s="237">
        <v>193564.5</v>
      </c>
      <c r="BX113" s="237">
        <v>160238.5</v>
      </c>
      <c r="BY113" s="237">
        <v>195255.56</v>
      </c>
      <c r="BZ113" s="237">
        <v>196968.24</v>
      </c>
      <c r="CA113" s="237">
        <v>199092.65</v>
      </c>
      <c r="CB113" s="237">
        <v>200466.89</v>
      </c>
      <c r="CC113" s="237">
        <v>202112.71</v>
      </c>
      <c r="CD113" s="237">
        <v>203629.54</v>
      </c>
      <c r="CE113" s="237">
        <v>205046.33</v>
      </c>
      <c r="CF113" s="237">
        <v>206527.53</v>
      </c>
      <c r="CG113" s="237">
        <v>208165.83</v>
      </c>
      <c r="CH113" s="30">
        <v>208845.96</v>
      </c>
      <c r="CI113" s="30">
        <v>210539.66</v>
      </c>
      <c r="CJ113" s="30" t="e">
        <f t="array" aca="1" ref="CJ113" ca="1">_xludf.XLOOKUP(C113,'PL TOTAL D0'!H:H,'PL TOTAL D0'!I:I,"")</f>
        <v>#NAME?</v>
      </c>
    </row>
    <row r="114" spans="1:88" ht="15.75" customHeight="1">
      <c r="A114" s="36" t="s">
        <v>2921</v>
      </c>
      <c r="B114" s="37" t="s">
        <v>3122</v>
      </c>
      <c r="C114" s="9">
        <v>368767</v>
      </c>
      <c r="D114" s="9" t="s">
        <v>19</v>
      </c>
      <c r="E114" s="9" t="s">
        <v>20</v>
      </c>
      <c r="F114" s="6" t="s">
        <v>21</v>
      </c>
      <c r="G114" s="7" t="e">
        <f t="shared" ca="1" si="0"/>
        <v>#NAME?</v>
      </c>
      <c r="H114" s="8" t="s">
        <v>152</v>
      </c>
      <c r="I114" s="24" t="s">
        <v>25</v>
      </c>
      <c r="J114" s="9" t="str">
        <f t="shared" si="3"/>
        <v>Não</v>
      </c>
      <c r="K114" s="107">
        <v>44888</v>
      </c>
      <c r="L114" s="239"/>
      <c r="M114" s="6" t="s">
        <v>42</v>
      </c>
      <c r="N114" s="10">
        <v>0</v>
      </c>
      <c r="O114" s="9" t="s">
        <v>25</v>
      </c>
      <c r="P114" s="234">
        <v>0</v>
      </c>
      <c r="Q114" s="108"/>
      <c r="R114" s="108"/>
      <c r="S114" s="7" t="s">
        <v>145</v>
      </c>
      <c r="T114" s="6" t="s">
        <v>1047</v>
      </c>
      <c r="U114" s="6" t="s">
        <v>20</v>
      </c>
      <c r="V114" s="24" t="e">
        <f t="shared" ca="1" si="2"/>
        <v>#NAME?</v>
      </c>
      <c r="W114" s="24"/>
      <c r="X114" s="24"/>
      <c r="Y114" s="6" t="s">
        <v>253</v>
      </c>
      <c r="Z114" s="6"/>
      <c r="AA114" s="107">
        <v>44888</v>
      </c>
      <c r="AB114" s="6">
        <v>49075100007942</v>
      </c>
      <c r="AC114" s="110"/>
      <c r="AD114" s="110"/>
      <c r="AE114" s="110"/>
      <c r="AF114" s="110"/>
      <c r="AG114" s="110"/>
      <c r="AH114" s="110"/>
      <c r="AI114" s="110"/>
      <c r="AJ114" s="110"/>
      <c r="AK114" s="240"/>
      <c r="AL114" s="110"/>
      <c r="AM114" s="110"/>
      <c r="AN114" s="110"/>
      <c r="AO114" s="110"/>
      <c r="AP114" s="110"/>
      <c r="AQ114" s="110"/>
      <c r="AR114" s="110"/>
      <c r="AS114" s="110"/>
      <c r="AT114" s="110"/>
      <c r="AU114" s="110"/>
      <c r="AV114" s="240"/>
      <c r="AW114" s="110"/>
      <c r="AX114" s="110"/>
      <c r="AY114" s="110"/>
      <c r="AZ114" s="110"/>
      <c r="BA114" s="110"/>
      <c r="BB114" s="110"/>
      <c r="BC114" s="110"/>
      <c r="BD114" s="110"/>
      <c r="BE114" s="110"/>
      <c r="BF114" s="110"/>
      <c r="BG114" s="110"/>
      <c r="BH114" s="110"/>
      <c r="BI114" s="110"/>
      <c r="BJ114" s="110"/>
      <c r="BK114" s="237"/>
      <c r="BL114" s="237"/>
      <c r="BM114" s="237">
        <v>0</v>
      </c>
      <c r="BN114" s="237">
        <v>70079.429999999993</v>
      </c>
      <c r="BO114" s="237">
        <v>70406.09</v>
      </c>
      <c r="BP114" s="237">
        <v>117806.9</v>
      </c>
      <c r="BQ114" s="237">
        <v>74509.25</v>
      </c>
      <c r="BR114" s="237">
        <v>78976.399999999994</v>
      </c>
      <c r="BS114" s="237">
        <v>80499.399999999994</v>
      </c>
      <c r="BT114" s="237">
        <v>0</v>
      </c>
      <c r="BU114" s="237">
        <v>0</v>
      </c>
      <c r="BV114" s="237">
        <v>0</v>
      </c>
      <c r="BW114" s="237">
        <v>86547.71</v>
      </c>
      <c r="BX114" s="237">
        <v>88093.07</v>
      </c>
      <c r="BY114" s="237">
        <v>89470.16</v>
      </c>
      <c r="BZ114" s="237">
        <v>90798.93</v>
      </c>
      <c r="CA114" s="237">
        <v>92453</v>
      </c>
      <c r="CB114" s="237">
        <v>93754.04</v>
      </c>
      <c r="CC114" s="237">
        <v>95276.64</v>
      </c>
      <c r="CD114" s="237">
        <v>96604.22</v>
      </c>
      <c r="CE114" s="237">
        <v>96921.02</v>
      </c>
      <c r="CF114" s="237">
        <v>98492.94</v>
      </c>
      <c r="CG114" s="237">
        <v>99506.67</v>
      </c>
      <c r="CH114" s="30">
        <v>100396.88</v>
      </c>
      <c r="CI114" s="30">
        <v>100180.59</v>
      </c>
      <c r="CJ114" s="30" t="e">
        <f t="array" aca="1" ref="CJ114" ca="1">_xludf.XLOOKUP(C114,'PL TOTAL D0'!H:H,'PL TOTAL D0'!I:I,"")</f>
        <v>#NAME?</v>
      </c>
    </row>
    <row r="115" spans="1:88" ht="15.75" customHeight="1">
      <c r="A115" s="36" t="s">
        <v>2921</v>
      </c>
      <c r="B115" s="37" t="s">
        <v>3123</v>
      </c>
      <c r="C115" s="9">
        <v>424734</v>
      </c>
      <c r="D115" s="9" t="s">
        <v>2923</v>
      </c>
      <c r="E115" s="9" t="s">
        <v>20</v>
      </c>
      <c r="F115" s="6" t="s">
        <v>2924</v>
      </c>
      <c r="G115" s="7" t="e">
        <f t="shared" ca="1" si="0"/>
        <v>#NAME?</v>
      </c>
      <c r="H115" s="8" t="s">
        <v>143</v>
      </c>
      <c r="I115" s="24" t="s">
        <v>25</v>
      </c>
      <c r="J115" s="9" t="str">
        <f t="shared" si="3"/>
        <v>Não</v>
      </c>
      <c r="K115" s="107">
        <v>43675</v>
      </c>
      <c r="L115" s="239">
        <v>44482</v>
      </c>
      <c r="M115" s="6" t="s">
        <v>200</v>
      </c>
      <c r="N115" s="10">
        <v>1.4999999999999999E-2</v>
      </c>
      <c r="O115" s="9" t="s">
        <v>37</v>
      </c>
      <c r="P115" s="234">
        <v>0.1</v>
      </c>
      <c r="Q115" s="108"/>
      <c r="R115" s="108"/>
      <c r="S115" s="7" t="s">
        <v>145</v>
      </c>
      <c r="T115" s="6" t="s">
        <v>3124</v>
      </c>
      <c r="U115" s="6" t="s">
        <v>20</v>
      </c>
      <c r="V115" s="24" t="e">
        <f t="shared" ca="1" si="2"/>
        <v>#NAME?</v>
      </c>
      <c r="W115" s="24"/>
      <c r="X115" s="24"/>
      <c r="Y115" s="6"/>
      <c r="Z115" s="6"/>
      <c r="AA115" s="6"/>
      <c r="AB115" s="6"/>
      <c r="AC115" s="110">
        <v>91546.69</v>
      </c>
      <c r="AD115" s="110">
        <v>90736.74</v>
      </c>
      <c r="AE115" s="110">
        <v>88285.68</v>
      </c>
      <c r="AF115" s="110">
        <v>89254.77</v>
      </c>
      <c r="AG115" s="110">
        <v>99472.57</v>
      </c>
      <c r="AH115" s="110">
        <v>98922.55</v>
      </c>
      <c r="AI115" s="110">
        <v>99216.1</v>
      </c>
      <c r="AJ115" s="110">
        <v>96681.72</v>
      </c>
      <c r="AK115" s="240"/>
      <c r="AL115" s="110">
        <v>148.58000000000001</v>
      </c>
      <c r="AM115" s="110">
        <v>148.58000000000001</v>
      </c>
      <c r="AN115" s="110">
        <v>58.68</v>
      </c>
      <c r="AO115" s="110">
        <v>58.68</v>
      </c>
      <c r="AP115" s="110">
        <v>58.68</v>
      </c>
      <c r="AQ115" s="110">
        <v>58.68</v>
      </c>
      <c r="AR115" s="110">
        <v>58.68</v>
      </c>
      <c r="AS115" s="110">
        <v>58.68</v>
      </c>
      <c r="AT115" s="110">
        <v>58.68</v>
      </c>
      <c r="AU115" s="110"/>
      <c r="AV115" s="240"/>
      <c r="AW115" s="110">
        <v>13.08</v>
      </c>
      <c r="AX115" s="110">
        <v>13.08</v>
      </c>
      <c r="AY115" s="110">
        <v>13.08</v>
      </c>
      <c r="AZ115" s="110"/>
      <c r="BA115" s="110"/>
      <c r="BB115" s="110"/>
      <c r="BC115" s="110"/>
      <c r="BD115" s="110">
        <v>0</v>
      </c>
      <c r="BE115" s="110">
        <v>0</v>
      </c>
      <c r="BF115" s="110">
        <v>0</v>
      </c>
      <c r="BG115" s="110" t="s">
        <v>2932</v>
      </c>
      <c r="BH115" s="110">
        <v>0</v>
      </c>
      <c r="BI115" s="110" t="s">
        <v>2932</v>
      </c>
      <c r="BJ115" s="110">
        <v>0</v>
      </c>
      <c r="BK115" s="237">
        <v>0</v>
      </c>
      <c r="BL115" s="237">
        <v>0</v>
      </c>
      <c r="BM115" s="237">
        <v>0</v>
      </c>
      <c r="BN115" s="237">
        <v>0</v>
      </c>
      <c r="BO115" s="237">
        <v>0</v>
      </c>
      <c r="BP115" s="237">
        <v>0</v>
      </c>
      <c r="BQ115" s="237">
        <v>0</v>
      </c>
      <c r="BR115" s="237">
        <v>0</v>
      </c>
      <c r="BS115" s="237">
        <v>0</v>
      </c>
      <c r="BT115" s="237">
        <v>0</v>
      </c>
      <c r="BU115" s="237">
        <v>0</v>
      </c>
      <c r="BV115" s="237">
        <v>0</v>
      </c>
      <c r="BW115" s="237">
        <v>0</v>
      </c>
      <c r="BX115" s="237">
        <v>0</v>
      </c>
      <c r="BY115" s="237">
        <v>0</v>
      </c>
      <c r="BZ115" s="237">
        <v>0</v>
      </c>
      <c r="CA115" s="237">
        <v>0</v>
      </c>
      <c r="CB115" s="237">
        <v>0</v>
      </c>
      <c r="CC115" s="237">
        <v>0</v>
      </c>
      <c r="CD115" s="237">
        <v>0</v>
      </c>
      <c r="CE115" s="237">
        <v>0</v>
      </c>
      <c r="CF115" s="237">
        <v>0</v>
      </c>
      <c r="CG115" s="237">
        <v>0</v>
      </c>
      <c r="CH115" s="30">
        <v>0</v>
      </c>
      <c r="CI115" s="30">
        <v>0</v>
      </c>
      <c r="CJ115" s="30" t="e">
        <f t="array" aca="1" ref="CJ115" ca="1">_xludf.XLOOKUP(C115,'PL TOTAL D0'!H:H,'PL TOTAL D0'!I:I,"")</f>
        <v>#NAME?</v>
      </c>
    </row>
    <row r="116" spans="1:88" ht="15.75" customHeight="1">
      <c r="A116" s="36" t="s">
        <v>2921</v>
      </c>
      <c r="B116" s="3" t="s">
        <v>3125</v>
      </c>
      <c r="C116" s="9">
        <v>612955</v>
      </c>
      <c r="D116" s="9" t="s">
        <v>19</v>
      </c>
      <c r="E116" s="9" t="s">
        <v>34</v>
      </c>
      <c r="F116" s="6" t="s">
        <v>35</v>
      </c>
      <c r="G116" s="7" t="e">
        <f t="shared" ca="1" si="0"/>
        <v>#NAME?</v>
      </c>
      <c r="H116" s="8" t="s">
        <v>143</v>
      </c>
      <c r="I116" s="24" t="s">
        <v>25</v>
      </c>
      <c r="J116" s="9" t="str">
        <f t="shared" si="3"/>
        <v>Não</v>
      </c>
      <c r="K116" s="25">
        <v>44365</v>
      </c>
      <c r="L116" s="107">
        <v>44781</v>
      </c>
      <c r="M116" s="6" t="s">
        <v>200</v>
      </c>
      <c r="N116" s="10">
        <v>1.4999999999999999E-2</v>
      </c>
      <c r="O116" s="9" t="s">
        <v>37</v>
      </c>
      <c r="P116" s="234">
        <v>0.1</v>
      </c>
      <c r="Q116" s="28"/>
      <c r="R116" s="28"/>
      <c r="S116" s="7" t="s">
        <v>145</v>
      </c>
      <c r="T116" s="6" t="s">
        <v>3126</v>
      </c>
      <c r="U116" s="6" t="s">
        <v>39</v>
      </c>
      <c r="V116" s="24" t="e">
        <f t="shared" ca="1" si="2"/>
        <v>#NAME?</v>
      </c>
      <c r="W116" s="24"/>
      <c r="X116" s="24"/>
      <c r="Y116" s="6" t="s">
        <v>253</v>
      </c>
      <c r="Z116" s="6"/>
      <c r="AA116" s="6"/>
      <c r="AB116" s="6"/>
      <c r="AC116" s="132"/>
      <c r="AD116" s="132"/>
      <c r="AE116" s="132"/>
      <c r="AF116" s="132"/>
      <c r="AG116" s="132"/>
      <c r="AH116" s="132"/>
      <c r="AI116" s="132"/>
      <c r="AJ116" s="132"/>
      <c r="AK116" s="132"/>
      <c r="AL116" s="132"/>
      <c r="AM116" s="132"/>
      <c r="AN116" s="132"/>
      <c r="AO116" s="132"/>
      <c r="AP116" s="110"/>
      <c r="AQ116" s="110"/>
      <c r="AR116" s="110"/>
      <c r="AS116" s="110"/>
      <c r="AT116" s="110"/>
      <c r="AU116" s="132"/>
      <c r="AV116" s="110">
        <v>99132.52</v>
      </c>
      <c r="AW116" s="110">
        <v>100207.28</v>
      </c>
      <c r="AX116" s="110">
        <v>98346.03</v>
      </c>
      <c r="AY116" s="110">
        <v>86778.62</v>
      </c>
      <c r="AZ116" s="110">
        <v>94528.35</v>
      </c>
      <c r="BA116" s="110">
        <v>95810.92</v>
      </c>
      <c r="BB116" s="110">
        <v>95973.8</v>
      </c>
      <c r="BC116" s="110">
        <v>98603.26</v>
      </c>
      <c r="BD116" s="110">
        <v>99113.29</v>
      </c>
      <c r="BE116" s="110">
        <v>103152.56</v>
      </c>
      <c r="BF116" s="110">
        <v>101419.64</v>
      </c>
      <c r="BG116" s="110">
        <v>101224.86</v>
      </c>
      <c r="BH116" s="110">
        <v>100356.1</v>
      </c>
      <c r="BI116" s="110">
        <v>101893.24</v>
      </c>
      <c r="BJ116" s="110">
        <v>0</v>
      </c>
      <c r="BK116" s="237">
        <v>0</v>
      </c>
      <c r="BL116" s="237">
        <v>0</v>
      </c>
      <c r="BM116" s="237">
        <v>0</v>
      </c>
      <c r="BN116" s="237">
        <v>0</v>
      </c>
      <c r="BO116" s="237">
        <v>0</v>
      </c>
      <c r="BP116" s="237">
        <v>0</v>
      </c>
      <c r="BQ116" s="237">
        <v>0</v>
      </c>
      <c r="BR116" s="237">
        <v>0</v>
      </c>
      <c r="BS116" s="237">
        <v>0</v>
      </c>
      <c r="BT116" s="237">
        <v>0</v>
      </c>
      <c r="BU116" s="237">
        <v>0</v>
      </c>
      <c r="BV116" s="237">
        <v>0</v>
      </c>
      <c r="BW116" s="237">
        <v>0</v>
      </c>
      <c r="BX116" s="237">
        <v>0</v>
      </c>
      <c r="BY116" s="237">
        <v>0</v>
      </c>
      <c r="BZ116" s="237">
        <v>0</v>
      </c>
      <c r="CA116" s="237">
        <v>0</v>
      </c>
      <c r="CB116" s="237">
        <v>0</v>
      </c>
      <c r="CC116" s="237">
        <v>0</v>
      </c>
      <c r="CD116" s="237">
        <v>0</v>
      </c>
      <c r="CE116" s="237">
        <v>0</v>
      </c>
      <c r="CF116" s="237">
        <v>0</v>
      </c>
      <c r="CG116" s="237">
        <v>0</v>
      </c>
      <c r="CH116" s="30">
        <v>0</v>
      </c>
      <c r="CI116" s="30">
        <v>0</v>
      </c>
      <c r="CJ116" s="30" t="e">
        <f t="array" aca="1" ref="CJ116" ca="1">_xludf.XLOOKUP(C116,'PL TOTAL D0'!H:H,'PL TOTAL D0'!I:I,"")</f>
        <v>#NAME?</v>
      </c>
    </row>
    <row r="117" spans="1:88" ht="15.75" customHeight="1">
      <c r="A117" s="36" t="s">
        <v>2921</v>
      </c>
      <c r="B117" s="37" t="s">
        <v>3127</v>
      </c>
      <c r="C117" s="9">
        <v>33434</v>
      </c>
      <c r="D117" s="9" t="s">
        <v>19</v>
      </c>
      <c r="E117" s="9" t="s">
        <v>34</v>
      </c>
      <c r="F117" s="6" t="s">
        <v>35</v>
      </c>
      <c r="G117" s="7" t="e">
        <f t="shared" ca="1" si="0"/>
        <v>#NAME?</v>
      </c>
      <c r="H117" s="8" t="s">
        <v>152</v>
      </c>
      <c r="I117" s="24" t="s">
        <v>25</v>
      </c>
      <c r="J117" s="9" t="str">
        <f t="shared" si="3"/>
        <v>Não</v>
      </c>
      <c r="K117" s="107">
        <v>44733</v>
      </c>
      <c r="L117" s="107"/>
      <c r="M117" s="6" t="s">
        <v>42</v>
      </c>
      <c r="N117" s="10">
        <v>7.0000000000000001E-3</v>
      </c>
      <c r="O117" s="9" t="s">
        <v>25</v>
      </c>
      <c r="P117" s="234">
        <v>0</v>
      </c>
      <c r="Q117" s="108"/>
      <c r="R117" s="108"/>
      <c r="S117" s="7" t="s">
        <v>145</v>
      </c>
      <c r="T117" s="6" t="s">
        <v>3128</v>
      </c>
      <c r="U117" s="6" t="s">
        <v>39</v>
      </c>
      <c r="V117" s="24" t="e">
        <f t="shared" ca="1" si="2"/>
        <v>#NAME?</v>
      </c>
      <c r="W117" s="24"/>
      <c r="X117" s="24"/>
      <c r="Y117" s="6" t="s">
        <v>253</v>
      </c>
      <c r="Z117" s="6"/>
      <c r="AA117" s="107">
        <v>44733</v>
      </c>
      <c r="AB117" s="6">
        <v>49075100003572</v>
      </c>
      <c r="AC117" s="110"/>
      <c r="AD117" s="110"/>
      <c r="AE117" s="110"/>
      <c r="AF117" s="110"/>
      <c r="AG117" s="110"/>
      <c r="AH117" s="110"/>
      <c r="AI117" s="110"/>
      <c r="AJ117" s="110"/>
      <c r="AK117" s="110"/>
      <c r="AL117" s="110"/>
      <c r="AM117" s="110"/>
      <c r="AN117" s="110"/>
      <c r="AO117" s="110"/>
      <c r="AP117" s="110"/>
      <c r="AQ117" s="110"/>
      <c r="AR117" s="110"/>
      <c r="AS117" s="110"/>
      <c r="AT117" s="110"/>
      <c r="AU117" s="110"/>
      <c r="AV117" s="240"/>
      <c r="AW117" s="240"/>
      <c r="AX117" s="240"/>
      <c r="AY117" s="110"/>
      <c r="AZ117" s="110"/>
      <c r="BA117" s="110"/>
      <c r="BB117" s="110"/>
      <c r="BC117" s="110"/>
      <c r="BD117" s="110"/>
      <c r="BE117" s="110"/>
      <c r="BF117" s="110"/>
      <c r="BG117" s="110"/>
      <c r="BH117" s="237">
        <v>94686.55</v>
      </c>
      <c r="BI117" s="237">
        <v>100116.58</v>
      </c>
      <c r="BJ117" s="237">
        <v>109481.81</v>
      </c>
      <c r="BK117" s="237">
        <v>124377.24</v>
      </c>
      <c r="BL117" s="237">
        <v>125404.38</v>
      </c>
      <c r="BM117" s="237">
        <v>125442.7</v>
      </c>
      <c r="BN117" s="237">
        <v>126789</v>
      </c>
      <c r="BO117" s="237">
        <v>128263.11</v>
      </c>
      <c r="BP117" s="237">
        <v>129470.54</v>
      </c>
      <c r="BQ117" s="237">
        <v>131228.26</v>
      </c>
      <c r="BR117" s="237">
        <v>132319.74</v>
      </c>
      <c r="BS117" s="237">
        <v>165806.32</v>
      </c>
      <c r="BT117" s="237">
        <v>167191.76999999999</v>
      </c>
      <c r="BU117" s="237">
        <v>168552.18</v>
      </c>
      <c r="BV117" s="237">
        <v>170838.81</v>
      </c>
      <c r="BW117" s="237">
        <v>171292.13</v>
      </c>
      <c r="BX117" s="237">
        <v>147153.20000000001</v>
      </c>
      <c r="BY117" s="237">
        <v>173021.3</v>
      </c>
      <c r="BZ117" s="237">
        <v>174748.45</v>
      </c>
      <c r="CA117" s="237">
        <v>176479.41</v>
      </c>
      <c r="CB117" s="237">
        <v>178814.35</v>
      </c>
      <c r="CC117" s="237">
        <v>177201.05</v>
      </c>
      <c r="CD117" s="237">
        <v>178617.23</v>
      </c>
      <c r="CE117" s="237">
        <v>180266.45</v>
      </c>
      <c r="CF117" s="237">
        <v>181916.55</v>
      </c>
      <c r="CG117" s="237">
        <v>183690.32</v>
      </c>
      <c r="CH117" s="30">
        <v>185446.71</v>
      </c>
      <c r="CI117" s="30">
        <v>185769.33</v>
      </c>
      <c r="CJ117" s="30" t="e">
        <f t="array" aca="1" ref="CJ117" ca="1">_xludf.XLOOKUP(C117,'PL TOTAL D0'!H:H,'PL TOTAL D0'!I:I,"")</f>
        <v>#NAME?</v>
      </c>
    </row>
    <row r="118" spans="1:88" ht="15.75" customHeight="1">
      <c r="A118" s="36" t="s">
        <v>2921</v>
      </c>
      <c r="B118" s="3" t="s">
        <v>3129</v>
      </c>
      <c r="C118" s="9">
        <v>47579</v>
      </c>
      <c r="D118" s="9" t="s">
        <v>2923</v>
      </c>
      <c r="E118" s="9" t="s">
        <v>20</v>
      </c>
      <c r="F118" s="6" t="s">
        <v>2930</v>
      </c>
      <c r="G118" s="7" t="e">
        <f t="shared" ca="1" si="0"/>
        <v>#NAME?</v>
      </c>
      <c r="H118" s="8" t="s">
        <v>143</v>
      </c>
      <c r="I118" s="24" t="s">
        <v>25</v>
      </c>
      <c r="J118" s="9" t="str">
        <f t="shared" si="3"/>
        <v>Não</v>
      </c>
      <c r="K118" s="107">
        <v>43699</v>
      </c>
      <c r="L118" s="107">
        <v>43910</v>
      </c>
      <c r="M118" s="6" t="s">
        <v>200</v>
      </c>
      <c r="N118" s="10">
        <v>0.01</v>
      </c>
      <c r="O118" s="9" t="s">
        <v>37</v>
      </c>
      <c r="P118" s="234">
        <v>0.1</v>
      </c>
      <c r="Q118" s="108"/>
      <c r="R118" s="108"/>
      <c r="S118" s="7" t="s">
        <v>145</v>
      </c>
      <c r="T118" s="6" t="s">
        <v>3130</v>
      </c>
      <c r="U118" s="6" t="s">
        <v>20</v>
      </c>
      <c r="V118" s="24" t="e">
        <f t="shared" ca="1" si="2"/>
        <v>#NAME?</v>
      </c>
      <c r="W118" s="24"/>
      <c r="X118" s="24"/>
      <c r="Y118" s="6"/>
      <c r="Z118" s="6"/>
      <c r="AA118" s="6"/>
      <c r="AB118" s="6"/>
      <c r="AC118" s="110">
        <v>0</v>
      </c>
      <c r="AD118" s="110">
        <v>0</v>
      </c>
      <c r="AE118" s="110">
        <v>0</v>
      </c>
      <c r="AF118" s="110">
        <v>0</v>
      </c>
      <c r="AG118" s="110">
        <v>0</v>
      </c>
      <c r="AH118" s="110">
        <v>0</v>
      </c>
      <c r="AI118" s="110">
        <v>0</v>
      </c>
      <c r="AJ118" s="110"/>
      <c r="AK118" s="110"/>
      <c r="AL118" s="110"/>
      <c r="AM118" s="110"/>
      <c r="AN118" s="110"/>
      <c r="AO118" s="110"/>
      <c r="AP118" s="110"/>
      <c r="AQ118" s="110"/>
      <c r="AR118" s="110"/>
      <c r="AS118" s="110"/>
      <c r="AT118" s="110"/>
      <c r="AU118" s="110"/>
      <c r="AV118" s="240"/>
      <c r="AW118" s="240"/>
      <c r="AX118" s="240"/>
      <c r="AY118" s="110"/>
      <c r="AZ118" s="110"/>
      <c r="BA118" s="110"/>
      <c r="BB118" s="110"/>
      <c r="BC118" s="110"/>
      <c r="BD118" s="110">
        <v>0</v>
      </c>
      <c r="BE118" s="110">
        <v>0</v>
      </c>
      <c r="BF118" s="110">
        <v>0</v>
      </c>
      <c r="BG118" s="110" t="s">
        <v>2932</v>
      </c>
      <c r="BH118" s="110">
        <v>0</v>
      </c>
      <c r="BI118" s="110" t="s">
        <v>2932</v>
      </c>
      <c r="BJ118" s="110">
        <v>0</v>
      </c>
      <c r="BK118" s="237">
        <v>0</v>
      </c>
      <c r="BL118" s="237">
        <v>0</v>
      </c>
      <c r="BM118" s="237">
        <v>0</v>
      </c>
      <c r="BN118" s="237">
        <v>0</v>
      </c>
      <c r="BO118" s="237">
        <v>0</v>
      </c>
      <c r="BP118" s="237">
        <v>0</v>
      </c>
      <c r="BQ118" s="237">
        <v>0</v>
      </c>
      <c r="BR118" s="237">
        <v>0</v>
      </c>
      <c r="BS118" s="237">
        <v>0</v>
      </c>
      <c r="BT118" s="237">
        <v>0</v>
      </c>
      <c r="BU118" s="237">
        <v>0</v>
      </c>
      <c r="BV118" s="237">
        <v>0</v>
      </c>
      <c r="BW118" s="237">
        <v>0</v>
      </c>
      <c r="BX118" s="237">
        <v>0</v>
      </c>
      <c r="BY118" s="237">
        <v>0</v>
      </c>
      <c r="BZ118" s="237">
        <v>0</v>
      </c>
      <c r="CA118" s="237">
        <v>0</v>
      </c>
      <c r="CB118" s="237">
        <v>0</v>
      </c>
      <c r="CC118" s="237">
        <v>0</v>
      </c>
      <c r="CD118" s="237">
        <v>0</v>
      </c>
      <c r="CE118" s="237">
        <v>0</v>
      </c>
      <c r="CF118" s="237">
        <v>0</v>
      </c>
      <c r="CG118" s="237">
        <v>0</v>
      </c>
      <c r="CH118" s="30">
        <v>0</v>
      </c>
      <c r="CI118" s="30">
        <v>0</v>
      </c>
      <c r="CJ118" s="30" t="e">
        <f t="array" aca="1" ref="CJ118" ca="1">_xludf.XLOOKUP(C118,'PL TOTAL D0'!H:H,'PL TOTAL D0'!I:I,"")</f>
        <v>#NAME?</v>
      </c>
    </row>
    <row r="119" spans="1:88" ht="15.75" customHeight="1">
      <c r="A119" s="36" t="s">
        <v>2921</v>
      </c>
      <c r="B119" s="106" t="s">
        <v>1062</v>
      </c>
      <c r="C119" s="9">
        <v>478599</v>
      </c>
      <c r="D119" s="9" t="s">
        <v>19</v>
      </c>
      <c r="E119" s="9" t="s">
        <v>34</v>
      </c>
      <c r="F119" s="9" t="s">
        <v>35</v>
      </c>
      <c r="G119" s="7" t="e">
        <f t="shared" ca="1" si="0"/>
        <v>#NAME?</v>
      </c>
      <c r="H119" s="8" t="s">
        <v>161</v>
      </c>
      <c r="I119" s="24" t="s">
        <v>162</v>
      </c>
      <c r="J119" s="9" t="str">
        <f t="shared" si="3"/>
        <v>Não</v>
      </c>
      <c r="K119" s="232">
        <v>44263</v>
      </c>
      <c r="L119" s="7"/>
      <c r="M119" s="6" t="s">
        <v>345</v>
      </c>
      <c r="N119" s="10">
        <v>0.02</v>
      </c>
      <c r="O119" s="9" t="s">
        <v>37</v>
      </c>
      <c r="P119" s="234">
        <v>0.2</v>
      </c>
      <c r="Q119" s="77"/>
      <c r="R119" s="108" t="s">
        <v>3131</v>
      </c>
      <c r="S119" s="7" t="s">
        <v>145</v>
      </c>
      <c r="T119" s="9" t="s">
        <v>1065</v>
      </c>
      <c r="U119" s="6" t="s">
        <v>39</v>
      </c>
      <c r="V119" s="24" t="e">
        <f t="shared" ca="1" si="2"/>
        <v>#NAME?</v>
      </c>
      <c r="W119" s="24"/>
      <c r="X119" s="24"/>
      <c r="Y119" s="6" t="s">
        <v>147</v>
      </c>
      <c r="Z119" s="6"/>
      <c r="AA119" s="107">
        <v>44263</v>
      </c>
      <c r="AB119" s="6">
        <v>49075100009600</v>
      </c>
      <c r="AC119" s="240"/>
      <c r="AD119" s="240"/>
      <c r="AE119" s="240"/>
      <c r="AF119" s="240"/>
      <c r="AG119" s="240"/>
      <c r="AH119" s="240"/>
      <c r="AI119" s="240"/>
      <c r="AJ119" s="240"/>
      <c r="AK119" s="240"/>
      <c r="AL119" s="240"/>
      <c r="AM119" s="240"/>
      <c r="AN119" s="240"/>
      <c r="AO119" s="240"/>
      <c r="AP119" s="110"/>
      <c r="AQ119" s="236">
        <v>1203907.06</v>
      </c>
      <c r="AR119" s="236">
        <v>1209921.01</v>
      </c>
      <c r="AS119" s="236"/>
      <c r="AT119" s="236">
        <v>1222751.68</v>
      </c>
      <c r="AU119" s="236">
        <v>1255494.52</v>
      </c>
      <c r="AV119" s="110">
        <v>1245456.72</v>
      </c>
      <c r="AW119" s="110">
        <v>1224255.6499999999</v>
      </c>
      <c r="AX119" s="110">
        <v>1186871.02</v>
      </c>
      <c r="AY119" s="110">
        <v>1091954.56</v>
      </c>
      <c r="AZ119" s="110">
        <v>1102303.28</v>
      </c>
      <c r="BA119" s="110">
        <v>1085238.3400000001</v>
      </c>
      <c r="BB119" s="110">
        <v>1097420.48</v>
      </c>
      <c r="BC119" s="110">
        <v>1132103.6799999999</v>
      </c>
      <c r="BD119" s="110">
        <v>1141098.26</v>
      </c>
      <c r="BE119" s="110">
        <v>1203490.8899999999</v>
      </c>
      <c r="BF119" s="110">
        <v>1169343.54</v>
      </c>
      <c r="BG119" s="253">
        <v>662859.06999999995</v>
      </c>
      <c r="BH119" s="237">
        <v>646136.32999999996</v>
      </c>
      <c r="BI119" s="237">
        <v>663304.22</v>
      </c>
      <c r="BJ119" s="237">
        <v>677873.45</v>
      </c>
      <c r="BK119" s="237">
        <v>681867.98</v>
      </c>
      <c r="BL119" s="237">
        <v>714225.58</v>
      </c>
      <c r="BM119" s="237">
        <v>706263.13</v>
      </c>
      <c r="BN119" s="237">
        <v>709507.97</v>
      </c>
      <c r="BO119" s="237">
        <v>719277.77</v>
      </c>
      <c r="BP119" s="237">
        <v>713615.27</v>
      </c>
      <c r="BQ119" s="237">
        <v>719793.14</v>
      </c>
      <c r="BR119" s="237">
        <v>716827.02</v>
      </c>
      <c r="BS119" s="237">
        <v>734424.77</v>
      </c>
      <c r="BT119" s="237">
        <v>753555.45</v>
      </c>
      <c r="BU119" s="237">
        <v>15764.5</v>
      </c>
      <c r="BV119" s="237">
        <v>15902.49</v>
      </c>
      <c r="BW119" s="237">
        <v>15449.22</v>
      </c>
      <c r="BX119" s="237">
        <v>15293.5</v>
      </c>
      <c r="BY119" s="237">
        <v>15295.79</v>
      </c>
      <c r="BZ119" s="237">
        <v>654.79999999999995</v>
      </c>
      <c r="CA119" s="237">
        <v>654.79999999999995</v>
      </c>
      <c r="CB119" s="237">
        <v>654.79999999999995</v>
      </c>
      <c r="CC119" s="237">
        <v>0</v>
      </c>
      <c r="CD119" s="237">
        <v>0</v>
      </c>
      <c r="CE119" s="237">
        <v>0</v>
      </c>
      <c r="CF119" s="237">
        <v>0</v>
      </c>
      <c r="CG119" s="237">
        <v>0</v>
      </c>
      <c r="CH119" s="30">
        <v>0</v>
      </c>
      <c r="CI119" s="30">
        <v>0</v>
      </c>
      <c r="CJ119" s="30" t="e">
        <f t="array" aca="1" ref="CJ119" ca="1">_xludf.XLOOKUP(C119,'PL TOTAL D0'!H:H,'PL TOTAL D0'!I:I,"")</f>
        <v>#NAME?</v>
      </c>
    </row>
    <row r="120" spans="1:88" ht="15.75" customHeight="1">
      <c r="A120" s="36" t="s">
        <v>2921</v>
      </c>
      <c r="B120" s="3" t="s">
        <v>3132</v>
      </c>
      <c r="C120" s="9">
        <v>464575</v>
      </c>
      <c r="D120" s="9" t="s">
        <v>19</v>
      </c>
      <c r="E120" s="9" t="s">
        <v>34</v>
      </c>
      <c r="F120" s="9" t="s">
        <v>262</v>
      </c>
      <c r="G120" s="7" t="e">
        <f t="shared" ca="1" si="0"/>
        <v>#NAME?</v>
      </c>
      <c r="H120" s="8" t="s">
        <v>161</v>
      </c>
      <c r="I120" s="24" t="s">
        <v>928</v>
      </c>
      <c r="J120" s="9" t="str">
        <f t="shared" si="3"/>
        <v>Sim</v>
      </c>
      <c r="K120" s="232">
        <v>44291</v>
      </c>
      <c r="L120" s="6"/>
      <c r="M120" s="6" t="s">
        <v>200</v>
      </c>
      <c r="N120" s="10">
        <v>1.4999999999999999E-2</v>
      </c>
      <c r="O120" s="9" t="s">
        <v>37</v>
      </c>
      <c r="P120" s="234">
        <v>0.1</v>
      </c>
      <c r="Q120" s="108" t="s">
        <v>3133</v>
      </c>
      <c r="R120" s="108" t="s">
        <v>3134</v>
      </c>
      <c r="S120" s="7" t="s">
        <v>145</v>
      </c>
      <c r="T120" s="6" t="s">
        <v>3135</v>
      </c>
      <c r="U120" s="6" t="s">
        <v>39</v>
      </c>
      <c r="V120" s="24" t="e">
        <f t="shared" ca="1" si="2"/>
        <v>#NAME?</v>
      </c>
      <c r="W120" s="24"/>
      <c r="X120" s="24"/>
      <c r="Y120" s="6" t="s">
        <v>253</v>
      </c>
      <c r="Z120" s="6"/>
      <c r="AA120" s="107">
        <v>44291</v>
      </c>
      <c r="AB120" s="6">
        <v>49075100004791</v>
      </c>
      <c r="AC120" s="240"/>
      <c r="AD120" s="240"/>
      <c r="AE120" s="240"/>
      <c r="AF120" s="240"/>
      <c r="AG120" s="240"/>
      <c r="AH120" s="240"/>
      <c r="AI120" s="240"/>
      <c r="AJ120" s="240"/>
      <c r="AK120" s="240"/>
      <c r="AL120" s="240"/>
      <c r="AM120" s="240"/>
      <c r="AN120" s="240"/>
      <c r="AO120" s="240"/>
      <c r="AP120" s="110"/>
      <c r="AQ120" s="236"/>
      <c r="AR120" s="236">
        <v>1368818.19</v>
      </c>
      <c r="AS120" s="236"/>
      <c r="AT120" s="236">
        <v>1381407.91</v>
      </c>
      <c r="AU120" s="236">
        <v>1404432.71</v>
      </c>
      <c r="AV120" s="110">
        <v>1397359.3</v>
      </c>
      <c r="AW120" s="110">
        <v>1382895.07</v>
      </c>
      <c r="AX120" s="110">
        <v>1130330.72</v>
      </c>
      <c r="AY120" s="110">
        <v>1108698.6599999999</v>
      </c>
      <c r="AZ120" s="110">
        <v>1070244.1499999999</v>
      </c>
      <c r="BA120" s="110">
        <v>1060496.31</v>
      </c>
      <c r="BB120" s="110">
        <v>866917</v>
      </c>
      <c r="BC120" s="110">
        <v>534965.29</v>
      </c>
      <c r="BD120" s="110">
        <v>495302.66</v>
      </c>
      <c r="BE120" s="110">
        <v>515909.11</v>
      </c>
      <c r="BF120" s="110">
        <v>506637.33</v>
      </c>
      <c r="BG120" s="237">
        <v>504719.83</v>
      </c>
      <c r="BH120" s="237">
        <v>499982.13</v>
      </c>
      <c r="BI120" s="237">
        <v>506750.33</v>
      </c>
      <c r="BJ120" s="237">
        <v>513579.88</v>
      </c>
      <c r="BK120" s="237">
        <v>516291.57</v>
      </c>
      <c r="BL120" s="237">
        <v>532943.46</v>
      </c>
      <c r="BM120" s="237">
        <v>532558.62</v>
      </c>
      <c r="BN120" s="237">
        <v>537515.80000000005</v>
      </c>
      <c r="BO120" s="237">
        <v>543938.43000000005</v>
      </c>
      <c r="BP120" s="237">
        <v>535946.31999999995</v>
      </c>
      <c r="BQ120" s="237">
        <v>551800.65</v>
      </c>
      <c r="BR120" s="237">
        <v>552928.61</v>
      </c>
      <c r="BS120" s="237">
        <v>567732.96</v>
      </c>
      <c r="BT120" s="237">
        <v>575900.22</v>
      </c>
      <c r="BU120" s="237">
        <v>579715.91</v>
      </c>
      <c r="BV120" s="237">
        <v>585486.53</v>
      </c>
      <c r="BW120" s="237">
        <v>590183.63</v>
      </c>
      <c r="BX120" s="237">
        <v>197728.52</v>
      </c>
      <c r="BY120" s="237">
        <v>158506.22</v>
      </c>
      <c r="BZ120" s="237">
        <v>159908.64000000001</v>
      </c>
      <c r="CA120" s="237">
        <v>54843.67</v>
      </c>
      <c r="CB120" s="237">
        <v>54133.440000000002</v>
      </c>
      <c r="CC120" s="237">
        <v>54721.67</v>
      </c>
      <c r="CD120" s="237">
        <v>55344.78</v>
      </c>
      <c r="CE120" s="237">
        <v>55840.12</v>
      </c>
      <c r="CF120" s="237">
        <v>56418.98</v>
      </c>
      <c r="CG120" s="237">
        <v>57092.11</v>
      </c>
      <c r="CH120" s="30">
        <v>38137.019999999997</v>
      </c>
      <c r="CI120" s="30">
        <v>56848.58</v>
      </c>
      <c r="CJ120" s="30" t="e">
        <f t="array" aca="1" ref="CJ120" ca="1">_xludf.XLOOKUP(C120,'PL TOTAL D0'!H:H,'PL TOTAL D0'!I:I,"")</f>
        <v>#NAME?</v>
      </c>
    </row>
    <row r="121" spans="1:88" ht="15.75" customHeight="1">
      <c r="A121" s="36" t="s">
        <v>2921</v>
      </c>
      <c r="B121" s="3" t="s">
        <v>1073</v>
      </c>
      <c r="C121" s="9">
        <v>82859</v>
      </c>
      <c r="D121" s="9" t="s">
        <v>19</v>
      </c>
      <c r="E121" s="9" t="s">
        <v>34</v>
      </c>
      <c r="F121" s="9" t="s">
        <v>35</v>
      </c>
      <c r="G121" s="7" t="e">
        <f t="shared" ca="1" si="0"/>
        <v>#NAME?</v>
      </c>
      <c r="H121" s="8" t="s">
        <v>161</v>
      </c>
      <c r="I121" s="24" t="s">
        <v>162</v>
      </c>
      <c r="J121" s="9" t="str">
        <f t="shared" si="3"/>
        <v>Não</v>
      </c>
      <c r="K121" s="232">
        <v>44263</v>
      </c>
      <c r="L121" s="6"/>
      <c r="M121" s="6" t="s">
        <v>345</v>
      </c>
      <c r="N121" s="10">
        <v>2.5000000000000001E-2</v>
      </c>
      <c r="O121" s="9" t="s">
        <v>37</v>
      </c>
      <c r="P121" s="234">
        <v>0.2</v>
      </c>
      <c r="Q121" s="45"/>
      <c r="R121" s="108"/>
      <c r="S121" s="7" t="s">
        <v>145</v>
      </c>
      <c r="T121" s="6" t="s">
        <v>1076</v>
      </c>
      <c r="U121" s="6" t="s">
        <v>39</v>
      </c>
      <c r="V121" s="24" t="e">
        <f t="shared" ca="1" si="2"/>
        <v>#NAME?</v>
      </c>
      <c r="W121" s="24"/>
      <c r="X121" s="24"/>
      <c r="Y121" s="6" t="s">
        <v>253</v>
      </c>
      <c r="Z121" s="6"/>
      <c r="AA121" s="107">
        <v>44263</v>
      </c>
      <c r="AB121" s="6">
        <v>49075100009619</v>
      </c>
      <c r="AC121" s="240"/>
      <c r="AD121" s="240"/>
      <c r="AE121" s="240"/>
      <c r="AF121" s="240"/>
      <c r="AG121" s="240"/>
      <c r="AH121" s="240"/>
      <c r="AI121" s="240"/>
      <c r="AJ121" s="240"/>
      <c r="AK121" s="240"/>
      <c r="AL121" s="240"/>
      <c r="AM121" s="240"/>
      <c r="AN121" s="240"/>
      <c r="AO121" s="240"/>
      <c r="AP121" s="110"/>
      <c r="AQ121" s="236">
        <v>709006.03</v>
      </c>
      <c r="AR121" s="236">
        <v>711263.99</v>
      </c>
      <c r="AS121" s="236"/>
      <c r="AT121" s="236">
        <v>723019.38</v>
      </c>
      <c r="AU121" s="236">
        <v>745340.12</v>
      </c>
      <c r="AV121" s="110">
        <v>740041.95</v>
      </c>
      <c r="AW121" s="110">
        <v>708683.5</v>
      </c>
      <c r="AX121" s="110">
        <v>675485.04</v>
      </c>
      <c r="AY121" s="110">
        <v>643794.06000000006</v>
      </c>
      <c r="AZ121" s="110">
        <v>603275.9</v>
      </c>
      <c r="BA121" s="110">
        <v>584002.85</v>
      </c>
      <c r="BB121" s="110">
        <v>588555.89</v>
      </c>
      <c r="BC121" s="110">
        <v>621108.62</v>
      </c>
      <c r="BD121" s="110">
        <v>624968.56000000006</v>
      </c>
      <c r="BE121" s="110">
        <v>535880.06999999995</v>
      </c>
      <c r="BF121" s="110">
        <v>650790.17000000004</v>
      </c>
      <c r="BG121" s="237">
        <v>644796.93000000005</v>
      </c>
      <c r="BH121" s="237">
        <v>628493.61</v>
      </c>
      <c r="BI121" s="237">
        <v>647347</v>
      </c>
      <c r="BJ121" s="237">
        <v>148694.57</v>
      </c>
      <c r="BK121" s="237">
        <v>148584.82</v>
      </c>
      <c r="BL121" s="237">
        <v>151633.15</v>
      </c>
      <c r="BM121" s="237">
        <v>152301.67000000001</v>
      </c>
      <c r="BN121" s="237">
        <v>154050.44</v>
      </c>
      <c r="BO121" s="237">
        <v>152709.98000000001</v>
      </c>
      <c r="BP121" s="237">
        <v>148211.34</v>
      </c>
      <c r="BQ121" s="237">
        <v>106143.31</v>
      </c>
      <c r="BR121" s="237">
        <v>148203.67000000001</v>
      </c>
      <c r="BS121" s="237">
        <v>151360.31</v>
      </c>
      <c r="BT121" s="237">
        <v>155357.18</v>
      </c>
      <c r="BU121" s="237">
        <v>113726.95</v>
      </c>
      <c r="BV121" s="237">
        <v>158293.93</v>
      </c>
      <c r="BW121" s="237">
        <v>6467.33</v>
      </c>
      <c r="BX121" s="237">
        <v>424.55</v>
      </c>
      <c r="BY121" s="237">
        <v>273.14999999999998</v>
      </c>
      <c r="BZ121" s="237">
        <v>217.94</v>
      </c>
      <c r="CA121" s="237">
        <v>217.94</v>
      </c>
      <c r="CB121" s="237">
        <v>217.94</v>
      </c>
      <c r="CC121" s="237">
        <v>213.33</v>
      </c>
      <c r="CD121" s="237">
        <v>165.59</v>
      </c>
      <c r="CE121" s="237">
        <v>48.65</v>
      </c>
      <c r="CF121" s="237">
        <v>33.26</v>
      </c>
      <c r="CG121" s="237">
        <v>33.26</v>
      </c>
      <c r="CH121" s="30">
        <v>33.26</v>
      </c>
      <c r="CI121" s="30">
        <v>33.26</v>
      </c>
      <c r="CJ121" s="30" t="e">
        <f t="array" aca="1" ref="CJ121" ca="1">_xludf.XLOOKUP(C121,'PL TOTAL D0'!H:H,'PL TOTAL D0'!I:I,"")</f>
        <v>#NAME?</v>
      </c>
    </row>
    <row r="122" spans="1:88" ht="15.75" customHeight="1">
      <c r="A122" s="36" t="s">
        <v>2921</v>
      </c>
      <c r="B122" s="3" t="s">
        <v>3136</v>
      </c>
      <c r="C122" s="9">
        <v>443867</v>
      </c>
      <c r="D122" s="9" t="s">
        <v>2989</v>
      </c>
      <c r="E122" s="9" t="s">
        <v>20</v>
      </c>
      <c r="F122" s="6" t="s">
        <v>2989</v>
      </c>
      <c r="G122" s="7" t="e">
        <f t="shared" ca="1" si="0"/>
        <v>#NAME?</v>
      </c>
      <c r="H122" s="8" t="s">
        <v>143</v>
      </c>
      <c r="I122" s="24" t="s">
        <v>25</v>
      </c>
      <c r="J122" s="9" t="str">
        <f t="shared" si="3"/>
        <v>Não</v>
      </c>
      <c r="K122" s="239">
        <v>43829</v>
      </c>
      <c r="L122" s="107">
        <v>44375</v>
      </c>
      <c r="M122" s="6" t="s">
        <v>87</v>
      </c>
      <c r="N122" s="10">
        <v>2.5000000000000001E-2</v>
      </c>
      <c r="O122" s="9" t="s">
        <v>183</v>
      </c>
      <c r="P122" s="234">
        <v>0.2</v>
      </c>
      <c r="Q122" s="108"/>
      <c r="R122" s="108"/>
      <c r="S122" s="7" t="s">
        <v>145</v>
      </c>
      <c r="T122" s="6" t="s">
        <v>3137</v>
      </c>
      <c r="U122" s="6" t="s">
        <v>20</v>
      </c>
      <c r="V122" s="24" t="e">
        <f t="shared" ca="1" si="2"/>
        <v>#NAME?</v>
      </c>
      <c r="W122" s="24"/>
      <c r="X122" s="24"/>
      <c r="Y122" s="6"/>
      <c r="Z122" s="6"/>
      <c r="AA122" s="6"/>
      <c r="AB122" s="6"/>
      <c r="AC122" s="110">
        <v>401894.13</v>
      </c>
      <c r="AD122" s="110">
        <v>379755.7</v>
      </c>
      <c r="AE122" s="110">
        <v>284039.57</v>
      </c>
      <c r="AF122" s="110">
        <v>300678.76</v>
      </c>
      <c r="AG122" s="110">
        <v>312336.75</v>
      </c>
      <c r="AH122" s="110">
        <v>331301.5</v>
      </c>
      <c r="AI122" s="110">
        <v>355682.71</v>
      </c>
      <c r="AJ122" s="110">
        <v>332861.06</v>
      </c>
      <c r="AK122" s="110">
        <v>316447.84000000003</v>
      </c>
      <c r="AL122" s="110">
        <v>321440.48</v>
      </c>
      <c r="AM122" s="110">
        <v>365748.37</v>
      </c>
      <c r="AN122" s="110">
        <v>382843.69</v>
      </c>
      <c r="AO122" s="110">
        <v>367895.75</v>
      </c>
      <c r="AP122" s="110">
        <v>338322.05</v>
      </c>
      <c r="AQ122" s="110">
        <v>327804.7</v>
      </c>
      <c r="AR122" s="110">
        <v>356872.11</v>
      </c>
      <c r="AS122" s="110">
        <v>356938.37</v>
      </c>
      <c r="AT122" s="110">
        <v>358898.73</v>
      </c>
      <c r="AU122" s="110">
        <v>373842.57</v>
      </c>
      <c r="AV122" s="110">
        <v>368874.69</v>
      </c>
      <c r="AW122" s="110">
        <v>13800.5</v>
      </c>
      <c r="AX122" s="110">
        <v>13551.66</v>
      </c>
      <c r="AY122" s="110">
        <v>13585.85</v>
      </c>
      <c r="AZ122" s="110"/>
      <c r="BA122" s="110"/>
      <c r="BB122" s="110"/>
      <c r="BC122" s="110"/>
      <c r="BD122" s="110">
        <v>0</v>
      </c>
      <c r="BE122" s="110">
        <v>0</v>
      </c>
      <c r="BF122" s="110">
        <v>0</v>
      </c>
      <c r="BG122" s="110" t="s">
        <v>2932</v>
      </c>
      <c r="BH122" s="110">
        <v>0</v>
      </c>
      <c r="BI122" s="110" t="s">
        <v>2932</v>
      </c>
      <c r="BJ122" s="110">
        <v>0</v>
      </c>
      <c r="BK122" s="237">
        <v>0</v>
      </c>
      <c r="BL122" s="237">
        <v>0</v>
      </c>
      <c r="BM122" s="237">
        <v>0</v>
      </c>
      <c r="BN122" s="237">
        <v>0</v>
      </c>
      <c r="BO122" s="237">
        <v>0</v>
      </c>
      <c r="BP122" s="237">
        <v>0</v>
      </c>
      <c r="BQ122" s="237">
        <v>0</v>
      </c>
      <c r="BR122" s="237">
        <v>0</v>
      </c>
      <c r="BS122" s="237">
        <v>0</v>
      </c>
      <c r="BT122" s="237">
        <v>0</v>
      </c>
      <c r="BU122" s="237">
        <v>0</v>
      </c>
      <c r="BV122" s="237">
        <v>0</v>
      </c>
      <c r="BW122" s="237">
        <v>0</v>
      </c>
      <c r="BX122" s="237">
        <v>0</v>
      </c>
      <c r="BY122" s="237">
        <v>0</v>
      </c>
      <c r="BZ122" s="237">
        <v>0</v>
      </c>
      <c r="CA122" s="237">
        <v>0</v>
      </c>
      <c r="CB122" s="237">
        <v>0</v>
      </c>
      <c r="CC122" s="237">
        <v>0</v>
      </c>
      <c r="CD122" s="237">
        <v>0</v>
      </c>
      <c r="CE122" s="237">
        <v>0</v>
      </c>
      <c r="CF122" s="237">
        <v>0</v>
      </c>
      <c r="CG122" s="237">
        <v>0</v>
      </c>
      <c r="CH122" s="30">
        <v>0</v>
      </c>
      <c r="CI122" s="30">
        <v>0</v>
      </c>
      <c r="CJ122" s="30" t="e">
        <f t="array" aca="1" ref="CJ122" ca="1">_xludf.XLOOKUP(C122,'PL TOTAL D0'!H:H,'PL TOTAL D0'!I:I,"")</f>
        <v>#NAME?</v>
      </c>
    </row>
    <row r="123" spans="1:88" ht="15.75" customHeight="1">
      <c r="A123" s="36" t="s">
        <v>2921</v>
      </c>
      <c r="B123" s="37" t="s">
        <v>3138</v>
      </c>
      <c r="C123" s="9">
        <v>439818</v>
      </c>
      <c r="D123" s="9" t="s">
        <v>19</v>
      </c>
      <c r="E123" s="9" t="s">
        <v>34</v>
      </c>
      <c r="F123" s="9" t="s">
        <v>262</v>
      </c>
      <c r="G123" s="7" t="e">
        <f t="shared" ca="1" si="0"/>
        <v>#NAME?</v>
      </c>
      <c r="H123" s="8" t="s">
        <v>161</v>
      </c>
      <c r="I123" s="24" t="s">
        <v>162</v>
      </c>
      <c r="J123" s="9" t="str">
        <f t="shared" si="3"/>
        <v>Não</v>
      </c>
      <c r="K123" s="107">
        <v>44602</v>
      </c>
      <c r="L123" s="7"/>
      <c r="M123" s="6" t="s">
        <v>200</v>
      </c>
      <c r="N123" s="10">
        <v>1.4999999999999999E-2</v>
      </c>
      <c r="O123" s="9" t="s">
        <v>37</v>
      </c>
      <c r="P123" s="234">
        <v>0.1</v>
      </c>
      <c r="Q123" s="45"/>
      <c r="R123" s="108" t="s">
        <v>3139</v>
      </c>
      <c r="S123" s="7" t="s">
        <v>145</v>
      </c>
      <c r="T123" s="6" t="s">
        <v>3140</v>
      </c>
      <c r="U123" s="6" t="s">
        <v>39</v>
      </c>
      <c r="V123" s="24" t="e">
        <f t="shared" ca="1" si="2"/>
        <v>#NAME?</v>
      </c>
      <c r="W123" s="24"/>
      <c r="X123" s="24"/>
      <c r="Y123" s="6" t="s">
        <v>253</v>
      </c>
      <c r="Z123" s="6"/>
      <c r="AA123" s="107">
        <v>44602</v>
      </c>
      <c r="AB123" s="6">
        <v>49075100010552</v>
      </c>
      <c r="AC123" s="240"/>
      <c r="AD123" s="240"/>
      <c r="AE123" s="240"/>
      <c r="AF123" s="240"/>
      <c r="AG123" s="240"/>
      <c r="AH123" s="240"/>
      <c r="AI123" s="240"/>
      <c r="AJ123" s="240"/>
      <c r="AK123" s="240"/>
      <c r="AL123" s="240"/>
      <c r="AM123" s="240"/>
      <c r="AN123" s="240"/>
      <c r="AO123" s="240"/>
      <c r="AP123" s="110"/>
      <c r="AQ123" s="236"/>
      <c r="AR123" s="236"/>
      <c r="AS123" s="236"/>
      <c r="AT123" s="236"/>
      <c r="AU123" s="236"/>
      <c r="AV123" s="110"/>
      <c r="AW123" s="110"/>
      <c r="AX123" s="110"/>
      <c r="AY123" s="110"/>
      <c r="AZ123" s="110"/>
      <c r="BA123" s="110"/>
      <c r="BB123" s="110"/>
      <c r="BC123" s="110"/>
      <c r="BD123" s="110">
        <v>212229.42</v>
      </c>
      <c r="BE123" s="110">
        <v>215008.49</v>
      </c>
      <c r="BF123" s="110">
        <v>198671.54</v>
      </c>
      <c r="BG123" s="237">
        <v>196729.94</v>
      </c>
      <c r="BH123" s="237">
        <v>10596.62</v>
      </c>
      <c r="BI123" s="237">
        <v>10180</v>
      </c>
      <c r="BJ123" s="237">
        <v>10393.4</v>
      </c>
      <c r="BK123" s="237">
        <v>10475.68</v>
      </c>
      <c r="BL123" s="237">
        <v>10554.58</v>
      </c>
      <c r="BM123" s="237">
        <v>10634.81</v>
      </c>
      <c r="BN123" s="237">
        <v>10715.75</v>
      </c>
      <c r="BO123" s="237">
        <v>11112.05</v>
      </c>
      <c r="BP123" s="237">
        <v>11183.37</v>
      </c>
      <c r="BQ123" s="237">
        <v>11282.02</v>
      </c>
      <c r="BR123" s="237">
        <v>0</v>
      </c>
      <c r="BS123" s="237">
        <v>0</v>
      </c>
      <c r="BT123" s="237">
        <v>0</v>
      </c>
      <c r="BU123" s="237">
        <v>0</v>
      </c>
      <c r="BV123" s="237">
        <v>0</v>
      </c>
      <c r="BW123" s="237">
        <v>0</v>
      </c>
      <c r="BX123" s="237">
        <v>0</v>
      </c>
      <c r="BY123" s="237">
        <v>0</v>
      </c>
      <c r="BZ123" s="237">
        <v>0</v>
      </c>
      <c r="CA123" s="237">
        <v>0</v>
      </c>
      <c r="CB123" s="237">
        <v>0</v>
      </c>
      <c r="CC123" s="237">
        <v>0</v>
      </c>
      <c r="CD123" s="237">
        <v>0</v>
      </c>
      <c r="CE123" s="237">
        <v>0</v>
      </c>
      <c r="CF123" s="237">
        <v>0</v>
      </c>
      <c r="CG123" s="237">
        <v>0</v>
      </c>
      <c r="CH123" s="30">
        <v>0</v>
      </c>
      <c r="CI123" s="30">
        <v>0</v>
      </c>
      <c r="CJ123" s="30" t="e">
        <f t="array" aca="1" ref="CJ123" ca="1">_xludf.XLOOKUP(C123,'PL TOTAL D0'!H:H,'PL TOTAL D0'!I:I,"")</f>
        <v>#NAME?</v>
      </c>
    </row>
    <row r="124" spans="1:88" ht="15.75" customHeight="1">
      <c r="A124" s="36" t="s">
        <v>2921</v>
      </c>
      <c r="B124" s="3" t="s">
        <v>3141</v>
      </c>
      <c r="C124" s="9">
        <v>473239</v>
      </c>
      <c r="D124" s="9" t="s">
        <v>19</v>
      </c>
      <c r="E124" s="9" t="s">
        <v>34</v>
      </c>
      <c r="F124" s="6" t="s">
        <v>262</v>
      </c>
      <c r="G124" s="7" t="e">
        <f t="shared" ca="1" si="0"/>
        <v>#NAME?</v>
      </c>
      <c r="H124" s="8" t="s">
        <v>143</v>
      </c>
      <c r="I124" s="24" t="s">
        <v>25</v>
      </c>
      <c r="J124" s="9" t="str">
        <f t="shared" si="3"/>
        <v>Não</v>
      </c>
      <c r="K124" s="239">
        <v>44298</v>
      </c>
      <c r="L124" s="107">
        <v>44599</v>
      </c>
      <c r="M124" s="6" t="s">
        <v>200</v>
      </c>
      <c r="N124" s="10">
        <v>1.4999999999999999E-2</v>
      </c>
      <c r="O124" s="9" t="s">
        <v>37</v>
      </c>
      <c r="P124" s="234">
        <v>0.1</v>
      </c>
      <c r="Q124" s="108"/>
      <c r="R124" s="108"/>
      <c r="S124" s="7" t="s">
        <v>145</v>
      </c>
      <c r="T124" s="6" t="s">
        <v>3142</v>
      </c>
      <c r="U124" s="6" t="s">
        <v>39</v>
      </c>
      <c r="V124" s="24" t="e">
        <f t="shared" ca="1" si="2"/>
        <v>#NAME?</v>
      </c>
      <c r="W124" s="24"/>
      <c r="X124" s="24"/>
      <c r="Y124" s="6" t="s">
        <v>253</v>
      </c>
      <c r="Z124" s="6"/>
      <c r="AA124" s="6"/>
      <c r="AB124" s="6"/>
      <c r="AC124" s="110"/>
      <c r="AD124" s="110"/>
      <c r="AE124" s="110"/>
      <c r="AF124" s="110"/>
      <c r="AG124" s="110"/>
      <c r="AH124" s="110"/>
      <c r="AI124" s="110"/>
      <c r="AJ124" s="110"/>
      <c r="AK124" s="110"/>
      <c r="AL124" s="110"/>
      <c r="AM124" s="110"/>
      <c r="AN124" s="110"/>
      <c r="AO124" s="110"/>
      <c r="AP124" s="110"/>
      <c r="AQ124" s="110"/>
      <c r="AR124" s="110"/>
      <c r="AS124" s="110"/>
      <c r="AT124" s="110"/>
      <c r="AU124" s="110">
        <v>336927.29</v>
      </c>
      <c r="AV124" s="110">
        <v>335477.07</v>
      </c>
      <c r="AW124" s="110">
        <v>300973.83</v>
      </c>
      <c r="AX124" s="110">
        <v>295162</v>
      </c>
      <c r="AY124" s="110">
        <v>290725.14</v>
      </c>
      <c r="AZ124" s="110">
        <v>283268.90000000002</v>
      </c>
      <c r="BA124" s="110">
        <v>225505.95</v>
      </c>
      <c r="BB124" s="110">
        <v>184093.9</v>
      </c>
      <c r="BC124" s="110">
        <v>13893.64</v>
      </c>
      <c r="BD124" s="110">
        <v>-154.4</v>
      </c>
      <c r="BE124" s="110">
        <v>140.38</v>
      </c>
      <c r="BF124" s="110">
        <v>153.80000000000001</v>
      </c>
      <c r="BG124" s="110" t="s">
        <v>2932</v>
      </c>
      <c r="BH124" s="110">
        <v>0</v>
      </c>
      <c r="BI124" s="110" t="s">
        <v>2932</v>
      </c>
      <c r="BJ124" s="110">
        <v>0</v>
      </c>
      <c r="BK124" s="237">
        <v>0</v>
      </c>
      <c r="BL124" s="237">
        <v>0</v>
      </c>
      <c r="BM124" s="237">
        <v>0</v>
      </c>
      <c r="BN124" s="237">
        <v>0</v>
      </c>
      <c r="BO124" s="237">
        <v>0</v>
      </c>
      <c r="BP124" s="237">
        <v>0</v>
      </c>
      <c r="BQ124" s="237">
        <v>0</v>
      </c>
      <c r="BR124" s="237">
        <v>0</v>
      </c>
      <c r="BS124" s="237">
        <v>0</v>
      </c>
      <c r="BT124" s="237">
        <v>0</v>
      </c>
      <c r="BU124" s="237">
        <v>0</v>
      </c>
      <c r="BV124" s="237">
        <v>0</v>
      </c>
      <c r="BW124" s="237">
        <v>0</v>
      </c>
      <c r="BX124" s="237">
        <v>0</v>
      </c>
      <c r="BY124" s="237">
        <v>0</v>
      </c>
      <c r="BZ124" s="237">
        <v>0</v>
      </c>
      <c r="CA124" s="237">
        <v>0</v>
      </c>
      <c r="CB124" s="237">
        <v>0</v>
      </c>
      <c r="CC124" s="237">
        <v>0</v>
      </c>
      <c r="CD124" s="237">
        <v>0</v>
      </c>
      <c r="CE124" s="237">
        <v>0</v>
      </c>
      <c r="CF124" s="237">
        <v>0</v>
      </c>
      <c r="CG124" s="237">
        <v>0</v>
      </c>
      <c r="CH124" s="30">
        <v>0</v>
      </c>
      <c r="CI124" s="30">
        <v>0</v>
      </c>
      <c r="CJ124" s="30" t="e">
        <f t="array" aca="1" ref="CJ124" ca="1">_xludf.XLOOKUP(C124,'PL TOTAL D0'!H:H,'PL TOTAL D0'!I:I,"")</f>
        <v>#NAME?</v>
      </c>
    </row>
    <row r="125" spans="1:88" ht="15.75" customHeight="1">
      <c r="A125" s="36" t="s">
        <v>2921</v>
      </c>
      <c r="B125" s="3" t="s">
        <v>3141</v>
      </c>
      <c r="C125" s="9">
        <v>463648</v>
      </c>
      <c r="D125" s="9" t="s">
        <v>19</v>
      </c>
      <c r="E125" s="9" t="s">
        <v>34</v>
      </c>
      <c r="F125" s="9" t="s">
        <v>262</v>
      </c>
      <c r="G125" s="7" t="e">
        <f t="shared" ca="1" si="0"/>
        <v>#NAME?</v>
      </c>
      <c r="H125" s="8" t="s">
        <v>161</v>
      </c>
      <c r="I125" s="24" t="s">
        <v>162</v>
      </c>
      <c r="J125" s="9" t="str">
        <f t="shared" si="3"/>
        <v>Não</v>
      </c>
      <c r="K125" s="232">
        <v>44383</v>
      </c>
      <c r="L125" s="7"/>
      <c r="M125" s="6" t="s">
        <v>87</v>
      </c>
      <c r="N125" s="10">
        <v>2.5000000000000001E-2</v>
      </c>
      <c r="O125" s="9" t="s">
        <v>183</v>
      </c>
      <c r="P125" s="234">
        <v>0.2</v>
      </c>
      <c r="Q125" s="28"/>
      <c r="R125" s="28"/>
      <c r="S125" s="7" t="s">
        <v>145</v>
      </c>
      <c r="T125" s="6" t="s">
        <v>3142</v>
      </c>
      <c r="U125" s="6" t="s">
        <v>39</v>
      </c>
      <c r="V125" s="24" t="e">
        <f t="shared" ca="1" si="2"/>
        <v>#NAME?</v>
      </c>
      <c r="W125" s="24"/>
      <c r="X125" s="24"/>
      <c r="Y125" s="6" t="s">
        <v>253</v>
      </c>
      <c r="Z125" s="6"/>
      <c r="AA125" s="107">
        <v>44383</v>
      </c>
      <c r="AB125" s="6">
        <v>49075100010560</v>
      </c>
      <c r="AC125" s="132"/>
      <c r="AD125" s="132"/>
      <c r="AE125" s="132"/>
      <c r="AF125" s="132"/>
      <c r="AG125" s="132"/>
      <c r="AH125" s="132"/>
      <c r="AI125" s="132"/>
      <c r="AJ125" s="132"/>
      <c r="AK125" s="132"/>
      <c r="AL125" s="132"/>
      <c r="AM125" s="132"/>
      <c r="AN125" s="132"/>
      <c r="AO125" s="110"/>
      <c r="AP125" s="236"/>
      <c r="AQ125" s="236"/>
      <c r="AR125" s="236"/>
      <c r="AS125" s="236"/>
      <c r="AT125" s="236"/>
      <c r="AU125" s="110"/>
      <c r="AV125" s="132"/>
      <c r="AW125" s="110">
        <v>91437.24</v>
      </c>
      <c r="AX125" s="110">
        <v>90420.2</v>
      </c>
      <c r="AY125" s="110">
        <v>87399.58</v>
      </c>
      <c r="AZ125" s="110">
        <v>81870.990000000005</v>
      </c>
      <c r="BA125" s="110">
        <v>74529.289999999994</v>
      </c>
      <c r="BB125" s="110">
        <v>72837.91</v>
      </c>
      <c r="BC125" s="110">
        <v>76866.11</v>
      </c>
      <c r="BD125" s="110">
        <v>77827.62</v>
      </c>
      <c r="BE125" s="110">
        <v>83664.45</v>
      </c>
      <c r="BF125" s="110">
        <v>79200.399999999994</v>
      </c>
      <c r="BG125" s="253" t="s">
        <v>2932</v>
      </c>
      <c r="BH125" s="237">
        <v>0</v>
      </c>
      <c r="BI125" s="237">
        <v>-118.87</v>
      </c>
      <c r="BJ125" s="237">
        <v>-118.87</v>
      </c>
      <c r="BK125" s="237">
        <v>-118.87</v>
      </c>
      <c r="BL125" s="237">
        <v>0</v>
      </c>
      <c r="BM125" s="237">
        <v>-118.87</v>
      </c>
      <c r="BN125" s="237">
        <v>-118.87</v>
      </c>
      <c r="BO125" s="237">
        <v>-118.87</v>
      </c>
      <c r="BP125" s="237">
        <v>-118.87</v>
      </c>
      <c r="BQ125" s="237">
        <v>-118.87</v>
      </c>
      <c r="BR125" s="237">
        <v>0</v>
      </c>
      <c r="BS125" s="237">
        <v>0</v>
      </c>
      <c r="BT125" s="237">
        <v>0</v>
      </c>
      <c r="BU125" s="237">
        <v>0</v>
      </c>
      <c r="BV125" s="237">
        <v>0</v>
      </c>
      <c r="BW125" s="237">
        <v>0</v>
      </c>
      <c r="BX125" s="237">
        <v>0</v>
      </c>
      <c r="BY125" s="237">
        <v>0</v>
      </c>
      <c r="BZ125" s="237">
        <v>0</v>
      </c>
      <c r="CA125" s="237">
        <v>0</v>
      </c>
      <c r="CB125" s="237">
        <v>0</v>
      </c>
      <c r="CC125" s="237">
        <v>0</v>
      </c>
      <c r="CD125" s="237">
        <v>0</v>
      </c>
      <c r="CE125" s="237">
        <v>0</v>
      </c>
      <c r="CF125" s="237">
        <v>0</v>
      </c>
      <c r="CG125" s="237">
        <v>0</v>
      </c>
      <c r="CH125" s="30">
        <v>0</v>
      </c>
      <c r="CI125" s="30">
        <v>0</v>
      </c>
      <c r="CJ125" s="30" t="e">
        <f t="array" aca="1" ref="CJ125" ca="1">_xludf.XLOOKUP(C125,'PL TOTAL D0'!H:H,'PL TOTAL D0'!I:I,"")</f>
        <v>#NAME?</v>
      </c>
    </row>
    <row r="126" spans="1:88" ht="15.75" customHeight="1">
      <c r="A126" s="36" t="s">
        <v>2921</v>
      </c>
      <c r="B126" s="3" t="s">
        <v>3143</v>
      </c>
      <c r="C126" s="9">
        <v>31956</v>
      </c>
      <c r="D126" s="9" t="s">
        <v>19</v>
      </c>
      <c r="E126" s="9" t="s">
        <v>34</v>
      </c>
      <c r="F126" s="9" t="s">
        <v>35</v>
      </c>
      <c r="G126" s="7" t="e">
        <f t="shared" ca="1" si="0"/>
        <v>#NAME?</v>
      </c>
      <c r="H126" s="8" t="s">
        <v>161</v>
      </c>
      <c r="I126" s="24" t="s">
        <v>162</v>
      </c>
      <c r="J126" s="9" t="str">
        <f t="shared" si="3"/>
        <v>Não</v>
      </c>
      <c r="K126" s="232">
        <v>44322</v>
      </c>
      <c r="L126" s="6"/>
      <c r="M126" s="6" t="s">
        <v>200</v>
      </c>
      <c r="N126" s="10">
        <v>1.4999999999999999E-2</v>
      </c>
      <c r="O126" s="9" t="s">
        <v>37</v>
      </c>
      <c r="P126" s="234">
        <v>0.1</v>
      </c>
      <c r="Q126" s="28"/>
      <c r="R126" s="28"/>
      <c r="S126" s="7" t="s">
        <v>145</v>
      </c>
      <c r="T126" s="6" t="s">
        <v>3144</v>
      </c>
      <c r="U126" s="6" t="s">
        <v>39</v>
      </c>
      <c r="V126" s="24" t="e">
        <f t="shared" ca="1" si="2"/>
        <v>#NAME?</v>
      </c>
      <c r="W126" s="24"/>
      <c r="X126" s="24"/>
      <c r="Y126" s="6" t="s">
        <v>253</v>
      </c>
      <c r="Z126" s="6"/>
      <c r="AA126" s="107">
        <v>44322</v>
      </c>
      <c r="AB126" s="6">
        <v>49075100010579</v>
      </c>
      <c r="AC126" s="132"/>
      <c r="AD126" s="132"/>
      <c r="AE126" s="132"/>
      <c r="AF126" s="132"/>
      <c r="AG126" s="132"/>
      <c r="AH126" s="132"/>
      <c r="AI126" s="132"/>
      <c r="AJ126" s="132"/>
      <c r="AK126" s="132"/>
      <c r="AL126" s="132"/>
      <c r="AM126" s="132"/>
      <c r="AN126" s="132"/>
      <c r="AO126" s="132"/>
      <c r="AP126" s="110"/>
      <c r="AQ126" s="236"/>
      <c r="AR126" s="236"/>
      <c r="AS126" s="236"/>
      <c r="AT126" s="236"/>
      <c r="AU126" s="236">
        <v>90924.45</v>
      </c>
      <c r="AV126" s="110">
        <v>91857.52</v>
      </c>
      <c r="AW126" s="110">
        <v>79864.58</v>
      </c>
      <c r="AX126" s="110">
        <v>2424.12</v>
      </c>
      <c r="AY126" s="110"/>
      <c r="AZ126" s="110">
        <v>0.15</v>
      </c>
      <c r="BA126" s="110">
        <v>0.24</v>
      </c>
      <c r="BB126" s="110">
        <v>0.24</v>
      </c>
      <c r="BC126" s="110"/>
      <c r="BD126" s="110">
        <v>0</v>
      </c>
      <c r="BE126" s="110">
        <v>0</v>
      </c>
      <c r="BF126" s="110">
        <v>0</v>
      </c>
      <c r="BG126" s="237" t="s">
        <v>2932</v>
      </c>
      <c r="BH126" s="237">
        <v>0</v>
      </c>
      <c r="BI126" s="237" t="s">
        <v>2932</v>
      </c>
      <c r="BJ126" s="237">
        <v>0</v>
      </c>
      <c r="BK126" s="237">
        <v>0</v>
      </c>
      <c r="BL126" s="237">
        <v>0</v>
      </c>
      <c r="BM126" s="237">
        <v>0</v>
      </c>
      <c r="BN126" s="237">
        <v>0</v>
      </c>
      <c r="BO126" s="237">
        <v>0</v>
      </c>
      <c r="BP126" s="237">
        <v>0</v>
      </c>
      <c r="BQ126" s="237">
        <v>0</v>
      </c>
      <c r="BR126" s="237">
        <v>0</v>
      </c>
      <c r="BS126" s="237">
        <v>0</v>
      </c>
      <c r="BT126" s="237">
        <v>0</v>
      </c>
      <c r="BU126" s="237">
        <v>0</v>
      </c>
      <c r="BV126" s="237">
        <v>0</v>
      </c>
      <c r="BW126" s="237">
        <v>0</v>
      </c>
      <c r="BX126" s="237">
        <v>0</v>
      </c>
      <c r="BY126" s="237">
        <v>0</v>
      </c>
      <c r="BZ126" s="237">
        <v>0</v>
      </c>
      <c r="CA126" s="237">
        <v>0</v>
      </c>
      <c r="CB126" s="237">
        <v>0</v>
      </c>
      <c r="CC126" s="237">
        <v>0</v>
      </c>
      <c r="CD126" s="237">
        <v>0</v>
      </c>
      <c r="CE126" s="237">
        <v>0</v>
      </c>
      <c r="CF126" s="237">
        <v>0</v>
      </c>
      <c r="CG126" s="237">
        <v>0</v>
      </c>
      <c r="CH126" s="30">
        <v>0</v>
      </c>
      <c r="CI126" s="30">
        <v>0</v>
      </c>
      <c r="CJ126" s="30" t="e">
        <f t="array" aca="1" ref="CJ126" ca="1">_xludf.XLOOKUP(C126,'PL TOTAL D0'!H:H,'PL TOTAL D0'!I:I,"")</f>
        <v>#NAME?</v>
      </c>
    </row>
    <row r="127" spans="1:88" ht="15.75" customHeight="1">
      <c r="A127" s="36" t="s">
        <v>2921</v>
      </c>
      <c r="B127" s="3" t="s">
        <v>1106</v>
      </c>
      <c r="C127" s="9">
        <v>362768</v>
      </c>
      <c r="D127" s="9" t="s">
        <v>19</v>
      </c>
      <c r="E127" s="9" t="s">
        <v>34</v>
      </c>
      <c r="F127" s="9" t="s">
        <v>35</v>
      </c>
      <c r="G127" s="7" t="e">
        <f t="shared" ca="1" si="0"/>
        <v>#NAME?</v>
      </c>
      <c r="H127" s="8" t="s">
        <v>161</v>
      </c>
      <c r="I127" s="24" t="s">
        <v>162</v>
      </c>
      <c r="J127" s="9" t="str">
        <f t="shared" si="3"/>
        <v>Não</v>
      </c>
      <c r="K127" s="232">
        <v>44844</v>
      </c>
      <c r="L127" s="6"/>
      <c r="M127" s="6" t="s">
        <v>42</v>
      </c>
      <c r="N127" s="10">
        <v>0.01</v>
      </c>
      <c r="O127" s="9" t="s">
        <v>25</v>
      </c>
      <c r="P127" s="234">
        <v>0</v>
      </c>
      <c r="Q127" s="23"/>
      <c r="R127" s="47" t="s">
        <v>3145</v>
      </c>
      <c r="S127" s="7" t="s">
        <v>145</v>
      </c>
      <c r="T127" s="6" t="s">
        <v>1108</v>
      </c>
      <c r="U127" s="6" t="s">
        <v>39</v>
      </c>
      <c r="V127" s="24" t="e">
        <f t="shared" ca="1" si="2"/>
        <v>#NAME?</v>
      </c>
      <c r="W127" s="24"/>
      <c r="X127" s="24"/>
      <c r="Y127" s="6" t="s">
        <v>253</v>
      </c>
      <c r="Z127" s="6"/>
      <c r="AA127" s="107">
        <v>44844</v>
      </c>
      <c r="AB127" s="6">
        <v>49075100010587</v>
      </c>
      <c r="AC127" s="132"/>
      <c r="AD127" s="132"/>
      <c r="AE127" s="132"/>
      <c r="AF127" s="132"/>
      <c r="AG127" s="132"/>
      <c r="AH127" s="132"/>
      <c r="AI127" s="132"/>
      <c r="AJ127" s="132"/>
      <c r="AK127" s="132"/>
      <c r="AL127" s="132"/>
      <c r="AM127" s="132"/>
      <c r="AN127" s="132"/>
      <c r="AO127" s="132"/>
      <c r="AP127" s="132"/>
      <c r="AQ127" s="236"/>
      <c r="AR127" s="236"/>
      <c r="AS127" s="236"/>
      <c r="AT127" s="132"/>
      <c r="AU127" s="132"/>
      <c r="AV127" s="110"/>
      <c r="AW127" s="110"/>
      <c r="AX127" s="110"/>
      <c r="AY127" s="110"/>
      <c r="AZ127" s="110"/>
      <c r="BA127" s="110"/>
      <c r="BB127" s="110"/>
      <c r="BC127" s="110"/>
      <c r="BD127" s="110"/>
      <c r="BE127" s="110"/>
      <c r="BF127" s="110"/>
      <c r="BG127" s="237"/>
      <c r="BH127" s="237"/>
      <c r="BI127" s="237"/>
      <c r="BJ127" s="237"/>
      <c r="BK127" s="237">
        <v>0</v>
      </c>
      <c r="BL127" s="237">
        <v>23557.19</v>
      </c>
      <c r="BM127" s="237">
        <v>27156.99</v>
      </c>
      <c r="BN127" s="237">
        <v>31436.959999999999</v>
      </c>
      <c r="BO127" s="237">
        <v>31830.09</v>
      </c>
      <c r="BP127" s="237">
        <v>40064.519999999997</v>
      </c>
      <c r="BQ127" s="237">
        <v>44534.18</v>
      </c>
      <c r="BR127" s="237">
        <v>44864.88</v>
      </c>
      <c r="BS127" s="237">
        <v>45366.69</v>
      </c>
      <c r="BT127" s="237">
        <v>0</v>
      </c>
      <c r="BU127" s="237">
        <v>0</v>
      </c>
      <c r="BV127" s="237">
        <v>0</v>
      </c>
      <c r="BW127" s="237">
        <v>0</v>
      </c>
      <c r="BX127" s="237">
        <v>0</v>
      </c>
      <c r="BY127" s="237">
        <v>0</v>
      </c>
      <c r="BZ127" s="237">
        <v>0</v>
      </c>
      <c r="CA127" s="237">
        <v>0</v>
      </c>
      <c r="CB127" s="237">
        <v>0</v>
      </c>
      <c r="CC127" s="237">
        <v>0</v>
      </c>
      <c r="CD127" s="237">
        <v>0</v>
      </c>
      <c r="CE127" s="237">
        <v>0</v>
      </c>
      <c r="CF127" s="237">
        <v>0</v>
      </c>
      <c r="CG127" s="237">
        <v>0</v>
      </c>
      <c r="CH127" s="30">
        <v>0</v>
      </c>
      <c r="CI127" s="30">
        <v>0</v>
      </c>
      <c r="CJ127" s="30" t="e">
        <f t="array" aca="1" ref="CJ127" ca="1">_xludf.XLOOKUP(C127,'PL TOTAL D0'!H:H,'PL TOTAL D0'!I:I,"")</f>
        <v>#NAME?</v>
      </c>
    </row>
    <row r="128" spans="1:88" ht="15.75" customHeight="1">
      <c r="A128" s="36" t="s">
        <v>2921</v>
      </c>
      <c r="B128" s="3" t="s">
        <v>1109</v>
      </c>
      <c r="C128" s="9">
        <v>32131</v>
      </c>
      <c r="D128" s="9" t="s">
        <v>19</v>
      </c>
      <c r="E128" s="9" t="s">
        <v>34</v>
      </c>
      <c r="F128" s="9" t="s">
        <v>35</v>
      </c>
      <c r="G128" s="7" t="e">
        <f t="shared" ca="1" si="0"/>
        <v>#NAME?</v>
      </c>
      <c r="H128" s="8" t="s">
        <v>161</v>
      </c>
      <c r="I128" s="24" t="s">
        <v>162</v>
      </c>
      <c r="J128" s="9" t="str">
        <f t="shared" si="3"/>
        <v>Não</v>
      </c>
      <c r="K128" s="232">
        <v>44340</v>
      </c>
      <c r="L128" s="6"/>
      <c r="M128" s="6" t="s">
        <v>58</v>
      </c>
      <c r="N128" s="10">
        <v>1.2E-2</v>
      </c>
      <c r="O128" s="9" t="s">
        <v>25</v>
      </c>
      <c r="P128" s="234">
        <v>0</v>
      </c>
      <c r="Q128" s="28"/>
      <c r="R128" s="28"/>
      <c r="S128" s="7" t="s">
        <v>145</v>
      </c>
      <c r="T128" s="6" t="s">
        <v>1112</v>
      </c>
      <c r="U128" s="6" t="s">
        <v>39</v>
      </c>
      <c r="V128" s="24" t="e">
        <f t="shared" ca="1" si="2"/>
        <v>#NAME?</v>
      </c>
      <c r="W128" s="24"/>
      <c r="X128" s="24"/>
      <c r="Y128" s="6" t="s">
        <v>253</v>
      </c>
      <c r="Z128" s="6"/>
      <c r="AA128" s="107">
        <v>44340</v>
      </c>
      <c r="AB128" s="6">
        <v>49075100003645</v>
      </c>
      <c r="AC128" s="132"/>
      <c r="AD128" s="132"/>
      <c r="AE128" s="132"/>
      <c r="AF128" s="132"/>
      <c r="AG128" s="132"/>
      <c r="AH128" s="132"/>
      <c r="AI128" s="132"/>
      <c r="AJ128" s="132"/>
      <c r="AK128" s="132"/>
      <c r="AL128" s="132"/>
      <c r="AM128" s="132"/>
      <c r="AN128" s="132"/>
      <c r="AO128" s="132"/>
      <c r="AP128" s="132"/>
      <c r="AQ128" s="236"/>
      <c r="AR128" s="236"/>
      <c r="AS128" s="236"/>
      <c r="AT128" s="132"/>
      <c r="AU128" s="132">
        <v>489686.49</v>
      </c>
      <c r="AV128" s="110">
        <v>423617.47</v>
      </c>
      <c r="AW128" s="110">
        <v>466064.53</v>
      </c>
      <c r="AX128" s="110">
        <v>340350.57</v>
      </c>
      <c r="AY128" s="110">
        <v>309174.83</v>
      </c>
      <c r="AZ128" s="110">
        <v>304228.53000000003</v>
      </c>
      <c r="BA128" s="110">
        <v>290378.93</v>
      </c>
      <c r="BB128" s="110">
        <v>304641.26</v>
      </c>
      <c r="BC128" s="110">
        <v>312031.24</v>
      </c>
      <c r="BD128" s="110">
        <v>316240.13</v>
      </c>
      <c r="BE128" s="110">
        <v>325797.56</v>
      </c>
      <c r="BF128" s="110">
        <v>322034.51</v>
      </c>
      <c r="BG128" s="237">
        <v>324599.27</v>
      </c>
      <c r="BH128" s="237">
        <v>321303.14</v>
      </c>
      <c r="BI128" s="237">
        <v>323441.73</v>
      </c>
      <c r="BJ128" s="237">
        <v>329386.03999999998</v>
      </c>
      <c r="BK128" s="237">
        <v>333407.46999999997</v>
      </c>
      <c r="BL128" s="237">
        <v>337837.09</v>
      </c>
      <c r="BM128" s="237">
        <v>334931.52</v>
      </c>
      <c r="BN128" s="237">
        <v>296176.59999999998</v>
      </c>
      <c r="BO128" s="237">
        <v>337452.98</v>
      </c>
      <c r="BP128" s="237">
        <v>338372.21</v>
      </c>
      <c r="BQ128" s="237">
        <v>342161.93</v>
      </c>
      <c r="BR128" s="237">
        <v>344889.41</v>
      </c>
      <c r="BS128" s="237">
        <v>353398.47</v>
      </c>
      <c r="BT128" s="237">
        <v>359263.54</v>
      </c>
      <c r="BU128" s="237">
        <v>362818.99</v>
      </c>
      <c r="BV128" s="237">
        <v>366128.64000000001</v>
      </c>
      <c r="BW128" s="237">
        <v>96528.19</v>
      </c>
      <c r="BX128" s="237">
        <v>47.48</v>
      </c>
      <c r="BY128" s="237">
        <v>16.61</v>
      </c>
      <c r="BZ128" s="237">
        <v>16.61</v>
      </c>
      <c r="CA128" s="237">
        <v>0</v>
      </c>
      <c r="CB128" s="237">
        <v>0</v>
      </c>
      <c r="CC128" s="237">
        <v>0</v>
      </c>
      <c r="CD128" s="237">
        <v>0</v>
      </c>
      <c r="CE128" s="237">
        <v>0</v>
      </c>
      <c r="CF128" s="237">
        <v>0</v>
      </c>
      <c r="CG128" s="237">
        <v>0</v>
      </c>
      <c r="CH128" s="30">
        <v>0</v>
      </c>
      <c r="CI128" s="30">
        <v>0</v>
      </c>
      <c r="CJ128" s="30" t="e">
        <f t="array" aca="1" ref="CJ128" ca="1">_xludf.XLOOKUP(C128,'PL TOTAL D0'!H:H,'PL TOTAL D0'!I:I,"")</f>
        <v>#NAME?</v>
      </c>
    </row>
    <row r="129" spans="1:88" ht="15.75" customHeight="1">
      <c r="A129" s="36" t="s">
        <v>2921</v>
      </c>
      <c r="B129" s="106" t="s">
        <v>3146</v>
      </c>
      <c r="C129" s="9">
        <v>476148</v>
      </c>
      <c r="D129" s="9" t="s">
        <v>19</v>
      </c>
      <c r="E129" s="9" t="s">
        <v>34</v>
      </c>
      <c r="F129" s="9" t="s">
        <v>262</v>
      </c>
      <c r="G129" s="7" t="e">
        <f t="shared" ca="1" si="0"/>
        <v>#NAME?</v>
      </c>
      <c r="H129" s="8" t="s">
        <v>161</v>
      </c>
      <c r="I129" s="24" t="s">
        <v>162</v>
      </c>
      <c r="J129" s="9" t="str">
        <f t="shared" si="3"/>
        <v>Não</v>
      </c>
      <c r="K129" s="232">
        <v>44280</v>
      </c>
      <c r="L129" s="7"/>
      <c r="M129" s="6" t="s">
        <v>345</v>
      </c>
      <c r="N129" s="10">
        <v>0.02</v>
      </c>
      <c r="O129" s="9" t="s">
        <v>37</v>
      </c>
      <c r="P129" s="234">
        <v>0.2</v>
      </c>
      <c r="Q129" s="28"/>
      <c r="R129" s="108"/>
      <c r="S129" s="7" t="s">
        <v>145</v>
      </c>
      <c r="T129" s="9" t="s">
        <v>1130</v>
      </c>
      <c r="U129" s="6" t="s">
        <v>60</v>
      </c>
      <c r="V129" s="24" t="e">
        <f t="shared" ca="1" si="2"/>
        <v>#NAME?</v>
      </c>
      <c r="W129" s="24"/>
      <c r="X129" s="24"/>
      <c r="Y129" s="6" t="s">
        <v>253</v>
      </c>
      <c r="Z129" s="6"/>
      <c r="AA129" s="107">
        <v>44280</v>
      </c>
      <c r="AB129" s="6">
        <v>49075100003653</v>
      </c>
      <c r="AC129" s="240"/>
      <c r="AD129" s="240"/>
      <c r="AE129" s="240"/>
      <c r="AF129" s="240"/>
      <c r="AG129" s="240"/>
      <c r="AH129" s="240"/>
      <c r="AI129" s="240"/>
      <c r="AJ129" s="240"/>
      <c r="AK129" s="240"/>
      <c r="AL129" s="240"/>
      <c r="AM129" s="240"/>
      <c r="AN129" s="240"/>
      <c r="AO129" s="240"/>
      <c r="AP129" s="110"/>
      <c r="AQ129" s="236"/>
      <c r="AR129" s="236">
        <v>417059.31</v>
      </c>
      <c r="AS129" s="236"/>
      <c r="AT129" s="236">
        <v>421900.04</v>
      </c>
      <c r="AU129" s="236">
        <v>440578.46</v>
      </c>
      <c r="AV129" s="110">
        <v>447234.64</v>
      </c>
      <c r="AW129" s="110">
        <v>449690.22</v>
      </c>
      <c r="AX129" s="110">
        <v>490985.51</v>
      </c>
      <c r="AY129" s="110">
        <v>436358.5</v>
      </c>
      <c r="AZ129" s="110">
        <v>456135.79</v>
      </c>
      <c r="BA129" s="110">
        <v>448178.3</v>
      </c>
      <c r="BB129" s="110">
        <v>452319.23</v>
      </c>
      <c r="BC129" s="110">
        <v>406903.62</v>
      </c>
      <c r="BD129" s="110">
        <v>410212.95</v>
      </c>
      <c r="BE129" s="110">
        <v>422864.91</v>
      </c>
      <c r="BF129" s="110">
        <v>410415.1</v>
      </c>
      <c r="BG129" s="237">
        <v>406377.6</v>
      </c>
      <c r="BH129" s="237">
        <v>395471.59</v>
      </c>
      <c r="BI129" s="237">
        <v>406591.35</v>
      </c>
      <c r="BJ129" s="237">
        <v>410167.02</v>
      </c>
      <c r="BK129" s="237">
        <v>413285.53</v>
      </c>
      <c r="BL129" s="237">
        <v>432991.17</v>
      </c>
      <c r="BM129" s="237">
        <v>427690.69</v>
      </c>
      <c r="BN129" s="237">
        <v>429629.8</v>
      </c>
      <c r="BO129" s="237">
        <v>382820.89</v>
      </c>
      <c r="BP129" s="237">
        <v>378618.24</v>
      </c>
      <c r="BQ129" s="237">
        <v>381715.16</v>
      </c>
      <c r="BR129" s="237">
        <v>380503</v>
      </c>
      <c r="BS129" s="237">
        <v>388973.03</v>
      </c>
      <c r="BT129" s="237">
        <v>347172.89</v>
      </c>
      <c r="BU129" s="237">
        <v>303632.95</v>
      </c>
      <c r="BV129" s="237">
        <v>128973.16</v>
      </c>
      <c r="BW129" s="237">
        <v>728.85</v>
      </c>
      <c r="BX129" s="237">
        <v>0</v>
      </c>
      <c r="BY129" s="237">
        <v>0</v>
      </c>
      <c r="BZ129" s="237">
        <v>0</v>
      </c>
      <c r="CA129" s="237">
        <v>0</v>
      </c>
      <c r="CB129" s="237">
        <v>343.75</v>
      </c>
      <c r="CC129" s="237">
        <v>0</v>
      </c>
      <c r="CD129" s="237">
        <v>0</v>
      </c>
      <c r="CE129" s="237">
        <v>0</v>
      </c>
      <c r="CF129" s="237">
        <v>0</v>
      </c>
      <c r="CG129" s="237">
        <v>0</v>
      </c>
      <c r="CH129" s="30">
        <v>0</v>
      </c>
      <c r="CI129" s="30">
        <v>0</v>
      </c>
      <c r="CJ129" s="30" t="e">
        <f t="array" aca="1" ref="CJ129" ca="1">_xludf.XLOOKUP(C129,'PL TOTAL D0'!H:H,'PL TOTAL D0'!I:I,"")</f>
        <v>#NAME?</v>
      </c>
    </row>
    <row r="130" spans="1:88" ht="15.75" customHeight="1">
      <c r="A130" s="36" t="s">
        <v>2921</v>
      </c>
      <c r="B130" s="106" t="s">
        <v>1131</v>
      </c>
      <c r="C130" s="9">
        <v>468353</v>
      </c>
      <c r="D130" s="9" t="s">
        <v>19</v>
      </c>
      <c r="E130" s="9" t="s">
        <v>34</v>
      </c>
      <c r="F130" s="9" t="s">
        <v>35</v>
      </c>
      <c r="G130" s="7" t="e">
        <f t="shared" ca="1" si="0"/>
        <v>#NAME?</v>
      </c>
      <c r="H130" s="8" t="s">
        <v>143</v>
      </c>
      <c r="I130" s="24" t="s">
        <v>25</v>
      </c>
      <c r="J130" s="9" t="str">
        <f t="shared" si="3"/>
        <v>Não</v>
      </c>
      <c r="K130" s="6" t="s">
        <v>3147</v>
      </c>
      <c r="L130" s="79">
        <v>44858</v>
      </c>
      <c r="M130" s="7" t="s">
        <v>3148</v>
      </c>
      <c r="N130" s="10">
        <v>0.01</v>
      </c>
      <c r="O130" s="9" t="s">
        <v>25</v>
      </c>
      <c r="P130" s="234">
        <v>0</v>
      </c>
      <c r="Q130" s="108"/>
      <c r="R130" s="108"/>
      <c r="S130" s="7" t="s">
        <v>145</v>
      </c>
      <c r="T130" s="9" t="s">
        <v>3142</v>
      </c>
      <c r="U130" s="6" t="s">
        <v>39</v>
      </c>
      <c r="V130" s="24" t="e">
        <f t="shared" ca="1" si="2"/>
        <v>#NAME?</v>
      </c>
      <c r="W130" s="24"/>
      <c r="X130" s="24"/>
      <c r="Y130" s="6"/>
      <c r="Z130" s="6"/>
      <c r="AA130" s="6"/>
      <c r="AB130" s="6"/>
      <c r="AC130" s="240"/>
      <c r="AD130" s="240"/>
      <c r="AE130" s="240"/>
      <c r="AF130" s="240"/>
      <c r="AG130" s="240"/>
      <c r="AH130" s="240"/>
      <c r="AI130" s="240"/>
      <c r="AJ130" s="240"/>
      <c r="AK130" s="240"/>
      <c r="AL130" s="240"/>
      <c r="AM130" s="240"/>
      <c r="AN130" s="240"/>
      <c r="AO130" s="240"/>
      <c r="AP130" s="110"/>
      <c r="AQ130" s="236"/>
      <c r="AR130" s="236"/>
      <c r="AS130" s="236"/>
      <c r="AT130" s="236"/>
      <c r="AU130" s="236"/>
      <c r="AV130" s="110"/>
      <c r="AW130" s="110"/>
      <c r="AX130" s="110"/>
      <c r="AY130" s="110"/>
      <c r="AZ130" s="110"/>
      <c r="BA130" s="110">
        <v>377128.2</v>
      </c>
      <c r="BB130" s="110">
        <v>379912.22</v>
      </c>
      <c r="BC130" s="110">
        <v>392174.66</v>
      </c>
      <c r="BD130" s="110">
        <v>0</v>
      </c>
      <c r="BE130" s="110">
        <v>0</v>
      </c>
      <c r="BF130" s="110">
        <v>0</v>
      </c>
      <c r="BG130" s="237" t="s">
        <v>2932</v>
      </c>
      <c r="BH130" s="237">
        <v>0</v>
      </c>
      <c r="BI130" s="237" t="s">
        <v>2932</v>
      </c>
      <c r="BJ130" s="237">
        <v>0</v>
      </c>
      <c r="BK130" s="237">
        <v>0</v>
      </c>
      <c r="BL130" s="237">
        <v>0</v>
      </c>
      <c r="BM130" s="237">
        <v>0</v>
      </c>
      <c r="BN130" s="237">
        <v>0</v>
      </c>
      <c r="BO130" s="237">
        <v>0</v>
      </c>
      <c r="BP130" s="237">
        <v>0</v>
      </c>
      <c r="BQ130" s="237">
        <v>0</v>
      </c>
      <c r="BR130" s="237">
        <v>0</v>
      </c>
      <c r="BS130" s="237">
        <v>0</v>
      </c>
      <c r="BT130" s="237">
        <v>0</v>
      </c>
      <c r="BU130" s="237">
        <v>0</v>
      </c>
      <c r="BV130" s="237">
        <v>0</v>
      </c>
      <c r="BW130" s="237">
        <v>0</v>
      </c>
      <c r="BX130" s="237">
        <v>0</v>
      </c>
      <c r="BY130" s="237">
        <v>0</v>
      </c>
      <c r="BZ130" s="237">
        <v>0</v>
      </c>
      <c r="CA130" s="237">
        <v>0</v>
      </c>
      <c r="CB130" s="237">
        <v>0</v>
      </c>
      <c r="CC130" s="237">
        <v>0</v>
      </c>
      <c r="CD130" s="237">
        <v>0</v>
      </c>
      <c r="CE130" s="237">
        <v>0</v>
      </c>
      <c r="CF130" s="237">
        <v>0</v>
      </c>
      <c r="CG130" s="237">
        <v>0</v>
      </c>
      <c r="CH130" s="30">
        <v>0</v>
      </c>
      <c r="CI130" s="30">
        <v>0</v>
      </c>
      <c r="CJ130" s="30" t="e">
        <f t="array" aca="1" ref="CJ130" ca="1">_xludf.XLOOKUP(C130,'PL TOTAL D0'!H:H,'PL TOTAL D0'!I:I,"")</f>
        <v>#NAME?</v>
      </c>
    </row>
    <row r="131" spans="1:88" ht="15.75" customHeight="1">
      <c r="A131" s="36" t="s">
        <v>2921</v>
      </c>
      <c r="B131" s="106" t="s">
        <v>3149</v>
      </c>
      <c r="C131" s="9">
        <v>433634</v>
      </c>
      <c r="D131" s="9" t="s">
        <v>19</v>
      </c>
      <c r="E131" s="9" t="s">
        <v>34</v>
      </c>
      <c r="F131" s="9" t="s">
        <v>35</v>
      </c>
      <c r="G131" s="7" t="e">
        <f t="shared" ca="1" si="0"/>
        <v>#NAME?</v>
      </c>
      <c r="H131" s="8" t="s">
        <v>161</v>
      </c>
      <c r="I131" s="24" t="s">
        <v>162</v>
      </c>
      <c r="J131" s="9" t="str">
        <f t="shared" si="3"/>
        <v>Não</v>
      </c>
      <c r="K131" s="232">
        <v>44266</v>
      </c>
      <c r="L131" s="7"/>
      <c r="M131" s="6" t="s">
        <v>345</v>
      </c>
      <c r="N131" s="10">
        <v>0.02</v>
      </c>
      <c r="O131" s="9" t="s">
        <v>37</v>
      </c>
      <c r="P131" s="234">
        <v>0.2</v>
      </c>
      <c r="Q131" s="23"/>
      <c r="R131" s="108" t="s">
        <v>3150</v>
      </c>
      <c r="S131" s="7" t="s">
        <v>145</v>
      </c>
      <c r="T131" s="9" t="s">
        <v>3142</v>
      </c>
      <c r="U131" s="6" t="s">
        <v>39</v>
      </c>
      <c r="V131" s="24" t="e">
        <f t="shared" ca="1" si="2"/>
        <v>#NAME?</v>
      </c>
      <c r="W131" s="24"/>
      <c r="X131" s="24"/>
      <c r="Y131" s="6" t="s">
        <v>253</v>
      </c>
      <c r="Z131" s="6"/>
      <c r="AA131" s="107">
        <v>44266</v>
      </c>
      <c r="AB131" s="6">
        <v>49075100009147</v>
      </c>
      <c r="AC131" s="240"/>
      <c r="AD131" s="240"/>
      <c r="AE131" s="240"/>
      <c r="AF131" s="240"/>
      <c r="AG131" s="240"/>
      <c r="AH131" s="240"/>
      <c r="AI131" s="240"/>
      <c r="AJ131" s="240"/>
      <c r="AK131" s="240"/>
      <c r="AL131" s="240"/>
      <c r="AM131" s="240"/>
      <c r="AN131" s="240"/>
      <c r="AO131" s="240"/>
      <c r="AP131" s="110"/>
      <c r="AQ131" s="236">
        <v>389024.03</v>
      </c>
      <c r="AR131" s="236">
        <v>423936.31</v>
      </c>
      <c r="AS131" s="236"/>
      <c r="AT131" s="236">
        <v>405943.95</v>
      </c>
      <c r="AU131" s="236">
        <v>422840.01</v>
      </c>
      <c r="AV131" s="110">
        <v>420138.16</v>
      </c>
      <c r="AW131" s="110">
        <v>413133.82</v>
      </c>
      <c r="AX131" s="110">
        <v>400513.29</v>
      </c>
      <c r="AY131" s="110">
        <v>355952.91</v>
      </c>
      <c r="AZ131" s="110">
        <v>383022.45</v>
      </c>
      <c r="BA131" s="110"/>
      <c r="BB131" s="110"/>
      <c r="BC131" s="110"/>
      <c r="BD131" s="110">
        <v>394896.75</v>
      </c>
      <c r="BE131" s="110">
        <v>416016.92</v>
      </c>
      <c r="BF131" s="110">
        <v>404955.22</v>
      </c>
      <c r="BG131" s="237">
        <v>401078.02</v>
      </c>
      <c r="BH131" s="237">
        <v>390859.5</v>
      </c>
      <c r="BI131" s="237">
        <v>402119.19</v>
      </c>
      <c r="BJ131" s="237">
        <v>410684.31</v>
      </c>
      <c r="BK131" s="237">
        <v>363226.46</v>
      </c>
      <c r="BL131" s="237">
        <v>382311.74</v>
      </c>
      <c r="BM131" s="237">
        <v>378042.02</v>
      </c>
      <c r="BN131" s="237">
        <v>379631.53</v>
      </c>
      <c r="BO131" s="237">
        <v>384648.54</v>
      </c>
      <c r="BP131" s="237">
        <v>381060.71</v>
      </c>
      <c r="BQ131" s="237">
        <v>384041.25</v>
      </c>
      <c r="BR131" s="237">
        <v>382427.63</v>
      </c>
      <c r="BS131" s="237">
        <v>390953.13</v>
      </c>
      <c r="BT131" s="237">
        <v>401627.63</v>
      </c>
      <c r="BU131" s="237">
        <v>290641.53999999998</v>
      </c>
      <c r="BV131" s="237">
        <v>10971.07</v>
      </c>
      <c r="BW131" s="237">
        <v>10710.3</v>
      </c>
      <c r="BX131" s="237">
        <v>10628.06</v>
      </c>
      <c r="BY131" s="237">
        <v>10075.52</v>
      </c>
      <c r="BZ131" s="237">
        <v>332.87</v>
      </c>
      <c r="CA131" s="237">
        <v>332.87</v>
      </c>
      <c r="CB131" s="237">
        <v>332.87</v>
      </c>
      <c r="CC131" s="237">
        <v>320.44</v>
      </c>
      <c r="CD131" s="237">
        <v>0</v>
      </c>
      <c r="CE131" s="237">
        <v>0</v>
      </c>
      <c r="CF131" s="237">
        <v>0</v>
      </c>
      <c r="CG131" s="237">
        <v>0</v>
      </c>
      <c r="CH131" s="30">
        <v>0</v>
      </c>
      <c r="CI131" s="30">
        <v>0</v>
      </c>
      <c r="CJ131" s="30" t="e">
        <f t="array" aca="1" ref="CJ131" ca="1">_xludf.XLOOKUP(C131,'PL TOTAL D0'!H:H,'PL TOTAL D0'!I:I,"")</f>
        <v>#NAME?</v>
      </c>
    </row>
    <row r="132" spans="1:88" ht="15.75" customHeight="1">
      <c r="A132" s="36" t="s">
        <v>2921</v>
      </c>
      <c r="B132" s="3" t="s">
        <v>3151</v>
      </c>
      <c r="C132" s="9">
        <v>33481</v>
      </c>
      <c r="D132" s="9" t="s">
        <v>19</v>
      </c>
      <c r="E132" s="9" t="s">
        <v>34</v>
      </c>
      <c r="F132" s="6" t="s">
        <v>35</v>
      </c>
      <c r="G132" s="7" t="e">
        <f t="shared" ca="1" si="0"/>
        <v>#NAME?</v>
      </c>
      <c r="H132" s="8" t="s">
        <v>143</v>
      </c>
      <c r="I132" s="24" t="s">
        <v>25</v>
      </c>
      <c r="J132" s="9" t="str">
        <f t="shared" si="3"/>
        <v>Não</v>
      </c>
      <c r="K132" s="107">
        <v>44280</v>
      </c>
      <c r="L132" s="25">
        <v>44580</v>
      </c>
      <c r="M132" s="6" t="s">
        <v>345</v>
      </c>
      <c r="N132" s="10">
        <v>0.02</v>
      </c>
      <c r="O132" s="9" t="s">
        <v>37</v>
      </c>
      <c r="P132" s="234">
        <v>0.2</v>
      </c>
      <c r="Q132" s="108"/>
      <c r="R132" s="108"/>
      <c r="S132" s="7" t="s">
        <v>145</v>
      </c>
      <c r="T132" s="6" t="s">
        <v>3152</v>
      </c>
      <c r="U132" s="6" t="s">
        <v>60</v>
      </c>
      <c r="V132" s="24" t="e">
        <f t="shared" ca="1" si="2"/>
        <v>#NAME?</v>
      </c>
      <c r="W132" s="24"/>
      <c r="X132" s="24"/>
      <c r="Y132" s="6"/>
      <c r="Z132" s="6"/>
      <c r="AA132" s="6"/>
      <c r="AB132" s="6"/>
      <c r="AC132" s="240"/>
      <c r="AD132" s="240"/>
      <c r="AE132" s="240"/>
      <c r="AF132" s="240"/>
      <c r="AG132" s="240"/>
      <c r="AH132" s="240"/>
      <c r="AI132" s="240"/>
      <c r="AJ132" s="240"/>
      <c r="AK132" s="240"/>
      <c r="AL132" s="240"/>
      <c r="AM132" s="240"/>
      <c r="AN132" s="240"/>
      <c r="AO132" s="240"/>
      <c r="AP132" s="110"/>
      <c r="AQ132" s="110">
        <v>612189.27</v>
      </c>
      <c r="AR132" s="110">
        <v>620233.35</v>
      </c>
      <c r="AS132" s="110"/>
      <c r="AT132" s="110">
        <v>717347.06</v>
      </c>
      <c r="AU132" s="110">
        <v>738290.09</v>
      </c>
      <c r="AV132" s="110">
        <v>733323.3</v>
      </c>
      <c r="AW132" s="110">
        <v>721372.57</v>
      </c>
      <c r="AX132" s="110">
        <v>701552.22</v>
      </c>
      <c r="AY132" s="110">
        <v>649615.97</v>
      </c>
      <c r="AZ132" s="110">
        <v>652980.85</v>
      </c>
      <c r="BA132" s="110">
        <v>642210.98</v>
      </c>
      <c r="BB132" s="110">
        <v>648751.76</v>
      </c>
      <c r="BC132" s="110"/>
      <c r="BD132" s="110">
        <v>0</v>
      </c>
      <c r="BE132" s="110">
        <v>0</v>
      </c>
      <c r="BF132" s="110">
        <v>0</v>
      </c>
      <c r="BG132" s="110" t="s">
        <v>2932</v>
      </c>
      <c r="BH132" s="110">
        <v>0</v>
      </c>
      <c r="BI132" s="110" t="s">
        <v>2932</v>
      </c>
      <c r="BJ132" s="110">
        <v>0</v>
      </c>
      <c r="BK132" s="237">
        <v>0</v>
      </c>
      <c r="BL132" s="237">
        <v>0</v>
      </c>
      <c r="BM132" s="237">
        <v>0</v>
      </c>
      <c r="BN132" s="237">
        <v>0</v>
      </c>
      <c r="BO132" s="237">
        <v>0</v>
      </c>
      <c r="BP132" s="237">
        <v>0</v>
      </c>
      <c r="BQ132" s="237">
        <v>0</v>
      </c>
      <c r="BR132" s="237">
        <v>0</v>
      </c>
      <c r="BS132" s="237">
        <v>0</v>
      </c>
      <c r="BT132" s="237">
        <v>0</v>
      </c>
      <c r="BU132" s="237">
        <v>0</v>
      </c>
      <c r="BV132" s="237">
        <v>0</v>
      </c>
      <c r="BW132" s="237">
        <v>0</v>
      </c>
      <c r="BX132" s="237">
        <v>0</v>
      </c>
      <c r="BY132" s="237">
        <v>0</v>
      </c>
      <c r="BZ132" s="237">
        <v>0</v>
      </c>
      <c r="CA132" s="237">
        <v>0</v>
      </c>
      <c r="CB132" s="237">
        <v>0</v>
      </c>
      <c r="CC132" s="237">
        <v>0</v>
      </c>
      <c r="CD132" s="237">
        <v>0</v>
      </c>
      <c r="CE132" s="237">
        <v>0</v>
      </c>
      <c r="CF132" s="237">
        <v>0</v>
      </c>
      <c r="CG132" s="237">
        <v>0</v>
      </c>
      <c r="CH132" s="30">
        <v>0</v>
      </c>
      <c r="CI132" s="30">
        <v>0</v>
      </c>
      <c r="CJ132" s="30" t="e">
        <f t="array" aca="1" ref="CJ132" ca="1">_xludf.XLOOKUP(C132,'PL TOTAL D0'!H:H,'PL TOTAL D0'!I:I,"")</f>
        <v>#NAME?</v>
      </c>
    </row>
    <row r="133" spans="1:88" ht="15.75" customHeight="1">
      <c r="A133" s="36" t="s">
        <v>2921</v>
      </c>
      <c r="B133" s="3" t="s">
        <v>3153</v>
      </c>
      <c r="C133" s="9">
        <v>376904</v>
      </c>
      <c r="D133" s="9" t="s">
        <v>19</v>
      </c>
      <c r="E133" s="9" t="s">
        <v>20</v>
      </c>
      <c r="F133" s="9" t="s">
        <v>2955</v>
      </c>
      <c r="G133" s="7" t="e">
        <f t="shared" ca="1" si="0"/>
        <v>#NAME?</v>
      </c>
      <c r="H133" s="8" t="s">
        <v>152</v>
      </c>
      <c r="I133" s="24" t="s">
        <v>25</v>
      </c>
      <c r="J133" s="9" t="str">
        <f t="shared" si="3"/>
        <v>Não</v>
      </c>
      <c r="K133" s="107">
        <v>45013</v>
      </c>
      <c r="L133" s="7"/>
      <c r="M133" s="6" t="s">
        <v>42</v>
      </c>
      <c r="N133" s="10">
        <v>0.01</v>
      </c>
      <c r="O133" s="9" t="s">
        <v>25</v>
      </c>
      <c r="P133" s="234">
        <v>0</v>
      </c>
      <c r="Q133" s="108"/>
      <c r="R133" s="108"/>
      <c r="S133" s="7" t="s">
        <v>145</v>
      </c>
      <c r="T133" s="201" t="s">
        <v>3154</v>
      </c>
      <c r="U133" s="6" t="s">
        <v>886</v>
      </c>
      <c r="V133" s="24" t="e">
        <f t="shared" ca="1" si="2"/>
        <v>#NAME?</v>
      </c>
      <c r="W133" s="24"/>
      <c r="X133" s="24"/>
      <c r="Y133" s="6" t="s">
        <v>253</v>
      </c>
      <c r="Z133" s="6"/>
      <c r="AA133" s="107">
        <v>45013</v>
      </c>
      <c r="AB133" s="6">
        <v>49075100010595</v>
      </c>
      <c r="AC133" s="240"/>
      <c r="AD133" s="240"/>
      <c r="AE133" s="240"/>
      <c r="AF133" s="240"/>
      <c r="AG133" s="240"/>
      <c r="AH133" s="240"/>
      <c r="AI133" s="240"/>
      <c r="AJ133" s="240"/>
      <c r="AK133" s="240"/>
      <c r="AL133" s="240"/>
      <c r="AM133" s="240"/>
      <c r="AN133" s="240"/>
      <c r="AO133" s="240"/>
      <c r="AP133" s="240"/>
      <c r="AQ133" s="240"/>
      <c r="AR133" s="110"/>
      <c r="AS133" s="110"/>
      <c r="AT133" s="110"/>
      <c r="AU133" s="110"/>
      <c r="AV133" s="110"/>
      <c r="AW133" s="110"/>
      <c r="AX133" s="110"/>
      <c r="AY133" s="110"/>
      <c r="AZ133" s="110"/>
      <c r="BA133" s="110"/>
      <c r="BB133" s="110"/>
      <c r="BC133" s="110"/>
      <c r="BD133" s="110"/>
      <c r="BE133" s="110"/>
      <c r="BF133" s="110"/>
      <c r="BG133" s="237"/>
      <c r="BH133" s="237"/>
      <c r="BI133" s="237"/>
      <c r="BJ133" s="237"/>
      <c r="BK133" s="237"/>
      <c r="BL133" s="237"/>
      <c r="BM133" s="237"/>
      <c r="BN133" s="237"/>
      <c r="BO133" s="237"/>
      <c r="BP133" s="237">
        <v>0</v>
      </c>
      <c r="BQ133" s="237">
        <v>100372.01</v>
      </c>
      <c r="BR133" s="237">
        <v>93907.520000000004</v>
      </c>
      <c r="BS133" s="237">
        <v>102101.83</v>
      </c>
      <c r="BT133" s="237">
        <v>103852.8</v>
      </c>
      <c r="BU133" s="237">
        <v>104680.73</v>
      </c>
      <c r="BV133" s="237">
        <v>105730.52</v>
      </c>
      <c r="BW133" s="237">
        <v>106130.37</v>
      </c>
      <c r="BX133" s="237">
        <v>107362.17</v>
      </c>
      <c r="BY133" s="237">
        <v>102639.57</v>
      </c>
      <c r="BZ133" s="237">
        <v>108574.68</v>
      </c>
      <c r="CA133" s="237">
        <v>108485.08</v>
      </c>
      <c r="CB133" s="237">
        <v>110547.12</v>
      </c>
      <c r="CC133" s="237">
        <v>109640.98</v>
      </c>
      <c r="CD133" s="237">
        <v>130163.26</v>
      </c>
      <c r="CE133" s="237">
        <v>131344.84</v>
      </c>
      <c r="CF133" s="237">
        <v>132512.99</v>
      </c>
      <c r="CG133" s="237">
        <v>133801.60000000001</v>
      </c>
      <c r="CH133" s="30">
        <v>134241.70000000001</v>
      </c>
      <c r="CI133" s="30">
        <v>148291.69</v>
      </c>
      <c r="CJ133" s="30" t="e">
        <f t="array" aca="1" ref="CJ133" ca="1">_xludf.XLOOKUP(C133,'PL TOTAL D0'!H:H,'PL TOTAL D0'!I:I,"")</f>
        <v>#NAME?</v>
      </c>
    </row>
    <row r="134" spans="1:88" ht="15.75" customHeight="1">
      <c r="A134" s="36" t="s">
        <v>2921</v>
      </c>
      <c r="B134" s="3" t="s">
        <v>3155</v>
      </c>
      <c r="C134" s="9">
        <v>459543</v>
      </c>
      <c r="D134" s="9" t="s">
        <v>19</v>
      </c>
      <c r="E134" s="9" t="s">
        <v>34</v>
      </c>
      <c r="F134" s="9" t="s">
        <v>262</v>
      </c>
      <c r="G134" s="7" t="e">
        <f t="shared" ca="1" si="0"/>
        <v>#NAME?</v>
      </c>
      <c r="H134" s="8" t="s">
        <v>143</v>
      </c>
      <c r="I134" s="24" t="s">
        <v>25</v>
      </c>
      <c r="J134" s="9" t="str">
        <f t="shared" si="3"/>
        <v>Não</v>
      </c>
      <c r="K134" s="107">
        <v>44272</v>
      </c>
      <c r="L134" s="25">
        <v>44970</v>
      </c>
      <c r="M134" s="6" t="s">
        <v>42</v>
      </c>
      <c r="N134" s="10">
        <v>7.0000000000000001E-3</v>
      </c>
      <c r="O134" s="9" t="s">
        <v>25</v>
      </c>
      <c r="P134" s="234">
        <v>0</v>
      </c>
      <c r="Q134" s="45"/>
      <c r="R134" s="108" t="s">
        <v>3156</v>
      </c>
      <c r="S134" s="7" t="s">
        <v>187</v>
      </c>
      <c r="T134" s="6" t="s">
        <v>3157</v>
      </c>
      <c r="U134" s="6" t="s">
        <v>39</v>
      </c>
      <c r="V134" s="24" t="e">
        <f t="shared" ca="1" si="2"/>
        <v>#NAME?</v>
      </c>
      <c r="W134" s="24"/>
      <c r="X134" s="24"/>
      <c r="Y134" s="6" t="s">
        <v>253</v>
      </c>
      <c r="Z134" s="6"/>
      <c r="AA134" s="6"/>
      <c r="AB134" s="6"/>
      <c r="AC134" s="240"/>
      <c r="AD134" s="240"/>
      <c r="AE134" s="240"/>
      <c r="AF134" s="240"/>
      <c r="AG134" s="240"/>
      <c r="AH134" s="240"/>
      <c r="AI134" s="240"/>
      <c r="AJ134" s="240"/>
      <c r="AK134" s="240"/>
      <c r="AL134" s="240"/>
      <c r="AM134" s="240"/>
      <c r="AN134" s="240"/>
      <c r="AO134" s="240"/>
      <c r="AP134" s="240"/>
      <c r="AQ134" s="240"/>
      <c r="AR134" s="110">
        <v>374689.33</v>
      </c>
      <c r="AS134" s="110">
        <v>378079.68</v>
      </c>
      <c r="AT134" s="110">
        <v>379592.31</v>
      </c>
      <c r="AU134" s="110">
        <v>438169.9</v>
      </c>
      <c r="AV134" s="110">
        <v>485601.21</v>
      </c>
      <c r="AW134" s="110">
        <v>477651.54</v>
      </c>
      <c r="AX134" s="110">
        <v>462739.87</v>
      </c>
      <c r="AY134" s="110">
        <v>451256.16</v>
      </c>
      <c r="AZ134" s="110">
        <v>432672.5</v>
      </c>
      <c r="BA134" s="110">
        <v>423156.8</v>
      </c>
      <c r="BB134" s="110">
        <v>420992.09</v>
      </c>
      <c r="BC134" s="110">
        <v>433350</v>
      </c>
      <c r="BD134" s="110">
        <v>436157.85</v>
      </c>
      <c r="BE134" s="110">
        <v>457691.57</v>
      </c>
      <c r="BF134" s="110">
        <v>527932.4</v>
      </c>
      <c r="BG134" s="237">
        <v>525337.86</v>
      </c>
      <c r="BH134" s="237">
        <v>529833.84</v>
      </c>
      <c r="BI134" s="237">
        <v>533632.06999999995</v>
      </c>
      <c r="BJ134" s="237">
        <v>535679.51</v>
      </c>
      <c r="BK134" s="237">
        <v>411811.85</v>
      </c>
      <c r="BL134" s="237">
        <v>411884.45</v>
      </c>
      <c r="BM134" s="237">
        <v>415516.61</v>
      </c>
      <c r="BN134" s="237">
        <v>125901.79</v>
      </c>
      <c r="BO134" s="237">
        <v>37.33</v>
      </c>
      <c r="BP134" s="237">
        <v>37.4</v>
      </c>
      <c r="BQ134" s="237">
        <v>37.42</v>
      </c>
      <c r="BR134" s="237">
        <v>0</v>
      </c>
      <c r="BS134" s="237">
        <v>0</v>
      </c>
      <c r="BT134" s="237">
        <v>0</v>
      </c>
      <c r="BU134" s="237">
        <v>0</v>
      </c>
      <c r="BV134" s="237">
        <v>0</v>
      </c>
      <c r="BW134" s="237">
        <v>0</v>
      </c>
      <c r="BX134" s="237">
        <v>0</v>
      </c>
      <c r="BY134" s="237">
        <v>0</v>
      </c>
      <c r="BZ134" s="237">
        <v>0</v>
      </c>
      <c r="CA134" s="237">
        <v>0</v>
      </c>
      <c r="CB134" s="237">
        <v>0</v>
      </c>
      <c r="CC134" s="237">
        <v>0</v>
      </c>
      <c r="CD134" s="237">
        <v>0</v>
      </c>
      <c r="CE134" s="237">
        <v>0</v>
      </c>
      <c r="CF134" s="237">
        <v>0</v>
      </c>
      <c r="CG134" s="237">
        <v>0</v>
      </c>
      <c r="CH134" s="30">
        <v>0</v>
      </c>
      <c r="CI134" s="30">
        <v>0</v>
      </c>
      <c r="CJ134" s="30" t="e">
        <f t="array" aca="1" ref="CJ134" ca="1">_xludf.XLOOKUP(C134,'PL TOTAL D0'!H:H,'PL TOTAL D0'!I:I,"")</f>
        <v>#NAME?</v>
      </c>
    </row>
    <row r="135" spans="1:88" ht="15.75" customHeight="1">
      <c r="A135" s="36" t="s">
        <v>2921</v>
      </c>
      <c r="B135" s="37" t="s">
        <v>3158</v>
      </c>
      <c r="C135" s="9">
        <v>379302</v>
      </c>
      <c r="D135" s="9" t="s">
        <v>19</v>
      </c>
      <c r="E135" s="9" t="s">
        <v>20</v>
      </c>
      <c r="F135" s="9" t="s">
        <v>3159</v>
      </c>
      <c r="G135" s="7" t="e">
        <f t="shared" ca="1" si="0"/>
        <v>#NAME?</v>
      </c>
      <c r="H135" s="8" t="s">
        <v>161</v>
      </c>
      <c r="I135" s="24" t="s">
        <v>162</v>
      </c>
      <c r="J135" s="9" t="str">
        <f t="shared" si="3"/>
        <v>Não</v>
      </c>
      <c r="K135" s="107">
        <v>45021</v>
      </c>
      <c r="L135" s="6"/>
      <c r="M135" s="6" t="s">
        <v>200</v>
      </c>
      <c r="N135" s="233">
        <v>1.4999999999999999E-2</v>
      </c>
      <c r="O135" s="9" t="s">
        <v>37</v>
      </c>
      <c r="P135" s="234">
        <v>0.1</v>
      </c>
      <c r="Q135" s="28"/>
      <c r="R135" s="28"/>
      <c r="S135" s="7" t="s">
        <v>145</v>
      </c>
      <c r="T135" s="6" t="s">
        <v>3160</v>
      </c>
      <c r="U135" s="6" t="s">
        <v>46</v>
      </c>
      <c r="V135" s="24" t="e">
        <f t="shared" ca="1" si="2"/>
        <v>#NAME?</v>
      </c>
      <c r="W135" s="24"/>
      <c r="X135" s="24"/>
      <c r="Y135" s="6" t="s">
        <v>253</v>
      </c>
      <c r="Z135" s="6"/>
      <c r="AA135" s="107">
        <v>45021</v>
      </c>
      <c r="AB135" s="6">
        <v>49075100010617</v>
      </c>
      <c r="AC135" s="132"/>
      <c r="AD135" s="132"/>
      <c r="AE135" s="132"/>
      <c r="AF135" s="132"/>
      <c r="AG135" s="132"/>
      <c r="AH135" s="132"/>
      <c r="AI135" s="132"/>
      <c r="AJ135" s="132"/>
      <c r="AK135" s="132"/>
      <c r="AL135" s="132"/>
      <c r="AM135" s="132"/>
      <c r="AN135" s="132"/>
      <c r="AO135" s="132"/>
      <c r="AP135" s="240"/>
      <c r="AQ135" s="110"/>
      <c r="AR135" s="110"/>
      <c r="AS135" s="110"/>
      <c r="AT135" s="110"/>
      <c r="AU135" s="110"/>
      <c r="AV135" s="110"/>
      <c r="AW135" s="110"/>
      <c r="AX135" s="110"/>
      <c r="AY135" s="110"/>
      <c r="AZ135" s="110"/>
      <c r="BA135" s="110"/>
      <c r="BB135" s="110"/>
      <c r="BC135" s="110"/>
      <c r="BD135" s="110"/>
      <c r="BE135" s="110"/>
      <c r="BF135" s="110"/>
      <c r="BG135" s="237"/>
      <c r="BH135" s="237"/>
      <c r="BI135" s="237"/>
      <c r="BJ135" s="237"/>
      <c r="BK135" s="237"/>
      <c r="BL135" s="237"/>
      <c r="BM135" s="237"/>
      <c r="BN135" s="237"/>
      <c r="BO135" s="237"/>
      <c r="BP135" s="237"/>
      <c r="BQ135" s="237">
        <v>0</v>
      </c>
      <c r="BR135" s="237">
        <v>110557.23</v>
      </c>
      <c r="BS135" s="237">
        <v>65457.96</v>
      </c>
      <c r="BT135" s="237">
        <v>0</v>
      </c>
      <c r="BU135" s="237">
        <v>0</v>
      </c>
      <c r="BV135" s="237">
        <v>0</v>
      </c>
      <c r="BW135" s="237">
        <v>0</v>
      </c>
      <c r="BX135" s="237">
        <v>0</v>
      </c>
      <c r="BY135" s="237">
        <v>0</v>
      </c>
      <c r="BZ135" s="237">
        <v>0</v>
      </c>
      <c r="CA135" s="237">
        <v>0</v>
      </c>
      <c r="CB135" s="237">
        <v>0</v>
      </c>
      <c r="CC135" s="237">
        <v>0</v>
      </c>
      <c r="CD135" s="237">
        <v>0</v>
      </c>
      <c r="CE135" s="237">
        <v>0</v>
      </c>
      <c r="CF135" s="237">
        <v>0</v>
      </c>
      <c r="CG135" s="237">
        <v>0</v>
      </c>
      <c r="CH135" s="30">
        <v>0</v>
      </c>
      <c r="CI135" s="30">
        <v>0</v>
      </c>
      <c r="CJ135" s="30" t="e">
        <f t="array" aca="1" ref="CJ135" ca="1">_xludf.XLOOKUP(C135,'PL TOTAL D0'!H:H,'PL TOTAL D0'!I:I,"")</f>
        <v>#NAME?</v>
      </c>
    </row>
    <row r="136" spans="1:88" ht="15.75" customHeight="1">
      <c r="A136" s="36" t="s">
        <v>2921</v>
      </c>
      <c r="B136" s="3" t="s">
        <v>1155</v>
      </c>
      <c r="C136" s="9">
        <v>33712</v>
      </c>
      <c r="D136" s="9" t="s">
        <v>19</v>
      </c>
      <c r="E136" s="9" t="s">
        <v>34</v>
      </c>
      <c r="F136" s="9" t="s">
        <v>616</v>
      </c>
      <c r="G136" s="7" t="e">
        <f t="shared" ca="1" si="0"/>
        <v>#NAME?</v>
      </c>
      <c r="H136" s="8" t="s">
        <v>152</v>
      </c>
      <c r="I136" s="24" t="s">
        <v>25</v>
      </c>
      <c r="J136" s="9" t="str">
        <f t="shared" si="3"/>
        <v>Sim</v>
      </c>
      <c r="K136" s="107">
        <v>44677</v>
      </c>
      <c r="L136" s="7"/>
      <c r="M136" s="6" t="s">
        <v>42</v>
      </c>
      <c r="N136" s="10">
        <v>7.0000000000000001E-3</v>
      </c>
      <c r="O136" s="9" t="s">
        <v>25</v>
      </c>
      <c r="P136" s="234">
        <v>0</v>
      </c>
      <c r="Q136" s="108" t="s">
        <v>3161</v>
      </c>
      <c r="R136" s="108"/>
      <c r="S136" s="7" t="s">
        <v>145</v>
      </c>
      <c r="T136" s="6" t="s">
        <v>1158</v>
      </c>
      <c r="U136" s="6" t="s">
        <v>60</v>
      </c>
      <c r="V136" s="24" t="e">
        <f t="shared" ca="1" si="2"/>
        <v>#NAME?</v>
      </c>
      <c r="W136" s="24"/>
      <c r="X136" s="24"/>
      <c r="Y136" s="6" t="s">
        <v>147</v>
      </c>
      <c r="Z136" s="6"/>
      <c r="AA136" s="107">
        <v>44677</v>
      </c>
      <c r="AB136" s="6">
        <v>49075100010625</v>
      </c>
      <c r="AC136" s="240"/>
      <c r="AD136" s="240"/>
      <c r="AE136" s="240"/>
      <c r="AF136" s="240"/>
      <c r="AG136" s="240"/>
      <c r="AH136" s="240"/>
      <c r="AI136" s="240"/>
      <c r="AJ136" s="240"/>
      <c r="AK136" s="240"/>
      <c r="AL136" s="240"/>
      <c r="AM136" s="240"/>
      <c r="AN136" s="240"/>
      <c r="AO136" s="240"/>
      <c r="AP136" s="240"/>
      <c r="AQ136" s="240"/>
      <c r="AR136" s="110"/>
      <c r="AS136" s="110"/>
      <c r="AT136" s="110"/>
      <c r="AU136" s="110"/>
      <c r="AV136" s="110"/>
      <c r="AW136" s="110"/>
      <c r="AX136" s="110"/>
      <c r="AY136" s="110"/>
      <c r="AZ136" s="110"/>
      <c r="BA136" s="110"/>
      <c r="BB136" s="110"/>
      <c r="BC136" s="110"/>
      <c r="BD136" s="110"/>
      <c r="BE136" s="110"/>
      <c r="BF136" s="110">
        <v>2619844.9</v>
      </c>
      <c r="BG136" s="237">
        <v>2505864.86</v>
      </c>
      <c r="BH136" s="237">
        <v>2665567.94</v>
      </c>
      <c r="BI136" s="237">
        <v>2685565.21</v>
      </c>
      <c r="BJ136" s="237">
        <v>2714861.6</v>
      </c>
      <c r="BK136" s="237">
        <v>2737016.4</v>
      </c>
      <c r="BL136" s="257">
        <v>2757980.49</v>
      </c>
      <c r="BM136" s="237">
        <v>2628595.96</v>
      </c>
      <c r="BN136" s="237">
        <v>2797663.5</v>
      </c>
      <c r="BO136" s="237">
        <v>2827767.57</v>
      </c>
      <c r="BP136" s="237">
        <v>2901567.36</v>
      </c>
      <c r="BQ136" s="237">
        <v>2936979.95</v>
      </c>
      <c r="BR136" s="237">
        <v>2960063.26</v>
      </c>
      <c r="BS136" s="237">
        <v>2555461.63</v>
      </c>
      <c r="BT136" s="237">
        <v>3010359.18</v>
      </c>
      <c r="BU136" s="237">
        <v>2784669.98</v>
      </c>
      <c r="BV136" s="237">
        <v>3032053.63</v>
      </c>
      <c r="BW136" s="237">
        <v>3036143.25</v>
      </c>
      <c r="BX136" s="237">
        <v>3044054.82</v>
      </c>
      <c r="BY136" s="237">
        <v>3049880.85</v>
      </c>
      <c r="BZ136" s="237">
        <v>3036357.1</v>
      </c>
      <c r="CA136" s="237">
        <v>2962126.04</v>
      </c>
      <c r="CB136" s="237">
        <v>1864184.69</v>
      </c>
      <c r="CC136" s="237">
        <v>1860341.69</v>
      </c>
      <c r="CD136" s="237">
        <v>1853217.71</v>
      </c>
      <c r="CE136" s="237">
        <v>1792275.73</v>
      </c>
      <c r="CF136" s="237">
        <v>1764725.95</v>
      </c>
      <c r="CG136" s="237">
        <v>1748977.54</v>
      </c>
      <c r="CH136" s="30">
        <v>1571973.62</v>
      </c>
      <c r="CI136" s="30">
        <v>1712221.56</v>
      </c>
      <c r="CJ136" s="30" t="e">
        <f t="array" aca="1" ref="CJ136" ca="1">_xludf.XLOOKUP(C136,'PL TOTAL D0'!H:H,'PL TOTAL D0'!I:I,"")</f>
        <v>#NAME?</v>
      </c>
    </row>
    <row r="137" spans="1:88" ht="15.75" customHeight="1">
      <c r="A137" s="36" t="s">
        <v>2921</v>
      </c>
      <c r="B137" s="37" t="s">
        <v>1155</v>
      </c>
      <c r="C137" s="9">
        <v>559558</v>
      </c>
      <c r="D137" s="9" t="s">
        <v>19</v>
      </c>
      <c r="E137" s="9" t="s">
        <v>34</v>
      </c>
      <c r="F137" s="6" t="s">
        <v>616</v>
      </c>
      <c r="G137" s="7" t="e">
        <f t="shared" ca="1" si="0"/>
        <v>#NAME?</v>
      </c>
      <c r="H137" s="8" t="s">
        <v>143</v>
      </c>
      <c r="I137" s="24" t="s">
        <v>25</v>
      </c>
      <c r="J137" s="9" t="str">
        <f t="shared" si="3"/>
        <v>Não</v>
      </c>
      <c r="K137" s="107">
        <v>44603</v>
      </c>
      <c r="L137" s="25">
        <v>44638</v>
      </c>
      <c r="M137" s="6" t="s">
        <v>42</v>
      </c>
      <c r="N137" s="10">
        <v>7.0000000000000001E-3</v>
      </c>
      <c r="O137" s="9" t="s">
        <v>25</v>
      </c>
      <c r="P137" s="234">
        <v>0</v>
      </c>
      <c r="Q137" s="108"/>
      <c r="R137" s="108"/>
      <c r="S137" s="7" t="s">
        <v>145</v>
      </c>
      <c r="T137" s="6" t="s">
        <v>1158</v>
      </c>
      <c r="U137" s="6" t="s">
        <v>60</v>
      </c>
      <c r="V137" s="24" t="e">
        <f t="shared" ca="1" si="2"/>
        <v>#NAME?</v>
      </c>
      <c r="W137" s="24"/>
      <c r="X137" s="24"/>
      <c r="Y137" s="6"/>
      <c r="Z137" s="6"/>
      <c r="AA137" s="6"/>
      <c r="AB137" s="6"/>
      <c r="AC137" s="240"/>
      <c r="AD137" s="240"/>
      <c r="AE137" s="240"/>
      <c r="AF137" s="240"/>
      <c r="AG137" s="240"/>
      <c r="AH137" s="240"/>
      <c r="AI137" s="240"/>
      <c r="AJ137" s="240"/>
      <c r="AK137" s="240"/>
      <c r="AL137" s="240"/>
      <c r="AM137" s="240"/>
      <c r="AN137" s="240"/>
      <c r="AO137" s="240"/>
      <c r="AP137" s="110"/>
      <c r="AQ137" s="110"/>
      <c r="AR137" s="110"/>
      <c r="AS137" s="110"/>
      <c r="AT137" s="110"/>
      <c r="AU137" s="110"/>
      <c r="AV137" s="110"/>
      <c r="AW137" s="110"/>
      <c r="AX137" s="110"/>
      <c r="AY137" s="110"/>
      <c r="AZ137" s="110"/>
      <c r="BA137" s="110"/>
      <c r="BB137" s="110"/>
      <c r="BC137" s="110"/>
      <c r="BD137" s="110">
        <v>150091.1</v>
      </c>
      <c r="BE137" s="110">
        <v>25161.360000000001</v>
      </c>
      <c r="BF137" s="110">
        <v>0</v>
      </c>
      <c r="BG137" s="110" t="s">
        <v>2932</v>
      </c>
      <c r="BH137" s="110">
        <v>0</v>
      </c>
      <c r="BI137" s="110">
        <v>0</v>
      </c>
      <c r="BJ137" s="110">
        <v>0</v>
      </c>
      <c r="BK137" s="237">
        <v>0</v>
      </c>
      <c r="BL137" s="237">
        <v>0</v>
      </c>
      <c r="BM137" s="237">
        <v>0</v>
      </c>
      <c r="BN137" s="237">
        <v>0</v>
      </c>
      <c r="BO137" s="237">
        <v>0</v>
      </c>
      <c r="BP137" s="237">
        <v>0</v>
      </c>
      <c r="BQ137" s="237">
        <v>27732.76</v>
      </c>
      <c r="BR137" s="237">
        <v>27905.96</v>
      </c>
      <c r="BS137" s="237">
        <v>0</v>
      </c>
      <c r="BT137" s="237">
        <v>0</v>
      </c>
      <c r="BU137" s="237">
        <v>0</v>
      </c>
      <c r="BV137" s="237">
        <v>0</v>
      </c>
      <c r="BW137" s="237">
        <v>0</v>
      </c>
      <c r="BX137" s="237">
        <v>0</v>
      </c>
      <c r="BY137" s="237">
        <v>0</v>
      </c>
      <c r="BZ137" s="237">
        <v>0</v>
      </c>
      <c r="CA137" s="237">
        <v>0</v>
      </c>
      <c r="CB137" s="237">
        <v>0</v>
      </c>
      <c r="CC137" s="237">
        <v>0</v>
      </c>
      <c r="CD137" s="237">
        <v>0</v>
      </c>
      <c r="CE137" s="237">
        <v>0</v>
      </c>
      <c r="CF137" s="237">
        <v>0</v>
      </c>
      <c r="CG137" s="237">
        <v>0</v>
      </c>
      <c r="CH137" s="30">
        <v>0</v>
      </c>
      <c r="CI137" s="30">
        <v>0</v>
      </c>
      <c r="CJ137" s="30" t="e">
        <f t="array" aca="1" ref="CJ137" ca="1">_xludf.XLOOKUP(C137,'PL TOTAL D0'!H:H,'PL TOTAL D0'!I:I,"")</f>
        <v>#NAME?</v>
      </c>
    </row>
    <row r="138" spans="1:88" ht="15.75" customHeight="1">
      <c r="A138" s="36" t="s">
        <v>2921</v>
      </c>
      <c r="B138" s="37" t="s">
        <v>1155</v>
      </c>
      <c r="C138" s="9">
        <v>559559</v>
      </c>
      <c r="D138" s="9" t="s">
        <v>19</v>
      </c>
      <c r="E138" s="9" t="s">
        <v>34</v>
      </c>
      <c r="F138" s="6" t="s">
        <v>616</v>
      </c>
      <c r="G138" s="7" t="e">
        <f t="shared" ca="1" si="0"/>
        <v>#NAME?</v>
      </c>
      <c r="H138" s="8" t="s">
        <v>143</v>
      </c>
      <c r="I138" s="24" t="s">
        <v>25</v>
      </c>
      <c r="J138" s="9" t="str">
        <f t="shared" si="3"/>
        <v>Não</v>
      </c>
      <c r="K138" s="107">
        <v>44603</v>
      </c>
      <c r="L138" s="25">
        <v>44638</v>
      </c>
      <c r="M138" s="7" t="s">
        <v>3148</v>
      </c>
      <c r="N138" s="10">
        <v>0.01</v>
      </c>
      <c r="O138" s="9" t="s">
        <v>25</v>
      </c>
      <c r="P138" s="234">
        <v>0</v>
      </c>
      <c r="Q138" s="108"/>
      <c r="R138" s="108"/>
      <c r="S138" s="7" t="s">
        <v>145</v>
      </c>
      <c r="T138" s="6" t="s">
        <v>1158</v>
      </c>
      <c r="U138" s="6" t="s">
        <v>60</v>
      </c>
      <c r="V138" s="24" t="e">
        <f t="shared" ca="1" si="2"/>
        <v>#NAME?</v>
      </c>
      <c r="W138" s="24"/>
      <c r="X138" s="24"/>
      <c r="Y138" s="6"/>
      <c r="Z138" s="6"/>
      <c r="AA138" s="6"/>
      <c r="AB138" s="6"/>
      <c r="AC138" s="240"/>
      <c r="AD138" s="240"/>
      <c r="AE138" s="240"/>
      <c r="AF138" s="240"/>
      <c r="AG138" s="240"/>
      <c r="AH138" s="240"/>
      <c r="AI138" s="240"/>
      <c r="AJ138" s="240"/>
      <c r="AK138" s="240"/>
      <c r="AL138" s="240"/>
      <c r="AM138" s="240"/>
      <c r="AN138" s="240"/>
      <c r="AO138" s="240"/>
      <c r="AP138" s="110"/>
      <c r="AQ138" s="110"/>
      <c r="AR138" s="110"/>
      <c r="AS138" s="110"/>
      <c r="AT138" s="110"/>
      <c r="AU138" s="110"/>
      <c r="AV138" s="110"/>
      <c r="AW138" s="110"/>
      <c r="AX138" s="110"/>
      <c r="AY138" s="110"/>
      <c r="AZ138" s="110"/>
      <c r="BA138" s="110"/>
      <c r="BB138" s="110"/>
      <c r="BC138" s="110"/>
      <c r="BD138" s="110">
        <v>0</v>
      </c>
      <c r="BE138" s="110">
        <v>0</v>
      </c>
      <c r="BF138" s="110">
        <v>0</v>
      </c>
      <c r="BG138" s="110" t="s">
        <v>2932</v>
      </c>
      <c r="BH138" s="110">
        <v>0</v>
      </c>
      <c r="BI138" s="110">
        <v>0</v>
      </c>
      <c r="BJ138" s="110">
        <v>0</v>
      </c>
      <c r="BK138" s="237">
        <v>0</v>
      </c>
      <c r="BL138" s="237">
        <v>0</v>
      </c>
      <c r="BM138" s="237">
        <v>0</v>
      </c>
      <c r="BN138" s="237">
        <v>0</v>
      </c>
      <c r="BO138" s="237">
        <v>0</v>
      </c>
      <c r="BP138" s="237">
        <v>0</v>
      </c>
      <c r="BQ138" s="237">
        <v>0</v>
      </c>
      <c r="BR138" s="237">
        <v>0</v>
      </c>
      <c r="BS138" s="237">
        <v>0</v>
      </c>
      <c r="BT138" s="237">
        <v>0</v>
      </c>
      <c r="BU138" s="237">
        <v>0</v>
      </c>
      <c r="BV138" s="237">
        <v>0</v>
      </c>
      <c r="BW138" s="237">
        <v>0</v>
      </c>
      <c r="BX138" s="237">
        <v>0</v>
      </c>
      <c r="BY138" s="237">
        <v>0</v>
      </c>
      <c r="BZ138" s="237">
        <v>0</v>
      </c>
      <c r="CA138" s="237">
        <v>0</v>
      </c>
      <c r="CB138" s="237">
        <v>0</v>
      </c>
      <c r="CC138" s="237">
        <v>0</v>
      </c>
      <c r="CD138" s="237">
        <v>0</v>
      </c>
      <c r="CE138" s="237">
        <v>0</v>
      </c>
      <c r="CF138" s="237">
        <v>0</v>
      </c>
      <c r="CG138" s="237">
        <v>0</v>
      </c>
      <c r="CH138" s="30">
        <v>0</v>
      </c>
      <c r="CI138" s="30">
        <v>0</v>
      </c>
      <c r="CJ138" s="30" t="e">
        <f t="array" aca="1" ref="CJ138" ca="1">_xludf.XLOOKUP(C138,'PL TOTAL D0'!H:H,'PL TOTAL D0'!I:I,"")</f>
        <v>#NAME?</v>
      </c>
    </row>
    <row r="139" spans="1:88" ht="15.75" customHeight="1">
      <c r="A139" s="36" t="s">
        <v>2921</v>
      </c>
      <c r="B139" s="106" t="s">
        <v>3162</v>
      </c>
      <c r="C139" s="9">
        <v>484473</v>
      </c>
      <c r="D139" s="9" t="s">
        <v>19</v>
      </c>
      <c r="E139" s="9" t="s">
        <v>34</v>
      </c>
      <c r="F139" s="9" t="s">
        <v>35</v>
      </c>
      <c r="G139" s="7" t="e">
        <f t="shared" ca="1" si="0"/>
        <v>#NAME?</v>
      </c>
      <c r="H139" s="8" t="s">
        <v>143</v>
      </c>
      <c r="I139" s="24" t="s">
        <v>25</v>
      </c>
      <c r="J139" s="9" t="str">
        <f t="shared" si="3"/>
        <v>Não</v>
      </c>
      <c r="K139" s="232">
        <v>44263</v>
      </c>
      <c r="L139" s="79">
        <v>44911</v>
      </c>
      <c r="M139" s="6" t="s">
        <v>345</v>
      </c>
      <c r="N139" s="10">
        <v>0.02</v>
      </c>
      <c r="O139" s="9" t="s">
        <v>37</v>
      </c>
      <c r="P139" s="234">
        <v>0.2</v>
      </c>
      <c r="Q139" s="108"/>
      <c r="R139" s="108"/>
      <c r="S139" s="7" t="s">
        <v>145</v>
      </c>
      <c r="T139" s="9" t="s">
        <v>3163</v>
      </c>
      <c r="U139" s="6" t="s">
        <v>39</v>
      </c>
      <c r="V139" s="24" t="e">
        <f t="shared" ca="1" si="2"/>
        <v>#NAME?</v>
      </c>
      <c r="W139" s="24"/>
      <c r="X139" s="24"/>
      <c r="Y139" s="6" t="s">
        <v>253</v>
      </c>
      <c r="Z139" s="6"/>
      <c r="AA139" s="6"/>
      <c r="AB139" s="6"/>
      <c r="AC139" s="240"/>
      <c r="AD139" s="240"/>
      <c r="AE139" s="240"/>
      <c r="AF139" s="240"/>
      <c r="AG139" s="240"/>
      <c r="AH139" s="240"/>
      <c r="AI139" s="240"/>
      <c r="AJ139" s="240"/>
      <c r="AK139" s="240"/>
      <c r="AL139" s="240"/>
      <c r="AM139" s="240"/>
      <c r="AN139" s="240"/>
      <c r="AO139" s="240"/>
      <c r="AP139" s="110"/>
      <c r="AQ139" s="236">
        <v>77076.69</v>
      </c>
      <c r="AR139" s="236">
        <v>91997.5</v>
      </c>
      <c r="AS139" s="236"/>
      <c r="AT139" s="236">
        <v>99212.96</v>
      </c>
      <c r="AU139" s="236">
        <v>106105.32</v>
      </c>
      <c r="AV139" s="110">
        <v>108183.27</v>
      </c>
      <c r="AW139" s="110">
        <v>109541.89</v>
      </c>
      <c r="AX139" s="110">
        <v>110394.27</v>
      </c>
      <c r="AY139" s="110">
        <v>108068.77</v>
      </c>
      <c r="AZ139" s="110">
        <v>104683.72</v>
      </c>
      <c r="BA139" s="110">
        <v>102641.09</v>
      </c>
      <c r="BB139" s="110">
        <v>103349.24</v>
      </c>
      <c r="BC139" s="110">
        <v>106456.74</v>
      </c>
      <c r="BD139" s="110">
        <v>6552.5</v>
      </c>
      <c r="BE139" s="110">
        <v>6271.24</v>
      </c>
      <c r="BF139" s="110">
        <v>6239.6</v>
      </c>
      <c r="BG139" s="237">
        <v>6495.5</v>
      </c>
      <c r="BH139" s="237">
        <v>6534.52</v>
      </c>
      <c r="BI139" s="237">
        <v>6601.83</v>
      </c>
      <c r="BJ139" s="237">
        <v>6566.5</v>
      </c>
      <c r="BK139" s="237">
        <v>6549.26</v>
      </c>
      <c r="BL139" s="237">
        <v>6543.8</v>
      </c>
      <c r="BM139" s="237">
        <v>-10.28</v>
      </c>
      <c r="BN139" s="237">
        <v>-16.98</v>
      </c>
      <c r="BO139" s="237">
        <v>-16.98</v>
      </c>
      <c r="BP139" s="237">
        <v>-16.98</v>
      </c>
      <c r="BQ139" s="237">
        <v>-16.98</v>
      </c>
      <c r="BR139" s="237">
        <v>0</v>
      </c>
      <c r="BS139" s="237">
        <v>0</v>
      </c>
      <c r="BT139" s="237">
        <v>0</v>
      </c>
      <c r="BU139" s="237">
        <v>0</v>
      </c>
      <c r="BV139" s="237">
        <v>0</v>
      </c>
      <c r="BW139" s="237">
        <v>0</v>
      </c>
      <c r="BX139" s="237">
        <v>0</v>
      </c>
      <c r="BY139" s="237">
        <v>0</v>
      </c>
      <c r="BZ139" s="237">
        <v>0</v>
      </c>
      <c r="CA139" s="237">
        <v>0</v>
      </c>
      <c r="CB139" s="237">
        <v>0</v>
      </c>
      <c r="CC139" s="237">
        <v>0</v>
      </c>
      <c r="CD139" s="237">
        <v>0</v>
      </c>
      <c r="CE139" s="237">
        <v>0</v>
      </c>
      <c r="CF139" s="237">
        <v>0</v>
      </c>
      <c r="CG139" s="237">
        <v>0</v>
      </c>
      <c r="CH139" s="30">
        <v>0</v>
      </c>
      <c r="CI139" s="30">
        <v>0</v>
      </c>
      <c r="CJ139" s="30" t="e">
        <f t="array" aca="1" ref="CJ139" ca="1">_xludf.XLOOKUP(C139,'PL TOTAL D0'!H:H,'PL TOTAL D0'!I:I,"")</f>
        <v>#NAME?</v>
      </c>
    </row>
    <row r="140" spans="1:88" ht="15.75" customHeight="1">
      <c r="A140" s="36" t="s">
        <v>2921</v>
      </c>
      <c r="B140" s="3" t="s">
        <v>3164</v>
      </c>
      <c r="C140" s="9">
        <v>448760</v>
      </c>
      <c r="D140" s="9" t="s">
        <v>2923</v>
      </c>
      <c r="E140" s="9" t="s">
        <v>20</v>
      </c>
      <c r="F140" s="6" t="s">
        <v>2924</v>
      </c>
      <c r="G140" s="7" t="e">
        <f t="shared" ca="1" si="0"/>
        <v>#NAME?</v>
      </c>
      <c r="H140" s="8" t="s">
        <v>143</v>
      </c>
      <c r="I140" s="24" t="s">
        <v>25</v>
      </c>
      <c r="J140" s="9" t="str">
        <f t="shared" si="3"/>
        <v>Não</v>
      </c>
      <c r="K140" s="107">
        <v>43888</v>
      </c>
      <c r="L140" s="107">
        <v>44264</v>
      </c>
      <c r="M140" s="6" t="s">
        <v>200</v>
      </c>
      <c r="N140" s="10">
        <v>1.2E-2</v>
      </c>
      <c r="O140" s="9" t="s">
        <v>37</v>
      </c>
      <c r="P140" s="234">
        <v>0.1</v>
      </c>
      <c r="Q140" s="108"/>
      <c r="R140" s="108"/>
      <c r="S140" s="7" t="s">
        <v>145</v>
      </c>
      <c r="T140" s="6" t="s">
        <v>3079</v>
      </c>
      <c r="U140" s="6" t="s">
        <v>20</v>
      </c>
      <c r="V140" s="24" t="e">
        <f t="shared" ca="1" si="2"/>
        <v>#NAME?</v>
      </c>
      <c r="W140" s="24"/>
      <c r="X140" s="24"/>
      <c r="Y140" s="6"/>
      <c r="Z140" s="6"/>
      <c r="AA140" s="6"/>
      <c r="AB140" s="6"/>
      <c r="AC140" s="110">
        <v>0</v>
      </c>
      <c r="AD140" s="110">
        <v>290359.18</v>
      </c>
      <c r="AE140" s="110">
        <v>263785.63</v>
      </c>
      <c r="AF140" s="110">
        <v>271975.02</v>
      </c>
      <c r="AG140" s="110">
        <v>277876.53000000003</v>
      </c>
      <c r="AH140" s="110">
        <v>279452.43</v>
      </c>
      <c r="AI140" s="110">
        <v>264680.11</v>
      </c>
      <c r="AJ140" s="110">
        <v>218124.15</v>
      </c>
      <c r="AK140" s="110">
        <v>193392.94</v>
      </c>
      <c r="AL140" s="110">
        <v>193377.1</v>
      </c>
      <c r="AM140" s="110">
        <v>174906.55</v>
      </c>
      <c r="AN140" s="110">
        <v>147990.89000000001</v>
      </c>
      <c r="AO140" s="110">
        <v>146065.84</v>
      </c>
      <c r="AP140" s="110">
        <v>111979.59</v>
      </c>
      <c r="AQ140" s="110">
        <v>110264.85</v>
      </c>
      <c r="AR140" s="110">
        <v>84379.64</v>
      </c>
      <c r="AS140" s="110">
        <v>84129.2</v>
      </c>
      <c r="AT140" s="110">
        <v>84445.35</v>
      </c>
      <c r="AU140" s="110">
        <v>10613.69</v>
      </c>
      <c r="AV140" s="110">
        <v>215.16</v>
      </c>
      <c r="AW140" s="240"/>
      <c r="AX140" s="240">
        <v>5.87</v>
      </c>
      <c r="AY140" s="110">
        <v>5.87</v>
      </c>
      <c r="AZ140" s="110"/>
      <c r="BA140" s="110"/>
      <c r="BB140" s="110"/>
      <c r="BC140" s="110"/>
      <c r="BD140" s="110">
        <v>0</v>
      </c>
      <c r="BE140" s="110">
        <v>0</v>
      </c>
      <c r="BF140" s="110">
        <v>0</v>
      </c>
      <c r="BG140" s="110" t="s">
        <v>2932</v>
      </c>
      <c r="BH140" s="110">
        <v>0</v>
      </c>
      <c r="BI140" s="110" t="s">
        <v>2932</v>
      </c>
      <c r="BJ140" s="110">
        <v>0</v>
      </c>
      <c r="BK140" s="237">
        <v>0</v>
      </c>
      <c r="BL140" s="237">
        <v>0</v>
      </c>
      <c r="BM140" s="237">
        <v>0</v>
      </c>
      <c r="BN140" s="237">
        <v>0</v>
      </c>
      <c r="BO140" s="237">
        <v>0</v>
      </c>
      <c r="BP140" s="237">
        <v>0</v>
      </c>
      <c r="BQ140" s="237">
        <v>0</v>
      </c>
      <c r="BR140" s="237">
        <v>0</v>
      </c>
      <c r="BS140" s="237">
        <v>0</v>
      </c>
      <c r="BT140" s="237">
        <v>0</v>
      </c>
      <c r="BU140" s="237">
        <v>0</v>
      </c>
      <c r="BV140" s="237">
        <v>0</v>
      </c>
      <c r="BW140" s="237">
        <v>0</v>
      </c>
      <c r="BX140" s="237">
        <v>0</v>
      </c>
      <c r="BY140" s="237">
        <v>0</v>
      </c>
      <c r="BZ140" s="237">
        <v>0</v>
      </c>
      <c r="CA140" s="237">
        <v>0</v>
      </c>
      <c r="CB140" s="237">
        <v>0</v>
      </c>
      <c r="CC140" s="237">
        <v>0</v>
      </c>
      <c r="CD140" s="237">
        <v>0</v>
      </c>
      <c r="CE140" s="237">
        <v>0</v>
      </c>
      <c r="CF140" s="237">
        <v>0</v>
      </c>
      <c r="CG140" s="237">
        <v>0</v>
      </c>
      <c r="CH140" s="30">
        <v>0</v>
      </c>
      <c r="CI140" s="30">
        <v>0</v>
      </c>
      <c r="CJ140" s="30" t="e">
        <f t="array" aca="1" ref="CJ140" ca="1">_xludf.XLOOKUP(C140,'PL TOTAL D0'!H:H,'PL TOTAL D0'!I:I,"")</f>
        <v>#NAME?</v>
      </c>
    </row>
    <row r="141" spans="1:88" ht="15.75" customHeight="1">
      <c r="A141" s="36" t="s">
        <v>2921</v>
      </c>
      <c r="B141" s="3" t="s">
        <v>3165</v>
      </c>
      <c r="C141" s="9">
        <v>80415</v>
      </c>
      <c r="D141" s="9" t="s">
        <v>19</v>
      </c>
      <c r="E141" s="9" t="s">
        <v>34</v>
      </c>
      <c r="F141" s="6" t="s">
        <v>35</v>
      </c>
      <c r="G141" s="7" t="e">
        <f t="shared" ca="1" si="0"/>
        <v>#NAME?</v>
      </c>
      <c r="H141" s="8" t="s">
        <v>143</v>
      </c>
      <c r="I141" s="24" t="s">
        <v>25</v>
      </c>
      <c r="J141" s="9" t="str">
        <f t="shared" si="3"/>
        <v>Não</v>
      </c>
      <c r="K141" s="107">
        <v>44272</v>
      </c>
      <c r="L141" s="107">
        <v>44595</v>
      </c>
      <c r="M141" s="6" t="s">
        <v>3166</v>
      </c>
      <c r="N141" s="10">
        <v>0.02</v>
      </c>
      <c r="O141" s="9" t="s">
        <v>37</v>
      </c>
      <c r="P141" s="234">
        <v>0.2</v>
      </c>
      <c r="Q141" s="235"/>
      <c r="R141" s="108"/>
      <c r="S141" s="7" t="s">
        <v>145</v>
      </c>
      <c r="T141" s="6" t="s">
        <v>3167</v>
      </c>
      <c r="U141" s="6" t="s">
        <v>39</v>
      </c>
      <c r="V141" s="24" t="e">
        <f t="shared" ca="1" si="2"/>
        <v>#NAME?</v>
      </c>
      <c r="W141" s="24"/>
      <c r="X141" s="24"/>
      <c r="Y141" s="6"/>
      <c r="Z141" s="6"/>
      <c r="AA141" s="6"/>
      <c r="AB141" s="6"/>
      <c r="AC141" s="110"/>
      <c r="AD141" s="110"/>
      <c r="AE141" s="110"/>
      <c r="AF141" s="110"/>
      <c r="AG141" s="110"/>
      <c r="AH141" s="110"/>
      <c r="AI141" s="110"/>
      <c r="AJ141" s="110"/>
      <c r="AK141" s="110"/>
      <c r="AL141" s="110"/>
      <c r="AM141" s="110"/>
      <c r="AN141" s="110"/>
      <c r="AO141" s="110"/>
      <c r="AP141" s="110"/>
      <c r="AQ141" s="110">
        <v>4622546.2699999996</v>
      </c>
      <c r="AR141" s="110">
        <v>4648976.67</v>
      </c>
      <c r="AS141" s="110"/>
      <c r="AT141" s="110">
        <v>4700009.87</v>
      </c>
      <c r="AU141" s="110">
        <v>4801393.7699999996</v>
      </c>
      <c r="AV141" s="110">
        <v>4742514.7300000004</v>
      </c>
      <c r="AW141" s="240">
        <v>3440319.83</v>
      </c>
      <c r="AX141" s="240">
        <v>1206147.81</v>
      </c>
      <c r="AY141" s="110">
        <v>505992.72</v>
      </c>
      <c r="AZ141" s="110">
        <v>496441.65</v>
      </c>
      <c r="BA141" s="110">
        <v>497295.23</v>
      </c>
      <c r="BB141" s="110">
        <v>458710.28</v>
      </c>
      <c r="BC141" s="110">
        <v>956.87</v>
      </c>
      <c r="BD141" s="110">
        <v>0</v>
      </c>
      <c r="BE141" s="110">
        <v>0</v>
      </c>
      <c r="BF141" s="110">
        <v>0</v>
      </c>
      <c r="BG141" s="110" t="s">
        <v>2932</v>
      </c>
      <c r="BH141" s="110">
        <v>0</v>
      </c>
      <c r="BI141" s="110" t="s">
        <v>2932</v>
      </c>
      <c r="BJ141" s="110">
        <v>0</v>
      </c>
      <c r="BK141" s="237">
        <v>0</v>
      </c>
      <c r="BL141" s="237">
        <v>0</v>
      </c>
      <c r="BM141" s="237">
        <v>0</v>
      </c>
      <c r="BN141" s="237">
        <v>0</v>
      </c>
      <c r="BO141" s="237">
        <v>0</v>
      </c>
      <c r="BP141" s="237">
        <v>0</v>
      </c>
      <c r="BQ141" s="237">
        <v>0</v>
      </c>
      <c r="BR141" s="237">
        <v>0</v>
      </c>
      <c r="BS141" s="237">
        <v>0</v>
      </c>
      <c r="BT141" s="237">
        <v>0</v>
      </c>
      <c r="BU141" s="237">
        <v>0</v>
      </c>
      <c r="BV141" s="237">
        <v>0</v>
      </c>
      <c r="BW141" s="237">
        <v>0</v>
      </c>
      <c r="BX141" s="237">
        <v>0</v>
      </c>
      <c r="BY141" s="237">
        <v>0</v>
      </c>
      <c r="BZ141" s="237">
        <v>0</v>
      </c>
      <c r="CA141" s="237">
        <v>0</v>
      </c>
      <c r="CB141" s="237">
        <v>0</v>
      </c>
      <c r="CC141" s="237">
        <v>0</v>
      </c>
      <c r="CD141" s="237">
        <v>0</v>
      </c>
      <c r="CE141" s="237">
        <v>0</v>
      </c>
      <c r="CF141" s="237">
        <v>0</v>
      </c>
      <c r="CG141" s="237">
        <v>0</v>
      </c>
      <c r="CH141" s="30">
        <v>0</v>
      </c>
      <c r="CI141" s="30">
        <v>0</v>
      </c>
      <c r="CJ141" s="30" t="e">
        <f t="array" aca="1" ref="CJ141" ca="1">_xludf.XLOOKUP(C141,'PL TOTAL D0'!H:H,'PL TOTAL D0'!I:I,"")</f>
        <v>#NAME?</v>
      </c>
    </row>
    <row r="142" spans="1:88" ht="15.75" customHeight="1">
      <c r="A142" s="36" t="s">
        <v>2921</v>
      </c>
      <c r="B142" s="37" t="s">
        <v>3168</v>
      </c>
      <c r="C142" s="9">
        <v>265807</v>
      </c>
      <c r="D142" s="9" t="s">
        <v>2923</v>
      </c>
      <c r="E142" s="9" t="s">
        <v>20</v>
      </c>
      <c r="F142" s="6" t="s">
        <v>2930</v>
      </c>
      <c r="G142" s="7" t="e">
        <f t="shared" ca="1" si="0"/>
        <v>#NAME?</v>
      </c>
      <c r="H142" s="8" t="s">
        <v>143</v>
      </c>
      <c r="I142" s="24" t="s">
        <v>25</v>
      </c>
      <c r="J142" s="9" t="str">
        <f t="shared" si="3"/>
        <v>Não</v>
      </c>
      <c r="K142" s="107">
        <v>43531</v>
      </c>
      <c r="L142" s="107">
        <v>43899</v>
      </c>
      <c r="M142" s="6" t="s">
        <v>87</v>
      </c>
      <c r="N142" s="10">
        <v>0.02</v>
      </c>
      <c r="O142" s="9" t="s">
        <v>183</v>
      </c>
      <c r="P142" s="234">
        <v>0.2</v>
      </c>
      <c r="Q142" s="108"/>
      <c r="R142" s="108"/>
      <c r="S142" s="7" t="s">
        <v>145</v>
      </c>
      <c r="T142" s="6" t="s">
        <v>3169</v>
      </c>
      <c r="U142" s="6" t="s">
        <v>20</v>
      </c>
      <c r="V142" s="24" t="e">
        <f t="shared" ca="1" si="2"/>
        <v>#NAME?</v>
      </c>
      <c r="W142" s="24"/>
      <c r="X142" s="24"/>
      <c r="Y142" s="6"/>
      <c r="Z142" s="6"/>
      <c r="AA142" s="6"/>
      <c r="AB142" s="6"/>
      <c r="AC142" s="110">
        <v>498402.97</v>
      </c>
      <c r="AD142" s="110">
        <v>25240.54</v>
      </c>
      <c r="AE142" s="110">
        <v>0</v>
      </c>
      <c r="AF142" s="110">
        <v>0</v>
      </c>
      <c r="AG142" s="110">
        <v>1611.53</v>
      </c>
      <c r="AH142" s="110">
        <v>0</v>
      </c>
      <c r="AI142" s="110">
        <v>0</v>
      </c>
      <c r="AJ142" s="110"/>
      <c r="AK142" s="110"/>
      <c r="AL142" s="110"/>
      <c r="AM142" s="110"/>
      <c r="AN142" s="110"/>
      <c r="AO142" s="110"/>
      <c r="AP142" s="110"/>
      <c r="AQ142" s="110"/>
      <c r="AR142" s="110"/>
      <c r="AS142" s="110"/>
      <c r="AT142" s="110"/>
      <c r="AU142" s="110"/>
      <c r="AV142" s="240"/>
      <c r="AW142" s="240"/>
      <c r="AX142" s="240"/>
      <c r="AY142" s="110"/>
      <c r="AZ142" s="110"/>
      <c r="BA142" s="110"/>
      <c r="BB142" s="110"/>
      <c r="BC142" s="110"/>
      <c r="BD142" s="110">
        <v>0</v>
      </c>
      <c r="BE142" s="110">
        <v>0</v>
      </c>
      <c r="BF142" s="110">
        <v>0</v>
      </c>
      <c r="BG142" s="110" t="s">
        <v>2932</v>
      </c>
      <c r="BH142" s="110">
        <v>0</v>
      </c>
      <c r="BI142" s="110" t="s">
        <v>2932</v>
      </c>
      <c r="BJ142" s="110">
        <v>0</v>
      </c>
      <c r="BK142" s="237">
        <v>0</v>
      </c>
      <c r="BL142" s="237">
        <v>0</v>
      </c>
      <c r="BM142" s="237">
        <v>0</v>
      </c>
      <c r="BN142" s="237">
        <v>0</v>
      </c>
      <c r="BO142" s="237">
        <v>0</v>
      </c>
      <c r="BP142" s="237">
        <v>0</v>
      </c>
      <c r="BQ142" s="237">
        <v>0</v>
      </c>
      <c r="BR142" s="237">
        <v>0</v>
      </c>
      <c r="BS142" s="237">
        <v>0</v>
      </c>
      <c r="BT142" s="237">
        <v>0</v>
      </c>
      <c r="BU142" s="237">
        <v>0</v>
      </c>
      <c r="BV142" s="237">
        <v>0</v>
      </c>
      <c r="BW142" s="237">
        <v>0</v>
      </c>
      <c r="BX142" s="237">
        <v>0</v>
      </c>
      <c r="BY142" s="237">
        <v>0</v>
      </c>
      <c r="BZ142" s="237">
        <v>0</v>
      </c>
      <c r="CA142" s="237">
        <v>0</v>
      </c>
      <c r="CB142" s="237">
        <v>0</v>
      </c>
      <c r="CC142" s="237">
        <v>0</v>
      </c>
      <c r="CD142" s="237">
        <v>0</v>
      </c>
      <c r="CE142" s="237">
        <v>0</v>
      </c>
      <c r="CF142" s="237">
        <v>0</v>
      </c>
      <c r="CG142" s="237">
        <v>0</v>
      </c>
      <c r="CH142" s="30">
        <v>0</v>
      </c>
      <c r="CI142" s="30">
        <v>0</v>
      </c>
      <c r="CJ142" s="30" t="e">
        <f t="array" aca="1" ref="CJ142" ca="1">_xludf.XLOOKUP(C142,'PL TOTAL D0'!H:H,'PL TOTAL D0'!I:I,"")</f>
        <v>#NAME?</v>
      </c>
    </row>
    <row r="143" spans="1:88" ht="15.75" customHeight="1">
      <c r="A143" s="36" t="s">
        <v>2921</v>
      </c>
      <c r="B143" s="3" t="s">
        <v>3168</v>
      </c>
      <c r="C143" s="9">
        <v>320105</v>
      </c>
      <c r="D143" s="9" t="s">
        <v>2923</v>
      </c>
      <c r="E143" s="9" t="s">
        <v>20</v>
      </c>
      <c r="F143" s="9" t="s">
        <v>2930</v>
      </c>
      <c r="G143" s="7" t="e">
        <f t="shared" ca="1" si="0"/>
        <v>#NAME?</v>
      </c>
      <c r="H143" s="8" t="s">
        <v>161</v>
      </c>
      <c r="I143" s="24" t="s">
        <v>162</v>
      </c>
      <c r="J143" s="9" t="str">
        <f t="shared" si="3"/>
        <v>Sim</v>
      </c>
      <c r="K143" s="232">
        <v>43531</v>
      </c>
      <c r="L143" s="6"/>
      <c r="M143" s="6" t="s">
        <v>215</v>
      </c>
      <c r="N143" s="10">
        <v>1.4999999999999999E-2</v>
      </c>
      <c r="O143" s="9" t="s">
        <v>25</v>
      </c>
      <c r="P143" s="234">
        <v>0</v>
      </c>
      <c r="Q143" s="108" t="s">
        <v>3170</v>
      </c>
      <c r="R143" s="235" t="s">
        <v>3171</v>
      </c>
      <c r="S143" s="7" t="s">
        <v>145</v>
      </c>
      <c r="T143" s="6" t="s">
        <v>3169</v>
      </c>
      <c r="U143" s="6" t="s">
        <v>20</v>
      </c>
      <c r="V143" s="24" t="e">
        <f t="shared" ca="1" si="2"/>
        <v>#NAME?</v>
      </c>
      <c r="W143" s="24"/>
      <c r="X143" s="24"/>
      <c r="Y143" s="6" t="s">
        <v>147</v>
      </c>
      <c r="Z143" s="6"/>
      <c r="AA143" s="107">
        <v>43531</v>
      </c>
      <c r="AB143" s="6">
        <v>49075100009694</v>
      </c>
      <c r="AC143" s="110">
        <v>1042709.73</v>
      </c>
      <c r="AD143" s="110">
        <v>1626891.95</v>
      </c>
      <c r="AE143" s="110">
        <v>1496871.83</v>
      </c>
      <c r="AF143" s="110">
        <v>1528776.6</v>
      </c>
      <c r="AG143" s="110">
        <v>1660113.58</v>
      </c>
      <c r="AH143" s="110">
        <v>1701005.2</v>
      </c>
      <c r="AI143" s="110">
        <v>1797945.15</v>
      </c>
      <c r="AJ143" s="110">
        <v>0</v>
      </c>
      <c r="AK143" s="110">
        <v>1776921.49</v>
      </c>
      <c r="AL143" s="110">
        <v>1777214.04</v>
      </c>
      <c r="AM143" s="110">
        <v>1871289.88</v>
      </c>
      <c r="AN143" s="110">
        <v>1770151.05</v>
      </c>
      <c r="AO143" s="110">
        <v>1750569.58</v>
      </c>
      <c r="AP143" s="110">
        <v>1717630.23</v>
      </c>
      <c r="AQ143" s="236">
        <v>1693495.92</v>
      </c>
      <c r="AR143" s="236">
        <v>1756320.39</v>
      </c>
      <c r="AS143" s="236">
        <v>1765322.08</v>
      </c>
      <c r="AT143" s="236">
        <v>1770516.63</v>
      </c>
      <c r="AU143" s="236">
        <v>1805763.82</v>
      </c>
      <c r="AV143" s="110">
        <v>1894223.28</v>
      </c>
      <c r="AW143" s="110">
        <v>1878301.26</v>
      </c>
      <c r="AX143" s="110">
        <v>1843300.7</v>
      </c>
      <c r="AY143" s="110">
        <v>1814447</v>
      </c>
      <c r="AZ143" s="110">
        <v>1771370.22</v>
      </c>
      <c r="BA143" s="110">
        <v>1755427.07</v>
      </c>
      <c r="BB143" s="110">
        <v>1757999.42</v>
      </c>
      <c r="BC143" s="110">
        <v>1801648.2</v>
      </c>
      <c r="BD143" s="110">
        <v>1849957.59</v>
      </c>
      <c r="BE143" s="110">
        <v>2162038.25</v>
      </c>
      <c r="BF143" s="110">
        <v>2127571.83</v>
      </c>
      <c r="BG143" s="237">
        <v>2119610.7599999998</v>
      </c>
      <c r="BH143" s="237">
        <v>2100579.62</v>
      </c>
      <c r="BI143" s="237">
        <v>2140936.1800000002</v>
      </c>
      <c r="BJ143" s="237">
        <v>2165491.11</v>
      </c>
      <c r="BK143" s="237">
        <v>2185248.36</v>
      </c>
      <c r="BL143" s="237">
        <v>2255524.4500000002</v>
      </c>
      <c r="BM143" s="237">
        <v>2222819.63</v>
      </c>
      <c r="BN143" s="237">
        <v>2240967.58</v>
      </c>
      <c r="BO143" s="237">
        <v>2267305.7400000002</v>
      </c>
      <c r="BP143" s="237">
        <v>2277736.23</v>
      </c>
      <c r="BQ143" s="237">
        <v>2296343.2400000002</v>
      </c>
      <c r="BR143" s="237">
        <v>2308682.37</v>
      </c>
      <c r="BS143" s="237">
        <v>2336976.52</v>
      </c>
      <c r="BT143" s="237">
        <v>2345624.42</v>
      </c>
      <c r="BU143" s="237">
        <v>2199865.16</v>
      </c>
      <c r="BV143" s="237">
        <v>1453.13</v>
      </c>
      <c r="BW143" s="237">
        <v>0</v>
      </c>
      <c r="BX143" s="237">
        <v>327.54000000000002</v>
      </c>
      <c r="BY143" s="237">
        <v>144.66999999999999</v>
      </c>
      <c r="BZ143" s="237">
        <v>144.66999999999999</v>
      </c>
      <c r="CA143" s="237">
        <v>144.66999999999999</v>
      </c>
      <c r="CB143" s="237">
        <v>144.66999999999999</v>
      </c>
      <c r="CC143" s="237">
        <v>144.66999999999999</v>
      </c>
      <c r="CD143" s="237">
        <v>144.66999999999999</v>
      </c>
      <c r="CE143" s="237">
        <v>0</v>
      </c>
      <c r="CF143" s="237">
        <v>0</v>
      </c>
      <c r="CG143" s="237">
        <v>0</v>
      </c>
      <c r="CH143" s="30">
        <v>0</v>
      </c>
      <c r="CI143" s="30">
        <v>0</v>
      </c>
      <c r="CJ143" s="30" t="e">
        <f t="array" aca="1" ref="CJ143" ca="1">_xludf.XLOOKUP(C143,'PL TOTAL D0'!H:H,'PL TOTAL D0'!I:I,"")</f>
        <v>#NAME?</v>
      </c>
    </row>
    <row r="144" spans="1:88" ht="15.75" customHeight="1">
      <c r="A144" s="36" t="s">
        <v>2921</v>
      </c>
      <c r="B144" s="37" t="s">
        <v>3168</v>
      </c>
      <c r="C144" s="9">
        <v>577168</v>
      </c>
      <c r="D144" s="9" t="s">
        <v>2923</v>
      </c>
      <c r="E144" s="9" t="s">
        <v>20</v>
      </c>
      <c r="F144" s="6" t="s">
        <v>2930</v>
      </c>
      <c r="G144" s="7" t="e">
        <f t="shared" ca="1" si="0"/>
        <v>#NAME?</v>
      </c>
      <c r="H144" s="8" t="s">
        <v>143</v>
      </c>
      <c r="I144" s="24" t="s">
        <v>25</v>
      </c>
      <c r="J144" s="9" t="str">
        <f t="shared" si="3"/>
        <v>Não</v>
      </c>
      <c r="K144" s="107">
        <v>43550</v>
      </c>
      <c r="L144" s="107">
        <v>43899</v>
      </c>
      <c r="M144" s="6" t="s">
        <v>87</v>
      </c>
      <c r="N144" s="10">
        <v>2.5000000000000001E-2</v>
      </c>
      <c r="O144" s="9" t="s">
        <v>183</v>
      </c>
      <c r="P144" s="234">
        <v>0.2</v>
      </c>
      <c r="Q144" s="108"/>
      <c r="R144" s="108"/>
      <c r="S144" s="7" t="s">
        <v>145</v>
      </c>
      <c r="T144" s="6" t="s">
        <v>3169</v>
      </c>
      <c r="U144" s="6" t="s">
        <v>20</v>
      </c>
      <c r="V144" s="24" t="e">
        <f t="shared" ca="1" si="2"/>
        <v>#NAME?</v>
      </c>
      <c r="W144" s="24"/>
      <c r="X144" s="24"/>
      <c r="Y144" s="6"/>
      <c r="Z144" s="6"/>
      <c r="AA144" s="6"/>
      <c r="AB144" s="6"/>
      <c r="AC144" s="110">
        <v>0</v>
      </c>
      <c r="AD144" s="110">
        <v>0</v>
      </c>
      <c r="AE144" s="110">
        <v>0</v>
      </c>
      <c r="AF144" s="110">
        <v>0</v>
      </c>
      <c r="AG144" s="110">
        <v>0</v>
      </c>
      <c r="AH144" s="110">
        <v>0</v>
      </c>
      <c r="AI144" s="110">
        <v>0</v>
      </c>
      <c r="AJ144" s="110"/>
      <c r="AK144" s="110"/>
      <c r="AL144" s="110"/>
      <c r="AM144" s="110"/>
      <c r="AN144" s="110"/>
      <c r="AO144" s="110"/>
      <c r="AP144" s="110"/>
      <c r="AQ144" s="110"/>
      <c r="AR144" s="110"/>
      <c r="AS144" s="110"/>
      <c r="AT144" s="110"/>
      <c r="AU144" s="110"/>
      <c r="AV144" s="240"/>
      <c r="AW144" s="240"/>
      <c r="AX144" s="240"/>
      <c r="AY144" s="110"/>
      <c r="AZ144" s="110"/>
      <c r="BA144" s="110"/>
      <c r="BB144" s="110"/>
      <c r="BC144" s="110"/>
      <c r="BD144" s="110">
        <v>0</v>
      </c>
      <c r="BE144" s="110">
        <v>0</v>
      </c>
      <c r="BF144" s="110">
        <v>0</v>
      </c>
      <c r="BG144" s="110" t="s">
        <v>2932</v>
      </c>
      <c r="BH144" s="110">
        <v>0</v>
      </c>
      <c r="BI144" s="110" t="s">
        <v>2932</v>
      </c>
      <c r="BJ144" s="110">
        <v>0</v>
      </c>
      <c r="BK144" s="237">
        <v>0</v>
      </c>
      <c r="BL144" s="237">
        <v>0</v>
      </c>
      <c r="BM144" s="237">
        <v>0</v>
      </c>
      <c r="BN144" s="237">
        <v>0</v>
      </c>
      <c r="BO144" s="237">
        <v>0</v>
      </c>
      <c r="BP144" s="237">
        <v>0</v>
      </c>
      <c r="BQ144" s="237">
        <v>0</v>
      </c>
      <c r="BR144" s="237">
        <v>0</v>
      </c>
      <c r="BS144" s="237">
        <v>0</v>
      </c>
      <c r="BT144" s="237">
        <v>0</v>
      </c>
      <c r="BU144" s="237">
        <v>0</v>
      </c>
      <c r="BV144" s="237">
        <v>0</v>
      </c>
      <c r="BW144" s="237">
        <v>0</v>
      </c>
      <c r="BX144" s="237">
        <v>0</v>
      </c>
      <c r="BY144" s="237">
        <v>0</v>
      </c>
      <c r="BZ144" s="237">
        <v>0</v>
      </c>
      <c r="CA144" s="237">
        <v>0</v>
      </c>
      <c r="CB144" s="237">
        <v>0</v>
      </c>
      <c r="CC144" s="237">
        <v>0</v>
      </c>
      <c r="CD144" s="237">
        <v>0</v>
      </c>
      <c r="CE144" s="237">
        <v>0</v>
      </c>
      <c r="CF144" s="237">
        <v>0</v>
      </c>
      <c r="CG144" s="237">
        <v>0</v>
      </c>
      <c r="CH144" s="30">
        <v>0</v>
      </c>
      <c r="CI144" s="30">
        <v>0</v>
      </c>
      <c r="CJ144" s="30" t="e">
        <f t="array" aca="1" ref="CJ144" ca="1">_xludf.XLOOKUP(C144,'PL TOTAL D0'!H:H,'PL TOTAL D0'!I:I,"")</f>
        <v>#NAME?</v>
      </c>
    </row>
    <row r="145" spans="1:88" ht="15.75" customHeight="1">
      <c r="A145" s="36" t="s">
        <v>2921</v>
      </c>
      <c r="B145" s="37" t="s">
        <v>3172</v>
      </c>
      <c r="C145" s="9">
        <v>443081</v>
      </c>
      <c r="D145" s="9" t="s">
        <v>2989</v>
      </c>
      <c r="E145" s="9" t="s">
        <v>20</v>
      </c>
      <c r="F145" s="6" t="s">
        <v>2989</v>
      </c>
      <c r="G145" s="7" t="e">
        <f t="shared" ca="1" si="0"/>
        <v>#NAME?</v>
      </c>
      <c r="H145" s="8" t="s">
        <v>143</v>
      </c>
      <c r="I145" s="24" t="s">
        <v>25</v>
      </c>
      <c r="J145" s="9" t="str">
        <f t="shared" si="3"/>
        <v>Não</v>
      </c>
      <c r="K145" s="107">
        <v>43875</v>
      </c>
      <c r="L145" s="107">
        <v>44634</v>
      </c>
      <c r="M145" s="6" t="s">
        <v>87</v>
      </c>
      <c r="N145" s="10">
        <v>2.5000000000000001E-2</v>
      </c>
      <c r="O145" s="9" t="s">
        <v>183</v>
      </c>
      <c r="P145" s="234">
        <v>0.2</v>
      </c>
      <c r="Q145" s="108"/>
      <c r="R145" s="108"/>
      <c r="S145" s="7" t="s">
        <v>145</v>
      </c>
      <c r="T145" s="6" t="s">
        <v>3173</v>
      </c>
      <c r="U145" s="6" t="s">
        <v>20</v>
      </c>
      <c r="V145" s="24" t="e">
        <f t="shared" ca="1" si="2"/>
        <v>#NAME?</v>
      </c>
      <c r="W145" s="24"/>
      <c r="X145" s="24"/>
      <c r="Y145" s="6" t="s">
        <v>253</v>
      </c>
      <c r="Z145" s="6"/>
      <c r="AA145" s="6"/>
      <c r="AB145" s="6"/>
      <c r="AC145" s="110">
        <v>0</v>
      </c>
      <c r="AD145" s="110">
        <v>124195.07</v>
      </c>
      <c r="AE145" s="110">
        <v>92319.58</v>
      </c>
      <c r="AF145" s="110">
        <v>96801.62</v>
      </c>
      <c r="AG145" s="110">
        <v>99787.73</v>
      </c>
      <c r="AH145" s="110">
        <v>153704.79</v>
      </c>
      <c r="AI145" s="110">
        <v>163680.66</v>
      </c>
      <c r="AJ145" s="110">
        <v>152284.07</v>
      </c>
      <c r="AK145" s="110">
        <v>144702.14000000001</v>
      </c>
      <c r="AL145" s="110">
        <v>146569.41</v>
      </c>
      <c r="AM145" s="110">
        <v>165953.14000000001</v>
      </c>
      <c r="AN145" s="110">
        <v>173816.32000000001</v>
      </c>
      <c r="AO145" s="110">
        <v>168399.93</v>
      </c>
      <c r="AP145" s="110">
        <v>155567.35</v>
      </c>
      <c r="AQ145" s="110">
        <v>150718.01</v>
      </c>
      <c r="AR145" s="110">
        <v>164431.01999999999</v>
      </c>
      <c r="AS145" s="110">
        <v>164783.28</v>
      </c>
      <c r="AT145" s="110">
        <v>165638.87</v>
      </c>
      <c r="AU145" s="110">
        <v>172765.77</v>
      </c>
      <c r="AV145" s="110">
        <v>170345.65</v>
      </c>
      <c r="AW145" s="110">
        <v>165717.96</v>
      </c>
      <c r="AX145" s="110">
        <v>158637.43</v>
      </c>
      <c r="AY145" s="110">
        <v>151121.37</v>
      </c>
      <c r="AZ145" s="110">
        <v>141299.37</v>
      </c>
      <c r="BA145" s="110">
        <v>137135.01999999999</v>
      </c>
      <c r="BB145" s="110">
        <v>137110.57</v>
      </c>
      <c r="BC145" s="110">
        <v>143391.24</v>
      </c>
      <c r="BD145" s="110">
        <v>145638.46</v>
      </c>
      <c r="BE145" s="110">
        <v>156121.71</v>
      </c>
      <c r="BF145" s="110">
        <v>100685.29</v>
      </c>
      <c r="BG145" s="110" t="s">
        <v>2932</v>
      </c>
      <c r="BH145" s="110">
        <v>0</v>
      </c>
      <c r="BI145" s="110" t="s">
        <v>2932</v>
      </c>
      <c r="BJ145" s="110">
        <v>0</v>
      </c>
      <c r="BK145" s="237">
        <v>0</v>
      </c>
      <c r="BL145" s="237">
        <v>0</v>
      </c>
      <c r="BM145" s="237">
        <v>0</v>
      </c>
      <c r="BN145" s="237">
        <v>0</v>
      </c>
      <c r="BO145" s="237">
        <v>0</v>
      </c>
      <c r="BP145" s="237">
        <v>0</v>
      </c>
      <c r="BQ145" s="237">
        <v>0</v>
      </c>
      <c r="BR145" s="237">
        <v>0</v>
      </c>
      <c r="BS145" s="237">
        <v>0</v>
      </c>
      <c r="BT145" s="237">
        <v>0</v>
      </c>
      <c r="BU145" s="237">
        <v>0</v>
      </c>
      <c r="BV145" s="237">
        <v>0</v>
      </c>
      <c r="BW145" s="237">
        <v>0</v>
      </c>
      <c r="BX145" s="237">
        <v>0</v>
      </c>
      <c r="BY145" s="237">
        <v>0</v>
      </c>
      <c r="BZ145" s="237">
        <v>0</v>
      </c>
      <c r="CA145" s="237">
        <v>0</v>
      </c>
      <c r="CB145" s="237">
        <v>0</v>
      </c>
      <c r="CC145" s="237">
        <v>0</v>
      </c>
      <c r="CD145" s="237">
        <v>0</v>
      </c>
      <c r="CE145" s="237">
        <v>0</v>
      </c>
      <c r="CF145" s="237">
        <v>0</v>
      </c>
      <c r="CG145" s="237">
        <v>0</v>
      </c>
      <c r="CH145" s="30">
        <v>0</v>
      </c>
      <c r="CI145" s="30">
        <v>0</v>
      </c>
      <c r="CJ145" s="30" t="e">
        <f t="array" aca="1" ref="CJ145" ca="1">_xludf.XLOOKUP(C145,'PL TOTAL D0'!H:H,'PL TOTAL D0'!I:I,"")</f>
        <v>#NAME?</v>
      </c>
    </row>
    <row r="146" spans="1:88" ht="15.75" customHeight="1">
      <c r="A146" s="36" t="s">
        <v>2921</v>
      </c>
      <c r="B146" s="37" t="s">
        <v>1188</v>
      </c>
      <c r="C146" s="9">
        <v>436161</v>
      </c>
      <c r="D146" s="9" t="s">
        <v>19</v>
      </c>
      <c r="E146" s="9" t="s">
        <v>34</v>
      </c>
      <c r="F146" s="9" t="s">
        <v>262</v>
      </c>
      <c r="G146" s="7" t="e">
        <f t="shared" ca="1" si="0"/>
        <v>#NAME?</v>
      </c>
      <c r="H146" s="8" t="s">
        <v>161</v>
      </c>
      <c r="I146" s="24" t="s">
        <v>162</v>
      </c>
      <c r="J146" s="9" t="str">
        <f t="shared" si="3"/>
        <v>Não</v>
      </c>
      <c r="K146" s="25">
        <v>44421</v>
      </c>
      <c r="L146" s="6"/>
      <c r="M146" s="6" t="s">
        <v>200</v>
      </c>
      <c r="N146" s="10">
        <v>1.4999999999999999E-2</v>
      </c>
      <c r="O146" s="9" t="s">
        <v>37</v>
      </c>
      <c r="P146" s="234">
        <v>0.1</v>
      </c>
      <c r="Q146" s="23"/>
      <c r="R146" s="28" t="s">
        <v>3174</v>
      </c>
      <c r="S146" s="7" t="s">
        <v>145</v>
      </c>
      <c r="T146" s="6" t="s">
        <v>1190</v>
      </c>
      <c r="U146" s="6" t="s">
        <v>39</v>
      </c>
      <c r="V146" s="24" t="e">
        <f t="shared" ca="1" si="2"/>
        <v>#NAME?</v>
      </c>
      <c r="W146" s="24"/>
      <c r="X146" s="24"/>
      <c r="Y146" s="6" t="s">
        <v>253</v>
      </c>
      <c r="Z146" s="6"/>
      <c r="AA146" s="107">
        <v>44421</v>
      </c>
      <c r="AB146" s="6">
        <v>49075100003718</v>
      </c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132"/>
      <c r="AO146" s="132"/>
      <c r="AP146" s="236"/>
      <c r="AQ146" s="236"/>
      <c r="AR146" s="236"/>
      <c r="AS146" s="132"/>
      <c r="AT146" s="132"/>
      <c r="AU146" s="110"/>
      <c r="AV146" s="110"/>
      <c r="AW146" s="132"/>
      <c r="AX146" s="132">
        <v>124633.28</v>
      </c>
      <c r="AY146" s="110">
        <v>103731.2</v>
      </c>
      <c r="AZ146" s="110">
        <v>124342.32</v>
      </c>
      <c r="BA146" s="110">
        <v>123124.57</v>
      </c>
      <c r="BB146" s="110">
        <v>123902.45</v>
      </c>
      <c r="BC146" s="110">
        <v>126610.66</v>
      </c>
      <c r="BD146" s="110">
        <v>127388.77</v>
      </c>
      <c r="BE146" s="110">
        <v>133821.21</v>
      </c>
      <c r="BF146" s="110">
        <v>133907.17000000001</v>
      </c>
      <c r="BG146" s="237">
        <v>137667.76</v>
      </c>
      <c r="BH146" s="237">
        <v>136844.41</v>
      </c>
      <c r="BI146" s="237">
        <v>139457.04999999999</v>
      </c>
      <c r="BJ146" s="237">
        <v>142267.35999999999</v>
      </c>
      <c r="BK146" s="237">
        <v>145506.72</v>
      </c>
      <c r="BL146" s="237">
        <v>154356.74</v>
      </c>
      <c r="BM146" s="237">
        <v>163447.23000000001</v>
      </c>
      <c r="BN146" s="237">
        <v>174911.63</v>
      </c>
      <c r="BO146" s="237">
        <v>181842.6</v>
      </c>
      <c r="BP146" s="237">
        <v>193231.32</v>
      </c>
      <c r="BQ146" s="237">
        <v>201489.94</v>
      </c>
      <c r="BR146" s="237">
        <v>29188.58</v>
      </c>
      <c r="BS146" s="237">
        <v>0</v>
      </c>
      <c r="BT146" s="237">
        <v>0</v>
      </c>
      <c r="BU146" s="237">
        <v>0</v>
      </c>
      <c r="BV146" s="237">
        <v>0</v>
      </c>
      <c r="BW146" s="237">
        <v>0</v>
      </c>
      <c r="BX146" s="237">
        <v>0</v>
      </c>
      <c r="BY146" s="237">
        <v>0</v>
      </c>
      <c r="BZ146" s="237">
        <v>0</v>
      </c>
      <c r="CA146" s="237">
        <v>0</v>
      </c>
      <c r="CB146" s="237">
        <v>0</v>
      </c>
      <c r="CC146" s="237">
        <v>0</v>
      </c>
      <c r="CD146" s="237">
        <v>0</v>
      </c>
      <c r="CE146" s="237">
        <v>0</v>
      </c>
      <c r="CF146" s="237">
        <v>0</v>
      </c>
      <c r="CG146" s="237">
        <v>0</v>
      </c>
      <c r="CH146" s="30">
        <v>0</v>
      </c>
      <c r="CI146" s="30">
        <v>0</v>
      </c>
      <c r="CJ146" s="30" t="e">
        <f t="array" aca="1" ref="CJ146" ca="1">_xludf.XLOOKUP(C146,'PL TOTAL D0'!H:H,'PL TOTAL D0'!I:I,"")</f>
        <v>#NAME?</v>
      </c>
    </row>
    <row r="147" spans="1:88" ht="15.75" customHeight="1">
      <c r="A147" s="36" t="s">
        <v>2921</v>
      </c>
      <c r="B147" s="37" t="s">
        <v>3175</v>
      </c>
      <c r="C147" s="9">
        <v>457585</v>
      </c>
      <c r="D147" s="9" t="s">
        <v>19</v>
      </c>
      <c r="E147" s="9" t="s">
        <v>34</v>
      </c>
      <c r="F147" s="6" t="s">
        <v>262</v>
      </c>
      <c r="G147" s="7" t="e">
        <f t="shared" ca="1" si="0"/>
        <v>#NAME?</v>
      </c>
      <c r="H147" s="8" t="s">
        <v>143</v>
      </c>
      <c r="I147" s="24" t="s">
        <v>25</v>
      </c>
      <c r="J147" s="9" t="str">
        <f t="shared" si="3"/>
        <v>Não</v>
      </c>
      <c r="K147" s="107">
        <v>44503</v>
      </c>
      <c r="L147" s="25">
        <v>44602</v>
      </c>
      <c r="M147" s="6" t="s">
        <v>200</v>
      </c>
      <c r="N147" s="10">
        <v>1.4999999999999999E-2</v>
      </c>
      <c r="O147" s="9" t="s">
        <v>37</v>
      </c>
      <c r="P147" s="234">
        <v>0.1</v>
      </c>
      <c r="Q147" s="108"/>
      <c r="R147" s="108"/>
      <c r="S147" s="7" t="s">
        <v>145</v>
      </c>
      <c r="T147" s="6" t="s">
        <v>3176</v>
      </c>
      <c r="U147" s="6" t="s">
        <v>39</v>
      </c>
      <c r="V147" s="24" t="e">
        <f t="shared" ca="1" si="2"/>
        <v>#NAME?</v>
      </c>
      <c r="W147" s="24"/>
      <c r="X147" s="24"/>
      <c r="Y147" s="6"/>
      <c r="Z147" s="6"/>
      <c r="AA147" s="6"/>
      <c r="AB147" s="6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132"/>
      <c r="AN147" s="132"/>
      <c r="AO147" s="132"/>
      <c r="AP147" s="110"/>
      <c r="AQ147" s="110"/>
      <c r="AR147" s="110"/>
      <c r="AS147" s="132"/>
      <c r="AT147" s="132"/>
      <c r="AU147" s="110"/>
      <c r="AV147" s="110"/>
      <c r="AW147" s="110"/>
      <c r="AX147" s="110"/>
      <c r="AY147" s="110"/>
      <c r="AZ147" s="110">
        <v>363485.86</v>
      </c>
      <c r="BA147" s="110">
        <v>364044.73</v>
      </c>
      <c r="BB147" s="110">
        <v>360845.15</v>
      </c>
      <c r="BC147" s="110">
        <v>367301.76</v>
      </c>
      <c r="BD147" s="110">
        <v>0</v>
      </c>
      <c r="BE147" s="110">
        <v>0</v>
      </c>
      <c r="BF147" s="110">
        <v>0</v>
      </c>
      <c r="BG147" s="110" t="s">
        <v>2932</v>
      </c>
      <c r="BH147" s="110">
        <v>0</v>
      </c>
      <c r="BI147" s="110">
        <v>0</v>
      </c>
      <c r="BJ147" s="110">
        <v>0</v>
      </c>
      <c r="BK147" s="237">
        <v>0</v>
      </c>
      <c r="BL147" s="237">
        <v>0</v>
      </c>
      <c r="BM147" s="237">
        <v>0</v>
      </c>
      <c r="BN147" s="237">
        <v>0</v>
      </c>
      <c r="BO147" s="237">
        <v>0</v>
      </c>
      <c r="BP147" s="237">
        <v>0</v>
      </c>
      <c r="BQ147" s="237">
        <v>0</v>
      </c>
      <c r="BR147" s="237">
        <v>0</v>
      </c>
      <c r="BS147" s="237">
        <v>0</v>
      </c>
      <c r="BT147" s="237">
        <v>0</v>
      </c>
      <c r="BU147" s="237">
        <v>0</v>
      </c>
      <c r="BV147" s="237">
        <v>0</v>
      </c>
      <c r="BW147" s="237">
        <v>0</v>
      </c>
      <c r="BX147" s="237">
        <v>0</v>
      </c>
      <c r="BY147" s="237">
        <v>0</v>
      </c>
      <c r="BZ147" s="237">
        <v>0</v>
      </c>
      <c r="CA147" s="237">
        <v>0</v>
      </c>
      <c r="CB147" s="237">
        <v>0</v>
      </c>
      <c r="CC147" s="237">
        <v>0</v>
      </c>
      <c r="CD147" s="237">
        <v>0</v>
      </c>
      <c r="CE147" s="237">
        <v>0</v>
      </c>
      <c r="CF147" s="237">
        <v>0</v>
      </c>
      <c r="CG147" s="237">
        <v>0</v>
      </c>
      <c r="CH147" s="30">
        <v>0</v>
      </c>
      <c r="CI147" s="30">
        <v>0</v>
      </c>
      <c r="CJ147" s="30" t="e">
        <f t="array" aca="1" ref="CJ147" ca="1">_xludf.XLOOKUP(C147,'PL TOTAL D0'!H:H,'PL TOTAL D0'!I:I,"")</f>
        <v>#NAME?</v>
      </c>
    </row>
    <row r="148" spans="1:88" ht="15.75" customHeight="1">
      <c r="A148" s="36" t="s">
        <v>2921</v>
      </c>
      <c r="B148" s="37" t="s">
        <v>3175</v>
      </c>
      <c r="C148" s="9">
        <v>457610</v>
      </c>
      <c r="D148" s="9" t="s">
        <v>19</v>
      </c>
      <c r="E148" s="9" t="s">
        <v>34</v>
      </c>
      <c r="F148" s="6" t="s">
        <v>262</v>
      </c>
      <c r="G148" s="7" t="e">
        <f t="shared" ca="1" si="0"/>
        <v>#NAME?</v>
      </c>
      <c r="H148" s="8" t="s">
        <v>143</v>
      </c>
      <c r="I148" s="24" t="s">
        <v>25</v>
      </c>
      <c r="J148" s="9" t="str">
        <f t="shared" si="3"/>
        <v>Não</v>
      </c>
      <c r="K148" s="107">
        <v>44503</v>
      </c>
      <c r="L148" s="25">
        <v>44602</v>
      </c>
      <c r="M148" s="6" t="s">
        <v>200</v>
      </c>
      <c r="N148" s="10">
        <v>1.4999999999999999E-2</v>
      </c>
      <c r="O148" s="9" t="s">
        <v>37</v>
      </c>
      <c r="P148" s="234">
        <v>0.1</v>
      </c>
      <c r="Q148" s="108"/>
      <c r="R148" s="108"/>
      <c r="S148" s="7" t="s">
        <v>145</v>
      </c>
      <c r="T148" s="6" t="s">
        <v>3176</v>
      </c>
      <c r="U148" s="6" t="s">
        <v>39</v>
      </c>
      <c r="V148" s="24" t="e">
        <f t="shared" ca="1" si="2"/>
        <v>#NAME?</v>
      </c>
      <c r="W148" s="24"/>
      <c r="X148" s="24"/>
      <c r="Y148" s="6"/>
      <c r="Z148" s="6"/>
      <c r="AA148" s="6"/>
      <c r="AB148" s="6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132"/>
      <c r="AN148" s="132"/>
      <c r="AO148" s="132"/>
      <c r="AP148" s="110"/>
      <c r="AQ148" s="110"/>
      <c r="AR148" s="110"/>
      <c r="AS148" s="132"/>
      <c r="AT148" s="132"/>
      <c r="AU148" s="110"/>
      <c r="AV148" s="110"/>
      <c r="AW148" s="110"/>
      <c r="AX148" s="110"/>
      <c r="AY148" s="110"/>
      <c r="AZ148" s="110">
        <v>108242.92</v>
      </c>
      <c r="BA148" s="110">
        <v>108027.55</v>
      </c>
      <c r="BB148" s="110">
        <v>107323.97</v>
      </c>
      <c r="BC148" s="110">
        <v>109316.32</v>
      </c>
      <c r="BD148" s="110">
        <v>0</v>
      </c>
      <c r="BE148" s="110">
        <v>0</v>
      </c>
      <c r="BF148" s="110">
        <v>0</v>
      </c>
      <c r="BG148" s="110" t="s">
        <v>2932</v>
      </c>
      <c r="BH148" s="110">
        <v>0</v>
      </c>
      <c r="BI148" s="110">
        <v>0</v>
      </c>
      <c r="BJ148" s="110">
        <v>0</v>
      </c>
      <c r="BK148" s="237">
        <v>0</v>
      </c>
      <c r="BL148" s="237">
        <v>0</v>
      </c>
      <c r="BM148" s="237">
        <v>0</v>
      </c>
      <c r="BN148" s="237">
        <v>0</v>
      </c>
      <c r="BO148" s="237">
        <v>0</v>
      </c>
      <c r="BP148" s="237">
        <v>0</v>
      </c>
      <c r="BQ148" s="237">
        <v>0</v>
      </c>
      <c r="BR148" s="237">
        <v>0</v>
      </c>
      <c r="BS148" s="237">
        <v>0</v>
      </c>
      <c r="BT148" s="237">
        <v>0</v>
      </c>
      <c r="BU148" s="237">
        <v>0</v>
      </c>
      <c r="BV148" s="237">
        <v>0</v>
      </c>
      <c r="BW148" s="237">
        <v>0</v>
      </c>
      <c r="BX148" s="237">
        <v>0</v>
      </c>
      <c r="BY148" s="237">
        <v>0</v>
      </c>
      <c r="BZ148" s="237">
        <v>0</v>
      </c>
      <c r="CA148" s="237">
        <v>0</v>
      </c>
      <c r="CB148" s="237">
        <v>0</v>
      </c>
      <c r="CC148" s="237">
        <v>0</v>
      </c>
      <c r="CD148" s="237">
        <v>0</v>
      </c>
      <c r="CE148" s="237">
        <v>0</v>
      </c>
      <c r="CF148" s="237">
        <v>0</v>
      </c>
      <c r="CG148" s="237">
        <v>0</v>
      </c>
      <c r="CH148" s="30">
        <v>0</v>
      </c>
      <c r="CI148" s="30">
        <v>0</v>
      </c>
      <c r="CJ148" s="30" t="e">
        <f t="array" aca="1" ref="CJ148" ca="1">_xludf.XLOOKUP(C148,'PL TOTAL D0'!H:H,'PL TOTAL D0'!I:I,"")</f>
        <v>#NAME?</v>
      </c>
    </row>
    <row r="149" spans="1:88" ht="15.75" customHeight="1">
      <c r="A149" s="36" t="s">
        <v>2921</v>
      </c>
      <c r="B149" s="37" t="s">
        <v>3175</v>
      </c>
      <c r="C149" s="9">
        <v>457613</v>
      </c>
      <c r="D149" s="9" t="s">
        <v>19</v>
      </c>
      <c r="E149" s="9" t="s">
        <v>34</v>
      </c>
      <c r="F149" s="6" t="s">
        <v>262</v>
      </c>
      <c r="G149" s="7" t="e">
        <f t="shared" ca="1" si="0"/>
        <v>#NAME?</v>
      </c>
      <c r="H149" s="8" t="s">
        <v>143</v>
      </c>
      <c r="I149" s="24" t="s">
        <v>25</v>
      </c>
      <c r="J149" s="9" t="str">
        <f t="shared" si="3"/>
        <v>Não</v>
      </c>
      <c r="K149" s="107">
        <v>44503</v>
      </c>
      <c r="L149" s="25">
        <v>44602</v>
      </c>
      <c r="M149" s="6" t="s">
        <v>200</v>
      </c>
      <c r="N149" s="10">
        <v>1.4999999999999999E-2</v>
      </c>
      <c r="O149" s="9" t="s">
        <v>37</v>
      </c>
      <c r="P149" s="234">
        <v>0.1</v>
      </c>
      <c r="Q149" s="108"/>
      <c r="R149" s="108"/>
      <c r="S149" s="7" t="s">
        <v>145</v>
      </c>
      <c r="T149" s="6" t="s">
        <v>3176</v>
      </c>
      <c r="U149" s="6" t="s">
        <v>39</v>
      </c>
      <c r="V149" s="24" t="e">
        <f t="shared" ca="1" si="2"/>
        <v>#NAME?</v>
      </c>
      <c r="W149" s="24"/>
      <c r="X149" s="24"/>
      <c r="Y149" s="6"/>
      <c r="Z149" s="6"/>
      <c r="AA149" s="6"/>
      <c r="AB149" s="6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132"/>
      <c r="AN149" s="132"/>
      <c r="AO149" s="132"/>
      <c r="AP149" s="110"/>
      <c r="AQ149" s="110"/>
      <c r="AR149" s="110"/>
      <c r="AS149" s="132"/>
      <c r="AT149" s="132"/>
      <c r="AU149" s="110"/>
      <c r="AV149" s="110"/>
      <c r="AW149" s="110"/>
      <c r="AX149" s="110"/>
      <c r="AY149" s="110"/>
      <c r="AZ149" s="110">
        <v>108242.92</v>
      </c>
      <c r="BA149" s="110">
        <v>108022.7</v>
      </c>
      <c r="BB149" s="110">
        <v>107296.08</v>
      </c>
      <c r="BC149" s="110">
        <v>109194.05</v>
      </c>
      <c r="BD149" s="110">
        <v>0</v>
      </c>
      <c r="BE149" s="110">
        <v>0</v>
      </c>
      <c r="BF149" s="110">
        <v>0</v>
      </c>
      <c r="BG149" s="110" t="s">
        <v>2932</v>
      </c>
      <c r="BH149" s="110">
        <v>0</v>
      </c>
      <c r="BI149" s="110">
        <v>0</v>
      </c>
      <c r="BJ149" s="110">
        <v>0</v>
      </c>
      <c r="BK149" s="237">
        <v>0</v>
      </c>
      <c r="BL149" s="237">
        <v>0</v>
      </c>
      <c r="BM149" s="237">
        <v>0</v>
      </c>
      <c r="BN149" s="237">
        <v>0</v>
      </c>
      <c r="BO149" s="237">
        <v>0</v>
      </c>
      <c r="BP149" s="237">
        <v>0</v>
      </c>
      <c r="BQ149" s="237">
        <v>0</v>
      </c>
      <c r="BR149" s="237">
        <v>0</v>
      </c>
      <c r="BS149" s="237">
        <v>0</v>
      </c>
      <c r="BT149" s="237">
        <v>0</v>
      </c>
      <c r="BU149" s="237">
        <v>0</v>
      </c>
      <c r="BV149" s="237">
        <v>0</v>
      </c>
      <c r="BW149" s="237">
        <v>0</v>
      </c>
      <c r="BX149" s="237">
        <v>0</v>
      </c>
      <c r="BY149" s="237">
        <v>0</v>
      </c>
      <c r="BZ149" s="237">
        <v>0</v>
      </c>
      <c r="CA149" s="237">
        <v>0</v>
      </c>
      <c r="CB149" s="237">
        <v>0</v>
      </c>
      <c r="CC149" s="237">
        <v>0</v>
      </c>
      <c r="CD149" s="237">
        <v>0</v>
      </c>
      <c r="CE149" s="237">
        <v>0</v>
      </c>
      <c r="CF149" s="237">
        <v>0</v>
      </c>
      <c r="CG149" s="237">
        <v>0</v>
      </c>
      <c r="CH149" s="30">
        <v>0</v>
      </c>
      <c r="CI149" s="30">
        <v>0</v>
      </c>
      <c r="CJ149" s="30" t="e">
        <f t="array" aca="1" ref="CJ149" ca="1">_xludf.XLOOKUP(C149,'PL TOTAL D0'!H:H,'PL TOTAL D0'!I:I,"")</f>
        <v>#NAME?</v>
      </c>
    </row>
    <row r="150" spans="1:88" ht="15.75" customHeight="1">
      <c r="A150" s="36" t="s">
        <v>2921</v>
      </c>
      <c r="B150" s="37" t="s">
        <v>3175</v>
      </c>
      <c r="C150" s="9">
        <v>457618</v>
      </c>
      <c r="D150" s="9" t="s">
        <v>19</v>
      </c>
      <c r="E150" s="9" t="s">
        <v>34</v>
      </c>
      <c r="F150" s="6" t="s">
        <v>262</v>
      </c>
      <c r="G150" s="7" t="e">
        <f t="shared" ca="1" si="0"/>
        <v>#NAME?</v>
      </c>
      <c r="H150" s="8" t="s">
        <v>143</v>
      </c>
      <c r="I150" s="24" t="s">
        <v>25</v>
      </c>
      <c r="J150" s="9" t="str">
        <f t="shared" si="3"/>
        <v>Não</v>
      </c>
      <c r="K150" s="107">
        <v>44503</v>
      </c>
      <c r="L150" s="25">
        <v>44602</v>
      </c>
      <c r="M150" s="6" t="s">
        <v>200</v>
      </c>
      <c r="N150" s="10">
        <v>1.4999999999999999E-2</v>
      </c>
      <c r="O150" s="9" t="s">
        <v>37</v>
      </c>
      <c r="P150" s="234">
        <v>0.1</v>
      </c>
      <c r="Q150" s="108"/>
      <c r="R150" s="108"/>
      <c r="S150" s="7" t="s">
        <v>145</v>
      </c>
      <c r="T150" s="6" t="s">
        <v>3176</v>
      </c>
      <c r="U150" s="6" t="s">
        <v>39</v>
      </c>
      <c r="V150" s="24" t="e">
        <f t="shared" ca="1" si="2"/>
        <v>#NAME?</v>
      </c>
      <c r="W150" s="24"/>
      <c r="X150" s="24"/>
      <c r="Y150" s="6"/>
      <c r="Z150" s="6"/>
      <c r="AA150" s="6"/>
      <c r="AB150" s="6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132"/>
      <c r="AN150" s="132"/>
      <c r="AO150" s="132"/>
      <c r="AP150" s="110"/>
      <c r="AQ150" s="110"/>
      <c r="AR150" s="110"/>
      <c r="AS150" s="132"/>
      <c r="AT150" s="132"/>
      <c r="AU150" s="110"/>
      <c r="AV150" s="110"/>
      <c r="AW150" s="110"/>
      <c r="AX150" s="110"/>
      <c r="AY150" s="110"/>
      <c r="AZ150" s="110">
        <v>108242.92</v>
      </c>
      <c r="BA150" s="110">
        <v>108022.7</v>
      </c>
      <c r="BB150" s="110">
        <v>107320.46</v>
      </c>
      <c r="BC150" s="110">
        <v>109250.07</v>
      </c>
      <c r="BD150" s="110">
        <v>0</v>
      </c>
      <c r="BE150" s="110">
        <v>0</v>
      </c>
      <c r="BF150" s="110">
        <v>0</v>
      </c>
      <c r="BG150" s="110" t="s">
        <v>2932</v>
      </c>
      <c r="BH150" s="110">
        <v>0</v>
      </c>
      <c r="BI150" s="110">
        <v>0</v>
      </c>
      <c r="BJ150" s="110">
        <v>0</v>
      </c>
      <c r="BK150" s="237">
        <v>0</v>
      </c>
      <c r="BL150" s="237">
        <v>0</v>
      </c>
      <c r="BM150" s="237">
        <v>0</v>
      </c>
      <c r="BN150" s="237">
        <v>0</v>
      </c>
      <c r="BO150" s="237">
        <v>0</v>
      </c>
      <c r="BP150" s="237">
        <v>0</v>
      </c>
      <c r="BQ150" s="237">
        <v>0</v>
      </c>
      <c r="BR150" s="237">
        <v>0</v>
      </c>
      <c r="BS150" s="237">
        <v>0</v>
      </c>
      <c r="BT150" s="237">
        <v>0</v>
      </c>
      <c r="BU150" s="237">
        <v>0</v>
      </c>
      <c r="BV150" s="237">
        <v>0</v>
      </c>
      <c r="BW150" s="237">
        <v>0</v>
      </c>
      <c r="BX150" s="237">
        <v>0</v>
      </c>
      <c r="BY150" s="237">
        <v>0</v>
      </c>
      <c r="BZ150" s="237">
        <v>0</v>
      </c>
      <c r="CA150" s="237">
        <v>0</v>
      </c>
      <c r="CB150" s="237">
        <v>0</v>
      </c>
      <c r="CC150" s="237">
        <v>0</v>
      </c>
      <c r="CD150" s="237">
        <v>0</v>
      </c>
      <c r="CE150" s="237">
        <v>0</v>
      </c>
      <c r="CF150" s="237">
        <v>0</v>
      </c>
      <c r="CG150" s="237">
        <v>0</v>
      </c>
      <c r="CH150" s="30">
        <v>0</v>
      </c>
      <c r="CI150" s="30">
        <v>0</v>
      </c>
      <c r="CJ150" s="30" t="e">
        <f t="array" aca="1" ref="CJ150" ca="1">_xludf.XLOOKUP(C150,'PL TOTAL D0'!H:H,'PL TOTAL D0'!I:I,"")</f>
        <v>#NAME?</v>
      </c>
    </row>
    <row r="151" spans="1:88" ht="15.75" customHeight="1">
      <c r="A151" s="36" t="s">
        <v>2921</v>
      </c>
      <c r="B151" s="3" t="s">
        <v>3177</v>
      </c>
      <c r="C151" s="9">
        <v>457618</v>
      </c>
      <c r="D151" s="9" t="s">
        <v>19</v>
      </c>
      <c r="E151" s="9" t="s">
        <v>34</v>
      </c>
      <c r="F151" s="7" t="s">
        <v>35</v>
      </c>
      <c r="G151" s="7" t="e">
        <f t="shared" ca="1" si="0"/>
        <v>#NAME?</v>
      </c>
      <c r="H151" s="8" t="s">
        <v>143</v>
      </c>
      <c r="I151" s="24" t="s">
        <v>25</v>
      </c>
      <c r="J151" s="9" t="str">
        <f t="shared" si="3"/>
        <v>Não</v>
      </c>
      <c r="K151" s="25">
        <v>44333</v>
      </c>
      <c r="L151" s="79">
        <v>44512</v>
      </c>
      <c r="M151" s="6" t="s">
        <v>200</v>
      </c>
      <c r="N151" s="26">
        <v>1.4999999999999999E-2</v>
      </c>
      <c r="O151" s="9" t="s">
        <v>37</v>
      </c>
      <c r="P151" s="234">
        <v>0.1</v>
      </c>
      <c r="Q151" s="45"/>
      <c r="R151" s="45"/>
      <c r="S151" s="7" t="s">
        <v>145</v>
      </c>
      <c r="T151" s="6" t="s">
        <v>3178</v>
      </c>
      <c r="U151" s="7" t="s">
        <v>39</v>
      </c>
      <c r="V151" s="24" t="e">
        <f t="shared" ca="1" si="2"/>
        <v>#NAME?</v>
      </c>
      <c r="W151" s="24"/>
      <c r="X151" s="24"/>
      <c r="Y151" s="6"/>
      <c r="Z151" s="6"/>
      <c r="AA151" s="6"/>
      <c r="AB151" s="6"/>
      <c r="AC151" s="132"/>
      <c r="AD151" s="132"/>
      <c r="AE151" s="132"/>
      <c r="AF151" s="132"/>
      <c r="AG151" s="132"/>
      <c r="AH151" s="132"/>
      <c r="AI151" s="132"/>
      <c r="AJ151" s="132"/>
      <c r="AK151" s="132"/>
      <c r="AL151" s="132"/>
      <c r="AM151" s="132"/>
      <c r="AN151" s="132"/>
      <c r="AO151" s="132"/>
      <c r="AP151" s="132"/>
      <c r="AQ151" s="132"/>
      <c r="AR151" s="132"/>
      <c r="AS151" s="132"/>
      <c r="AT151" s="132"/>
      <c r="AU151" s="30">
        <v>126233.28</v>
      </c>
      <c r="AV151" s="132">
        <v>126977.97</v>
      </c>
      <c r="AW151" s="132">
        <v>126214.79</v>
      </c>
      <c r="AX151" s="132">
        <v>124244.61</v>
      </c>
      <c r="AY151" s="132">
        <v>123200.24</v>
      </c>
      <c r="AZ151" s="132">
        <v>78769.119999999995</v>
      </c>
      <c r="BA151" s="132">
        <v>3928.79</v>
      </c>
      <c r="BB151" s="132"/>
      <c r="BC151" s="132"/>
      <c r="BD151" s="132">
        <v>0</v>
      </c>
      <c r="BE151" s="132">
        <v>0</v>
      </c>
      <c r="BF151" s="132">
        <v>0</v>
      </c>
      <c r="BG151" s="132" t="s">
        <v>2932</v>
      </c>
      <c r="BH151" s="132">
        <v>0</v>
      </c>
      <c r="BI151" s="132" t="s">
        <v>2932</v>
      </c>
      <c r="BJ151" s="132">
        <v>0</v>
      </c>
      <c r="BK151" s="101">
        <v>0</v>
      </c>
      <c r="BL151" s="101">
        <v>0</v>
      </c>
      <c r="BM151" s="101">
        <v>0</v>
      </c>
      <c r="BN151" s="101">
        <v>0</v>
      </c>
      <c r="BO151" s="101">
        <v>0</v>
      </c>
      <c r="BP151" s="101">
        <v>0</v>
      </c>
      <c r="BQ151" s="101">
        <v>0</v>
      </c>
      <c r="BR151" s="101">
        <v>0</v>
      </c>
      <c r="BS151" s="237">
        <v>0</v>
      </c>
      <c r="BT151" s="237">
        <v>0</v>
      </c>
      <c r="BU151" s="237">
        <v>0</v>
      </c>
      <c r="BV151" s="237">
        <v>0</v>
      </c>
      <c r="BW151" s="237">
        <v>0</v>
      </c>
      <c r="BX151" s="237">
        <v>0</v>
      </c>
      <c r="BY151" s="237">
        <v>0</v>
      </c>
      <c r="BZ151" s="237">
        <v>0</v>
      </c>
      <c r="CA151" s="237">
        <v>0</v>
      </c>
      <c r="CB151" s="237">
        <v>0</v>
      </c>
      <c r="CC151" s="237">
        <v>0</v>
      </c>
      <c r="CD151" s="237">
        <v>0</v>
      </c>
      <c r="CE151" s="237">
        <v>0</v>
      </c>
      <c r="CF151" s="237">
        <v>0</v>
      </c>
      <c r="CG151" s="237">
        <v>0</v>
      </c>
      <c r="CH151" s="30">
        <v>0</v>
      </c>
      <c r="CI151" s="30">
        <v>0</v>
      </c>
      <c r="CJ151" s="30" t="e">
        <f t="array" aca="1" ref="CJ151" ca="1">_xludf.XLOOKUP(C151,'PL TOTAL D0'!H:H,'PL TOTAL D0'!I:I,"")</f>
        <v>#NAME?</v>
      </c>
    </row>
    <row r="152" spans="1:88" ht="15.75" customHeight="1">
      <c r="A152" s="36" t="s">
        <v>2921</v>
      </c>
      <c r="B152" s="3" t="s">
        <v>3179</v>
      </c>
      <c r="C152" s="9">
        <v>446642</v>
      </c>
      <c r="D152" s="9" t="s">
        <v>2923</v>
      </c>
      <c r="E152" s="9" t="s">
        <v>20</v>
      </c>
      <c r="F152" s="6" t="s">
        <v>2924</v>
      </c>
      <c r="G152" s="7" t="e">
        <f t="shared" ca="1" si="0"/>
        <v>#NAME?</v>
      </c>
      <c r="H152" s="8" t="s">
        <v>143</v>
      </c>
      <c r="I152" s="24" t="s">
        <v>25</v>
      </c>
      <c r="J152" s="9" t="str">
        <f t="shared" si="3"/>
        <v>Não</v>
      </c>
      <c r="K152" s="107">
        <v>43859</v>
      </c>
      <c r="L152" s="107">
        <v>44418</v>
      </c>
      <c r="M152" s="6" t="s">
        <v>58</v>
      </c>
      <c r="N152" s="10">
        <v>1.2E-2</v>
      </c>
      <c r="O152" s="9" t="s">
        <v>25</v>
      </c>
      <c r="P152" s="234">
        <v>0</v>
      </c>
      <c r="Q152" s="108"/>
      <c r="R152" s="108"/>
      <c r="S152" s="7" t="s">
        <v>145</v>
      </c>
      <c r="T152" s="6" t="s">
        <v>3180</v>
      </c>
      <c r="U152" s="6" t="s">
        <v>20</v>
      </c>
      <c r="V152" s="24" t="e">
        <f t="shared" ca="1" si="2"/>
        <v>#NAME?</v>
      </c>
      <c r="W152" s="24"/>
      <c r="X152" s="24"/>
      <c r="Y152" s="6"/>
      <c r="Z152" s="6"/>
      <c r="AA152" s="6"/>
      <c r="AB152" s="6"/>
      <c r="AC152" s="110">
        <v>298537.83</v>
      </c>
      <c r="AD152" s="110">
        <v>295829.90999999997</v>
      </c>
      <c r="AE152" s="110">
        <v>444392.84</v>
      </c>
      <c r="AF152" s="110">
        <v>447603.67</v>
      </c>
      <c r="AG152" s="110">
        <v>452429.96</v>
      </c>
      <c r="AH152" s="110">
        <v>457308.15999999997</v>
      </c>
      <c r="AI152" s="110">
        <v>461039.38</v>
      </c>
      <c r="AJ152" s="110">
        <v>455980.92</v>
      </c>
      <c r="AK152" s="110">
        <v>450328.11</v>
      </c>
      <c r="AL152" s="110">
        <v>449812.92</v>
      </c>
      <c r="AM152" s="110">
        <v>465430.02</v>
      </c>
      <c r="AN152" s="110">
        <v>470101.02</v>
      </c>
      <c r="AO152" s="110">
        <v>467671.67</v>
      </c>
      <c r="AP152" s="110">
        <v>460128.81</v>
      </c>
      <c r="AQ152" s="110">
        <v>456835.51</v>
      </c>
      <c r="AR152" s="110">
        <v>460257.45</v>
      </c>
      <c r="AS152" s="110">
        <v>464158.34</v>
      </c>
      <c r="AT152" s="110">
        <v>464393.07</v>
      </c>
      <c r="AU152" s="110">
        <v>468957.11</v>
      </c>
      <c r="AV152" s="110">
        <v>468601.48</v>
      </c>
      <c r="AW152" s="110">
        <v>467689.84</v>
      </c>
      <c r="AX152" s="110">
        <v>467802.98</v>
      </c>
      <c r="AY152" s="110">
        <v>281479.77</v>
      </c>
      <c r="AZ152" s="110"/>
      <c r="BA152" s="110"/>
      <c r="BB152" s="110"/>
      <c r="BC152" s="110"/>
      <c r="BD152" s="110">
        <v>0</v>
      </c>
      <c r="BE152" s="110">
        <v>0</v>
      </c>
      <c r="BF152" s="110">
        <v>0</v>
      </c>
      <c r="BG152" s="110" t="s">
        <v>2932</v>
      </c>
      <c r="BH152" s="110">
        <v>0</v>
      </c>
      <c r="BI152" s="110" t="s">
        <v>2932</v>
      </c>
      <c r="BJ152" s="110">
        <v>0</v>
      </c>
      <c r="BK152" s="237">
        <v>0</v>
      </c>
      <c r="BL152" s="237">
        <v>0</v>
      </c>
      <c r="BM152" s="237">
        <v>0</v>
      </c>
      <c r="BN152" s="237">
        <v>0</v>
      </c>
      <c r="BO152" s="237">
        <v>0</v>
      </c>
      <c r="BP152" s="237">
        <v>0</v>
      </c>
      <c r="BQ152" s="237">
        <v>0</v>
      </c>
      <c r="BR152" s="237">
        <v>0</v>
      </c>
      <c r="BS152" s="237">
        <v>0</v>
      </c>
      <c r="BT152" s="237">
        <v>0</v>
      </c>
      <c r="BU152" s="237">
        <v>0</v>
      </c>
      <c r="BV152" s="237">
        <v>0</v>
      </c>
      <c r="BW152" s="237">
        <v>0</v>
      </c>
      <c r="BX152" s="237">
        <v>0</v>
      </c>
      <c r="BY152" s="237">
        <v>0</v>
      </c>
      <c r="BZ152" s="237">
        <v>0</v>
      </c>
      <c r="CA152" s="237">
        <v>0</v>
      </c>
      <c r="CB152" s="237">
        <v>0</v>
      </c>
      <c r="CC152" s="237">
        <v>0</v>
      </c>
      <c r="CD152" s="237">
        <v>0</v>
      </c>
      <c r="CE152" s="237">
        <v>0</v>
      </c>
      <c r="CF152" s="237">
        <v>0</v>
      </c>
      <c r="CG152" s="237">
        <v>0</v>
      </c>
      <c r="CH152" s="30">
        <v>0</v>
      </c>
      <c r="CI152" s="30">
        <v>0</v>
      </c>
      <c r="CJ152" s="30" t="e">
        <f t="array" aca="1" ref="CJ152" ca="1">_xludf.XLOOKUP(C152,'PL TOTAL D0'!H:H,'PL TOTAL D0'!I:I,"")</f>
        <v>#NAME?</v>
      </c>
    </row>
    <row r="153" spans="1:88" ht="15.75" customHeight="1">
      <c r="A153" s="36" t="s">
        <v>2921</v>
      </c>
      <c r="B153" s="37" t="s">
        <v>3181</v>
      </c>
      <c r="C153" s="9">
        <v>319476</v>
      </c>
      <c r="D153" s="9" t="s">
        <v>19</v>
      </c>
      <c r="E153" s="9" t="s">
        <v>20</v>
      </c>
      <c r="F153" s="6" t="s">
        <v>199</v>
      </c>
      <c r="G153" s="7" t="e">
        <f t="shared" ca="1" si="0"/>
        <v>#NAME?</v>
      </c>
      <c r="H153" s="8" t="s">
        <v>143</v>
      </c>
      <c r="I153" s="24" t="s">
        <v>25</v>
      </c>
      <c r="J153" s="9" t="str">
        <f t="shared" si="3"/>
        <v>Não</v>
      </c>
      <c r="K153" s="239">
        <v>43420</v>
      </c>
      <c r="L153" s="107">
        <v>44309</v>
      </c>
      <c r="M153" s="6" t="s">
        <v>345</v>
      </c>
      <c r="N153" s="10">
        <v>0.01</v>
      </c>
      <c r="O153" s="9" t="s">
        <v>37</v>
      </c>
      <c r="P153" s="234">
        <v>0.2</v>
      </c>
      <c r="Q153" s="258"/>
      <c r="R153" s="108" t="s">
        <v>3182</v>
      </c>
      <c r="S153" s="7" t="s">
        <v>145</v>
      </c>
      <c r="T153" s="6" t="s">
        <v>3183</v>
      </c>
      <c r="U153" s="6" t="s">
        <v>20</v>
      </c>
      <c r="V153" s="24" t="e">
        <f t="shared" ca="1" si="2"/>
        <v>#NAME?</v>
      </c>
      <c r="W153" s="24"/>
      <c r="X153" s="24"/>
      <c r="Y153" s="6"/>
      <c r="Z153" s="6"/>
      <c r="AA153" s="6"/>
      <c r="AB153" s="6"/>
      <c r="AC153" s="110">
        <v>184910.07</v>
      </c>
      <c r="AD153" s="110">
        <v>179564.56</v>
      </c>
      <c r="AE153" s="110">
        <v>164786.12</v>
      </c>
      <c r="AF153" s="110">
        <v>146437.91</v>
      </c>
      <c r="AG153" s="110">
        <v>148675.23000000001</v>
      </c>
      <c r="AH153" s="110">
        <v>151484.65</v>
      </c>
      <c r="AI153" s="110">
        <v>154265.85</v>
      </c>
      <c r="AJ153" s="110">
        <v>150579.97</v>
      </c>
      <c r="AK153" s="110">
        <v>148239.73000000001</v>
      </c>
      <c r="AL153" s="110">
        <v>147105.81</v>
      </c>
      <c r="AM153" s="110">
        <v>154348.13</v>
      </c>
      <c r="AN153" s="110">
        <v>158193.51</v>
      </c>
      <c r="AO153" s="110">
        <v>154063.5</v>
      </c>
      <c r="AP153" s="110">
        <v>149214.67000000001</v>
      </c>
      <c r="AQ153" s="110">
        <v>147362.32999999999</v>
      </c>
      <c r="AR153" s="110">
        <v>152841.38</v>
      </c>
      <c r="AS153" s="110">
        <v>79.42</v>
      </c>
      <c r="AT153" s="110">
        <v>79.42</v>
      </c>
      <c r="AU153" s="110"/>
      <c r="AV153" s="110">
        <v>28.09</v>
      </c>
      <c r="AW153" s="110">
        <v>28.09</v>
      </c>
      <c r="AX153" s="110">
        <v>28.09</v>
      </c>
      <c r="AY153" s="110">
        <v>28.09</v>
      </c>
      <c r="AZ153" s="110">
        <v>28.09</v>
      </c>
      <c r="BA153" s="110">
        <v>28.09</v>
      </c>
      <c r="BB153" s="110">
        <v>28.09</v>
      </c>
      <c r="BC153" s="110"/>
      <c r="BD153" s="110">
        <v>0</v>
      </c>
      <c r="BE153" s="110">
        <v>0</v>
      </c>
      <c r="BF153" s="110">
        <v>0</v>
      </c>
      <c r="BG153" s="110" t="s">
        <v>2932</v>
      </c>
      <c r="BH153" s="110">
        <v>0</v>
      </c>
      <c r="BI153" s="110" t="s">
        <v>2932</v>
      </c>
      <c r="BJ153" s="110">
        <v>0</v>
      </c>
      <c r="BK153" s="237">
        <v>0</v>
      </c>
      <c r="BL153" s="237">
        <v>0</v>
      </c>
      <c r="BM153" s="237">
        <v>0</v>
      </c>
      <c r="BN153" s="237">
        <v>0</v>
      </c>
      <c r="BO153" s="237">
        <v>0</v>
      </c>
      <c r="BP153" s="237">
        <v>0</v>
      </c>
      <c r="BQ153" s="237">
        <v>0</v>
      </c>
      <c r="BR153" s="237">
        <v>0</v>
      </c>
      <c r="BS153" s="237">
        <v>0</v>
      </c>
      <c r="BT153" s="237">
        <v>0</v>
      </c>
      <c r="BU153" s="237">
        <v>0</v>
      </c>
      <c r="BV153" s="237">
        <v>0</v>
      </c>
      <c r="BW153" s="237">
        <v>0</v>
      </c>
      <c r="BX153" s="237">
        <v>0</v>
      </c>
      <c r="BY153" s="237">
        <v>0</v>
      </c>
      <c r="BZ153" s="237">
        <v>0</v>
      </c>
      <c r="CA153" s="237">
        <v>0</v>
      </c>
      <c r="CB153" s="237">
        <v>0</v>
      </c>
      <c r="CC153" s="237">
        <v>0</v>
      </c>
      <c r="CD153" s="237">
        <v>0</v>
      </c>
      <c r="CE153" s="237">
        <v>0</v>
      </c>
      <c r="CF153" s="237">
        <v>0</v>
      </c>
      <c r="CG153" s="237">
        <v>0</v>
      </c>
      <c r="CH153" s="30">
        <v>0</v>
      </c>
      <c r="CI153" s="30">
        <v>0</v>
      </c>
      <c r="CJ153" s="30" t="e">
        <f t="array" aca="1" ref="CJ153" ca="1">_xludf.XLOOKUP(C153,'PL TOTAL D0'!H:H,'PL TOTAL D0'!I:I,"")</f>
        <v>#NAME?</v>
      </c>
    </row>
    <row r="154" spans="1:88" ht="15.75" customHeight="1">
      <c r="A154" s="36" t="s">
        <v>2921</v>
      </c>
      <c r="B154" s="3" t="s">
        <v>3184</v>
      </c>
      <c r="C154" s="9">
        <v>466570</v>
      </c>
      <c r="D154" s="9" t="s">
        <v>19</v>
      </c>
      <c r="E154" s="9" t="s">
        <v>34</v>
      </c>
      <c r="F154" s="9" t="s">
        <v>35</v>
      </c>
      <c r="G154" s="7" t="e">
        <f t="shared" ca="1" si="0"/>
        <v>#NAME?</v>
      </c>
      <c r="H154" s="8" t="s">
        <v>143</v>
      </c>
      <c r="I154" s="24" t="s">
        <v>25</v>
      </c>
      <c r="J154" s="9" t="str">
        <f t="shared" si="3"/>
        <v>Não</v>
      </c>
      <c r="K154" s="232">
        <v>44321</v>
      </c>
      <c r="L154" s="107">
        <v>44950</v>
      </c>
      <c r="M154" s="6" t="s">
        <v>200</v>
      </c>
      <c r="N154" s="26">
        <v>1.4999999999999999E-2</v>
      </c>
      <c r="O154" s="9" t="s">
        <v>37</v>
      </c>
      <c r="P154" s="234">
        <v>0.1</v>
      </c>
      <c r="Q154" s="28"/>
      <c r="R154" s="28"/>
      <c r="S154" s="7" t="s">
        <v>145</v>
      </c>
      <c r="T154" s="6" t="s">
        <v>3185</v>
      </c>
      <c r="U154" s="6" t="s">
        <v>39</v>
      </c>
      <c r="V154" s="24" t="e">
        <f t="shared" ca="1" si="2"/>
        <v>#NAME?</v>
      </c>
      <c r="W154" s="24"/>
      <c r="X154" s="24"/>
      <c r="Y154" s="6" t="s">
        <v>253</v>
      </c>
      <c r="Z154" s="6"/>
      <c r="AA154" s="6"/>
      <c r="AB154" s="6"/>
      <c r="AC154" s="132"/>
      <c r="AD154" s="132"/>
      <c r="AE154" s="132"/>
      <c r="AF154" s="132"/>
      <c r="AG154" s="132"/>
      <c r="AH154" s="132"/>
      <c r="AI154" s="132"/>
      <c r="AJ154" s="132"/>
      <c r="AK154" s="132"/>
      <c r="AL154" s="132"/>
      <c r="AM154" s="132"/>
      <c r="AN154" s="132"/>
      <c r="AO154" s="132"/>
      <c r="AP154" s="110"/>
      <c r="AQ154" s="236"/>
      <c r="AR154" s="236"/>
      <c r="AS154" s="236"/>
      <c r="AT154" s="236"/>
      <c r="AU154" s="236">
        <v>173074.87</v>
      </c>
      <c r="AV154" s="110">
        <v>176844.78</v>
      </c>
      <c r="AW154" s="110">
        <v>179531.08</v>
      </c>
      <c r="AX154" s="110">
        <v>181313.76</v>
      </c>
      <c r="AY154" s="110">
        <v>166132.23000000001</v>
      </c>
      <c r="AZ154" s="110">
        <v>176615.85</v>
      </c>
      <c r="BA154" s="110">
        <v>175135.7</v>
      </c>
      <c r="BB154" s="110">
        <v>174838.5</v>
      </c>
      <c r="BC154" s="110">
        <v>178412.48</v>
      </c>
      <c r="BD154" s="110">
        <v>48891.78</v>
      </c>
      <c r="BE154" s="110">
        <v>39678.14</v>
      </c>
      <c r="BF154" s="110">
        <v>38372.31</v>
      </c>
      <c r="BG154" s="237">
        <v>37602.080000000002</v>
      </c>
      <c r="BH154" s="237">
        <v>0</v>
      </c>
      <c r="BI154" s="237">
        <v>36710.99</v>
      </c>
      <c r="BJ154" s="237">
        <v>36794.17</v>
      </c>
      <c r="BK154" s="237">
        <v>37751.33</v>
      </c>
      <c r="BL154" s="237">
        <v>26846.27</v>
      </c>
      <c r="BM154" s="237">
        <v>27952.639999999999</v>
      </c>
      <c r="BN154" s="237">
        <v>28384.11</v>
      </c>
      <c r="BO154" s="237">
        <v>-36.619999999999997</v>
      </c>
      <c r="BP154" s="237">
        <v>0</v>
      </c>
      <c r="BQ154" s="237">
        <v>22.34</v>
      </c>
      <c r="BR154" s="237">
        <v>22.34</v>
      </c>
      <c r="BS154" s="237">
        <v>22.34</v>
      </c>
      <c r="BT154" s="237">
        <v>0</v>
      </c>
      <c r="BU154" s="237">
        <v>0</v>
      </c>
      <c r="BV154" s="237">
        <v>0</v>
      </c>
      <c r="BW154" s="237">
        <v>0</v>
      </c>
      <c r="BX154" s="237">
        <v>0</v>
      </c>
      <c r="BY154" s="237">
        <v>0</v>
      </c>
      <c r="BZ154" s="237">
        <v>0</v>
      </c>
      <c r="CA154" s="237">
        <v>0</v>
      </c>
      <c r="CB154" s="237">
        <v>0</v>
      </c>
      <c r="CC154" s="237">
        <v>0</v>
      </c>
      <c r="CD154" s="237">
        <v>0</v>
      </c>
      <c r="CE154" s="237">
        <v>0</v>
      </c>
      <c r="CF154" s="237">
        <v>0</v>
      </c>
      <c r="CG154" s="237">
        <v>0</v>
      </c>
      <c r="CH154" s="30">
        <v>0</v>
      </c>
      <c r="CI154" s="30">
        <v>0</v>
      </c>
      <c r="CJ154" s="30" t="e">
        <f t="array" aca="1" ref="CJ154" ca="1">_xludf.XLOOKUP(C154,'PL TOTAL D0'!H:H,'PL TOTAL D0'!I:I,"")</f>
        <v>#NAME?</v>
      </c>
    </row>
    <row r="155" spans="1:88" ht="15.75" customHeight="1">
      <c r="A155" s="36" t="s">
        <v>2921</v>
      </c>
      <c r="B155" s="3" t="s">
        <v>3186</v>
      </c>
      <c r="C155" s="9">
        <v>457787</v>
      </c>
      <c r="D155" s="9" t="s">
        <v>19</v>
      </c>
      <c r="E155" s="9" t="s">
        <v>34</v>
      </c>
      <c r="F155" s="6" t="s">
        <v>262</v>
      </c>
      <c r="G155" s="7" t="e">
        <f t="shared" ca="1" si="0"/>
        <v>#NAME?</v>
      </c>
      <c r="H155" s="8" t="s">
        <v>143</v>
      </c>
      <c r="I155" s="24" t="s">
        <v>25</v>
      </c>
      <c r="J155" s="9" t="str">
        <f t="shared" si="3"/>
        <v>Não</v>
      </c>
      <c r="K155" s="107">
        <v>44319</v>
      </c>
      <c r="L155" s="79">
        <v>44487</v>
      </c>
      <c r="M155" s="6" t="s">
        <v>345</v>
      </c>
      <c r="N155" s="10">
        <v>0.02</v>
      </c>
      <c r="O155" s="9" t="s">
        <v>37</v>
      </c>
      <c r="P155" s="234">
        <v>0.2</v>
      </c>
      <c r="Q155" s="108"/>
      <c r="R155" s="108"/>
      <c r="S155" s="7" t="s">
        <v>145</v>
      </c>
      <c r="T155" s="6" t="s">
        <v>3187</v>
      </c>
      <c r="U155" s="6" t="s">
        <v>39</v>
      </c>
      <c r="V155" s="24" t="e">
        <f t="shared" ca="1" si="2"/>
        <v>#NAME?</v>
      </c>
      <c r="W155" s="24"/>
      <c r="X155" s="24"/>
      <c r="Y155" s="6"/>
      <c r="Z155" s="6"/>
      <c r="AA155" s="6"/>
      <c r="AB155" s="6"/>
      <c r="AC155" s="132"/>
      <c r="AD155" s="132"/>
      <c r="AE155" s="132"/>
      <c r="AF155" s="132"/>
      <c r="AG155" s="132"/>
      <c r="AH155" s="132"/>
      <c r="AI155" s="132"/>
      <c r="AJ155" s="132"/>
      <c r="AK155" s="132"/>
      <c r="AL155" s="132"/>
      <c r="AM155" s="132"/>
      <c r="AN155" s="132"/>
      <c r="AO155" s="132"/>
      <c r="AP155" s="110"/>
      <c r="AQ155" s="110"/>
      <c r="AR155" s="110"/>
      <c r="AS155" s="110"/>
      <c r="AT155" s="110"/>
      <c r="AU155" s="110">
        <v>184854.58</v>
      </c>
      <c r="AV155" s="110">
        <v>183521.13</v>
      </c>
      <c r="AW155" s="110">
        <v>180756.61</v>
      </c>
      <c r="AX155" s="110">
        <v>187906.7</v>
      </c>
      <c r="AY155" s="110">
        <v>168203.81</v>
      </c>
      <c r="AZ155" s="110"/>
      <c r="BA155" s="110"/>
      <c r="BB155" s="110"/>
      <c r="BC155" s="110"/>
      <c r="BD155" s="110">
        <v>0</v>
      </c>
      <c r="BE155" s="110">
        <v>0</v>
      </c>
      <c r="BF155" s="110">
        <v>0</v>
      </c>
      <c r="BG155" s="110" t="s">
        <v>2932</v>
      </c>
      <c r="BH155" s="110">
        <v>0</v>
      </c>
      <c r="BI155" s="110" t="s">
        <v>2932</v>
      </c>
      <c r="BJ155" s="110">
        <v>0</v>
      </c>
      <c r="BK155" s="237">
        <v>0</v>
      </c>
      <c r="BL155" s="237">
        <v>0</v>
      </c>
      <c r="BM155" s="237">
        <v>0</v>
      </c>
      <c r="BN155" s="237">
        <v>0</v>
      </c>
      <c r="BO155" s="237">
        <v>0</v>
      </c>
      <c r="BP155" s="237">
        <v>0</v>
      </c>
      <c r="BQ155" s="237">
        <v>0</v>
      </c>
      <c r="BR155" s="237">
        <v>0</v>
      </c>
      <c r="BS155" s="237">
        <v>0</v>
      </c>
      <c r="BT155" s="237">
        <v>0</v>
      </c>
      <c r="BU155" s="237">
        <v>0</v>
      </c>
      <c r="BV155" s="237">
        <v>0</v>
      </c>
      <c r="BW155" s="237">
        <v>0</v>
      </c>
      <c r="BX155" s="237">
        <v>0</v>
      </c>
      <c r="BY155" s="237">
        <v>0</v>
      </c>
      <c r="BZ155" s="237">
        <v>0</v>
      </c>
      <c r="CA155" s="237">
        <v>0</v>
      </c>
      <c r="CB155" s="237">
        <v>0</v>
      </c>
      <c r="CC155" s="237">
        <v>0</v>
      </c>
      <c r="CD155" s="237">
        <v>0</v>
      </c>
      <c r="CE155" s="237">
        <v>0</v>
      </c>
      <c r="CF155" s="237">
        <v>0</v>
      </c>
      <c r="CG155" s="237">
        <v>0</v>
      </c>
      <c r="CH155" s="30">
        <v>0</v>
      </c>
      <c r="CI155" s="30">
        <v>0</v>
      </c>
      <c r="CJ155" s="30" t="e">
        <f t="array" aca="1" ref="CJ155" ca="1">_xludf.XLOOKUP(C155,'PL TOTAL D0'!H:H,'PL TOTAL D0'!I:I,"")</f>
        <v>#NAME?</v>
      </c>
    </row>
    <row r="156" spans="1:88" ht="15.75" customHeight="1">
      <c r="A156" s="36" t="s">
        <v>2921</v>
      </c>
      <c r="B156" s="36" t="s">
        <v>3188</v>
      </c>
      <c r="C156" s="9">
        <v>47285</v>
      </c>
      <c r="D156" s="9" t="s">
        <v>19</v>
      </c>
      <c r="E156" s="9" t="s">
        <v>34</v>
      </c>
      <c r="F156" s="6" t="s">
        <v>262</v>
      </c>
      <c r="G156" s="7" t="e">
        <f t="shared" ca="1" si="0"/>
        <v>#NAME?</v>
      </c>
      <c r="H156" s="8" t="s">
        <v>161</v>
      </c>
      <c r="I156" s="24" t="s">
        <v>162</v>
      </c>
      <c r="J156" s="9" t="str">
        <f t="shared" si="3"/>
        <v>Sim</v>
      </c>
      <c r="K156" s="232">
        <v>44665</v>
      </c>
      <c r="L156" s="6"/>
      <c r="M156" s="6" t="s">
        <v>345</v>
      </c>
      <c r="N156" s="233">
        <v>0.02</v>
      </c>
      <c r="O156" s="9" t="s">
        <v>37</v>
      </c>
      <c r="P156" s="234">
        <v>0.2</v>
      </c>
      <c r="Q156" s="108" t="s">
        <v>3189</v>
      </c>
      <c r="R156" s="108"/>
      <c r="S156" s="7" t="s">
        <v>145</v>
      </c>
      <c r="T156" s="9" t="s">
        <v>3190</v>
      </c>
      <c r="U156" s="6" t="s">
        <v>39</v>
      </c>
      <c r="V156" s="24" t="e">
        <f t="shared" ca="1" si="2"/>
        <v>#NAME?</v>
      </c>
      <c r="W156" s="24"/>
      <c r="X156" s="24"/>
      <c r="Y156" s="6" t="s">
        <v>253</v>
      </c>
      <c r="Z156" s="6"/>
      <c r="AA156" s="107">
        <v>44665</v>
      </c>
      <c r="AB156" s="6">
        <v>49075100003734</v>
      </c>
      <c r="AC156" s="110"/>
      <c r="AD156" s="110"/>
      <c r="AE156" s="110"/>
      <c r="AF156" s="110"/>
      <c r="AG156" s="110"/>
      <c r="AH156" s="110"/>
      <c r="AI156" s="110"/>
      <c r="AJ156" s="110"/>
      <c r="AK156" s="110"/>
      <c r="AL156" s="110"/>
      <c r="AM156" s="110"/>
      <c r="AN156" s="110"/>
      <c r="AO156" s="110"/>
      <c r="AP156" s="110"/>
      <c r="AQ156" s="236"/>
      <c r="AR156" s="236"/>
      <c r="AS156" s="236"/>
      <c r="AT156" s="236"/>
      <c r="AU156" s="236"/>
      <c r="AV156" s="110"/>
      <c r="AW156" s="110"/>
      <c r="AX156" s="110"/>
      <c r="AY156" s="110"/>
      <c r="AZ156" s="110"/>
      <c r="BA156" s="110"/>
      <c r="BB156" s="110"/>
      <c r="BC156" s="110"/>
      <c r="BD156" s="110"/>
      <c r="BE156" s="110">
        <v>100590.39</v>
      </c>
      <c r="BF156" s="110">
        <v>97218.47</v>
      </c>
      <c r="BG156" s="237">
        <v>96479.49</v>
      </c>
      <c r="BH156" s="237">
        <v>77324.62</v>
      </c>
      <c r="BI156" s="237">
        <v>79143.88</v>
      </c>
      <c r="BJ156" s="237">
        <v>80219.34</v>
      </c>
      <c r="BK156" s="237">
        <v>70988.98</v>
      </c>
      <c r="BL156" s="237">
        <v>70740.02</v>
      </c>
      <c r="BM156" s="237">
        <v>73438.320000000007</v>
      </c>
      <c r="BN156" s="237">
        <v>73783.429999999993</v>
      </c>
      <c r="BO156" s="237">
        <v>174792.84</v>
      </c>
      <c r="BP156" s="237">
        <v>174692.91</v>
      </c>
      <c r="BQ156" s="237">
        <v>115281.75</v>
      </c>
      <c r="BR156" s="237">
        <v>114876.34</v>
      </c>
      <c r="BS156" s="237">
        <v>96957.85</v>
      </c>
      <c r="BT156" s="237">
        <v>100492.71</v>
      </c>
      <c r="BU156" s="237">
        <v>90120.23</v>
      </c>
      <c r="BV156" s="237">
        <v>89785.03</v>
      </c>
      <c r="BW156" s="237">
        <v>77146.36</v>
      </c>
      <c r="BX156" s="237">
        <v>32046.63</v>
      </c>
      <c r="BY156" s="237">
        <v>32051.94</v>
      </c>
      <c r="BZ156" s="237">
        <v>32567.94</v>
      </c>
      <c r="CA156" s="237">
        <v>12346.71</v>
      </c>
      <c r="CB156" s="237">
        <v>6382.66</v>
      </c>
      <c r="CC156" s="237">
        <v>6454.34</v>
      </c>
      <c r="CD156" s="237">
        <v>90.89</v>
      </c>
      <c r="CE156" s="237">
        <v>0</v>
      </c>
      <c r="CF156" s="237">
        <v>76.5</v>
      </c>
      <c r="CG156" s="237">
        <v>76.5</v>
      </c>
      <c r="CH156" s="30">
        <v>76.5</v>
      </c>
      <c r="CI156" s="30">
        <v>68.459999999999994</v>
      </c>
      <c r="CJ156" s="30" t="e">
        <f t="array" aca="1" ref="CJ156" ca="1">_xludf.XLOOKUP(C156,'PL TOTAL D0'!H:H,'PL TOTAL D0'!I:I,"")</f>
        <v>#NAME?</v>
      </c>
    </row>
    <row r="157" spans="1:88" ht="15.75" customHeight="1">
      <c r="A157" s="36" t="s">
        <v>2921</v>
      </c>
      <c r="B157" s="36" t="s">
        <v>3191</v>
      </c>
      <c r="C157" s="9">
        <v>434550</v>
      </c>
      <c r="D157" s="9" t="s">
        <v>2923</v>
      </c>
      <c r="E157" s="9" t="s">
        <v>20</v>
      </c>
      <c r="F157" s="9" t="s">
        <v>2924</v>
      </c>
      <c r="G157" s="7" t="e">
        <f t="shared" ca="1" si="0"/>
        <v>#NAME?</v>
      </c>
      <c r="H157" s="8" t="s">
        <v>161</v>
      </c>
      <c r="I157" s="24" t="s">
        <v>162</v>
      </c>
      <c r="J157" s="9" t="str">
        <f t="shared" si="3"/>
        <v>Sim</v>
      </c>
      <c r="K157" s="232">
        <v>43703</v>
      </c>
      <c r="L157" s="6"/>
      <c r="M157" s="6" t="s">
        <v>200</v>
      </c>
      <c r="N157" s="233">
        <v>0.01</v>
      </c>
      <c r="O157" s="9" t="s">
        <v>37</v>
      </c>
      <c r="P157" s="234">
        <v>0.1</v>
      </c>
      <c r="Q157" s="108" t="s">
        <v>2947</v>
      </c>
      <c r="R157" s="235" t="s">
        <v>3192</v>
      </c>
      <c r="S157" s="7" t="s">
        <v>145</v>
      </c>
      <c r="T157" s="9" t="s">
        <v>3193</v>
      </c>
      <c r="U157" s="6" t="s">
        <v>49</v>
      </c>
      <c r="V157" s="24" t="e">
        <f t="shared" ca="1" si="2"/>
        <v>#NAME?</v>
      </c>
      <c r="W157" s="24"/>
      <c r="X157" s="24"/>
      <c r="Y157" s="6" t="s">
        <v>253</v>
      </c>
      <c r="Z157" s="6"/>
      <c r="AA157" s="107">
        <v>43703</v>
      </c>
      <c r="AB157" s="6">
        <v>49075100003742</v>
      </c>
      <c r="AC157" s="110">
        <v>1230285.8700000001</v>
      </c>
      <c r="AD157" s="110">
        <v>1196668.03</v>
      </c>
      <c r="AE157" s="110">
        <v>1123936</v>
      </c>
      <c r="AF157" s="110">
        <v>1019910.22</v>
      </c>
      <c r="AG157" s="110">
        <v>1018782.82</v>
      </c>
      <c r="AH157" s="110">
        <v>924214.59</v>
      </c>
      <c r="AI157" s="110">
        <v>941268.72</v>
      </c>
      <c r="AJ157" s="110">
        <v>708730.57</v>
      </c>
      <c r="AK157" s="110">
        <v>701627.31</v>
      </c>
      <c r="AL157" s="110">
        <v>689579.16</v>
      </c>
      <c r="AM157" s="110">
        <v>693113.96</v>
      </c>
      <c r="AN157" s="110">
        <v>688903.98</v>
      </c>
      <c r="AO157" s="110">
        <v>467672.88</v>
      </c>
      <c r="AP157" s="110">
        <v>461203.04</v>
      </c>
      <c r="AQ157" s="236">
        <v>459132.37</v>
      </c>
      <c r="AR157" s="236">
        <v>443380.61</v>
      </c>
      <c r="AS157" s="236">
        <v>428822.88</v>
      </c>
      <c r="AT157" s="236">
        <v>428241.5</v>
      </c>
      <c r="AU157" s="236">
        <v>305448.17</v>
      </c>
      <c r="AV157" s="110">
        <v>312990.56</v>
      </c>
      <c r="AW157" s="110">
        <v>288181.64</v>
      </c>
      <c r="AX157" s="110">
        <v>270133.05</v>
      </c>
      <c r="AY157" s="110">
        <v>243979.55</v>
      </c>
      <c r="AZ157" s="110">
        <v>233001.21</v>
      </c>
      <c r="BA157" s="110">
        <v>226795.51999999999</v>
      </c>
      <c r="BB157" s="110">
        <v>203065.1</v>
      </c>
      <c r="BC157" s="110">
        <v>205481.9</v>
      </c>
      <c r="BD157" s="110">
        <v>202842.3</v>
      </c>
      <c r="BE157" s="110">
        <v>196857.42</v>
      </c>
      <c r="BF157" s="110">
        <v>189865.69</v>
      </c>
      <c r="BG157" s="237">
        <v>156461.71</v>
      </c>
      <c r="BH157" s="237">
        <v>9233.27</v>
      </c>
      <c r="BI157" s="237">
        <v>9708.43</v>
      </c>
      <c r="BJ157" s="237">
        <v>10329.35</v>
      </c>
      <c r="BK157" s="237">
        <v>10303.25</v>
      </c>
      <c r="BL157" s="237">
        <v>10693.02</v>
      </c>
      <c r="BM157" s="237">
        <v>998.28</v>
      </c>
      <c r="BN157" s="237">
        <v>1053.19</v>
      </c>
      <c r="BO157" s="237">
        <v>1067.82</v>
      </c>
      <c r="BP157" s="237">
        <v>1070.1300000000001</v>
      </c>
      <c r="BQ157" s="237">
        <v>1073.1500000000001</v>
      </c>
      <c r="BR157" s="237">
        <v>1075.28</v>
      </c>
      <c r="BS157" s="237">
        <v>378.45</v>
      </c>
      <c r="BT157" s="237">
        <v>0</v>
      </c>
      <c r="BU157" s="237">
        <v>0</v>
      </c>
      <c r="BV157" s="237">
        <v>0</v>
      </c>
      <c r="BW157" s="237">
        <v>0</v>
      </c>
      <c r="BX157" s="237">
        <v>0</v>
      </c>
      <c r="BY157" s="237">
        <v>0</v>
      </c>
      <c r="BZ157" s="237">
        <v>0</v>
      </c>
      <c r="CA157" s="237">
        <v>0</v>
      </c>
      <c r="CB157" s="237">
        <v>0</v>
      </c>
      <c r="CC157" s="237">
        <v>0</v>
      </c>
      <c r="CD157" s="237">
        <v>0</v>
      </c>
      <c r="CE157" s="237">
        <v>0</v>
      </c>
      <c r="CF157" s="237">
        <v>0</v>
      </c>
      <c r="CG157" s="237">
        <v>0</v>
      </c>
      <c r="CH157" s="30">
        <v>0</v>
      </c>
      <c r="CI157" s="30">
        <v>0</v>
      </c>
      <c r="CJ157" s="30" t="e">
        <f t="array" aca="1" ref="CJ157" ca="1">_xludf.XLOOKUP(C157,'PL TOTAL D0'!H:H,'PL TOTAL D0'!I:I,"")</f>
        <v>#NAME?</v>
      </c>
    </row>
    <row r="158" spans="1:88" ht="15.75" customHeight="1">
      <c r="A158" s="36" t="s">
        <v>2921</v>
      </c>
      <c r="B158" s="36" t="s">
        <v>3191</v>
      </c>
      <c r="C158" s="9">
        <v>463906</v>
      </c>
      <c r="D158" s="9" t="s">
        <v>2923</v>
      </c>
      <c r="E158" s="9" t="s">
        <v>20</v>
      </c>
      <c r="F158" s="9" t="s">
        <v>2924</v>
      </c>
      <c r="G158" s="7" t="e">
        <f t="shared" ca="1" si="0"/>
        <v>#NAME?</v>
      </c>
      <c r="H158" s="8" t="s">
        <v>161</v>
      </c>
      <c r="I158" s="24" t="s">
        <v>162</v>
      </c>
      <c r="J158" s="9" t="str">
        <f t="shared" si="3"/>
        <v>Não</v>
      </c>
      <c r="K158" s="232">
        <v>43704</v>
      </c>
      <c r="L158" s="6"/>
      <c r="M158" s="6" t="s">
        <v>58</v>
      </c>
      <c r="N158" s="233">
        <v>1.2E-2</v>
      </c>
      <c r="O158" s="9" t="s">
        <v>25</v>
      </c>
      <c r="P158" s="234">
        <v>0</v>
      </c>
      <c r="Q158" s="45"/>
      <c r="R158" s="108" t="s">
        <v>3194</v>
      </c>
      <c r="S158" s="7" t="s">
        <v>145</v>
      </c>
      <c r="T158" s="9" t="s">
        <v>3193</v>
      </c>
      <c r="U158" s="6" t="s">
        <v>49</v>
      </c>
      <c r="V158" s="24" t="e">
        <f t="shared" ca="1" si="2"/>
        <v>#NAME?</v>
      </c>
      <c r="W158" s="24"/>
      <c r="X158" s="24"/>
      <c r="Y158" s="6" t="s">
        <v>253</v>
      </c>
      <c r="Z158" s="6"/>
      <c r="AA158" s="107">
        <v>43704</v>
      </c>
      <c r="AB158" s="6">
        <v>49075100010633</v>
      </c>
      <c r="AC158" s="240"/>
      <c r="AD158" s="240"/>
      <c r="AE158" s="240"/>
      <c r="AF158" s="110"/>
      <c r="AG158" s="110"/>
      <c r="AH158" s="240"/>
      <c r="AI158" s="240"/>
      <c r="AJ158" s="110">
        <v>118778.82</v>
      </c>
      <c r="AK158" s="110">
        <v>117492.1</v>
      </c>
      <c r="AL158" s="110">
        <v>97244.24</v>
      </c>
      <c r="AM158" s="110">
        <v>89971.79</v>
      </c>
      <c r="AN158" s="110">
        <v>85276.84</v>
      </c>
      <c r="AO158" s="110">
        <v>78236.160000000003</v>
      </c>
      <c r="AP158" s="110">
        <v>77425.88</v>
      </c>
      <c r="AQ158" s="236">
        <v>77232.39</v>
      </c>
      <c r="AR158" s="236">
        <v>77999.600000000006</v>
      </c>
      <c r="AS158" s="236">
        <v>78185.960000000006</v>
      </c>
      <c r="AT158" s="236">
        <v>78162.61</v>
      </c>
      <c r="AU158" s="236">
        <v>78810.84</v>
      </c>
      <c r="AV158" s="110">
        <v>78535.89</v>
      </c>
      <c r="AW158" s="110">
        <v>48081.3</v>
      </c>
      <c r="AX158" s="110">
        <v>46118.35</v>
      </c>
      <c r="AY158" s="110">
        <v>37873.339999999997</v>
      </c>
      <c r="AZ158" s="110">
        <v>37398.31</v>
      </c>
      <c r="BA158" s="110">
        <v>7085.46</v>
      </c>
      <c r="BB158" s="110">
        <v>7107.7</v>
      </c>
      <c r="BC158" s="110">
        <v>7487.68</v>
      </c>
      <c r="BD158" s="110">
        <v>7724.06</v>
      </c>
      <c r="BE158" s="110">
        <v>7974.85</v>
      </c>
      <c r="BF158" s="110">
        <v>7658.95</v>
      </c>
      <c r="BG158" s="237">
        <v>7645.63</v>
      </c>
      <c r="BH158" s="237">
        <v>1866.27</v>
      </c>
      <c r="BI158" s="237">
        <v>1998.89</v>
      </c>
      <c r="BJ158" s="237">
        <v>2128.29</v>
      </c>
      <c r="BK158" s="237">
        <v>2184.59</v>
      </c>
      <c r="BL158" s="237">
        <v>10693.02</v>
      </c>
      <c r="BM158" s="237">
        <v>355.71</v>
      </c>
      <c r="BN158" s="237">
        <v>355.71</v>
      </c>
      <c r="BO158" s="237">
        <v>356.16</v>
      </c>
      <c r="BP158" s="237">
        <v>357.76</v>
      </c>
      <c r="BQ158" s="237">
        <v>362.96</v>
      </c>
      <c r="BR158" s="237">
        <v>361.32</v>
      </c>
      <c r="BS158" s="237">
        <v>0</v>
      </c>
      <c r="BT158" s="237">
        <v>0</v>
      </c>
      <c r="BU158" s="237">
        <v>0</v>
      </c>
      <c r="BV158" s="237">
        <v>0</v>
      </c>
      <c r="BW158" s="237">
        <v>0</v>
      </c>
      <c r="BX158" s="237">
        <v>0</v>
      </c>
      <c r="BY158" s="237">
        <v>0</v>
      </c>
      <c r="BZ158" s="237">
        <v>0</v>
      </c>
      <c r="CA158" s="237">
        <v>0</v>
      </c>
      <c r="CB158" s="237">
        <v>0</v>
      </c>
      <c r="CC158" s="237">
        <v>0</v>
      </c>
      <c r="CD158" s="237">
        <v>0</v>
      </c>
      <c r="CE158" s="237">
        <v>0</v>
      </c>
      <c r="CF158" s="237">
        <v>0</v>
      </c>
      <c r="CG158" s="237">
        <v>0</v>
      </c>
      <c r="CH158" s="30">
        <v>0</v>
      </c>
      <c r="CI158" s="30">
        <v>0</v>
      </c>
      <c r="CJ158" s="30" t="e">
        <f t="array" aca="1" ref="CJ158" ca="1">_xludf.XLOOKUP(C158,'PL TOTAL D0'!H:H,'PL TOTAL D0'!I:I,"")</f>
        <v>#NAME?</v>
      </c>
    </row>
    <row r="159" spans="1:88" ht="15.75" customHeight="1">
      <c r="A159" s="36" t="s">
        <v>2921</v>
      </c>
      <c r="B159" s="3" t="s">
        <v>3195</v>
      </c>
      <c r="C159" s="9">
        <v>433089</v>
      </c>
      <c r="D159" s="9" t="s">
        <v>2923</v>
      </c>
      <c r="E159" s="9" t="s">
        <v>20</v>
      </c>
      <c r="F159" s="6" t="s">
        <v>2924</v>
      </c>
      <c r="G159" s="7" t="e">
        <f t="shared" ca="1" si="0"/>
        <v>#NAME?</v>
      </c>
      <c r="H159" s="8" t="s">
        <v>143</v>
      </c>
      <c r="I159" s="24" t="s">
        <v>25</v>
      </c>
      <c r="J159" s="9" t="str">
        <f t="shared" si="3"/>
        <v>Não</v>
      </c>
      <c r="K159" s="107">
        <v>43692</v>
      </c>
      <c r="L159" s="107">
        <v>44505</v>
      </c>
      <c r="M159" s="6" t="s">
        <v>200</v>
      </c>
      <c r="N159" s="10">
        <v>0.01</v>
      </c>
      <c r="O159" s="9" t="s">
        <v>37</v>
      </c>
      <c r="P159" s="234">
        <v>0.1</v>
      </c>
      <c r="Q159" s="108"/>
      <c r="R159" s="45"/>
      <c r="S159" s="7" t="s">
        <v>145</v>
      </c>
      <c r="T159" s="6" t="s">
        <v>3196</v>
      </c>
      <c r="U159" s="6" t="s">
        <v>20</v>
      </c>
      <c r="V159" s="24" t="e">
        <f t="shared" ca="1" si="2"/>
        <v>#NAME?</v>
      </c>
      <c r="W159" s="24"/>
      <c r="X159" s="24"/>
      <c r="Y159" s="6"/>
      <c r="Z159" s="6"/>
      <c r="AA159" s="6"/>
      <c r="AB159" s="6"/>
      <c r="AC159" s="110">
        <v>400422.77</v>
      </c>
      <c r="AD159" s="110">
        <v>395290.18</v>
      </c>
      <c r="AE159" s="110">
        <v>377285.2</v>
      </c>
      <c r="AF159" s="110">
        <v>382929.98</v>
      </c>
      <c r="AG159" s="110">
        <v>385405.56</v>
      </c>
      <c r="AH159" s="110">
        <v>388895.31</v>
      </c>
      <c r="AI159" s="110">
        <v>394635.52000000002</v>
      </c>
      <c r="AJ159" s="110">
        <v>389383.38</v>
      </c>
      <c r="AK159" s="110">
        <v>385268.07</v>
      </c>
      <c r="AL159" s="110">
        <v>386552.02</v>
      </c>
      <c r="AM159" s="110">
        <v>396042.79</v>
      </c>
      <c r="AN159" s="110">
        <v>399685.9</v>
      </c>
      <c r="AO159" s="110">
        <v>397933.91</v>
      </c>
      <c r="AP159" s="110">
        <v>391473.88</v>
      </c>
      <c r="AQ159" s="110">
        <v>388722.82</v>
      </c>
      <c r="AR159" s="110">
        <v>395369.79</v>
      </c>
      <c r="AS159" s="110">
        <v>395606.78</v>
      </c>
      <c r="AT159" s="110">
        <v>395762.39</v>
      </c>
      <c r="AU159" s="110">
        <v>399867.24</v>
      </c>
      <c r="AV159" s="110">
        <v>399432.69</v>
      </c>
      <c r="AW159" s="110">
        <v>398303.09</v>
      </c>
      <c r="AX159" s="110">
        <v>395608.53</v>
      </c>
      <c r="AY159" s="110">
        <v>391042.04</v>
      </c>
      <c r="AZ159" s="110">
        <v>385086.87</v>
      </c>
      <c r="BA159" s="110"/>
      <c r="BB159" s="110"/>
      <c r="BC159" s="110"/>
      <c r="BD159" s="110">
        <v>0</v>
      </c>
      <c r="BE159" s="110">
        <v>0</v>
      </c>
      <c r="BF159" s="110">
        <v>0</v>
      </c>
      <c r="BG159" s="110" t="s">
        <v>2932</v>
      </c>
      <c r="BH159" s="110">
        <v>0</v>
      </c>
      <c r="BI159" s="110" t="s">
        <v>2932</v>
      </c>
      <c r="BJ159" s="110">
        <v>0</v>
      </c>
      <c r="BK159" s="237">
        <v>0</v>
      </c>
      <c r="BL159" s="237">
        <v>0</v>
      </c>
      <c r="BM159" s="237">
        <v>0</v>
      </c>
      <c r="BN159" s="237">
        <v>0</v>
      </c>
      <c r="BO159" s="237">
        <v>0</v>
      </c>
      <c r="BP159" s="237">
        <v>0</v>
      </c>
      <c r="BQ159" s="237">
        <v>0</v>
      </c>
      <c r="BR159" s="237">
        <v>0</v>
      </c>
      <c r="BS159" s="237">
        <v>0</v>
      </c>
      <c r="BT159" s="237">
        <v>0</v>
      </c>
      <c r="BU159" s="237">
        <v>0</v>
      </c>
      <c r="BV159" s="237">
        <v>0</v>
      </c>
      <c r="BW159" s="237">
        <v>0</v>
      </c>
      <c r="BX159" s="237">
        <v>0</v>
      </c>
      <c r="BY159" s="237">
        <v>0</v>
      </c>
      <c r="BZ159" s="237">
        <v>0</v>
      </c>
      <c r="CA159" s="237">
        <v>0</v>
      </c>
      <c r="CB159" s="237">
        <v>0</v>
      </c>
      <c r="CC159" s="237">
        <v>0</v>
      </c>
      <c r="CD159" s="237">
        <v>0</v>
      </c>
      <c r="CE159" s="237">
        <v>0</v>
      </c>
      <c r="CF159" s="237">
        <v>0</v>
      </c>
      <c r="CG159" s="237">
        <v>0</v>
      </c>
      <c r="CH159" s="30">
        <v>0</v>
      </c>
      <c r="CI159" s="30">
        <v>0</v>
      </c>
      <c r="CJ159" s="30" t="e">
        <f t="array" aca="1" ref="CJ159" ca="1">_xludf.XLOOKUP(C159,'PL TOTAL D0'!H:H,'PL TOTAL D0'!I:I,"")</f>
        <v>#NAME?</v>
      </c>
    </row>
    <row r="160" spans="1:88" ht="15.75" customHeight="1">
      <c r="A160" s="36" t="s">
        <v>2921</v>
      </c>
      <c r="B160" s="3" t="s">
        <v>3197</v>
      </c>
      <c r="C160" s="9">
        <v>446028</v>
      </c>
      <c r="D160" s="9" t="s">
        <v>2923</v>
      </c>
      <c r="E160" s="9" t="s">
        <v>20</v>
      </c>
      <c r="F160" s="9" t="s">
        <v>2924</v>
      </c>
      <c r="G160" s="7" t="e">
        <f t="shared" ca="1" si="0"/>
        <v>#NAME?</v>
      </c>
      <c r="H160" s="8" t="s">
        <v>161</v>
      </c>
      <c r="I160" s="24" t="s">
        <v>162</v>
      </c>
      <c r="J160" s="9" t="str">
        <f t="shared" si="3"/>
        <v>Não</v>
      </c>
      <c r="K160" s="232">
        <v>43875</v>
      </c>
      <c r="L160" s="6"/>
      <c r="M160" s="6" t="s">
        <v>58</v>
      </c>
      <c r="N160" s="233">
        <v>1.2E-2</v>
      </c>
      <c r="O160" s="9" t="s">
        <v>25</v>
      </c>
      <c r="P160" s="234">
        <v>0</v>
      </c>
      <c r="Q160" s="108"/>
      <c r="R160" s="108" t="s">
        <v>3198</v>
      </c>
      <c r="S160" s="7" t="s">
        <v>145</v>
      </c>
      <c r="T160" s="6" t="s">
        <v>3199</v>
      </c>
      <c r="U160" s="6" t="s">
        <v>20</v>
      </c>
      <c r="V160" s="24" t="e">
        <f t="shared" ca="1" si="2"/>
        <v>#NAME?</v>
      </c>
      <c r="W160" s="24"/>
      <c r="X160" s="24"/>
      <c r="Y160" s="6" t="s">
        <v>253</v>
      </c>
      <c r="Z160" s="6"/>
      <c r="AA160" s="107">
        <v>43875</v>
      </c>
      <c r="AB160" s="6">
        <v>49075100003777</v>
      </c>
      <c r="AC160" s="110">
        <v>0</v>
      </c>
      <c r="AD160" s="110">
        <v>198314.93</v>
      </c>
      <c r="AE160" s="110">
        <v>189268.2</v>
      </c>
      <c r="AF160" s="110">
        <v>191716.18</v>
      </c>
      <c r="AG160" s="110">
        <v>193158.44</v>
      </c>
      <c r="AH160" s="110">
        <v>193944.31</v>
      </c>
      <c r="AI160" s="110">
        <v>196266.39</v>
      </c>
      <c r="AJ160" s="110">
        <v>193737.65</v>
      </c>
      <c r="AK160" s="110">
        <v>195722.03</v>
      </c>
      <c r="AL160" s="110">
        <v>191505.9</v>
      </c>
      <c r="AM160" s="110">
        <v>94491.15</v>
      </c>
      <c r="AN160" s="110">
        <v>95218.97</v>
      </c>
      <c r="AO160" s="110">
        <v>94481.67</v>
      </c>
      <c r="AP160" s="110">
        <v>92342.64</v>
      </c>
      <c r="AQ160" s="236">
        <v>91322.39</v>
      </c>
      <c r="AR160" s="236">
        <v>93069.37</v>
      </c>
      <c r="AS160" s="236">
        <v>92930.22</v>
      </c>
      <c r="AT160" s="236">
        <v>92696.75</v>
      </c>
      <c r="AU160" s="236">
        <v>93620.89</v>
      </c>
      <c r="AV160" s="110">
        <v>93418.22</v>
      </c>
      <c r="AW160" s="110">
        <v>93231.42</v>
      </c>
      <c r="AX160" s="110">
        <v>92455.72</v>
      </c>
      <c r="AY160" s="110">
        <v>73572.75</v>
      </c>
      <c r="AZ160" s="110">
        <v>47612.14</v>
      </c>
      <c r="BA160" s="110">
        <v>47913.17</v>
      </c>
      <c r="BB160" s="110">
        <v>48144.27</v>
      </c>
      <c r="BC160" s="110">
        <v>49186.79</v>
      </c>
      <c r="BD160" s="110">
        <v>8201.67</v>
      </c>
      <c r="BE160" s="110">
        <v>8719.92</v>
      </c>
      <c r="BF160" s="110">
        <v>7918.76</v>
      </c>
      <c r="BG160" s="237">
        <v>7810.3</v>
      </c>
      <c r="BH160" s="237">
        <v>0</v>
      </c>
      <c r="BI160" s="237">
        <v>7400.85</v>
      </c>
      <c r="BJ160" s="237">
        <v>7734.41</v>
      </c>
      <c r="BK160" s="237">
        <v>7857.57</v>
      </c>
      <c r="BL160" s="237">
        <v>8180.74</v>
      </c>
      <c r="BM160" s="237">
        <v>7592.97</v>
      </c>
      <c r="BN160" s="237">
        <v>7411.28</v>
      </c>
      <c r="BO160" s="237">
        <v>7604.92</v>
      </c>
      <c r="BP160" s="237">
        <v>7317.3</v>
      </c>
      <c r="BQ160" s="237">
        <v>7118.13</v>
      </c>
      <c r="BR160" s="237">
        <v>7149.56</v>
      </c>
      <c r="BS160" s="237">
        <v>4725.2299999999996</v>
      </c>
      <c r="BT160" s="237">
        <v>0</v>
      </c>
      <c r="BU160" s="237">
        <v>0</v>
      </c>
      <c r="BV160" s="237">
        <v>0</v>
      </c>
      <c r="BW160" s="237">
        <v>0</v>
      </c>
      <c r="BX160" s="237">
        <v>0</v>
      </c>
      <c r="BY160" s="237">
        <v>0</v>
      </c>
      <c r="BZ160" s="237">
        <v>0</v>
      </c>
      <c r="CA160" s="237">
        <v>0</v>
      </c>
      <c r="CB160" s="237">
        <v>0</v>
      </c>
      <c r="CC160" s="237">
        <v>0</v>
      </c>
      <c r="CD160" s="237">
        <v>0</v>
      </c>
      <c r="CE160" s="237">
        <v>0</v>
      </c>
      <c r="CF160" s="237">
        <v>0</v>
      </c>
      <c r="CG160" s="237">
        <v>0</v>
      </c>
      <c r="CH160" s="30">
        <v>0</v>
      </c>
      <c r="CI160" s="30">
        <v>0</v>
      </c>
      <c r="CJ160" s="30" t="e">
        <f t="array" aca="1" ref="CJ160" ca="1">_xludf.XLOOKUP(C160,'PL TOTAL D0'!H:H,'PL TOTAL D0'!I:I,"")</f>
        <v>#NAME?</v>
      </c>
    </row>
    <row r="161" spans="1:88" ht="15.75" customHeight="1">
      <c r="A161" s="36" t="s">
        <v>2921</v>
      </c>
      <c r="B161" s="3" t="s">
        <v>3200</v>
      </c>
      <c r="C161" s="9">
        <v>582831</v>
      </c>
      <c r="D161" s="9" t="s">
        <v>2923</v>
      </c>
      <c r="E161" s="9" t="s">
        <v>20</v>
      </c>
      <c r="F161" s="6" t="s">
        <v>2930</v>
      </c>
      <c r="G161" s="7" t="e">
        <f t="shared" ca="1" si="0"/>
        <v>#NAME?</v>
      </c>
      <c r="H161" s="8" t="s">
        <v>143</v>
      </c>
      <c r="I161" s="24" t="s">
        <v>25</v>
      </c>
      <c r="J161" s="9" t="str">
        <f t="shared" si="3"/>
        <v>Não</v>
      </c>
      <c r="K161" s="239">
        <v>43752</v>
      </c>
      <c r="L161" s="239">
        <v>44517</v>
      </c>
      <c r="M161" s="6" t="s">
        <v>200</v>
      </c>
      <c r="N161" s="10">
        <v>1.4999999999999999E-2</v>
      </c>
      <c r="O161" s="9" t="s">
        <v>37</v>
      </c>
      <c r="P161" s="234">
        <v>0.1</v>
      </c>
      <c r="Q161" s="108"/>
      <c r="R161" s="45"/>
      <c r="S161" s="7" t="s">
        <v>145</v>
      </c>
      <c r="T161" s="6" t="s">
        <v>3201</v>
      </c>
      <c r="U161" s="6" t="s">
        <v>362</v>
      </c>
      <c r="V161" s="24" t="e">
        <f t="shared" ca="1" si="2"/>
        <v>#NAME?</v>
      </c>
      <c r="W161" s="24"/>
      <c r="X161" s="24"/>
      <c r="Y161" s="6"/>
      <c r="Z161" s="6"/>
      <c r="AA161" s="6"/>
      <c r="AB161" s="6"/>
      <c r="AC161" s="110">
        <v>134446.18</v>
      </c>
      <c r="AD161" s="110">
        <v>234449.26</v>
      </c>
      <c r="AE161" s="110">
        <v>225422.57</v>
      </c>
      <c r="AF161" s="110">
        <v>228620.88</v>
      </c>
      <c r="AG161" s="110">
        <v>230534.3</v>
      </c>
      <c r="AH161" s="110">
        <v>233220.57</v>
      </c>
      <c r="AI161" s="110">
        <v>237295.46</v>
      </c>
      <c r="AJ161" s="110">
        <v>234410.05</v>
      </c>
      <c r="AK161" s="110">
        <v>232049.99</v>
      </c>
      <c r="AL161" s="110">
        <v>352485.42</v>
      </c>
      <c r="AM161" s="110">
        <v>371923.48</v>
      </c>
      <c r="AN161" s="110">
        <v>378615.1</v>
      </c>
      <c r="AO161" s="110">
        <v>373674.05</v>
      </c>
      <c r="AP161" s="110">
        <v>359951.74</v>
      </c>
      <c r="AQ161" s="110">
        <v>354514.66</v>
      </c>
      <c r="AR161" s="110">
        <v>367915.57</v>
      </c>
      <c r="AS161" s="110">
        <v>368447.7</v>
      </c>
      <c r="AT161" s="110">
        <v>368835.97</v>
      </c>
      <c r="AU161" s="110">
        <v>482967.81</v>
      </c>
      <c r="AV161" s="110">
        <v>430458.15</v>
      </c>
      <c r="AW161" s="110">
        <v>395446</v>
      </c>
      <c r="AX161" s="110">
        <v>386977.41</v>
      </c>
      <c r="AY161" s="110">
        <v>357514.68</v>
      </c>
      <c r="AZ161" s="110">
        <v>333758.21000000002</v>
      </c>
      <c r="BA161" s="110"/>
      <c r="BB161" s="110"/>
      <c r="BC161" s="110"/>
      <c r="BD161" s="110">
        <v>0</v>
      </c>
      <c r="BE161" s="110">
        <v>0</v>
      </c>
      <c r="BF161" s="110">
        <v>0</v>
      </c>
      <c r="BG161" s="110" t="s">
        <v>2932</v>
      </c>
      <c r="BH161" s="110">
        <v>0</v>
      </c>
      <c r="BI161" s="110" t="s">
        <v>2932</v>
      </c>
      <c r="BJ161" s="110">
        <v>0</v>
      </c>
      <c r="BK161" s="237">
        <v>0</v>
      </c>
      <c r="BL161" s="237">
        <v>0</v>
      </c>
      <c r="BM161" s="237">
        <v>0</v>
      </c>
      <c r="BN161" s="237">
        <v>0</v>
      </c>
      <c r="BO161" s="237">
        <v>0</v>
      </c>
      <c r="BP161" s="237">
        <v>0</v>
      </c>
      <c r="BQ161" s="237">
        <v>0</v>
      </c>
      <c r="BR161" s="237">
        <v>0</v>
      </c>
      <c r="BS161" s="237">
        <v>0</v>
      </c>
      <c r="BT161" s="237">
        <v>0</v>
      </c>
      <c r="BU161" s="237">
        <v>0</v>
      </c>
      <c r="BV161" s="237">
        <v>0</v>
      </c>
      <c r="BW161" s="237">
        <v>0</v>
      </c>
      <c r="BX161" s="237">
        <v>0</v>
      </c>
      <c r="BY161" s="237">
        <v>0</v>
      </c>
      <c r="BZ161" s="237">
        <v>0</v>
      </c>
      <c r="CA161" s="237">
        <v>0</v>
      </c>
      <c r="CB161" s="237">
        <v>0</v>
      </c>
      <c r="CC161" s="237">
        <v>0</v>
      </c>
      <c r="CD161" s="237">
        <v>0</v>
      </c>
      <c r="CE161" s="237">
        <v>0</v>
      </c>
      <c r="CF161" s="237">
        <v>0</v>
      </c>
      <c r="CG161" s="237">
        <v>0</v>
      </c>
      <c r="CH161" s="30">
        <v>0</v>
      </c>
      <c r="CI161" s="30">
        <v>0</v>
      </c>
      <c r="CJ161" s="30" t="e">
        <f t="array" aca="1" ref="CJ161" ca="1">_xludf.XLOOKUP(C161,'PL TOTAL D0'!H:H,'PL TOTAL D0'!I:I,"")</f>
        <v>#NAME?</v>
      </c>
    </row>
    <row r="162" spans="1:88" ht="15.75" customHeight="1">
      <c r="A162" s="36" t="s">
        <v>2921</v>
      </c>
      <c r="B162" s="106" t="s">
        <v>1280</v>
      </c>
      <c r="C162" s="9">
        <v>34388</v>
      </c>
      <c r="D162" s="9" t="s">
        <v>19</v>
      </c>
      <c r="E162" s="9" t="s">
        <v>34</v>
      </c>
      <c r="F162" s="9" t="s">
        <v>35</v>
      </c>
      <c r="G162" s="7" t="e">
        <f t="shared" ca="1" si="0"/>
        <v>#NAME?</v>
      </c>
      <c r="H162" s="8" t="s">
        <v>161</v>
      </c>
      <c r="I162" s="24" t="s">
        <v>162</v>
      </c>
      <c r="J162" s="9" t="str">
        <f t="shared" si="3"/>
        <v>Sim</v>
      </c>
      <c r="K162" s="232">
        <v>44263</v>
      </c>
      <c r="L162" s="6"/>
      <c r="M162" s="6" t="s">
        <v>345</v>
      </c>
      <c r="N162" s="233">
        <v>0.02</v>
      </c>
      <c r="O162" s="9" t="s">
        <v>37</v>
      </c>
      <c r="P162" s="234">
        <v>0.2</v>
      </c>
      <c r="Q162" s="108" t="s">
        <v>3202</v>
      </c>
      <c r="R162" s="235" t="s">
        <v>3203</v>
      </c>
      <c r="S162" s="7" t="s">
        <v>145</v>
      </c>
      <c r="T162" s="9" t="s">
        <v>1283</v>
      </c>
      <c r="U162" s="6" t="s">
        <v>39</v>
      </c>
      <c r="V162" s="24" t="e">
        <f t="shared" ca="1" si="2"/>
        <v>#NAME?</v>
      </c>
      <c r="W162" s="24"/>
      <c r="X162" s="24"/>
      <c r="Y162" s="6" t="s">
        <v>253</v>
      </c>
      <c r="Z162" s="6"/>
      <c r="AA162" s="107">
        <v>44263</v>
      </c>
      <c r="AB162" s="6">
        <v>49075100009627</v>
      </c>
      <c r="AC162" s="240"/>
      <c r="AD162" s="240"/>
      <c r="AE162" s="240"/>
      <c r="AF162" s="240"/>
      <c r="AG162" s="240"/>
      <c r="AH162" s="240"/>
      <c r="AI162" s="240"/>
      <c r="AJ162" s="240"/>
      <c r="AK162" s="240"/>
      <c r="AL162" s="240"/>
      <c r="AM162" s="240"/>
      <c r="AN162" s="240"/>
      <c r="AO162" s="240"/>
      <c r="AP162" s="110"/>
      <c r="AQ162" s="236">
        <v>87436.9</v>
      </c>
      <c r="AR162" s="236">
        <v>89362.1</v>
      </c>
      <c r="AS162" s="236"/>
      <c r="AT162" s="236">
        <v>109646.27</v>
      </c>
      <c r="AU162" s="236">
        <v>127590.02</v>
      </c>
      <c r="AV162" s="110">
        <v>141209.45000000001</v>
      </c>
      <c r="AW162" s="110">
        <v>470827.25</v>
      </c>
      <c r="AX162" s="110">
        <v>464321.95</v>
      </c>
      <c r="AY162" s="110">
        <v>452777.06</v>
      </c>
      <c r="AZ162" s="110">
        <v>487963.45</v>
      </c>
      <c r="BA162" s="110">
        <v>505843.55</v>
      </c>
      <c r="BB162" s="110">
        <v>529557.28</v>
      </c>
      <c r="BC162" s="110">
        <v>599849.82999999996</v>
      </c>
      <c r="BD162" s="110">
        <v>643812.22</v>
      </c>
      <c r="BE162" s="110">
        <v>705176.49</v>
      </c>
      <c r="BF162" s="110">
        <v>711512.55</v>
      </c>
      <c r="BG162" s="237">
        <v>735677.37</v>
      </c>
      <c r="BH162" s="237">
        <v>706672.29</v>
      </c>
      <c r="BI162" s="237">
        <v>31381.91</v>
      </c>
      <c r="BJ162" s="237">
        <v>32218.33</v>
      </c>
      <c r="BK162" s="237">
        <v>32243.9</v>
      </c>
      <c r="BL162" s="237">
        <v>32392.05</v>
      </c>
      <c r="BM162" s="237">
        <v>32567.67</v>
      </c>
      <c r="BN162" s="237">
        <v>32755.07</v>
      </c>
      <c r="BO162" s="237">
        <v>35565.980000000003</v>
      </c>
      <c r="BP162" s="237">
        <v>35809.81</v>
      </c>
      <c r="BQ162" s="237">
        <v>106377.4</v>
      </c>
      <c r="BR162" s="237">
        <v>126463.32</v>
      </c>
      <c r="BS162" s="237">
        <v>128787.27</v>
      </c>
      <c r="BT162" s="237">
        <v>101470.28</v>
      </c>
      <c r="BU162" s="237">
        <v>104837.52</v>
      </c>
      <c r="BV162" s="237">
        <v>106212.7</v>
      </c>
      <c r="BW162" s="237">
        <v>106876.05</v>
      </c>
      <c r="BX162" s="237">
        <v>27863.78</v>
      </c>
      <c r="BY162" s="237">
        <v>27268</v>
      </c>
      <c r="BZ162" s="237">
        <v>27485.55</v>
      </c>
      <c r="CA162" s="237">
        <v>27745.66</v>
      </c>
      <c r="CB162" s="237">
        <v>27943.02</v>
      </c>
      <c r="CC162" s="237">
        <v>103.7</v>
      </c>
      <c r="CD162" s="237">
        <v>0</v>
      </c>
      <c r="CE162" s="237">
        <v>0</v>
      </c>
      <c r="CF162" s="237">
        <v>0</v>
      </c>
      <c r="CG162" s="237">
        <v>0</v>
      </c>
      <c r="CH162" s="30">
        <v>0</v>
      </c>
      <c r="CI162" s="30">
        <v>0</v>
      </c>
      <c r="CJ162" s="30" t="e">
        <f t="array" aca="1" ref="CJ162" ca="1">_xludf.XLOOKUP(C162,'PL TOTAL D0'!H:H,'PL TOTAL D0'!I:I,"")</f>
        <v>#NAME?</v>
      </c>
    </row>
    <row r="163" spans="1:88" ht="15.75" customHeight="1">
      <c r="A163" s="36" t="s">
        <v>2921</v>
      </c>
      <c r="B163" s="106" t="s">
        <v>1280</v>
      </c>
      <c r="C163" s="9">
        <v>34321</v>
      </c>
      <c r="D163" s="9" t="s">
        <v>19</v>
      </c>
      <c r="E163" s="9" t="s">
        <v>34</v>
      </c>
      <c r="F163" s="9" t="s">
        <v>35</v>
      </c>
      <c r="G163" s="7" t="e">
        <f t="shared" ca="1" si="0"/>
        <v>#NAME?</v>
      </c>
      <c r="H163" s="8" t="s">
        <v>161</v>
      </c>
      <c r="I163" s="24" t="s">
        <v>162</v>
      </c>
      <c r="J163" s="9" t="str">
        <f t="shared" si="3"/>
        <v>Não</v>
      </c>
      <c r="K163" s="232">
        <v>44396</v>
      </c>
      <c r="L163" s="6"/>
      <c r="M163" s="6" t="s">
        <v>200</v>
      </c>
      <c r="N163" s="233">
        <v>1.4999999999999999E-2</v>
      </c>
      <c r="O163" s="9" t="s">
        <v>37</v>
      </c>
      <c r="P163" s="234">
        <v>0.1</v>
      </c>
      <c r="Q163" s="28"/>
      <c r="R163" s="28"/>
      <c r="S163" s="7" t="s">
        <v>145</v>
      </c>
      <c r="T163" s="9" t="s">
        <v>1283</v>
      </c>
      <c r="U163" s="6" t="s">
        <v>39</v>
      </c>
      <c r="V163" s="24" t="e">
        <f t="shared" ca="1" si="2"/>
        <v>#NAME?</v>
      </c>
      <c r="W163" s="24"/>
      <c r="X163" s="24"/>
      <c r="Y163" s="6" t="s">
        <v>253</v>
      </c>
      <c r="Z163" s="6"/>
      <c r="AA163" s="107">
        <v>44396</v>
      </c>
      <c r="AB163" s="6">
        <v>49075100010641</v>
      </c>
      <c r="AC163" s="132"/>
      <c r="AD163" s="132"/>
      <c r="AE163" s="132"/>
      <c r="AF163" s="132"/>
      <c r="AG163" s="132"/>
      <c r="AH163" s="132"/>
      <c r="AI163" s="132"/>
      <c r="AJ163" s="132"/>
      <c r="AK163" s="132"/>
      <c r="AL163" s="132"/>
      <c r="AM163" s="132"/>
      <c r="AN163" s="132"/>
      <c r="AO163" s="110"/>
      <c r="AP163" s="236"/>
      <c r="AQ163" s="236"/>
      <c r="AR163" s="236"/>
      <c r="AS163" s="236"/>
      <c r="AT163" s="236"/>
      <c r="AU163" s="110"/>
      <c r="AV163" s="132"/>
      <c r="AW163" s="110">
        <v>5007.5200000000004</v>
      </c>
      <c r="AX163" s="110">
        <v>5029.95</v>
      </c>
      <c r="AY163" s="110">
        <v>5039.6899999999996</v>
      </c>
      <c r="AZ163" s="110">
        <v>12056.26</v>
      </c>
      <c r="BA163" s="110">
        <v>18130.580000000002</v>
      </c>
      <c r="BB163" s="110">
        <v>18245.939999999999</v>
      </c>
      <c r="BC163" s="110">
        <v>18377.900000000001</v>
      </c>
      <c r="BD163" s="110">
        <v>22533.02</v>
      </c>
      <c r="BE163" s="110">
        <v>28760.13</v>
      </c>
      <c r="BF163" s="110">
        <v>31884.959999999999</v>
      </c>
      <c r="BG163" s="237">
        <v>36744.120000000003</v>
      </c>
      <c r="BH163" s="237">
        <v>36665.99</v>
      </c>
      <c r="BI163" s="237">
        <v>620.27</v>
      </c>
      <c r="BJ163" s="237">
        <v>620.27</v>
      </c>
      <c r="BK163" s="237">
        <v>620.27</v>
      </c>
      <c r="BL163" s="237">
        <v>32392.05</v>
      </c>
      <c r="BM163" s="237">
        <v>620.27</v>
      </c>
      <c r="BN163" s="237">
        <v>620.27</v>
      </c>
      <c r="BO163" s="237">
        <v>0</v>
      </c>
      <c r="BP163" s="237">
        <v>0</v>
      </c>
      <c r="BQ163" s="237">
        <v>0</v>
      </c>
      <c r="BR163" s="237">
        <v>0</v>
      </c>
      <c r="BS163" s="237">
        <v>0</v>
      </c>
      <c r="BT163" s="237">
        <v>0</v>
      </c>
      <c r="BU163" s="237">
        <v>0</v>
      </c>
      <c r="BV163" s="237">
        <v>0</v>
      </c>
      <c r="BW163" s="237">
        <v>0</v>
      </c>
      <c r="BX163" s="237">
        <v>0</v>
      </c>
      <c r="BY163" s="237">
        <v>0</v>
      </c>
      <c r="BZ163" s="237">
        <v>0</v>
      </c>
      <c r="CA163" s="237">
        <v>0</v>
      </c>
      <c r="CB163" s="237">
        <v>0</v>
      </c>
      <c r="CC163" s="237">
        <v>0</v>
      </c>
      <c r="CD163" s="237">
        <v>0</v>
      </c>
      <c r="CE163" s="237">
        <v>0</v>
      </c>
      <c r="CF163" s="237">
        <v>0</v>
      </c>
      <c r="CG163" s="237">
        <v>0</v>
      </c>
      <c r="CH163" s="30">
        <v>0</v>
      </c>
      <c r="CI163" s="30">
        <v>0</v>
      </c>
      <c r="CJ163" s="30" t="e">
        <f t="array" aca="1" ref="CJ163" ca="1">_xludf.XLOOKUP(C163,'PL TOTAL D0'!H:H,'PL TOTAL D0'!I:I,"")</f>
        <v>#NAME?</v>
      </c>
    </row>
    <row r="164" spans="1:88" ht="15.75" customHeight="1">
      <c r="A164" s="36" t="s">
        <v>2921</v>
      </c>
      <c r="B164" s="3" t="s">
        <v>1286</v>
      </c>
      <c r="C164" s="9">
        <v>39937</v>
      </c>
      <c r="D164" s="9" t="s">
        <v>19</v>
      </c>
      <c r="E164" s="9" t="s">
        <v>34</v>
      </c>
      <c r="F164" s="9" t="s">
        <v>2971</v>
      </c>
      <c r="G164" s="7" t="e">
        <f t="shared" ca="1" si="0"/>
        <v>#NAME?</v>
      </c>
      <c r="H164" s="8" t="s">
        <v>161</v>
      </c>
      <c r="I164" s="24" t="s">
        <v>162</v>
      </c>
      <c r="J164" s="9" t="str">
        <f t="shared" si="3"/>
        <v>Não</v>
      </c>
      <c r="K164" s="232">
        <v>44671</v>
      </c>
      <c r="L164" s="6"/>
      <c r="M164" s="6" t="s">
        <v>58</v>
      </c>
      <c r="N164" s="233">
        <v>1.2E-2</v>
      </c>
      <c r="O164" s="9" t="s">
        <v>25</v>
      </c>
      <c r="P164" s="234">
        <v>0</v>
      </c>
      <c r="Q164" s="108"/>
      <c r="R164" s="108"/>
      <c r="S164" s="7" t="s">
        <v>145</v>
      </c>
      <c r="T164" s="6" t="s">
        <v>1288</v>
      </c>
      <c r="U164" s="6" t="s">
        <v>39</v>
      </c>
      <c r="V164" s="24" t="e">
        <f t="shared" ca="1" si="2"/>
        <v>#NAME?</v>
      </c>
      <c r="W164" s="24"/>
      <c r="X164" s="24"/>
      <c r="Y164" s="6" t="s">
        <v>253</v>
      </c>
      <c r="Z164" s="6"/>
      <c r="AA164" s="107">
        <v>44671</v>
      </c>
      <c r="AB164" s="6">
        <v>49075100003815</v>
      </c>
      <c r="AC164" s="240"/>
      <c r="AD164" s="240"/>
      <c r="AE164" s="240"/>
      <c r="AF164" s="240"/>
      <c r="AG164" s="240"/>
      <c r="AH164" s="240"/>
      <c r="AI164" s="240"/>
      <c r="AJ164" s="240"/>
      <c r="AK164" s="240"/>
      <c r="AL164" s="240"/>
      <c r="AM164" s="240"/>
      <c r="AN164" s="240"/>
      <c r="AO164" s="240"/>
      <c r="AP164" s="110"/>
      <c r="AQ164" s="236"/>
      <c r="AR164" s="236"/>
      <c r="AS164" s="236"/>
      <c r="AT164" s="236"/>
      <c r="AU164" s="236"/>
      <c r="AV164" s="110"/>
      <c r="AW164" s="110"/>
      <c r="AX164" s="110"/>
      <c r="AY164" s="110"/>
      <c r="AZ164" s="110"/>
      <c r="BA164" s="110"/>
      <c r="BB164" s="110"/>
      <c r="BC164" s="110"/>
      <c r="BD164" s="110"/>
      <c r="BE164" s="110"/>
      <c r="BF164" s="110">
        <v>325961.62</v>
      </c>
      <c r="BG164" s="237">
        <v>327066.62</v>
      </c>
      <c r="BH164" s="237">
        <v>326731.71999999997</v>
      </c>
      <c r="BI164" s="237">
        <v>330374.73</v>
      </c>
      <c r="BJ164" s="237">
        <v>333647.5</v>
      </c>
      <c r="BK164" s="237">
        <v>336777.09</v>
      </c>
      <c r="BL164" s="237">
        <v>343457.72</v>
      </c>
      <c r="BM164" s="237">
        <v>343276.71</v>
      </c>
      <c r="BN164" s="237">
        <v>346038.71</v>
      </c>
      <c r="BO164" s="237">
        <v>350025.28</v>
      </c>
      <c r="BP164" s="237">
        <v>352837.16</v>
      </c>
      <c r="BQ164" s="237">
        <v>356907.43</v>
      </c>
      <c r="BR164" s="237">
        <v>359548.51</v>
      </c>
      <c r="BS164" s="237">
        <v>655.49</v>
      </c>
      <c r="BT164" s="237">
        <v>0</v>
      </c>
      <c r="BU164" s="237">
        <v>0</v>
      </c>
      <c r="BV164" s="237">
        <v>0</v>
      </c>
      <c r="BW164" s="237">
        <v>0</v>
      </c>
      <c r="BX164" s="237">
        <v>0</v>
      </c>
      <c r="BY164" s="237">
        <v>0</v>
      </c>
      <c r="BZ164" s="237">
        <v>0</v>
      </c>
      <c r="CA164" s="237">
        <v>0</v>
      </c>
      <c r="CB164" s="237">
        <v>0</v>
      </c>
      <c r="CC164" s="237">
        <v>0</v>
      </c>
      <c r="CD164" s="237">
        <v>0</v>
      </c>
      <c r="CE164" s="237">
        <v>0</v>
      </c>
      <c r="CF164" s="237">
        <v>0</v>
      </c>
      <c r="CG164" s="237">
        <v>0</v>
      </c>
      <c r="CH164" s="30">
        <v>0</v>
      </c>
      <c r="CI164" s="30">
        <v>0</v>
      </c>
      <c r="CJ164" s="30" t="e">
        <f t="array" aca="1" ref="CJ164" ca="1">_xludf.XLOOKUP(C164,'PL TOTAL D0'!H:H,'PL TOTAL D0'!I:I,"")</f>
        <v>#NAME?</v>
      </c>
    </row>
    <row r="165" spans="1:88" ht="15.75" customHeight="1">
      <c r="A165" s="36" t="s">
        <v>2921</v>
      </c>
      <c r="B165" s="3" t="s">
        <v>3204</v>
      </c>
      <c r="C165" s="9">
        <v>35673</v>
      </c>
      <c r="D165" s="9" t="s">
        <v>19</v>
      </c>
      <c r="E165" s="9" t="s">
        <v>34</v>
      </c>
      <c r="F165" s="6" t="s">
        <v>35</v>
      </c>
      <c r="G165" s="7" t="e">
        <f t="shared" ca="1" si="0"/>
        <v>#NAME?</v>
      </c>
      <c r="H165" s="8" t="s">
        <v>161</v>
      </c>
      <c r="I165" s="24" t="s">
        <v>162</v>
      </c>
      <c r="J165" s="9" t="str">
        <f t="shared" si="3"/>
        <v>Não</v>
      </c>
      <c r="K165" s="232">
        <v>44291</v>
      </c>
      <c r="L165" s="6"/>
      <c r="M165" s="6" t="s">
        <v>58</v>
      </c>
      <c r="N165" s="233">
        <v>1.2E-2</v>
      </c>
      <c r="O165" s="9" t="s">
        <v>25</v>
      </c>
      <c r="P165" s="234">
        <v>0</v>
      </c>
      <c r="Q165" s="23"/>
      <c r="R165" s="108" t="s">
        <v>3205</v>
      </c>
      <c r="S165" s="7" t="s">
        <v>145</v>
      </c>
      <c r="T165" s="6" t="s">
        <v>1300</v>
      </c>
      <c r="U165" s="6" t="s">
        <v>39</v>
      </c>
      <c r="V165" s="24" t="e">
        <f t="shared" ca="1" si="2"/>
        <v>#NAME?</v>
      </c>
      <c r="W165" s="24"/>
      <c r="X165" s="24"/>
      <c r="Y165" s="6" t="s">
        <v>253</v>
      </c>
      <c r="Z165" s="6"/>
      <c r="AA165" s="107">
        <v>44291</v>
      </c>
      <c r="AB165" s="6">
        <v>49075100013098</v>
      </c>
      <c r="AC165" s="240"/>
      <c r="AD165" s="240"/>
      <c r="AE165" s="240"/>
      <c r="AF165" s="240"/>
      <c r="AG165" s="240"/>
      <c r="AH165" s="240"/>
      <c r="AI165" s="240"/>
      <c r="AJ165" s="240"/>
      <c r="AK165" s="240"/>
      <c r="AL165" s="240"/>
      <c r="AM165" s="240"/>
      <c r="AN165" s="240"/>
      <c r="AO165" s="240"/>
      <c r="AP165" s="110"/>
      <c r="AQ165" s="236"/>
      <c r="AR165" s="236">
        <v>335990.77</v>
      </c>
      <c r="AS165" s="236"/>
      <c r="AT165" s="236">
        <v>339283.25</v>
      </c>
      <c r="AU165" s="236">
        <v>342343.33</v>
      </c>
      <c r="AV165" s="110">
        <v>343939.81</v>
      </c>
      <c r="AW165" s="110">
        <v>342416.43</v>
      </c>
      <c r="AX165" s="110">
        <v>339698.21</v>
      </c>
      <c r="AY165" s="110">
        <v>295130.65999999997</v>
      </c>
      <c r="AZ165" s="110">
        <v>330877.88</v>
      </c>
      <c r="BA165" s="110">
        <v>329048.32000000001</v>
      </c>
      <c r="BB165" s="110">
        <v>329635.42</v>
      </c>
      <c r="BC165" s="110">
        <v>332448.68</v>
      </c>
      <c r="BD165" s="110">
        <v>334600.71000000002</v>
      </c>
      <c r="BE165" s="110">
        <v>344066.72</v>
      </c>
      <c r="BF165" s="110">
        <v>342164.35</v>
      </c>
      <c r="BG165" s="237">
        <v>343254.06</v>
      </c>
      <c r="BH165" s="237">
        <v>343597.48</v>
      </c>
      <c r="BI165" s="237">
        <v>345596.18</v>
      </c>
      <c r="BJ165" s="237">
        <v>349653.32</v>
      </c>
      <c r="BK165" s="237">
        <v>352006.98</v>
      </c>
      <c r="BL165" s="237">
        <v>358545.17</v>
      </c>
      <c r="BM165" s="237">
        <v>356728.94</v>
      </c>
      <c r="BN165" s="237">
        <v>359808.79</v>
      </c>
      <c r="BO165" s="237">
        <v>363162.37</v>
      </c>
      <c r="BP165" s="237">
        <v>366744.32000000001</v>
      </c>
      <c r="BQ165" s="237">
        <v>371464.76</v>
      </c>
      <c r="BR165" s="237">
        <v>374411.66</v>
      </c>
      <c r="BS165" s="237">
        <v>378553.66</v>
      </c>
      <c r="BT165" s="237">
        <v>382097.77</v>
      </c>
      <c r="BU165" s="237">
        <v>383754.29</v>
      </c>
      <c r="BV165" s="237">
        <v>28546.74</v>
      </c>
      <c r="BW165" s="237">
        <v>28808.11</v>
      </c>
      <c r="BX165" s="237">
        <v>29110.84</v>
      </c>
      <c r="BY165" s="237">
        <v>28598.53</v>
      </c>
      <c r="BZ165" s="237">
        <v>28848.89</v>
      </c>
      <c r="CA165" s="237">
        <v>29152.87</v>
      </c>
      <c r="CB165" s="237">
        <v>29382.33</v>
      </c>
      <c r="CC165" s="237">
        <v>3.58</v>
      </c>
      <c r="CD165" s="237">
        <v>3.58</v>
      </c>
      <c r="CE165" s="237">
        <v>0</v>
      </c>
      <c r="CF165" s="237">
        <v>0</v>
      </c>
      <c r="CG165" s="237">
        <v>0</v>
      </c>
      <c r="CH165" s="30">
        <v>0</v>
      </c>
      <c r="CI165" s="30">
        <v>0</v>
      </c>
      <c r="CJ165" s="30" t="e">
        <f t="array" aca="1" ref="CJ165" ca="1">_xludf.XLOOKUP(C165,'PL TOTAL D0'!H:H,'PL TOTAL D0'!I:I,"")</f>
        <v>#NAME?</v>
      </c>
    </row>
    <row r="166" spans="1:88" ht="15.75" customHeight="1">
      <c r="A166" s="36" t="s">
        <v>2921</v>
      </c>
      <c r="B166" s="3" t="s">
        <v>3206</v>
      </c>
      <c r="C166" s="9">
        <v>480861</v>
      </c>
      <c r="D166" s="9" t="s">
        <v>19</v>
      </c>
      <c r="E166" s="9" t="s">
        <v>34</v>
      </c>
      <c r="F166" s="9" t="s">
        <v>262</v>
      </c>
      <c r="G166" s="7" t="e">
        <f t="shared" ca="1" si="0"/>
        <v>#NAME?</v>
      </c>
      <c r="H166" s="8" t="s">
        <v>161</v>
      </c>
      <c r="I166" s="24" t="s">
        <v>162</v>
      </c>
      <c r="J166" s="9" t="str">
        <f t="shared" si="3"/>
        <v>Não</v>
      </c>
      <c r="K166" s="232">
        <v>44265</v>
      </c>
      <c r="L166" s="6"/>
      <c r="M166" s="6" t="s">
        <v>200</v>
      </c>
      <c r="N166" s="233">
        <v>1.4999999999999999E-2</v>
      </c>
      <c r="O166" s="9" t="s">
        <v>37</v>
      </c>
      <c r="P166" s="234">
        <v>0.1</v>
      </c>
      <c r="Q166" s="23"/>
      <c r="R166" s="108" t="s">
        <v>3207</v>
      </c>
      <c r="S166" s="7" t="s">
        <v>145</v>
      </c>
      <c r="T166" s="6" t="s">
        <v>1318</v>
      </c>
      <c r="U166" s="6" t="s">
        <v>20</v>
      </c>
      <c r="V166" s="24" t="e">
        <f t="shared" ca="1" si="2"/>
        <v>#NAME?</v>
      </c>
      <c r="W166" s="24"/>
      <c r="X166" s="24"/>
      <c r="Y166" s="6" t="s">
        <v>147</v>
      </c>
      <c r="Z166" s="6"/>
      <c r="AA166" s="107">
        <v>44265</v>
      </c>
      <c r="AB166" s="6">
        <v>49075100009201</v>
      </c>
      <c r="AC166" s="240"/>
      <c r="AD166" s="240"/>
      <c r="AE166" s="240"/>
      <c r="AF166" s="240"/>
      <c r="AG166" s="240"/>
      <c r="AH166" s="240"/>
      <c r="AI166" s="240"/>
      <c r="AJ166" s="240"/>
      <c r="AK166" s="240"/>
      <c r="AL166" s="240"/>
      <c r="AM166" s="240"/>
      <c r="AN166" s="240"/>
      <c r="AO166" s="240"/>
      <c r="AP166" s="110"/>
      <c r="AQ166" s="236">
        <v>1169911.08</v>
      </c>
      <c r="AR166" s="236">
        <v>1204760.53</v>
      </c>
      <c r="AS166" s="236"/>
      <c r="AT166" s="236">
        <v>1212488.96</v>
      </c>
      <c r="AU166" s="236">
        <v>1237326.78</v>
      </c>
      <c r="AV166" s="110">
        <v>1232501.24</v>
      </c>
      <c r="AW166" s="110">
        <v>1219835.27</v>
      </c>
      <c r="AX166" s="110">
        <v>1195873.98</v>
      </c>
      <c r="AY166" s="110">
        <v>1157176.72</v>
      </c>
      <c r="AZ166" s="110">
        <v>1141724.8700000001</v>
      </c>
      <c r="BA166" s="110">
        <v>1130173.04</v>
      </c>
      <c r="BB166" s="110">
        <v>1142763.69</v>
      </c>
      <c r="BC166" s="110">
        <v>1167571.6399999999</v>
      </c>
      <c r="BD166" s="110">
        <v>1174433.8600000001</v>
      </c>
      <c r="BE166" s="110">
        <v>1226346.3899999999</v>
      </c>
      <c r="BF166" s="110">
        <v>1204987.6299999999</v>
      </c>
      <c r="BG166" s="237">
        <v>1201812.53</v>
      </c>
      <c r="BH166" s="237">
        <v>1188837.7</v>
      </c>
      <c r="BI166" s="237">
        <v>1206147.9099999999</v>
      </c>
      <c r="BJ166" s="237">
        <v>1163587.22</v>
      </c>
      <c r="BK166" s="237">
        <v>1155138.69</v>
      </c>
      <c r="BL166" s="237">
        <v>1221154.68</v>
      </c>
      <c r="BM166" s="237">
        <v>1206819.33</v>
      </c>
      <c r="BN166" s="237">
        <v>1217028.72</v>
      </c>
      <c r="BO166" s="237">
        <v>1232229.6000000001</v>
      </c>
      <c r="BP166" s="237">
        <v>1240675.0900000001</v>
      </c>
      <c r="BQ166" s="237">
        <v>1255856.71</v>
      </c>
      <c r="BR166" s="237">
        <v>0.91</v>
      </c>
      <c r="BS166" s="237">
        <v>6.63</v>
      </c>
      <c r="BT166" s="237">
        <v>0</v>
      </c>
      <c r="BU166" s="237">
        <v>0</v>
      </c>
      <c r="BV166" s="237">
        <v>0</v>
      </c>
      <c r="BW166" s="237">
        <v>0</v>
      </c>
      <c r="BX166" s="237">
        <v>0</v>
      </c>
      <c r="BY166" s="237">
        <v>0</v>
      </c>
      <c r="BZ166" s="237">
        <v>0</v>
      </c>
      <c r="CA166" s="237">
        <v>0</v>
      </c>
      <c r="CB166" s="237">
        <v>0</v>
      </c>
      <c r="CC166" s="237">
        <v>0</v>
      </c>
      <c r="CD166" s="237">
        <v>0</v>
      </c>
      <c r="CE166" s="237">
        <v>0</v>
      </c>
      <c r="CF166" s="237">
        <v>0</v>
      </c>
      <c r="CG166" s="237">
        <v>0</v>
      </c>
      <c r="CH166" s="30">
        <v>0</v>
      </c>
      <c r="CI166" s="30">
        <v>0</v>
      </c>
      <c r="CJ166" s="30" t="e">
        <f t="array" aca="1" ref="CJ166" ca="1">_xludf.XLOOKUP(C166,'PL TOTAL D0'!H:H,'PL TOTAL D0'!I:I,"")</f>
        <v>#NAME?</v>
      </c>
    </row>
    <row r="167" spans="1:88" ht="15.75" customHeight="1">
      <c r="A167" s="36" t="s">
        <v>2921</v>
      </c>
      <c r="B167" s="36" t="s">
        <v>3208</v>
      </c>
      <c r="C167" s="9">
        <v>85554</v>
      </c>
      <c r="D167" s="9" t="s">
        <v>2989</v>
      </c>
      <c r="E167" s="9" t="s">
        <v>20</v>
      </c>
      <c r="F167" s="9" t="s">
        <v>2989</v>
      </c>
      <c r="G167" s="7" t="e">
        <f t="shared" ca="1" si="0"/>
        <v>#NAME?</v>
      </c>
      <c r="H167" s="8" t="s">
        <v>143</v>
      </c>
      <c r="I167" s="24" t="s">
        <v>25</v>
      </c>
      <c r="J167" s="9" t="str">
        <f t="shared" si="3"/>
        <v>Não</v>
      </c>
      <c r="K167" s="232">
        <v>43375</v>
      </c>
      <c r="L167" s="107">
        <v>44952</v>
      </c>
      <c r="M167" s="6" t="s">
        <v>87</v>
      </c>
      <c r="N167" s="233">
        <v>0.01</v>
      </c>
      <c r="O167" s="9" t="s">
        <v>183</v>
      </c>
      <c r="P167" s="234">
        <v>0.2</v>
      </c>
      <c r="Q167" s="108"/>
      <c r="R167" s="108"/>
      <c r="S167" s="7" t="s">
        <v>145</v>
      </c>
      <c r="T167" s="9" t="s">
        <v>3209</v>
      </c>
      <c r="U167" s="6" t="s">
        <v>20</v>
      </c>
      <c r="V167" s="24" t="e">
        <f t="shared" ca="1" si="2"/>
        <v>#NAME?</v>
      </c>
      <c r="W167" s="24"/>
      <c r="X167" s="24"/>
      <c r="Y167" s="6" t="s">
        <v>253</v>
      </c>
      <c r="Z167" s="6"/>
      <c r="AA167" s="6"/>
      <c r="AB167" s="6"/>
      <c r="AC167" s="110">
        <v>411209.91</v>
      </c>
      <c r="AD167" s="110">
        <v>394780.2</v>
      </c>
      <c r="AE167" s="110">
        <v>286785.23</v>
      </c>
      <c r="AF167" s="110">
        <v>301761.68</v>
      </c>
      <c r="AG167" s="110">
        <v>362220.34</v>
      </c>
      <c r="AH167" s="110">
        <v>431644.7</v>
      </c>
      <c r="AI167" s="110">
        <v>473003.48</v>
      </c>
      <c r="AJ167" s="110">
        <v>438718.4</v>
      </c>
      <c r="AK167" s="110">
        <v>414649.49</v>
      </c>
      <c r="AL167" s="110">
        <v>426964.58</v>
      </c>
      <c r="AM167" s="110">
        <v>480173.03</v>
      </c>
      <c r="AN167" s="110">
        <v>605615.55000000005</v>
      </c>
      <c r="AO167" s="110">
        <v>588350.94999999995</v>
      </c>
      <c r="AP167" s="110">
        <v>542514.69999999995</v>
      </c>
      <c r="AQ167" s="236">
        <v>524855.12</v>
      </c>
      <c r="AR167" s="236">
        <v>550060.44999999995</v>
      </c>
      <c r="AS167" s="236">
        <v>570490.01</v>
      </c>
      <c r="AT167" s="236">
        <v>574334.21</v>
      </c>
      <c r="AU167" s="236">
        <v>600929.93000000005</v>
      </c>
      <c r="AV167" s="110">
        <v>592451.27</v>
      </c>
      <c r="AW167" s="110">
        <v>575709.56999999995</v>
      </c>
      <c r="AX167" s="110">
        <v>550708.68000000005</v>
      </c>
      <c r="AY167" s="110">
        <v>523915.92</v>
      </c>
      <c r="AZ167" s="110">
        <v>493376.84</v>
      </c>
      <c r="BA167" s="110">
        <v>478811.61</v>
      </c>
      <c r="BB167" s="110">
        <v>481188.72</v>
      </c>
      <c r="BC167" s="110">
        <v>523465.58</v>
      </c>
      <c r="BD167" s="110">
        <v>542667.54</v>
      </c>
      <c r="BE167" s="110">
        <v>577803.59</v>
      </c>
      <c r="BF167" s="110">
        <v>526865.24</v>
      </c>
      <c r="BG167" s="237">
        <v>462021.27</v>
      </c>
      <c r="BH167" s="237">
        <v>437632.15</v>
      </c>
      <c r="BI167" s="237">
        <v>455268.9</v>
      </c>
      <c r="BJ167" s="237">
        <v>464304.71</v>
      </c>
      <c r="BK167" s="237">
        <v>466237.03</v>
      </c>
      <c r="BL167" s="237">
        <v>492271.77</v>
      </c>
      <c r="BM167" s="237">
        <v>334249.84999999998</v>
      </c>
      <c r="BN167" s="237">
        <v>190896.24</v>
      </c>
      <c r="BO167" s="237">
        <v>0</v>
      </c>
      <c r="BP167" s="237">
        <v>0</v>
      </c>
      <c r="BQ167" s="237">
        <v>0</v>
      </c>
      <c r="BR167" s="237">
        <v>0</v>
      </c>
      <c r="BS167" s="237">
        <v>0</v>
      </c>
      <c r="BT167" s="237">
        <v>0</v>
      </c>
      <c r="BU167" s="237">
        <v>0</v>
      </c>
      <c r="BV167" s="237">
        <v>0</v>
      </c>
      <c r="BW167" s="237">
        <v>0</v>
      </c>
      <c r="BX167" s="237">
        <v>0</v>
      </c>
      <c r="BY167" s="237">
        <v>0</v>
      </c>
      <c r="BZ167" s="237">
        <v>0</v>
      </c>
      <c r="CA167" s="237">
        <v>0</v>
      </c>
      <c r="CB167" s="237">
        <v>0</v>
      </c>
      <c r="CC167" s="237">
        <v>0</v>
      </c>
      <c r="CD167" s="237">
        <v>0</v>
      </c>
      <c r="CE167" s="237">
        <v>0</v>
      </c>
      <c r="CF167" s="237">
        <v>0</v>
      </c>
      <c r="CG167" s="237">
        <v>0</v>
      </c>
      <c r="CH167" s="30">
        <v>0</v>
      </c>
      <c r="CI167" s="30">
        <v>0</v>
      </c>
      <c r="CJ167" s="30" t="e">
        <f t="array" aca="1" ref="CJ167" ca="1">_xludf.XLOOKUP(C167,'PL TOTAL D0'!H:H,'PL TOTAL D0'!I:I,"")</f>
        <v>#NAME?</v>
      </c>
    </row>
    <row r="168" spans="1:88" ht="15.75" customHeight="1">
      <c r="A168" s="36" t="s">
        <v>2921</v>
      </c>
      <c r="B168" s="3" t="s">
        <v>1323</v>
      </c>
      <c r="C168" s="9">
        <v>86513</v>
      </c>
      <c r="D168" s="9" t="s">
        <v>19</v>
      </c>
      <c r="E168" s="9" t="s">
        <v>34</v>
      </c>
      <c r="F168" s="9" t="s">
        <v>35</v>
      </c>
      <c r="G168" s="7" t="e">
        <f t="shared" ca="1" si="0"/>
        <v>#NAME?</v>
      </c>
      <c r="H168" s="8" t="s">
        <v>161</v>
      </c>
      <c r="I168" s="24" t="s">
        <v>162</v>
      </c>
      <c r="J168" s="9" t="str">
        <f t="shared" si="3"/>
        <v>Não</v>
      </c>
      <c r="K168" s="232">
        <v>44319</v>
      </c>
      <c r="L168" s="6"/>
      <c r="M168" s="6" t="s">
        <v>200</v>
      </c>
      <c r="N168" s="233">
        <v>1.4999999999999999E-2</v>
      </c>
      <c r="O168" s="9" t="s">
        <v>37</v>
      </c>
      <c r="P168" s="234">
        <v>0.1</v>
      </c>
      <c r="Q168" s="23"/>
      <c r="R168" s="28" t="s">
        <v>3210</v>
      </c>
      <c r="S168" s="7" t="s">
        <v>145</v>
      </c>
      <c r="T168" s="6" t="s">
        <v>1325</v>
      </c>
      <c r="U168" s="6" t="s">
        <v>39</v>
      </c>
      <c r="V168" s="24" t="e">
        <f t="shared" ca="1" si="2"/>
        <v>#NAME?</v>
      </c>
      <c r="W168" s="24"/>
      <c r="X168" s="24"/>
      <c r="Y168" s="6" t="s">
        <v>253</v>
      </c>
      <c r="Z168" s="6"/>
      <c r="AA168" s="107">
        <v>44319</v>
      </c>
      <c r="AB168" s="6">
        <v>49075100010021</v>
      </c>
      <c r="AC168" s="132"/>
      <c r="AD168" s="132"/>
      <c r="AE168" s="132"/>
      <c r="AF168" s="132"/>
      <c r="AG168" s="132"/>
      <c r="AH168" s="132"/>
      <c r="AI168" s="132"/>
      <c r="AJ168" s="132"/>
      <c r="AK168" s="132"/>
      <c r="AL168" s="132"/>
      <c r="AM168" s="132"/>
      <c r="AN168" s="132"/>
      <c r="AO168" s="132"/>
      <c r="AP168" s="110"/>
      <c r="AQ168" s="110"/>
      <c r="AR168" s="110"/>
      <c r="AS168" s="110"/>
      <c r="AT168" s="110"/>
      <c r="AU168" s="110">
        <v>777093.28</v>
      </c>
      <c r="AV168" s="110">
        <v>744414.54</v>
      </c>
      <c r="AW168" s="110">
        <v>738530.97</v>
      </c>
      <c r="AX168" s="110">
        <v>724815.86</v>
      </c>
      <c r="AY168" s="110">
        <v>712604.42</v>
      </c>
      <c r="AZ168" s="110">
        <v>659555.67000000004</v>
      </c>
      <c r="BA168" s="110">
        <v>650852.56999999995</v>
      </c>
      <c r="BB168" s="110">
        <v>654900.89</v>
      </c>
      <c r="BC168" s="110">
        <v>669858.31000000006</v>
      </c>
      <c r="BD168" s="110">
        <v>675958.05</v>
      </c>
      <c r="BE168" s="110">
        <v>665383.99</v>
      </c>
      <c r="BF168" s="110">
        <v>623729.88</v>
      </c>
      <c r="BG168" s="237">
        <v>620949.57999999996</v>
      </c>
      <c r="BH168" s="237">
        <v>614432.34</v>
      </c>
      <c r="BI168" s="237">
        <v>624563.63</v>
      </c>
      <c r="BJ168" s="237">
        <v>592565.69999999995</v>
      </c>
      <c r="BK168" s="237">
        <v>598552.72</v>
      </c>
      <c r="BL168" s="237">
        <v>591973.43999999994</v>
      </c>
      <c r="BM168" s="237">
        <v>585925.42000000004</v>
      </c>
      <c r="BN168" s="237">
        <v>590865.62</v>
      </c>
      <c r="BO168" s="237">
        <v>598413.43000000005</v>
      </c>
      <c r="BP168" s="237">
        <v>601746.38</v>
      </c>
      <c r="BQ168" s="237">
        <v>371602.67</v>
      </c>
      <c r="BR168" s="237">
        <v>20051.689999999999</v>
      </c>
      <c r="BS168" s="237">
        <v>20169.84</v>
      </c>
      <c r="BT168" s="237">
        <v>191.36</v>
      </c>
      <c r="BU168" s="237">
        <v>0</v>
      </c>
      <c r="BV168" s="237">
        <v>0</v>
      </c>
      <c r="BW168" s="237">
        <v>0</v>
      </c>
      <c r="BX168" s="237">
        <v>0</v>
      </c>
      <c r="BY168" s="237">
        <v>0</v>
      </c>
      <c r="BZ168" s="237">
        <v>0</v>
      </c>
      <c r="CA168" s="237">
        <v>0</v>
      </c>
      <c r="CB168" s="237">
        <v>0</v>
      </c>
      <c r="CC168" s="237">
        <v>0</v>
      </c>
      <c r="CD168" s="237">
        <v>0</v>
      </c>
      <c r="CE168" s="237">
        <v>0</v>
      </c>
      <c r="CF168" s="237">
        <v>0</v>
      </c>
      <c r="CG168" s="237">
        <v>0</v>
      </c>
      <c r="CH168" s="30">
        <v>0</v>
      </c>
      <c r="CI168" s="30">
        <v>0</v>
      </c>
      <c r="CJ168" s="30" t="e">
        <f t="array" aca="1" ref="CJ168" ca="1">_xludf.XLOOKUP(C168,'PL TOTAL D0'!H:H,'PL TOTAL D0'!I:I,"")</f>
        <v>#NAME?</v>
      </c>
    </row>
    <row r="169" spans="1:88" ht="15.75" customHeight="1">
      <c r="A169" s="36" t="s">
        <v>2921</v>
      </c>
      <c r="B169" s="3" t="s">
        <v>1331</v>
      </c>
      <c r="C169" s="9">
        <v>32187</v>
      </c>
      <c r="D169" s="9" t="s">
        <v>19</v>
      </c>
      <c r="E169" s="9" t="s">
        <v>34</v>
      </c>
      <c r="F169" s="9" t="s">
        <v>35</v>
      </c>
      <c r="G169" s="7" t="e">
        <f t="shared" ca="1" si="0"/>
        <v>#NAME?</v>
      </c>
      <c r="H169" s="8" t="s">
        <v>161</v>
      </c>
      <c r="I169" s="24" t="s">
        <v>162</v>
      </c>
      <c r="J169" s="9" t="str">
        <f t="shared" si="3"/>
        <v>Sim</v>
      </c>
      <c r="K169" s="232">
        <v>44319</v>
      </c>
      <c r="L169" s="6"/>
      <c r="M169" s="6" t="s">
        <v>87</v>
      </c>
      <c r="N169" s="233">
        <v>1.4999999999999999E-2</v>
      </c>
      <c r="O169" s="9" t="s">
        <v>183</v>
      </c>
      <c r="P169" s="234">
        <v>0.2</v>
      </c>
      <c r="Q169" s="28" t="s">
        <v>3211</v>
      </c>
      <c r="R169" s="235" t="s">
        <v>3212</v>
      </c>
      <c r="S169" s="7" t="s">
        <v>145</v>
      </c>
      <c r="T169" s="6" t="s">
        <v>1333</v>
      </c>
      <c r="U169" s="6" t="s">
        <v>39</v>
      </c>
      <c r="V169" s="24" t="e">
        <f t="shared" ca="1" si="2"/>
        <v>#NAME?</v>
      </c>
      <c r="W169" s="24"/>
      <c r="X169" s="24"/>
      <c r="Y169" s="6" t="s">
        <v>253</v>
      </c>
      <c r="Z169" s="6"/>
      <c r="AA169" s="107">
        <v>44319</v>
      </c>
      <c r="AB169" s="6">
        <v>49075100010031</v>
      </c>
      <c r="AC169" s="132"/>
      <c r="AD169" s="132"/>
      <c r="AE169" s="132"/>
      <c r="AF169" s="132"/>
      <c r="AG169" s="132"/>
      <c r="AH169" s="132"/>
      <c r="AI169" s="132"/>
      <c r="AJ169" s="132"/>
      <c r="AK169" s="132"/>
      <c r="AL169" s="132"/>
      <c r="AM169" s="132"/>
      <c r="AN169" s="132"/>
      <c r="AO169" s="132"/>
      <c r="AP169" s="110"/>
      <c r="AQ169" s="110"/>
      <c r="AR169" s="110"/>
      <c r="AS169" s="110"/>
      <c r="AT169" s="110"/>
      <c r="AU169" s="110">
        <v>308695.87</v>
      </c>
      <c r="AV169" s="110">
        <v>305913.61</v>
      </c>
      <c r="AW169" s="110">
        <v>298653.95</v>
      </c>
      <c r="AX169" s="110">
        <v>283996.83</v>
      </c>
      <c r="AY169" s="110">
        <v>270279.89</v>
      </c>
      <c r="AZ169" s="110">
        <v>252892.06</v>
      </c>
      <c r="BA169" s="110">
        <v>244738.56</v>
      </c>
      <c r="BB169" s="110">
        <v>246351.2</v>
      </c>
      <c r="BC169" s="110">
        <v>261284.29</v>
      </c>
      <c r="BD169" s="110">
        <v>263910.69</v>
      </c>
      <c r="BE169" s="110">
        <v>281887.28000000003</v>
      </c>
      <c r="BF169" s="110">
        <v>267974.46000000002</v>
      </c>
      <c r="BG169" s="237">
        <v>261258.73</v>
      </c>
      <c r="BH169" s="237">
        <v>248948.68</v>
      </c>
      <c r="BI169" s="237">
        <v>562654.79</v>
      </c>
      <c r="BJ169" s="237">
        <v>569804.49</v>
      </c>
      <c r="BK169" s="237">
        <v>575511.18000000005</v>
      </c>
      <c r="BL169" s="237">
        <v>651690.48</v>
      </c>
      <c r="BM169" s="237">
        <v>651526.68999999994</v>
      </c>
      <c r="BN169" s="237">
        <v>715972.7</v>
      </c>
      <c r="BO169" s="237">
        <v>731603.28</v>
      </c>
      <c r="BP169" s="237">
        <v>723959.45</v>
      </c>
      <c r="BQ169" s="237">
        <v>723694.57</v>
      </c>
      <c r="BR169" s="237">
        <v>719332.58</v>
      </c>
      <c r="BS169" s="237">
        <v>25137.54</v>
      </c>
      <c r="BT169" s="237">
        <v>26398</v>
      </c>
      <c r="BU169" s="237">
        <v>1594.29</v>
      </c>
      <c r="BV169" s="237">
        <v>1591.07</v>
      </c>
      <c r="BW169" s="237">
        <v>0</v>
      </c>
      <c r="BX169" s="237">
        <v>425.67</v>
      </c>
      <c r="BY169" s="237">
        <v>344.57</v>
      </c>
      <c r="BZ169" s="237">
        <v>254.87</v>
      </c>
      <c r="CA169" s="237">
        <v>254.87</v>
      </c>
      <c r="CB169" s="237">
        <v>254.87</v>
      </c>
      <c r="CC169" s="237">
        <v>210.28</v>
      </c>
      <c r="CD169" s="237">
        <v>210.28</v>
      </c>
      <c r="CE169" s="237">
        <v>0</v>
      </c>
      <c r="CF169" s="237">
        <v>0</v>
      </c>
      <c r="CG169" s="237">
        <v>0</v>
      </c>
      <c r="CH169" s="30">
        <v>0</v>
      </c>
      <c r="CI169" s="30">
        <v>0</v>
      </c>
      <c r="CJ169" s="30" t="e">
        <f t="array" aca="1" ref="CJ169" ca="1">_xludf.XLOOKUP(C169,'PL TOTAL D0'!H:H,'PL TOTAL D0'!I:I,"")</f>
        <v>#NAME?</v>
      </c>
    </row>
    <row r="170" spans="1:88" ht="15.75" customHeight="1">
      <c r="A170" s="36" t="s">
        <v>2921</v>
      </c>
      <c r="B170" s="37" t="s">
        <v>3213</v>
      </c>
      <c r="C170" s="9">
        <v>289414</v>
      </c>
      <c r="D170" s="9" t="s">
        <v>2923</v>
      </c>
      <c r="E170" s="9" t="s">
        <v>20</v>
      </c>
      <c r="F170" s="6" t="s">
        <v>2930</v>
      </c>
      <c r="G170" s="7" t="e">
        <f t="shared" ca="1" si="0"/>
        <v>#NAME?</v>
      </c>
      <c r="H170" s="8" t="s">
        <v>143</v>
      </c>
      <c r="I170" s="24" t="s">
        <v>25</v>
      </c>
      <c r="J170" s="9" t="str">
        <f t="shared" si="3"/>
        <v>Não</v>
      </c>
      <c r="K170" s="239">
        <v>43822</v>
      </c>
      <c r="L170" s="107">
        <v>44007</v>
      </c>
      <c r="M170" s="6" t="s">
        <v>200</v>
      </c>
      <c r="N170" s="10">
        <v>1.4999999999999999E-2</v>
      </c>
      <c r="O170" s="9" t="s">
        <v>37</v>
      </c>
      <c r="P170" s="234">
        <v>0.1</v>
      </c>
      <c r="Q170" s="108"/>
      <c r="R170" s="108"/>
      <c r="S170" s="7" t="s">
        <v>145</v>
      </c>
      <c r="T170" s="6" t="s">
        <v>3214</v>
      </c>
      <c r="U170" s="6" t="s">
        <v>20</v>
      </c>
      <c r="V170" s="24" t="e">
        <f t="shared" ca="1" si="2"/>
        <v>#NAME?</v>
      </c>
      <c r="W170" s="24"/>
      <c r="X170" s="24"/>
      <c r="Y170" s="6"/>
      <c r="Z170" s="6"/>
      <c r="AA170" s="6"/>
      <c r="AB170" s="6"/>
      <c r="AC170" s="110">
        <v>121315.32</v>
      </c>
      <c r="AD170" s="110">
        <v>118087.92</v>
      </c>
      <c r="AE170" s="110">
        <v>116174.16</v>
      </c>
      <c r="AF170" s="110">
        <v>117664.22</v>
      </c>
      <c r="AG170" s="110">
        <v>120144.24</v>
      </c>
      <c r="AH170" s="110">
        <v>0</v>
      </c>
      <c r="AI170" s="110">
        <v>0</v>
      </c>
      <c r="AJ170" s="110"/>
      <c r="AK170" s="110"/>
      <c r="AL170" s="110"/>
      <c r="AM170" s="110"/>
      <c r="AN170" s="110"/>
      <c r="AO170" s="110"/>
      <c r="AP170" s="110"/>
      <c r="AQ170" s="110"/>
      <c r="AR170" s="110"/>
      <c r="AS170" s="110"/>
      <c r="AT170" s="110"/>
      <c r="AU170" s="110"/>
      <c r="AV170" s="240"/>
      <c r="AW170" s="240"/>
      <c r="AX170" s="240"/>
      <c r="AY170" s="110"/>
      <c r="AZ170" s="110"/>
      <c r="BA170" s="110"/>
      <c r="BB170" s="110"/>
      <c r="BC170" s="110"/>
      <c r="BD170" s="110">
        <v>0</v>
      </c>
      <c r="BE170" s="110">
        <v>0</v>
      </c>
      <c r="BF170" s="110">
        <v>0</v>
      </c>
      <c r="BG170" s="110" t="s">
        <v>2932</v>
      </c>
      <c r="BH170" s="110">
        <v>0</v>
      </c>
      <c r="BI170" s="110" t="s">
        <v>2932</v>
      </c>
      <c r="BJ170" s="110">
        <v>0</v>
      </c>
      <c r="BK170" s="237">
        <v>0</v>
      </c>
      <c r="BL170" s="237">
        <v>0</v>
      </c>
      <c r="BM170" s="237">
        <v>0</v>
      </c>
      <c r="BN170" s="237">
        <v>0</v>
      </c>
      <c r="BO170" s="237">
        <v>0</v>
      </c>
      <c r="BP170" s="237">
        <v>0</v>
      </c>
      <c r="BQ170" s="237">
        <v>0</v>
      </c>
      <c r="BR170" s="237">
        <v>0</v>
      </c>
      <c r="BS170" s="237">
        <v>0</v>
      </c>
      <c r="BT170" s="237">
        <v>0</v>
      </c>
      <c r="BU170" s="237">
        <v>0</v>
      </c>
      <c r="BV170" s="237">
        <v>0</v>
      </c>
      <c r="BW170" s="237">
        <v>0</v>
      </c>
      <c r="BX170" s="237">
        <v>0</v>
      </c>
      <c r="BY170" s="237">
        <v>0</v>
      </c>
      <c r="BZ170" s="237">
        <v>0</v>
      </c>
      <c r="CA170" s="237">
        <v>0</v>
      </c>
      <c r="CB170" s="237">
        <v>0</v>
      </c>
      <c r="CC170" s="237">
        <v>0</v>
      </c>
      <c r="CD170" s="237">
        <v>0</v>
      </c>
      <c r="CE170" s="237">
        <v>0</v>
      </c>
      <c r="CF170" s="237">
        <v>0</v>
      </c>
      <c r="CG170" s="237">
        <v>0</v>
      </c>
      <c r="CH170" s="30">
        <v>0</v>
      </c>
      <c r="CI170" s="30">
        <v>0</v>
      </c>
      <c r="CJ170" s="30" t="e">
        <f t="array" aca="1" ref="CJ170" ca="1">_xludf.XLOOKUP(C170,'PL TOTAL D0'!H:H,'PL TOTAL D0'!I:I,"")</f>
        <v>#NAME?</v>
      </c>
    </row>
    <row r="171" spans="1:88" ht="15.75" customHeight="1">
      <c r="A171" s="36" t="s">
        <v>2921</v>
      </c>
      <c r="B171" s="37" t="s">
        <v>3215</v>
      </c>
      <c r="C171" s="9">
        <v>445839</v>
      </c>
      <c r="D171" s="9" t="s">
        <v>19</v>
      </c>
      <c r="E171" s="9" t="s">
        <v>34</v>
      </c>
      <c r="F171" s="9" t="s">
        <v>262</v>
      </c>
      <c r="G171" s="7" t="e">
        <f t="shared" ca="1" si="0"/>
        <v>#NAME?</v>
      </c>
      <c r="H171" s="8" t="s">
        <v>161</v>
      </c>
      <c r="I171" s="24" t="s">
        <v>162</v>
      </c>
      <c r="J171" s="9" t="str">
        <f t="shared" si="3"/>
        <v>Não</v>
      </c>
      <c r="K171" s="79">
        <v>44489</v>
      </c>
      <c r="L171" s="7"/>
      <c r="M171" s="6" t="s">
        <v>58</v>
      </c>
      <c r="N171" s="233">
        <v>1.2E-2</v>
      </c>
      <c r="O171" s="9" t="s">
        <v>25</v>
      </c>
      <c r="P171" s="234">
        <v>0</v>
      </c>
      <c r="Q171" s="28"/>
      <c r="R171" s="28"/>
      <c r="S171" s="7" t="s">
        <v>145</v>
      </c>
      <c r="T171" s="6" t="s">
        <v>3216</v>
      </c>
      <c r="U171" s="6" t="s">
        <v>39</v>
      </c>
      <c r="V171" s="24" t="e">
        <f t="shared" ca="1" si="2"/>
        <v>#NAME?</v>
      </c>
      <c r="W171" s="24"/>
      <c r="X171" s="24"/>
      <c r="Y171" s="6" t="s">
        <v>253</v>
      </c>
      <c r="Z171" s="6"/>
      <c r="AA171" s="239">
        <v>44489</v>
      </c>
      <c r="AB171" s="6">
        <v>49075100003866</v>
      </c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236"/>
      <c r="AN171" s="236"/>
      <c r="AO171" s="236"/>
      <c r="AP171" s="236"/>
      <c r="AQ171" s="236"/>
      <c r="AR171" s="236"/>
      <c r="AS171" s="236"/>
      <c r="AT171" s="236"/>
      <c r="AU171" s="254"/>
      <c r="AV171" s="236"/>
      <c r="AW171" s="236"/>
      <c r="AX171" s="236"/>
      <c r="AY171" s="110"/>
      <c r="AZ171" s="110">
        <v>208224.25</v>
      </c>
      <c r="BA171" s="110">
        <v>207172.41</v>
      </c>
      <c r="BB171" s="110">
        <v>207028.19</v>
      </c>
      <c r="BC171" s="110">
        <v>208219.71</v>
      </c>
      <c r="BD171" s="110">
        <v>209456.89</v>
      </c>
      <c r="BE171" s="110">
        <v>215636.62</v>
      </c>
      <c r="BF171" s="110">
        <v>214258.98</v>
      </c>
      <c r="BG171" s="237">
        <v>214904.56</v>
      </c>
      <c r="BH171" s="237">
        <v>214867.69</v>
      </c>
      <c r="BI171" s="237">
        <v>215647.97</v>
      </c>
      <c r="BJ171" s="237">
        <v>218084.5</v>
      </c>
      <c r="BK171" s="237">
        <v>219472.97</v>
      </c>
      <c r="BL171" s="237">
        <v>223017.33</v>
      </c>
      <c r="BM171" s="237">
        <v>222209.86</v>
      </c>
      <c r="BN171" s="237">
        <v>224151.22</v>
      </c>
      <c r="BO171" s="237">
        <v>226734.95</v>
      </c>
      <c r="BP171" s="237">
        <v>229079.54</v>
      </c>
      <c r="BQ171" s="237">
        <v>232143.49</v>
      </c>
      <c r="BR171" s="237">
        <v>234128.89</v>
      </c>
      <c r="BS171" s="237">
        <v>236535.35</v>
      </c>
      <c r="BT171" s="237">
        <v>239069.3</v>
      </c>
      <c r="BU171" s="237">
        <v>239291.53</v>
      </c>
      <c r="BV171" s="237">
        <v>243178.72</v>
      </c>
      <c r="BW171" s="237">
        <v>243389.28</v>
      </c>
      <c r="BX171" s="237">
        <v>245030.03</v>
      </c>
      <c r="BY171" s="237">
        <v>246581.04</v>
      </c>
      <c r="BZ171" s="237">
        <v>249173.25</v>
      </c>
      <c r="CA171" s="237">
        <v>250545.32</v>
      </c>
      <c r="CB171" s="237">
        <v>55746.29</v>
      </c>
      <c r="CC171" s="237">
        <v>0</v>
      </c>
      <c r="CD171" s="237">
        <v>0</v>
      </c>
      <c r="CE171" s="237">
        <v>0</v>
      </c>
      <c r="CF171" s="237">
        <v>0</v>
      </c>
      <c r="CG171" s="237">
        <v>0</v>
      </c>
      <c r="CH171" s="30">
        <v>0</v>
      </c>
      <c r="CI171" s="30">
        <v>0</v>
      </c>
      <c r="CJ171" s="30" t="e">
        <f t="array" aca="1" ref="CJ171" ca="1">_xludf.XLOOKUP(C171,'PL TOTAL D0'!H:H,'PL TOTAL D0'!I:I,"")</f>
        <v>#NAME?</v>
      </c>
    </row>
    <row r="172" spans="1:88" ht="15.75" customHeight="1">
      <c r="A172" s="36" t="s">
        <v>2921</v>
      </c>
      <c r="B172" s="37" t="s">
        <v>3217</v>
      </c>
      <c r="C172" s="9">
        <v>580880</v>
      </c>
      <c r="D172" s="9" t="s">
        <v>2923</v>
      </c>
      <c r="E172" s="9" t="s">
        <v>20</v>
      </c>
      <c r="F172" s="6" t="s">
        <v>2924</v>
      </c>
      <c r="G172" s="7" t="e">
        <f t="shared" ca="1" si="0"/>
        <v>#NAME?</v>
      </c>
      <c r="H172" s="8" t="s">
        <v>143</v>
      </c>
      <c r="I172" s="24" t="s">
        <v>25</v>
      </c>
      <c r="J172" s="9" t="str">
        <f t="shared" si="3"/>
        <v>Não</v>
      </c>
      <c r="K172" s="107">
        <v>43620</v>
      </c>
      <c r="L172" s="239">
        <v>44482</v>
      </c>
      <c r="M172" s="6" t="s">
        <v>87</v>
      </c>
      <c r="N172" s="10">
        <v>0.02</v>
      </c>
      <c r="O172" s="9" t="s">
        <v>183</v>
      </c>
      <c r="P172" s="234">
        <v>0.2</v>
      </c>
      <c r="Q172" s="108"/>
      <c r="R172" s="108"/>
      <c r="S172" s="7" t="s">
        <v>145</v>
      </c>
      <c r="T172" s="6" t="s">
        <v>3218</v>
      </c>
      <c r="U172" s="6" t="s">
        <v>20</v>
      </c>
      <c r="V172" s="24" t="e">
        <f t="shared" ca="1" si="2"/>
        <v>#NAME?</v>
      </c>
      <c r="W172" s="24"/>
      <c r="X172" s="24"/>
      <c r="Y172" s="6"/>
      <c r="Z172" s="6"/>
      <c r="AA172" s="6"/>
      <c r="AB172" s="6"/>
      <c r="AC172" s="110">
        <v>218181.02</v>
      </c>
      <c r="AD172" s="110">
        <v>215493.89</v>
      </c>
      <c r="AE172" s="110">
        <v>206730.32</v>
      </c>
      <c r="AF172" s="110">
        <v>208832.87</v>
      </c>
      <c r="AG172" s="110">
        <v>210251.13</v>
      </c>
      <c r="AH172" s="110">
        <v>211079.19</v>
      </c>
      <c r="AI172" s="110">
        <v>51937.3</v>
      </c>
      <c r="AJ172" s="110">
        <v>0</v>
      </c>
      <c r="AK172" s="240"/>
      <c r="AL172" s="110">
        <v>168.77</v>
      </c>
      <c r="AM172" s="110">
        <v>168.77</v>
      </c>
      <c r="AN172" s="110">
        <v>264</v>
      </c>
      <c r="AO172" s="110">
        <v>264</v>
      </c>
      <c r="AP172" s="110">
        <v>264</v>
      </c>
      <c r="AQ172" s="110">
        <v>264</v>
      </c>
      <c r="AR172" s="110">
        <v>264</v>
      </c>
      <c r="AS172" s="110">
        <v>264</v>
      </c>
      <c r="AT172" s="110">
        <v>264</v>
      </c>
      <c r="AU172" s="110"/>
      <c r="AV172" s="240"/>
      <c r="AW172" s="110">
        <v>115.28</v>
      </c>
      <c r="AX172" s="110">
        <v>115.28</v>
      </c>
      <c r="AY172" s="110">
        <v>115.28</v>
      </c>
      <c r="AZ172" s="110"/>
      <c r="BA172" s="110"/>
      <c r="BB172" s="110"/>
      <c r="BC172" s="110"/>
      <c r="BD172" s="110">
        <v>0</v>
      </c>
      <c r="BE172" s="110">
        <v>0</v>
      </c>
      <c r="BF172" s="110">
        <v>0</v>
      </c>
      <c r="BG172" s="110" t="s">
        <v>2932</v>
      </c>
      <c r="BH172" s="110">
        <v>0</v>
      </c>
      <c r="BI172" s="110" t="s">
        <v>2932</v>
      </c>
      <c r="BJ172" s="110">
        <v>0</v>
      </c>
      <c r="BK172" s="237">
        <v>0</v>
      </c>
      <c r="BL172" s="237">
        <v>0</v>
      </c>
      <c r="BM172" s="237">
        <v>0</v>
      </c>
      <c r="BN172" s="237">
        <v>0</v>
      </c>
      <c r="BO172" s="237">
        <v>0</v>
      </c>
      <c r="BP172" s="237">
        <v>0</v>
      </c>
      <c r="BQ172" s="237">
        <v>0</v>
      </c>
      <c r="BR172" s="237">
        <v>0</v>
      </c>
      <c r="BS172" s="237">
        <v>0</v>
      </c>
      <c r="BT172" s="237">
        <v>0</v>
      </c>
      <c r="BU172" s="237">
        <v>0</v>
      </c>
      <c r="BV172" s="237">
        <v>0</v>
      </c>
      <c r="BW172" s="237">
        <v>0</v>
      </c>
      <c r="BX172" s="237">
        <v>0</v>
      </c>
      <c r="BY172" s="237">
        <v>0</v>
      </c>
      <c r="BZ172" s="237">
        <v>0</v>
      </c>
      <c r="CA172" s="237">
        <v>0</v>
      </c>
      <c r="CB172" s="237">
        <v>0</v>
      </c>
      <c r="CC172" s="237">
        <v>0</v>
      </c>
      <c r="CD172" s="237">
        <v>0</v>
      </c>
      <c r="CE172" s="237">
        <v>0</v>
      </c>
      <c r="CF172" s="237">
        <v>0</v>
      </c>
      <c r="CG172" s="237">
        <v>0</v>
      </c>
      <c r="CH172" s="30">
        <v>0</v>
      </c>
      <c r="CI172" s="30">
        <v>0</v>
      </c>
      <c r="CJ172" s="30" t="e">
        <f t="array" aca="1" ref="CJ172" ca="1">_xludf.XLOOKUP(C172,'PL TOTAL D0'!H:H,'PL TOTAL D0'!I:I,"")</f>
        <v>#NAME?</v>
      </c>
    </row>
    <row r="173" spans="1:88" ht="15.75" customHeight="1">
      <c r="A173" s="36" t="s">
        <v>2921</v>
      </c>
      <c r="B173" s="3" t="s">
        <v>3219</v>
      </c>
      <c r="C173" s="9">
        <v>424292</v>
      </c>
      <c r="D173" s="9" t="s">
        <v>19</v>
      </c>
      <c r="E173" s="9" t="s">
        <v>34</v>
      </c>
      <c r="F173" s="6" t="s">
        <v>35</v>
      </c>
      <c r="G173" s="7" t="e">
        <f t="shared" ca="1" si="0"/>
        <v>#NAME?</v>
      </c>
      <c r="H173" s="8" t="s">
        <v>143</v>
      </c>
      <c r="I173" s="24" t="s">
        <v>25</v>
      </c>
      <c r="J173" s="9" t="str">
        <f t="shared" si="3"/>
        <v>Não</v>
      </c>
      <c r="K173" s="107">
        <v>44313</v>
      </c>
      <c r="L173" s="107">
        <v>44691</v>
      </c>
      <c r="M173" s="6" t="s">
        <v>200</v>
      </c>
      <c r="N173" s="10">
        <v>1.4999999999999999E-2</v>
      </c>
      <c r="O173" s="9" t="s">
        <v>37</v>
      </c>
      <c r="P173" s="234">
        <v>0.1</v>
      </c>
      <c r="Q173" s="28"/>
      <c r="R173" s="28"/>
      <c r="S173" s="7" t="s">
        <v>145</v>
      </c>
      <c r="T173" s="6" t="s">
        <v>3220</v>
      </c>
      <c r="U173" s="6" t="s">
        <v>39</v>
      </c>
      <c r="V173" s="24" t="e">
        <f t="shared" ca="1" si="2"/>
        <v>#NAME?</v>
      </c>
      <c r="W173" s="24"/>
      <c r="X173" s="24"/>
      <c r="Y173" s="6" t="s">
        <v>253</v>
      </c>
      <c r="Z173" s="6"/>
      <c r="AA173" s="6"/>
      <c r="AB173" s="6"/>
      <c r="AC173" s="132"/>
      <c r="AD173" s="132"/>
      <c r="AE173" s="132"/>
      <c r="AF173" s="132"/>
      <c r="AG173" s="132"/>
      <c r="AH173" s="132"/>
      <c r="AI173" s="132"/>
      <c r="AJ173" s="132"/>
      <c r="AK173" s="132"/>
      <c r="AL173" s="132"/>
      <c r="AM173" s="132"/>
      <c r="AN173" s="132"/>
      <c r="AO173" s="132"/>
      <c r="AP173" s="110"/>
      <c r="AQ173" s="110"/>
      <c r="AR173" s="110"/>
      <c r="AS173" s="110"/>
      <c r="AT173" s="110"/>
      <c r="AU173" s="110">
        <v>728273.19</v>
      </c>
      <c r="AV173" s="110">
        <v>664968.23</v>
      </c>
      <c r="AW173" s="110">
        <v>460365.58</v>
      </c>
      <c r="AX173" s="110">
        <v>451079.12</v>
      </c>
      <c r="AY173" s="110">
        <v>317794.07</v>
      </c>
      <c r="AZ173" s="110"/>
      <c r="BA173" s="110"/>
      <c r="BB173" s="110">
        <v>215.41</v>
      </c>
      <c r="BC173" s="110">
        <v>0.05</v>
      </c>
      <c r="BD173" s="110">
        <v>0.05</v>
      </c>
      <c r="BE173" s="110">
        <v>-834.26</v>
      </c>
      <c r="BF173" s="110">
        <v>-834.26</v>
      </c>
      <c r="BG173" s="110" t="s">
        <v>2932</v>
      </c>
      <c r="BH173" s="110">
        <v>0</v>
      </c>
      <c r="BI173" s="110" t="s">
        <v>2932</v>
      </c>
      <c r="BJ173" s="110">
        <v>0</v>
      </c>
      <c r="BK173" s="237">
        <v>22.45</v>
      </c>
      <c r="BL173" s="237">
        <v>0</v>
      </c>
      <c r="BM173" s="237">
        <v>0</v>
      </c>
      <c r="BN173" s="237">
        <v>0</v>
      </c>
      <c r="BO173" s="237">
        <v>0</v>
      </c>
      <c r="BP173" s="237">
        <v>0</v>
      </c>
      <c r="BQ173" s="237">
        <v>0</v>
      </c>
      <c r="BR173" s="237">
        <v>0</v>
      </c>
      <c r="BS173" s="237">
        <v>0</v>
      </c>
      <c r="BT173" s="237">
        <v>0</v>
      </c>
      <c r="BU173" s="237">
        <v>0</v>
      </c>
      <c r="BV173" s="237">
        <v>0</v>
      </c>
      <c r="BW173" s="237">
        <v>0</v>
      </c>
      <c r="BX173" s="237">
        <v>0</v>
      </c>
      <c r="BY173" s="237">
        <v>0</v>
      </c>
      <c r="BZ173" s="237">
        <v>0</v>
      </c>
      <c r="CA173" s="237">
        <v>0</v>
      </c>
      <c r="CB173" s="237">
        <v>0</v>
      </c>
      <c r="CC173" s="237">
        <v>0</v>
      </c>
      <c r="CD173" s="237">
        <v>0</v>
      </c>
      <c r="CE173" s="237">
        <v>0</v>
      </c>
      <c r="CF173" s="237">
        <v>0</v>
      </c>
      <c r="CG173" s="237">
        <v>0</v>
      </c>
      <c r="CH173" s="30">
        <v>0</v>
      </c>
      <c r="CI173" s="30">
        <v>0</v>
      </c>
      <c r="CJ173" s="30" t="e">
        <f t="array" aca="1" ref="CJ173" ca="1">_xludf.XLOOKUP(C173,'PL TOTAL D0'!H:H,'PL TOTAL D0'!I:I,"")</f>
        <v>#NAME?</v>
      </c>
    </row>
    <row r="174" spans="1:88" ht="15.75" customHeight="1">
      <c r="A174" s="36" t="s">
        <v>2921</v>
      </c>
      <c r="B174" s="37" t="s">
        <v>3221</v>
      </c>
      <c r="C174" s="9">
        <v>43169</v>
      </c>
      <c r="D174" s="9" t="s">
        <v>19</v>
      </c>
      <c r="E174" s="9" t="s">
        <v>20</v>
      </c>
      <c r="F174" s="6" t="s">
        <v>3072</v>
      </c>
      <c r="G174" s="7" t="e">
        <f t="shared" ca="1" si="0"/>
        <v>#NAME?</v>
      </c>
      <c r="H174" s="8" t="s">
        <v>143</v>
      </c>
      <c r="I174" s="24" t="s">
        <v>25</v>
      </c>
      <c r="J174" s="9" t="str">
        <f t="shared" si="3"/>
        <v>Não</v>
      </c>
      <c r="K174" s="107">
        <v>43510</v>
      </c>
      <c r="L174" s="107">
        <v>44322</v>
      </c>
      <c r="M174" s="6" t="s">
        <v>345</v>
      </c>
      <c r="N174" s="10">
        <v>7.4999999999999997E-3</v>
      </c>
      <c r="O174" s="9" t="s">
        <v>37</v>
      </c>
      <c r="P174" s="234">
        <v>0.2</v>
      </c>
      <c r="Q174" s="47"/>
      <c r="R174" s="108" t="s">
        <v>3222</v>
      </c>
      <c r="S174" s="7" t="s">
        <v>187</v>
      </c>
      <c r="T174" s="6" t="s">
        <v>3223</v>
      </c>
      <c r="U174" s="6" t="s">
        <v>20</v>
      </c>
      <c r="V174" s="24" t="e">
        <f t="shared" ca="1" si="2"/>
        <v>#NAME?</v>
      </c>
      <c r="W174" s="24"/>
      <c r="X174" s="24"/>
      <c r="Y174" s="6"/>
      <c r="Z174" s="6"/>
      <c r="AA174" s="6"/>
      <c r="AB174" s="6"/>
      <c r="AC174" s="110">
        <v>872384.36</v>
      </c>
      <c r="AD174" s="110">
        <v>844095.88</v>
      </c>
      <c r="AE174" s="110">
        <v>730451.12</v>
      </c>
      <c r="AF174" s="110">
        <v>729844.11</v>
      </c>
      <c r="AG174" s="110">
        <v>723713.77</v>
      </c>
      <c r="AH174" s="110">
        <v>737248.91</v>
      </c>
      <c r="AI174" s="110">
        <v>769104.01</v>
      </c>
      <c r="AJ174" s="110">
        <v>745360.56</v>
      </c>
      <c r="AK174" s="110">
        <v>728142.56</v>
      </c>
      <c r="AL174" s="110">
        <v>737493.66</v>
      </c>
      <c r="AM174" s="110">
        <v>787952.19</v>
      </c>
      <c r="AN174" s="110">
        <v>805964.88</v>
      </c>
      <c r="AO174" s="110">
        <v>795251.09</v>
      </c>
      <c r="AP174" s="110">
        <v>766802.23</v>
      </c>
      <c r="AQ174" s="110">
        <v>853255.46</v>
      </c>
      <c r="AR174" s="110">
        <v>876169.3</v>
      </c>
      <c r="AS174" s="110">
        <v>416791.76</v>
      </c>
      <c r="AT174" s="110">
        <v>416280.74</v>
      </c>
      <c r="AU174" s="110"/>
      <c r="AV174" s="110">
        <v>7.66</v>
      </c>
      <c r="AW174" s="110">
        <v>7.66</v>
      </c>
      <c r="AX174" s="110">
        <v>7.66</v>
      </c>
      <c r="AY174" s="110">
        <v>7.66</v>
      </c>
      <c r="AZ174" s="110">
        <v>7.66</v>
      </c>
      <c r="BA174" s="110">
        <v>7.66</v>
      </c>
      <c r="BB174" s="110">
        <v>7.66</v>
      </c>
      <c r="BC174" s="110"/>
      <c r="BD174" s="110">
        <v>0</v>
      </c>
      <c r="BE174" s="110">
        <v>0</v>
      </c>
      <c r="BF174" s="110">
        <v>0</v>
      </c>
      <c r="BG174" s="110" t="s">
        <v>2932</v>
      </c>
      <c r="BH174" s="110">
        <v>0</v>
      </c>
      <c r="BI174" s="110" t="s">
        <v>2932</v>
      </c>
      <c r="BJ174" s="110">
        <v>0</v>
      </c>
      <c r="BK174" s="237">
        <v>0</v>
      </c>
      <c r="BL174" s="237">
        <v>0</v>
      </c>
      <c r="BM174" s="237">
        <v>0</v>
      </c>
      <c r="BN174" s="237">
        <v>0</v>
      </c>
      <c r="BO174" s="237">
        <v>0</v>
      </c>
      <c r="BP174" s="237">
        <v>0</v>
      </c>
      <c r="BQ174" s="237">
        <v>0</v>
      </c>
      <c r="BR174" s="237">
        <v>0</v>
      </c>
      <c r="BS174" s="237">
        <v>0</v>
      </c>
      <c r="BT174" s="237">
        <v>0</v>
      </c>
      <c r="BU174" s="237">
        <v>0</v>
      </c>
      <c r="BV174" s="237">
        <v>0</v>
      </c>
      <c r="BW174" s="237">
        <v>0</v>
      </c>
      <c r="BX174" s="237">
        <v>0</v>
      </c>
      <c r="BY174" s="237">
        <v>0</v>
      </c>
      <c r="BZ174" s="237">
        <v>0</v>
      </c>
      <c r="CA174" s="237">
        <v>0</v>
      </c>
      <c r="CB174" s="237">
        <v>0</v>
      </c>
      <c r="CC174" s="237">
        <v>0</v>
      </c>
      <c r="CD174" s="237">
        <v>0</v>
      </c>
      <c r="CE174" s="237">
        <v>0</v>
      </c>
      <c r="CF174" s="237">
        <v>0</v>
      </c>
      <c r="CG174" s="237">
        <v>0</v>
      </c>
      <c r="CH174" s="30">
        <v>0</v>
      </c>
      <c r="CI174" s="30">
        <v>0</v>
      </c>
      <c r="CJ174" s="30" t="e">
        <f t="array" aca="1" ref="CJ174" ca="1">_xludf.XLOOKUP(C174,'PL TOTAL D0'!H:H,'PL TOTAL D0'!I:I,"")</f>
        <v>#NAME?</v>
      </c>
    </row>
    <row r="175" spans="1:88" ht="15.75" customHeight="1">
      <c r="A175" s="36" t="s">
        <v>2921</v>
      </c>
      <c r="B175" s="37" t="s">
        <v>3224</v>
      </c>
      <c r="C175" s="9">
        <v>77294</v>
      </c>
      <c r="D175" s="9" t="s">
        <v>2989</v>
      </c>
      <c r="E175" s="9" t="s">
        <v>20</v>
      </c>
      <c r="F175" s="6" t="s">
        <v>2989</v>
      </c>
      <c r="G175" s="7" t="e">
        <f t="shared" ca="1" si="0"/>
        <v>#NAME?</v>
      </c>
      <c r="H175" s="8" t="s">
        <v>143</v>
      </c>
      <c r="I175" s="24" t="s">
        <v>25</v>
      </c>
      <c r="J175" s="9" t="str">
        <f t="shared" si="3"/>
        <v>Não</v>
      </c>
      <c r="K175" s="107">
        <v>44021</v>
      </c>
      <c r="L175" s="107">
        <v>44680</v>
      </c>
      <c r="M175" s="6" t="s">
        <v>200</v>
      </c>
      <c r="N175" s="10">
        <v>1.4999999999999999E-2</v>
      </c>
      <c r="O175" s="9" t="s">
        <v>37</v>
      </c>
      <c r="P175" s="234">
        <v>0.1</v>
      </c>
      <c r="Q175" s="108"/>
      <c r="R175" s="45"/>
      <c r="S175" s="7" t="s">
        <v>145</v>
      </c>
      <c r="T175" s="6" t="s">
        <v>3225</v>
      </c>
      <c r="U175" s="6" t="s">
        <v>20</v>
      </c>
      <c r="V175" s="24" t="e">
        <f t="shared" ca="1" si="2"/>
        <v>#NAME?</v>
      </c>
      <c r="W175" s="24"/>
      <c r="X175" s="24"/>
      <c r="Y175" s="6" t="s">
        <v>147</v>
      </c>
      <c r="Z175" s="6"/>
      <c r="AA175" s="6"/>
      <c r="AB175" s="6"/>
      <c r="AC175" s="240"/>
      <c r="AD175" s="240"/>
      <c r="AE175" s="240"/>
      <c r="AF175" s="110"/>
      <c r="AG175" s="110">
        <v>0</v>
      </c>
      <c r="AH175" s="110">
        <v>6841118.7300000004</v>
      </c>
      <c r="AI175" s="110">
        <v>9096049.6699999999</v>
      </c>
      <c r="AJ175" s="110">
        <v>8828518.9000000004</v>
      </c>
      <c r="AK175" s="110">
        <v>8654606.4700000007</v>
      </c>
      <c r="AL175" s="110">
        <v>8728628.9900000002</v>
      </c>
      <c r="AM175" s="110">
        <v>9113779.6600000001</v>
      </c>
      <c r="AN175" s="110">
        <v>9376070.2799999993</v>
      </c>
      <c r="AO175" s="110">
        <v>9208066.8300000001</v>
      </c>
      <c r="AP175" s="110">
        <v>8973257.0999999996</v>
      </c>
      <c r="AQ175" s="110">
        <v>8908862.1400000006</v>
      </c>
      <c r="AR175" s="110">
        <v>9070859.0299999993</v>
      </c>
      <c r="AS175" s="110">
        <v>9178962.4100000001</v>
      </c>
      <c r="AT175" s="110">
        <v>9207697.6300000008</v>
      </c>
      <c r="AU175" s="110">
        <v>9371703.2300000004</v>
      </c>
      <c r="AV175" s="110">
        <v>9330180.9100000001</v>
      </c>
      <c r="AW175" s="110">
        <v>9075569.8499999996</v>
      </c>
      <c r="AX175" s="110">
        <v>9089027.1300000008</v>
      </c>
      <c r="AY175" s="110">
        <v>8346383.9500000002</v>
      </c>
      <c r="AZ175" s="110">
        <v>7980306.0300000003</v>
      </c>
      <c r="BA175" s="110">
        <v>7494326.5999999996</v>
      </c>
      <c r="BB175" s="110">
        <v>7396697.6500000004</v>
      </c>
      <c r="BC175" s="110">
        <v>7282762.4000000004</v>
      </c>
      <c r="BD175" s="110">
        <v>7326007.1799999997</v>
      </c>
      <c r="BE175" s="110">
        <v>7634416.9400000004</v>
      </c>
      <c r="BF175" s="110">
        <v>7493755.9400000004</v>
      </c>
      <c r="BG175" s="110" t="s">
        <v>2932</v>
      </c>
      <c r="BH175" s="110">
        <v>0</v>
      </c>
      <c r="BI175" s="110" t="s">
        <v>2932</v>
      </c>
      <c r="BJ175" s="110">
        <v>0</v>
      </c>
      <c r="BK175" s="237">
        <v>0</v>
      </c>
      <c r="BL175" s="237">
        <v>0</v>
      </c>
      <c r="BM175" s="237">
        <v>0</v>
      </c>
      <c r="BN175" s="237">
        <v>0</v>
      </c>
      <c r="BO175" s="237">
        <v>0</v>
      </c>
      <c r="BP175" s="237">
        <v>0</v>
      </c>
      <c r="BQ175" s="237">
        <v>0</v>
      </c>
      <c r="BR175" s="237">
        <v>0</v>
      </c>
      <c r="BS175" s="237">
        <v>0</v>
      </c>
      <c r="BT175" s="237">
        <v>0</v>
      </c>
      <c r="BU175" s="237">
        <v>0</v>
      </c>
      <c r="BV175" s="237">
        <v>0</v>
      </c>
      <c r="BW175" s="237">
        <v>0</v>
      </c>
      <c r="BX175" s="237">
        <v>0</v>
      </c>
      <c r="BY175" s="237">
        <v>0</v>
      </c>
      <c r="BZ175" s="237">
        <v>0</v>
      </c>
      <c r="CA175" s="237">
        <v>0</v>
      </c>
      <c r="CB175" s="237">
        <v>0</v>
      </c>
      <c r="CC175" s="237">
        <v>0</v>
      </c>
      <c r="CD175" s="237">
        <v>0</v>
      </c>
      <c r="CE175" s="237">
        <v>0</v>
      </c>
      <c r="CF175" s="237">
        <v>0</v>
      </c>
      <c r="CG175" s="237">
        <v>0</v>
      </c>
      <c r="CH175" s="30">
        <v>0</v>
      </c>
      <c r="CI175" s="30">
        <v>0</v>
      </c>
      <c r="CJ175" s="30" t="e">
        <f t="array" aca="1" ref="CJ175" ca="1">_xludf.XLOOKUP(C175,'PL TOTAL D0'!H:H,'PL TOTAL D0'!I:I,"")</f>
        <v>#NAME?</v>
      </c>
    </row>
    <row r="176" spans="1:88" ht="15.75" customHeight="1">
      <c r="A176" s="36" t="s">
        <v>2921</v>
      </c>
      <c r="B176" s="37" t="s">
        <v>3224</v>
      </c>
      <c r="C176" s="9">
        <v>88938</v>
      </c>
      <c r="D176" s="9" t="s">
        <v>2989</v>
      </c>
      <c r="E176" s="9" t="s">
        <v>20</v>
      </c>
      <c r="F176" s="6" t="s">
        <v>2989</v>
      </c>
      <c r="G176" s="7" t="e">
        <f t="shared" ca="1" si="0"/>
        <v>#NAME?</v>
      </c>
      <c r="H176" s="8" t="s">
        <v>143</v>
      </c>
      <c r="I176" s="24" t="s">
        <v>25</v>
      </c>
      <c r="J176" s="9" t="str">
        <f t="shared" si="3"/>
        <v>Não</v>
      </c>
      <c r="K176" s="107">
        <v>44029</v>
      </c>
      <c r="L176" s="107">
        <v>44680</v>
      </c>
      <c r="M176" s="6" t="s">
        <v>87</v>
      </c>
      <c r="N176" s="10">
        <v>1.7999999999999999E-2</v>
      </c>
      <c r="O176" s="9" t="s">
        <v>183</v>
      </c>
      <c r="P176" s="234">
        <v>0.2</v>
      </c>
      <c r="Q176" s="235"/>
      <c r="R176" s="108"/>
      <c r="S176" s="7" t="s">
        <v>145</v>
      </c>
      <c r="T176" s="6" t="s">
        <v>3225</v>
      </c>
      <c r="U176" s="6" t="s">
        <v>20</v>
      </c>
      <c r="V176" s="24" t="e">
        <f t="shared" ca="1" si="2"/>
        <v>#NAME?</v>
      </c>
      <c r="W176" s="24"/>
      <c r="X176" s="24"/>
      <c r="Y176" s="6" t="s">
        <v>147</v>
      </c>
      <c r="Z176" s="6"/>
      <c r="AA176" s="6"/>
      <c r="AB176" s="6"/>
      <c r="AC176" s="240"/>
      <c r="AD176" s="240"/>
      <c r="AE176" s="240"/>
      <c r="AF176" s="110"/>
      <c r="AG176" s="110">
        <v>0</v>
      </c>
      <c r="AH176" s="110">
        <v>0</v>
      </c>
      <c r="AI176" s="110">
        <v>7045080.1299999999</v>
      </c>
      <c r="AJ176" s="110">
        <v>4786748.79</v>
      </c>
      <c r="AK176" s="110">
        <v>4595236.28</v>
      </c>
      <c r="AL176" s="110">
        <v>4681114.88</v>
      </c>
      <c r="AM176" s="110">
        <v>5212637.49</v>
      </c>
      <c r="AN176" s="110">
        <v>5523118.7999999998</v>
      </c>
      <c r="AO176" s="110">
        <v>5332603.3499999996</v>
      </c>
      <c r="AP176" s="110">
        <v>4963853.5599999996</v>
      </c>
      <c r="AQ176" s="110">
        <v>4849615.33</v>
      </c>
      <c r="AR176" s="110">
        <v>5106264.26</v>
      </c>
      <c r="AS176" s="110">
        <v>5272190.91</v>
      </c>
      <c r="AT176" s="110">
        <v>5317202.8600000003</v>
      </c>
      <c r="AU176" s="110">
        <v>5541725.21</v>
      </c>
      <c r="AV176" s="110">
        <v>5462678.2800000003</v>
      </c>
      <c r="AW176" s="110">
        <v>5306252.6100000003</v>
      </c>
      <c r="AX176" s="110">
        <v>5073945.41</v>
      </c>
      <c r="AY176" s="110">
        <v>4824950.5199999996</v>
      </c>
      <c r="AZ176" s="110">
        <v>4527303.37</v>
      </c>
      <c r="BA176" s="110">
        <v>4368466.66</v>
      </c>
      <c r="BB176" s="110">
        <v>4404295.46</v>
      </c>
      <c r="BC176" s="110">
        <v>4694526.63</v>
      </c>
      <c r="BD176" s="110">
        <v>4732058.21</v>
      </c>
      <c r="BE176" s="110">
        <v>5110232.33</v>
      </c>
      <c r="BF176" s="110">
        <v>4878578.17</v>
      </c>
      <c r="BG176" s="110" t="s">
        <v>2932</v>
      </c>
      <c r="BH176" s="110">
        <v>0</v>
      </c>
      <c r="BI176" s="110" t="s">
        <v>2932</v>
      </c>
      <c r="BJ176" s="110">
        <v>0</v>
      </c>
      <c r="BK176" s="237">
        <v>0</v>
      </c>
      <c r="BL176" s="237">
        <v>0</v>
      </c>
      <c r="BM176" s="237">
        <v>0</v>
      </c>
      <c r="BN176" s="237">
        <v>0</v>
      </c>
      <c r="BO176" s="237">
        <v>0</v>
      </c>
      <c r="BP176" s="237">
        <v>0</v>
      </c>
      <c r="BQ176" s="237">
        <v>0</v>
      </c>
      <c r="BR176" s="237">
        <v>0</v>
      </c>
      <c r="BS176" s="237">
        <v>0</v>
      </c>
      <c r="BT176" s="237">
        <v>0</v>
      </c>
      <c r="BU176" s="237">
        <v>0</v>
      </c>
      <c r="BV176" s="237">
        <v>0</v>
      </c>
      <c r="BW176" s="237">
        <v>0</v>
      </c>
      <c r="BX176" s="237">
        <v>0</v>
      </c>
      <c r="BY176" s="237">
        <v>0</v>
      </c>
      <c r="BZ176" s="237">
        <v>0</v>
      </c>
      <c r="CA176" s="237">
        <v>0</v>
      </c>
      <c r="CB176" s="237">
        <v>0</v>
      </c>
      <c r="CC176" s="237">
        <v>0</v>
      </c>
      <c r="CD176" s="237">
        <v>0</v>
      </c>
      <c r="CE176" s="237">
        <v>0</v>
      </c>
      <c r="CF176" s="237">
        <v>0</v>
      </c>
      <c r="CG176" s="237">
        <v>0</v>
      </c>
      <c r="CH176" s="30">
        <v>0</v>
      </c>
      <c r="CI176" s="30">
        <v>0</v>
      </c>
      <c r="CJ176" s="30" t="e">
        <f t="array" aca="1" ref="CJ176" ca="1">_xludf.XLOOKUP(C176,'PL TOTAL D0'!H:H,'PL TOTAL D0'!I:I,"")</f>
        <v>#NAME?</v>
      </c>
    </row>
    <row r="177" spans="1:88" ht="15.75" customHeight="1">
      <c r="A177" s="36" t="s">
        <v>2921</v>
      </c>
      <c r="B177" s="3" t="s">
        <v>3226</v>
      </c>
      <c r="C177" s="9">
        <v>464995</v>
      </c>
      <c r="D177" s="9" t="s">
        <v>19</v>
      </c>
      <c r="E177" s="9" t="s">
        <v>34</v>
      </c>
      <c r="F177" s="9" t="s">
        <v>262</v>
      </c>
      <c r="G177" s="7" t="e">
        <f t="shared" ca="1" si="0"/>
        <v>#NAME?</v>
      </c>
      <c r="H177" s="8" t="s">
        <v>161</v>
      </c>
      <c r="I177" s="24" t="s">
        <v>162</v>
      </c>
      <c r="J177" s="9" t="str">
        <f t="shared" si="3"/>
        <v>Não</v>
      </c>
      <c r="K177" s="232">
        <v>44291</v>
      </c>
      <c r="L177" s="6"/>
      <c r="M177" s="6" t="s">
        <v>200</v>
      </c>
      <c r="N177" s="233">
        <v>1.4999999999999999E-2</v>
      </c>
      <c r="O177" s="9" t="s">
        <v>37</v>
      </c>
      <c r="P177" s="234">
        <v>0.1</v>
      </c>
      <c r="Q177" s="45"/>
      <c r="R177" s="108" t="s">
        <v>3092</v>
      </c>
      <c r="S177" s="7" t="s">
        <v>187</v>
      </c>
      <c r="T177" s="6" t="s">
        <v>3227</v>
      </c>
      <c r="U177" s="6" t="s">
        <v>39</v>
      </c>
      <c r="V177" s="24" t="e">
        <f t="shared" ca="1" si="2"/>
        <v>#NAME?</v>
      </c>
      <c r="W177" s="24"/>
      <c r="X177" s="24"/>
      <c r="Y177" s="6" t="s">
        <v>253</v>
      </c>
      <c r="Z177" s="6"/>
      <c r="AA177" s="107">
        <v>44291</v>
      </c>
      <c r="AB177" s="6">
        <v>49075100009937</v>
      </c>
      <c r="AC177" s="240"/>
      <c r="AD177" s="240"/>
      <c r="AE177" s="240"/>
      <c r="AF177" s="240"/>
      <c r="AG177" s="240"/>
      <c r="AH177" s="240"/>
      <c r="AI177" s="240"/>
      <c r="AJ177" s="240"/>
      <c r="AK177" s="240"/>
      <c r="AL177" s="240"/>
      <c r="AM177" s="240"/>
      <c r="AN177" s="240"/>
      <c r="AO177" s="240"/>
      <c r="AP177" s="110"/>
      <c r="AQ177" s="236"/>
      <c r="AR177" s="236">
        <v>320760.11</v>
      </c>
      <c r="AS177" s="236">
        <v>321399.28000000003</v>
      </c>
      <c r="AT177" s="236">
        <v>323438.33</v>
      </c>
      <c r="AU177" s="236">
        <v>329091.03000000003</v>
      </c>
      <c r="AV177" s="110">
        <v>327465.8</v>
      </c>
      <c r="AW177" s="110">
        <v>323979</v>
      </c>
      <c r="AX177" s="110">
        <v>318108.39</v>
      </c>
      <c r="AY177" s="110">
        <v>313689.48</v>
      </c>
      <c r="AZ177" s="110">
        <v>306576.34000000003</v>
      </c>
      <c r="BA177" s="110">
        <v>303835.53999999998</v>
      </c>
      <c r="BB177" s="110">
        <v>304185.03999999998</v>
      </c>
      <c r="BC177" s="110">
        <v>310974.42</v>
      </c>
      <c r="BD177" s="110">
        <v>313115.38</v>
      </c>
      <c r="BE177" s="110">
        <v>323213.95</v>
      </c>
      <c r="BF177" s="110">
        <v>318593.25</v>
      </c>
      <c r="BG177" s="237">
        <v>318296.57</v>
      </c>
      <c r="BH177" s="237">
        <v>316963.73</v>
      </c>
      <c r="BI177" s="237">
        <v>321774.89</v>
      </c>
      <c r="BJ177" s="237">
        <v>324858.77</v>
      </c>
      <c r="BK177" s="237">
        <v>327446.28000000003</v>
      </c>
      <c r="BL177" s="237">
        <v>335555.2</v>
      </c>
      <c r="BM177" s="237">
        <v>330471.42</v>
      </c>
      <c r="BN177" s="237">
        <v>334100.36</v>
      </c>
      <c r="BO177" s="237">
        <v>335578.19</v>
      </c>
      <c r="BP177" s="237">
        <v>335701.57</v>
      </c>
      <c r="BQ177" s="237">
        <v>76390.429999999993</v>
      </c>
      <c r="BR177" s="237">
        <v>296.7</v>
      </c>
      <c r="BS177" s="237">
        <v>595.70000000000005</v>
      </c>
      <c r="BT177" s="237">
        <v>0</v>
      </c>
      <c r="BU177" s="237">
        <v>0</v>
      </c>
      <c r="BV177" s="237">
        <v>0</v>
      </c>
      <c r="BW177" s="237">
        <v>0</v>
      </c>
      <c r="BX177" s="237">
        <v>0</v>
      </c>
      <c r="BY177" s="237">
        <v>0</v>
      </c>
      <c r="BZ177" s="237">
        <v>0</v>
      </c>
      <c r="CA177" s="237">
        <v>0</v>
      </c>
      <c r="CB177" s="237">
        <v>0</v>
      </c>
      <c r="CC177" s="237">
        <v>0</v>
      </c>
      <c r="CD177" s="237">
        <v>0</v>
      </c>
      <c r="CE177" s="237">
        <v>0</v>
      </c>
      <c r="CF177" s="237">
        <v>0</v>
      </c>
      <c r="CG177" s="237">
        <v>0</v>
      </c>
      <c r="CH177" s="30">
        <v>0</v>
      </c>
      <c r="CI177" s="30">
        <v>0</v>
      </c>
      <c r="CJ177" s="30" t="e">
        <f t="array" aca="1" ref="CJ177" ca="1">_xludf.XLOOKUP(C177,'PL TOTAL D0'!H:H,'PL TOTAL D0'!I:I,"")</f>
        <v>#NAME?</v>
      </c>
    </row>
    <row r="178" spans="1:88" ht="15.75" customHeight="1">
      <c r="A178" s="36" t="s">
        <v>2921</v>
      </c>
      <c r="B178" s="36" t="s">
        <v>3228</v>
      </c>
      <c r="C178" s="9">
        <v>579208</v>
      </c>
      <c r="D178" s="9" t="s">
        <v>19</v>
      </c>
      <c r="E178" s="9" t="s">
        <v>20</v>
      </c>
      <c r="F178" s="9" t="s">
        <v>199</v>
      </c>
      <c r="G178" s="7" t="e">
        <f t="shared" ca="1" si="0"/>
        <v>#NAME?</v>
      </c>
      <c r="H178" s="8" t="s">
        <v>152</v>
      </c>
      <c r="I178" s="24" t="s">
        <v>25</v>
      </c>
      <c r="J178" s="9" t="str">
        <f t="shared" si="3"/>
        <v>Não</v>
      </c>
      <c r="K178" s="232">
        <v>43605</v>
      </c>
      <c r="L178" s="6"/>
      <c r="M178" s="6" t="s">
        <v>58</v>
      </c>
      <c r="N178" s="233">
        <v>5.0000000000000001E-3</v>
      </c>
      <c r="O178" s="9" t="s">
        <v>25</v>
      </c>
      <c r="P178" s="234">
        <v>0</v>
      </c>
      <c r="Q178" s="108"/>
      <c r="R178" s="108" t="s">
        <v>3229</v>
      </c>
      <c r="S178" s="7" t="s">
        <v>145</v>
      </c>
      <c r="T178" s="9" t="s">
        <v>3230</v>
      </c>
      <c r="U178" s="6" t="s">
        <v>20</v>
      </c>
      <c r="V178" s="24" t="e">
        <f t="shared" ca="1" si="2"/>
        <v>#NAME?</v>
      </c>
      <c r="W178" s="24"/>
      <c r="X178" s="24"/>
      <c r="Y178" s="6" t="s">
        <v>253</v>
      </c>
      <c r="Z178" s="6"/>
      <c r="AA178" s="107">
        <v>43605</v>
      </c>
      <c r="AB178" s="6">
        <v>49075100003882</v>
      </c>
      <c r="AC178" s="110">
        <v>924787.49</v>
      </c>
      <c r="AD178" s="110">
        <v>916852.85</v>
      </c>
      <c r="AE178" s="110">
        <v>899633.62</v>
      </c>
      <c r="AF178" s="110">
        <v>847522.08</v>
      </c>
      <c r="AG178" s="110">
        <v>833539.3</v>
      </c>
      <c r="AH178" s="110">
        <v>871019.42</v>
      </c>
      <c r="AI178" s="110">
        <v>847214.95</v>
      </c>
      <c r="AJ178" s="110">
        <v>827306.87</v>
      </c>
      <c r="AK178" s="110">
        <v>805568.91</v>
      </c>
      <c r="AL178" s="110">
        <v>747391.23</v>
      </c>
      <c r="AM178" s="110">
        <v>689496.61</v>
      </c>
      <c r="AN178" s="110">
        <v>665441.54</v>
      </c>
      <c r="AO178" s="110">
        <v>628315.75</v>
      </c>
      <c r="AP178" s="110">
        <v>620614.92000000004</v>
      </c>
      <c r="AQ178" s="236">
        <v>620543.15</v>
      </c>
      <c r="AR178" s="236">
        <v>608538</v>
      </c>
      <c r="AS178" s="236">
        <v>608592.02</v>
      </c>
      <c r="AT178" s="236">
        <v>608690.65</v>
      </c>
      <c r="AU178" s="236">
        <v>595608.23</v>
      </c>
      <c r="AV178" s="110">
        <v>589117.26</v>
      </c>
      <c r="AW178" s="110">
        <v>576105.43999999994</v>
      </c>
      <c r="AX178" s="110">
        <v>560152.18000000005</v>
      </c>
      <c r="AY178" s="110">
        <v>530122.17000000004</v>
      </c>
      <c r="AZ178" s="110">
        <v>520943.84</v>
      </c>
      <c r="BA178" s="110">
        <v>518853.22</v>
      </c>
      <c r="BB178" s="110">
        <v>490304.02</v>
      </c>
      <c r="BC178" s="110">
        <v>493357.38</v>
      </c>
      <c r="BD178" s="110">
        <v>479384.81</v>
      </c>
      <c r="BE178" s="110">
        <v>478297.29</v>
      </c>
      <c r="BF178" s="110">
        <v>474427.36</v>
      </c>
      <c r="BG178" s="237">
        <v>458730.64</v>
      </c>
      <c r="BH178" s="237">
        <v>443120.69</v>
      </c>
      <c r="BI178" s="237">
        <v>445621.67</v>
      </c>
      <c r="BJ178" s="237">
        <v>432422.75</v>
      </c>
      <c r="BK178" s="237">
        <v>435663.09</v>
      </c>
      <c r="BL178" s="237">
        <v>429833.13</v>
      </c>
      <c r="BM178" s="237">
        <v>411496.36</v>
      </c>
      <c r="BN178" s="237">
        <v>415323.61</v>
      </c>
      <c r="BO178" s="237">
        <v>388598.37</v>
      </c>
      <c r="BP178" s="237">
        <v>391744.42</v>
      </c>
      <c r="BQ178" s="237">
        <v>364157.73</v>
      </c>
      <c r="BR178" s="237">
        <v>366751.04</v>
      </c>
      <c r="BS178" s="237">
        <v>355249.85</v>
      </c>
      <c r="BT178" s="237">
        <v>343128.75</v>
      </c>
      <c r="BU178" s="237">
        <v>330102.65999999997</v>
      </c>
      <c r="BV178" s="237">
        <v>317659.63</v>
      </c>
      <c r="BW178" s="237">
        <v>301542.8</v>
      </c>
      <c r="BX178" s="237">
        <v>273397.78000000003</v>
      </c>
      <c r="BY178" s="237">
        <v>261872.14</v>
      </c>
      <c r="BZ178" s="237">
        <v>266637.59000000003</v>
      </c>
      <c r="CA178" s="237">
        <v>250558.1</v>
      </c>
      <c r="CB178" s="237">
        <v>252819.86</v>
      </c>
      <c r="CC178" s="237">
        <v>235020.56</v>
      </c>
      <c r="CD178" s="237">
        <v>219945.42</v>
      </c>
      <c r="CE178" s="237">
        <v>192467.75</v>
      </c>
      <c r="CF178" s="237">
        <v>194110.94</v>
      </c>
      <c r="CG178" s="237">
        <v>179382.09</v>
      </c>
      <c r="CH178" s="30">
        <v>165949.07</v>
      </c>
      <c r="CI178" s="30">
        <v>152189.39000000001</v>
      </c>
      <c r="CJ178" s="30" t="e">
        <f t="array" aca="1" ref="CJ178" ca="1">_xludf.XLOOKUP(C178,'PL TOTAL D0'!H:H,'PL TOTAL D0'!I:I,"")</f>
        <v>#NAME?</v>
      </c>
    </row>
    <row r="179" spans="1:88" ht="15.75" customHeight="1">
      <c r="A179" s="36" t="s">
        <v>2921</v>
      </c>
      <c r="B179" s="36" t="s">
        <v>3228</v>
      </c>
      <c r="C179" s="9">
        <v>582180</v>
      </c>
      <c r="D179" s="9" t="s">
        <v>19</v>
      </c>
      <c r="E179" s="9" t="s">
        <v>20</v>
      </c>
      <c r="F179" s="9" t="s">
        <v>199</v>
      </c>
      <c r="G179" s="7" t="e">
        <f t="shared" ca="1" si="0"/>
        <v>#NAME?</v>
      </c>
      <c r="H179" s="8" t="s">
        <v>152</v>
      </c>
      <c r="I179" s="24" t="s">
        <v>25</v>
      </c>
      <c r="J179" s="9" t="str">
        <f t="shared" si="3"/>
        <v>Não</v>
      </c>
      <c r="K179" s="232">
        <v>43605</v>
      </c>
      <c r="L179" s="6"/>
      <c r="M179" s="6" t="s">
        <v>87</v>
      </c>
      <c r="N179" s="233">
        <v>0.02</v>
      </c>
      <c r="O179" s="9" t="s">
        <v>183</v>
      </c>
      <c r="P179" s="234">
        <v>0.2</v>
      </c>
      <c r="Q179" s="108"/>
      <c r="R179" s="108" t="s">
        <v>3229</v>
      </c>
      <c r="S179" s="7" t="s">
        <v>145</v>
      </c>
      <c r="T179" s="9" t="s">
        <v>3230</v>
      </c>
      <c r="U179" s="6" t="s">
        <v>20</v>
      </c>
      <c r="V179" s="24" t="e">
        <f t="shared" ca="1" si="2"/>
        <v>#NAME?</v>
      </c>
      <c r="W179" s="24"/>
      <c r="X179" s="24"/>
      <c r="Y179" s="6" t="s">
        <v>253</v>
      </c>
      <c r="Z179" s="6"/>
      <c r="AA179" s="107">
        <v>43605</v>
      </c>
      <c r="AB179" s="6">
        <v>49075100010651</v>
      </c>
      <c r="AC179" s="110">
        <v>239636.26</v>
      </c>
      <c r="AD179" s="110">
        <v>221814.74</v>
      </c>
      <c r="AE179" s="110">
        <v>151809.22</v>
      </c>
      <c r="AF179" s="110">
        <v>153091.9</v>
      </c>
      <c r="AG179" s="110">
        <v>158665.67000000001</v>
      </c>
      <c r="AH179" s="110">
        <v>168494.07</v>
      </c>
      <c r="AI179" s="110">
        <v>185312.46</v>
      </c>
      <c r="AJ179" s="110">
        <v>176858.19</v>
      </c>
      <c r="AK179" s="110">
        <v>167427.84</v>
      </c>
      <c r="AL179" s="110">
        <v>173465.16</v>
      </c>
      <c r="AM179" s="110">
        <v>196681.8</v>
      </c>
      <c r="AN179" s="110">
        <v>202419.98</v>
      </c>
      <c r="AO179" s="110">
        <v>196803.27</v>
      </c>
      <c r="AP179" s="110">
        <v>177757.37</v>
      </c>
      <c r="AQ179" s="236">
        <v>156062.74</v>
      </c>
      <c r="AR179" s="236">
        <v>169201.15</v>
      </c>
      <c r="AS179" s="236">
        <v>170836.69</v>
      </c>
      <c r="AT179" s="236">
        <v>172074.45</v>
      </c>
      <c r="AU179" s="236">
        <v>167254.79999999999</v>
      </c>
      <c r="AV179" s="110">
        <v>163536.4</v>
      </c>
      <c r="AW179" s="110">
        <v>157843.12</v>
      </c>
      <c r="AX179" s="110">
        <v>150690.14000000001</v>
      </c>
      <c r="AY179" s="110">
        <v>143321.14000000001</v>
      </c>
      <c r="AZ179" s="110">
        <v>134959.45000000001</v>
      </c>
      <c r="BA179" s="110">
        <v>131495.03</v>
      </c>
      <c r="BB179" s="110">
        <v>130695.67999999999</v>
      </c>
      <c r="BC179" s="110">
        <v>136906.14000000001</v>
      </c>
      <c r="BD179" s="110">
        <v>139503.54</v>
      </c>
      <c r="BE179" s="110">
        <v>135627.01</v>
      </c>
      <c r="BF179" s="110">
        <v>128069.36</v>
      </c>
      <c r="BG179" s="237">
        <v>109630.39</v>
      </c>
      <c r="BH179" s="237">
        <v>104167.39</v>
      </c>
      <c r="BI179" s="237">
        <v>109278.61</v>
      </c>
      <c r="BJ179" s="237">
        <v>110730.32</v>
      </c>
      <c r="BK179" s="237">
        <v>96415.48</v>
      </c>
      <c r="BL179" s="237">
        <v>103589.44</v>
      </c>
      <c r="BM179" s="237">
        <v>101431.2</v>
      </c>
      <c r="BN179" s="237">
        <v>85762.12</v>
      </c>
      <c r="BO179" s="237">
        <v>88792.9</v>
      </c>
      <c r="BP179" s="237">
        <v>85313.74</v>
      </c>
      <c r="BQ179" s="237">
        <v>84599.92</v>
      </c>
      <c r="BR179" s="237">
        <v>82867.64</v>
      </c>
      <c r="BS179" s="237">
        <v>86450.4</v>
      </c>
      <c r="BT179" s="237">
        <v>93006.33</v>
      </c>
      <c r="BU179" s="237">
        <v>97689.75</v>
      </c>
      <c r="BV179" s="237">
        <v>96845.3</v>
      </c>
      <c r="BW179" s="237">
        <v>93368.93</v>
      </c>
      <c r="BX179" s="237">
        <v>73713.06</v>
      </c>
      <c r="BY179" s="237">
        <v>95396.88</v>
      </c>
      <c r="BZ179" s="237">
        <v>100092.81</v>
      </c>
      <c r="CA179" s="237">
        <v>94194.37</v>
      </c>
      <c r="CB179" s="237">
        <v>95865.62</v>
      </c>
      <c r="CC179" s="237">
        <v>96390.44</v>
      </c>
      <c r="CD179" s="237">
        <v>92551.2</v>
      </c>
      <c r="CE179" s="237">
        <v>80708.02</v>
      </c>
      <c r="CF179" s="237">
        <v>88779.16</v>
      </c>
      <c r="CG179" s="237">
        <v>66535.820000000007</v>
      </c>
      <c r="CH179" s="30">
        <v>77349.81</v>
      </c>
      <c r="CI179" s="30">
        <v>75752.47</v>
      </c>
      <c r="CJ179" s="30" t="e">
        <f t="array" aca="1" ref="CJ179" ca="1">_xludf.XLOOKUP(C179,'PL TOTAL D0'!H:H,'PL TOTAL D0'!I:I,"")</f>
        <v>#NAME?</v>
      </c>
    </row>
    <row r="180" spans="1:88" ht="15.75" customHeight="1">
      <c r="A180" s="36" t="s">
        <v>2921</v>
      </c>
      <c r="B180" s="3" t="s">
        <v>3231</v>
      </c>
      <c r="C180" s="9">
        <v>32073</v>
      </c>
      <c r="D180" s="9" t="s">
        <v>19</v>
      </c>
      <c r="E180" s="9" t="s">
        <v>34</v>
      </c>
      <c r="F180" s="6" t="s">
        <v>35</v>
      </c>
      <c r="G180" s="7" t="e">
        <f t="shared" ca="1" si="0"/>
        <v>#NAME?</v>
      </c>
      <c r="H180" s="8" t="s">
        <v>143</v>
      </c>
      <c r="I180" s="24" t="s">
        <v>25</v>
      </c>
      <c r="J180" s="9" t="str">
        <f t="shared" si="3"/>
        <v>Não</v>
      </c>
      <c r="K180" s="107">
        <v>44319</v>
      </c>
      <c r="L180" s="239">
        <v>44522</v>
      </c>
      <c r="M180" s="6" t="s">
        <v>200</v>
      </c>
      <c r="N180" s="10">
        <v>1.4999999999999999E-2</v>
      </c>
      <c r="O180" s="9" t="s">
        <v>37</v>
      </c>
      <c r="P180" s="234">
        <v>0.1</v>
      </c>
      <c r="Q180" s="108"/>
      <c r="R180" s="108"/>
      <c r="S180" s="7" t="s">
        <v>145</v>
      </c>
      <c r="T180" s="6" t="s">
        <v>3232</v>
      </c>
      <c r="U180" s="6" t="s">
        <v>39</v>
      </c>
      <c r="V180" s="24" t="e">
        <f t="shared" ca="1" si="2"/>
        <v>#NAME?</v>
      </c>
      <c r="W180" s="24"/>
      <c r="X180" s="24"/>
      <c r="Y180" s="6"/>
      <c r="Z180" s="6"/>
      <c r="AA180" s="6"/>
      <c r="AB180" s="6"/>
      <c r="AC180" s="132"/>
      <c r="AD180" s="132"/>
      <c r="AE180" s="132"/>
      <c r="AF180" s="132"/>
      <c r="AG180" s="132"/>
      <c r="AH180" s="132"/>
      <c r="AI180" s="132"/>
      <c r="AJ180" s="132"/>
      <c r="AK180" s="132"/>
      <c r="AL180" s="132"/>
      <c r="AM180" s="132"/>
      <c r="AN180" s="132"/>
      <c r="AO180" s="132"/>
      <c r="AP180" s="110"/>
      <c r="AQ180" s="110"/>
      <c r="AR180" s="110"/>
      <c r="AS180" s="110"/>
      <c r="AT180" s="110"/>
      <c r="AU180" s="110">
        <v>1150674.42</v>
      </c>
      <c r="AV180" s="110">
        <v>1145387.21</v>
      </c>
      <c r="AW180" s="110">
        <v>1134616.1499999999</v>
      </c>
      <c r="AX180" s="110">
        <v>1114258.79</v>
      </c>
      <c r="AY180" s="110">
        <v>1069254.1200000001</v>
      </c>
      <c r="AZ180" s="110">
        <v>1042953.45</v>
      </c>
      <c r="BA180" s="110"/>
      <c r="BB180" s="110"/>
      <c r="BC180" s="110"/>
      <c r="BD180" s="110">
        <v>0</v>
      </c>
      <c r="BE180" s="110">
        <v>0</v>
      </c>
      <c r="BF180" s="110">
        <v>0</v>
      </c>
      <c r="BG180" s="110" t="s">
        <v>2932</v>
      </c>
      <c r="BH180" s="110">
        <v>0</v>
      </c>
      <c r="BI180" s="110" t="s">
        <v>2932</v>
      </c>
      <c r="BJ180" s="110">
        <v>0</v>
      </c>
      <c r="BK180" s="237">
        <v>0</v>
      </c>
      <c r="BL180" s="237">
        <v>0</v>
      </c>
      <c r="BM180" s="237">
        <v>0</v>
      </c>
      <c r="BN180" s="237">
        <v>0</v>
      </c>
      <c r="BO180" s="237">
        <v>0</v>
      </c>
      <c r="BP180" s="237">
        <v>0</v>
      </c>
      <c r="BQ180" s="237">
        <v>0</v>
      </c>
      <c r="BR180" s="237">
        <v>0</v>
      </c>
      <c r="BS180" s="237">
        <v>0</v>
      </c>
      <c r="BT180" s="237">
        <v>0</v>
      </c>
      <c r="BU180" s="237">
        <v>0</v>
      </c>
      <c r="BV180" s="237">
        <v>0</v>
      </c>
      <c r="BW180" s="237">
        <v>0</v>
      </c>
      <c r="BX180" s="237">
        <v>0</v>
      </c>
      <c r="BY180" s="237">
        <v>0</v>
      </c>
      <c r="BZ180" s="237">
        <v>0</v>
      </c>
      <c r="CA180" s="237">
        <v>0</v>
      </c>
      <c r="CB180" s="237">
        <v>0</v>
      </c>
      <c r="CC180" s="237">
        <v>0</v>
      </c>
      <c r="CD180" s="237">
        <v>0</v>
      </c>
      <c r="CE180" s="237">
        <v>0</v>
      </c>
      <c r="CF180" s="237">
        <v>0</v>
      </c>
      <c r="CG180" s="237">
        <v>0</v>
      </c>
      <c r="CH180" s="30">
        <v>0</v>
      </c>
      <c r="CI180" s="30">
        <v>0</v>
      </c>
      <c r="CJ180" s="30" t="e">
        <f t="array" aca="1" ref="CJ180" ca="1">_xludf.XLOOKUP(C180,'PL TOTAL D0'!H:H,'PL TOTAL D0'!I:I,"")</f>
        <v>#NAME?</v>
      </c>
    </row>
    <row r="181" spans="1:88" ht="15.75" customHeight="1">
      <c r="A181" s="36" t="s">
        <v>2921</v>
      </c>
      <c r="B181" s="3" t="s">
        <v>1389</v>
      </c>
      <c r="C181" s="9">
        <v>32115</v>
      </c>
      <c r="D181" s="9" t="s">
        <v>19</v>
      </c>
      <c r="E181" s="9" t="s">
        <v>34</v>
      </c>
      <c r="F181" s="9" t="s">
        <v>35</v>
      </c>
      <c r="G181" s="7" t="e">
        <f t="shared" ca="1" si="0"/>
        <v>#NAME?</v>
      </c>
      <c r="H181" s="8" t="s">
        <v>161</v>
      </c>
      <c r="I181" s="24" t="s">
        <v>162</v>
      </c>
      <c r="J181" s="9" t="str">
        <f t="shared" si="3"/>
        <v>Não</v>
      </c>
      <c r="K181" s="232">
        <v>44280</v>
      </c>
      <c r="L181" s="6"/>
      <c r="M181" s="6" t="s">
        <v>42</v>
      </c>
      <c r="N181" s="10">
        <v>7.0000000000000001E-3</v>
      </c>
      <c r="O181" s="9" t="s">
        <v>25</v>
      </c>
      <c r="P181" s="234">
        <v>0</v>
      </c>
      <c r="Q181" s="23"/>
      <c r="R181" s="108"/>
      <c r="S181" s="7" t="s">
        <v>145</v>
      </c>
      <c r="T181" s="6" t="s">
        <v>1391</v>
      </c>
      <c r="U181" s="6" t="s">
        <v>39</v>
      </c>
      <c r="V181" s="24" t="e">
        <f t="shared" ca="1" si="2"/>
        <v>#NAME?</v>
      </c>
      <c r="W181" s="24"/>
      <c r="X181" s="24"/>
      <c r="Y181" s="6" t="s">
        <v>253</v>
      </c>
      <c r="Z181" s="6"/>
      <c r="AA181" s="107">
        <v>44280</v>
      </c>
      <c r="AB181" s="6">
        <v>49075100003904</v>
      </c>
      <c r="AC181" s="240"/>
      <c r="AD181" s="240"/>
      <c r="AE181" s="240"/>
      <c r="AF181" s="240"/>
      <c r="AG181" s="240"/>
      <c r="AH181" s="240"/>
      <c r="AI181" s="240"/>
      <c r="AJ181" s="240"/>
      <c r="AK181" s="240"/>
      <c r="AL181" s="240"/>
      <c r="AM181" s="240"/>
      <c r="AN181" s="240"/>
      <c r="AO181" s="240"/>
      <c r="AP181" s="110"/>
      <c r="AQ181" s="236"/>
      <c r="AR181" s="236">
        <v>605627.56999999995</v>
      </c>
      <c r="AS181" s="236"/>
      <c r="AT181" s="236">
        <v>578392.64</v>
      </c>
      <c r="AU181" s="236">
        <v>618308.4</v>
      </c>
      <c r="AV181" s="110">
        <v>617708.5</v>
      </c>
      <c r="AW181" s="110">
        <v>552062.75</v>
      </c>
      <c r="AX181" s="110">
        <v>641248.39</v>
      </c>
      <c r="AY181" s="110">
        <v>586736.94999999995</v>
      </c>
      <c r="AZ181" s="110">
        <v>562372.32999999996</v>
      </c>
      <c r="BA181" s="110">
        <v>555717.44999999995</v>
      </c>
      <c r="BB181" s="110">
        <v>554882.94999999995</v>
      </c>
      <c r="BC181" s="110">
        <v>556263.38</v>
      </c>
      <c r="BD181" s="110">
        <v>560378.11</v>
      </c>
      <c r="BE181" s="110">
        <v>585650.72</v>
      </c>
      <c r="BF181" s="110">
        <v>576647.62</v>
      </c>
      <c r="BG181" s="237">
        <v>576133.53</v>
      </c>
      <c r="BH181" s="237">
        <v>571587.39</v>
      </c>
      <c r="BI181" s="237">
        <v>525727.72</v>
      </c>
      <c r="BJ181" s="237">
        <v>532425.18000000005</v>
      </c>
      <c r="BK181" s="237">
        <v>526257.86</v>
      </c>
      <c r="BL181" s="237">
        <v>540090.30000000005</v>
      </c>
      <c r="BM181" s="237">
        <v>540180.11</v>
      </c>
      <c r="BN181" s="237">
        <v>529351.12</v>
      </c>
      <c r="BO181" s="237">
        <v>474627.18</v>
      </c>
      <c r="BP181" s="237">
        <v>468370.47</v>
      </c>
      <c r="BQ181" s="237">
        <v>472782.56</v>
      </c>
      <c r="BR181" s="237">
        <v>68422.7</v>
      </c>
      <c r="BS181" s="237">
        <v>0.56999999999999995</v>
      </c>
      <c r="BT181" s="237">
        <v>0</v>
      </c>
      <c r="BU181" s="237">
        <v>0</v>
      </c>
      <c r="BV181" s="237">
        <v>0</v>
      </c>
      <c r="BW181" s="237">
        <v>0</v>
      </c>
      <c r="BX181" s="237">
        <v>0</v>
      </c>
      <c r="BY181" s="237">
        <v>0</v>
      </c>
      <c r="BZ181" s="237">
        <v>0</v>
      </c>
      <c r="CA181" s="237">
        <v>0</v>
      </c>
      <c r="CB181" s="237">
        <v>0</v>
      </c>
      <c r="CC181" s="237">
        <v>0</v>
      </c>
      <c r="CD181" s="237">
        <v>0</v>
      </c>
      <c r="CE181" s="237">
        <v>0</v>
      </c>
      <c r="CF181" s="237">
        <v>0</v>
      </c>
      <c r="CG181" s="237">
        <v>0</v>
      </c>
      <c r="CH181" s="30">
        <v>0</v>
      </c>
      <c r="CI181" s="30">
        <v>0</v>
      </c>
      <c r="CJ181" s="30" t="e">
        <f t="array" aca="1" ref="CJ181" ca="1">_xludf.XLOOKUP(C181,'PL TOTAL D0'!H:H,'PL TOTAL D0'!I:I,"")</f>
        <v>#NAME?</v>
      </c>
    </row>
    <row r="182" spans="1:88" ht="15.75" customHeight="1">
      <c r="A182" s="36" t="s">
        <v>2921</v>
      </c>
      <c r="B182" s="37" t="s">
        <v>1389</v>
      </c>
      <c r="C182" s="9">
        <v>560590</v>
      </c>
      <c r="D182" s="9" t="s">
        <v>19</v>
      </c>
      <c r="E182" s="9" t="s">
        <v>34</v>
      </c>
      <c r="F182" s="9" t="s">
        <v>35</v>
      </c>
      <c r="G182" s="7" t="e">
        <f t="shared" ca="1" si="0"/>
        <v>#NAME?</v>
      </c>
      <c r="H182" s="8" t="s">
        <v>161</v>
      </c>
      <c r="I182" s="24" t="s">
        <v>162</v>
      </c>
      <c r="J182" s="9" t="str">
        <f t="shared" si="3"/>
        <v>Sim</v>
      </c>
      <c r="K182" s="107">
        <v>44610</v>
      </c>
      <c r="L182" s="6"/>
      <c r="M182" s="6" t="s">
        <v>42</v>
      </c>
      <c r="N182" s="10">
        <v>7.0000000000000001E-3</v>
      </c>
      <c r="O182" s="9" t="s">
        <v>25</v>
      </c>
      <c r="P182" s="234">
        <v>0</v>
      </c>
      <c r="Q182" s="108" t="s">
        <v>3233</v>
      </c>
      <c r="R182" s="108"/>
      <c r="S182" s="7" t="s">
        <v>145</v>
      </c>
      <c r="T182" s="6" t="s">
        <v>1391</v>
      </c>
      <c r="U182" s="6" t="s">
        <v>39</v>
      </c>
      <c r="V182" s="24" t="e">
        <f t="shared" ca="1" si="2"/>
        <v>#NAME?</v>
      </c>
      <c r="W182" s="24"/>
      <c r="X182" s="24"/>
      <c r="Y182" s="6" t="s">
        <v>253</v>
      </c>
      <c r="Z182" s="6"/>
      <c r="AA182" s="107">
        <v>44610</v>
      </c>
      <c r="AB182" s="6">
        <v>49075100010668</v>
      </c>
      <c r="AC182" s="240"/>
      <c r="AD182" s="240"/>
      <c r="AE182" s="240"/>
      <c r="AF182" s="240"/>
      <c r="AG182" s="240"/>
      <c r="AH182" s="240"/>
      <c r="AI182" s="240"/>
      <c r="AJ182" s="240"/>
      <c r="AK182" s="240"/>
      <c r="AL182" s="240"/>
      <c r="AM182" s="240"/>
      <c r="AN182" s="240"/>
      <c r="AO182" s="240"/>
      <c r="AP182" s="110"/>
      <c r="AQ182" s="236"/>
      <c r="AR182" s="236"/>
      <c r="AS182" s="236"/>
      <c r="AT182" s="236"/>
      <c r="AU182" s="236"/>
      <c r="AV182" s="110"/>
      <c r="AW182" s="110"/>
      <c r="AX182" s="110"/>
      <c r="AY182" s="110"/>
      <c r="AZ182" s="110"/>
      <c r="BA182" s="110"/>
      <c r="BB182" s="110"/>
      <c r="BC182" s="110"/>
      <c r="BD182" s="110">
        <v>80025.17</v>
      </c>
      <c r="BE182" s="110">
        <v>80857.899999999994</v>
      </c>
      <c r="BF182" s="110">
        <v>81564.600000000006</v>
      </c>
      <c r="BG182" s="237">
        <v>82284.69</v>
      </c>
      <c r="BH182" s="237">
        <v>82896.41</v>
      </c>
      <c r="BI182" s="237">
        <v>83453.210000000006</v>
      </c>
      <c r="BJ182" s="237">
        <v>83975.26</v>
      </c>
      <c r="BK182" s="237">
        <v>84516.31</v>
      </c>
      <c r="BL182" s="237">
        <v>85072.72</v>
      </c>
      <c r="BM182" s="237">
        <v>85756.15</v>
      </c>
      <c r="BN182" s="237">
        <v>86387.36</v>
      </c>
      <c r="BO182" s="237">
        <v>87216.11</v>
      </c>
      <c r="BP182" s="237">
        <v>87907.38</v>
      </c>
      <c r="BQ182" s="237">
        <v>88812.43</v>
      </c>
      <c r="BR182" s="237">
        <v>46303.63</v>
      </c>
      <c r="BS182" s="237">
        <v>46739.8</v>
      </c>
      <c r="BT182" s="237">
        <v>0</v>
      </c>
      <c r="BU182" s="237">
        <v>0</v>
      </c>
      <c r="BV182" s="237">
        <v>0</v>
      </c>
      <c r="BW182" s="237">
        <v>0</v>
      </c>
      <c r="BX182" s="237">
        <v>0</v>
      </c>
      <c r="BY182" s="237">
        <v>0</v>
      </c>
      <c r="BZ182" s="237">
        <v>0</v>
      </c>
      <c r="CA182" s="237">
        <v>0</v>
      </c>
      <c r="CB182" s="237">
        <v>0</v>
      </c>
      <c r="CC182" s="237">
        <v>0</v>
      </c>
      <c r="CD182" s="237">
        <v>0</v>
      </c>
      <c r="CE182" s="237">
        <v>0</v>
      </c>
      <c r="CF182" s="237">
        <v>0</v>
      </c>
      <c r="CG182" s="237">
        <v>0</v>
      </c>
      <c r="CH182" s="30">
        <v>0</v>
      </c>
      <c r="CI182" s="30">
        <v>0</v>
      </c>
      <c r="CJ182" s="30" t="e">
        <f t="array" aca="1" ref="CJ182" ca="1">_xludf.XLOOKUP(C182,'PL TOTAL D0'!H:H,'PL TOTAL D0'!I:I,"")</f>
        <v>#NAME?</v>
      </c>
    </row>
    <row r="183" spans="1:88" ht="15.75" customHeight="1">
      <c r="A183" s="36" t="s">
        <v>2921</v>
      </c>
      <c r="B183" s="3" t="s">
        <v>3234</v>
      </c>
      <c r="C183" s="9">
        <v>467227</v>
      </c>
      <c r="D183" s="9" t="s">
        <v>19</v>
      </c>
      <c r="E183" s="9" t="s">
        <v>34</v>
      </c>
      <c r="F183" s="6" t="s">
        <v>262</v>
      </c>
      <c r="G183" s="7" t="e">
        <f t="shared" ca="1" si="0"/>
        <v>#NAME?</v>
      </c>
      <c r="H183" s="8" t="s">
        <v>143</v>
      </c>
      <c r="I183" s="24" t="s">
        <v>25</v>
      </c>
      <c r="J183" s="9" t="str">
        <f t="shared" si="3"/>
        <v>Não</v>
      </c>
      <c r="K183" s="107">
        <v>44280</v>
      </c>
      <c r="L183" s="107">
        <v>44393</v>
      </c>
      <c r="M183" s="6" t="s">
        <v>200</v>
      </c>
      <c r="N183" s="10">
        <v>1.4999999999999999E-2</v>
      </c>
      <c r="O183" s="9" t="s">
        <v>37</v>
      </c>
      <c r="P183" s="234">
        <v>0.1</v>
      </c>
      <c r="Q183" s="108"/>
      <c r="R183" s="108"/>
      <c r="S183" s="7" t="s">
        <v>145</v>
      </c>
      <c r="T183" s="6" t="s">
        <v>3235</v>
      </c>
      <c r="U183" s="6" t="s">
        <v>60</v>
      </c>
      <c r="V183" s="24" t="e">
        <f t="shared" ca="1" si="2"/>
        <v>#NAME?</v>
      </c>
      <c r="W183" s="24"/>
      <c r="X183" s="24"/>
      <c r="Y183" s="6"/>
      <c r="Z183" s="6"/>
      <c r="AA183" s="6"/>
      <c r="AB183" s="6"/>
      <c r="AC183" s="240"/>
      <c r="AD183" s="240"/>
      <c r="AE183" s="240"/>
      <c r="AF183" s="240"/>
      <c r="AG183" s="240"/>
      <c r="AH183" s="240"/>
      <c r="AI183" s="240"/>
      <c r="AJ183" s="240"/>
      <c r="AK183" s="240"/>
      <c r="AL183" s="240"/>
      <c r="AM183" s="240"/>
      <c r="AN183" s="240"/>
      <c r="AO183" s="240"/>
      <c r="AP183" s="110"/>
      <c r="AQ183" s="110"/>
      <c r="AR183" s="110">
        <v>113735.9</v>
      </c>
      <c r="AS183" s="110"/>
      <c r="AT183" s="110">
        <v>114969.98</v>
      </c>
      <c r="AU183" s="110">
        <v>157199.93</v>
      </c>
      <c r="AV183" s="110">
        <v>156601.32</v>
      </c>
      <c r="AW183" s="240"/>
      <c r="AX183" s="240"/>
      <c r="AY183" s="110"/>
      <c r="AZ183" s="110"/>
      <c r="BA183" s="110"/>
      <c r="BB183" s="110"/>
      <c r="BC183" s="110"/>
      <c r="BD183" s="110">
        <v>0</v>
      </c>
      <c r="BE183" s="110">
        <v>0</v>
      </c>
      <c r="BF183" s="110">
        <v>0</v>
      </c>
      <c r="BG183" s="110" t="s">
        <v>2932</v>
      </c>
      <c r="BH183" s="110">
        <v>0</v>
      </c>
      <c r="BI183" s="110" t="s">
        <v>2932</v>
      </c>
      <c r="BJ183" s="110">
        <v>0</v>
      </c>
      <c r="BK183" s="237">
        <v>0</v>
      </c>
      <c r="BL183" s="237">
        <v>0</v>
      </c>
      <c r="BM183" s="237">
        <v>0</v>
      </c>
      <c r="BN183" s="237">
        <v>0</v>
      </c>
      <c r="BO183" s="237">
        <v>0</v>
      </c>
      <c r="BP183" s="237">
        <v>0</v>
      </c>
      <c r="BQ183" s="237">
        <v>0</v>
      </c>
      <c r="BR183" s="237">
        <v>0</v>
      </c>
      <c r="BS183" s="237">
        <v>0</v>
      </c>
      <c r="BT183" s="237">
        <v>0</v>
      </c>
      <c r="BU183" s="237">
        <v>0</v>
      </c>
      <c r="BV183" s="237">
        <v>0</v>
      </c>
      <c r="BW183" s="237">
        <v>0</v>
      </c>
      <c r="BX183" s="237">
        <v>0</v>
      </c>
      <c r="BY183" s="237">
        <v>0</v>
      </c>
      <c r="BZ183" s="237">
        <v>0</v>
      </c>
      <c r="CA183" s="237">
        <v>0</v>
      </c>
      <c r="CB183" s="237">
        <v>0</v>
      </c>
      <c r="CC183" s="237">
        <v>0</v>
      </c>
      <c r="CD183" s="237">
        <v>0</v>
      </c>
      <c r="CE183" s="237">
        <v>0</v>
      </c>
      <c r="CF183" s="237">
        <v>0</v>
      </c>
      <c r="CG183" s="237">
        <v>0</v>
      </c>
      <c r="CH183" s="30">
        <v>0</v>
      </c>
      <c r="CI183" s="30">
        <v>0</v>
      </c>
      <c r="CJ183" s="30" t="e">
        <f t="array" aca="1" ref="CJ183" ca="1">_xludf.XLOOKUP(C183,'PL TOTAL D0'!H:H,'PL TOTAL D0'!I:I,"")</f>
        <v>#NAME?</v>
      </c>
    </row>
    <row r="184" spans="1:88" ht="15.75" customHeight="1">
      <c r="A184" s="36" t="s">
        <v>2921</v>
      </c>
      <c r="B184" s="3" t="s">
        <v>1403</v>
      </c>
      <c r="C184" s="9">
        <v>451702</v>
      </c>
      <c r="D184" s="9" t="s">
        <v>19</v>
      </c>
      <c r="E184" s="9" t="s">
        <v>34</v>
      </c>
      <c r="F184" s="6" t="s">
        <v>35</v>
      </c>
      <c r="G184" s="7" t="e">
        <f t="shared" ca="1" si="0"/>
        <v>#NAME?</v>
      </c>
      <c r="H184" s="8" t="s">
        <v>161</v>
      </c>
      <c r="I184" s="24" t="s">
        <v>162</v>
      </c>
      <c r="J184" s="9" t="str">
        <f t="shared" si="3"/>
        <v>Não</v>
      </c>
      <c r="K184" s="232">
        <v>44340</v>
      </c>
      <c r="L184" s="6"/>
      <c r="M184" s="6" t="s">
        <v>58</v>
      </c>
      <c r="N184" s="233">
        <v>1.2E-2</v>
      </c>
      <c r="O184" s="9" t="s">
        <v>25</v>
      </c>
      <c r="P184" s="234">
        <v>0</v>
      </c>
      <c r="Q184" s="28"/>
      <c r="R184" s="28"/>
      <c r="S184" s="7" t="s">
        <v>145</v>
      </c>
      <c r="T184" s="6" t="s">
        <v>1406</v>
      </c>
      <c r="U184" s="6" t="s">
        <v>39</v>
      </c>
      <c r="V184" s="24" t="e">
        <f t="shared" ca="1" si="2"/>
        <v>#NAME?</v>
      </c>
      <c r="W184" s="24"/>
      <c r="X184" s="24"/>
      <c r="Y184" s="6" t="s">
        <v>253</v>
      </c>
      <c r="Z184" s="6"/>
      <c r="AA184" s="107">
        <v>44340</v>
      </c>
      <c r="AB184" s="6">
        <v>49075100003920</v>
      </c>
      <c r="AC184" s="132"/>
      <c r="AD184" s="132"/>
      <c r="AE184" s="132"/>
      <c r="AF184" s="132"/>
      <c r="AG184" s="132"/>
      <c r="AH184" s="132"/>
      <c r="AI184" s="132"/>
      <c r="AJ184" s="132"/>
      <c r="AK184" s="132"/>
      <c r="AL184" s="132"/>
      <c r="AM184" s="132"/>
      <c r="AN184" s="132"/>
      <c r="AO184" s="132"/>
      <c r="AP184" s="132"/>
      <c r="AQ184" s="236"/>
      <c r="AR184" s="236"/>
      <c r="AS184" s="236"/>
      <c r="AT184" s="132"/>
      <c r="AU184" s="132">
        <v>110168.22</v>
      </c>
      <c r="AV184" s="110">
        <v>111019.02</v>
      </c>
      <c r="AW184" s="110">
        <v>123604.24</v>
      </c>
      <c r="AX184" s="110">
        <v>123716.17</v>
      </c>
      <c r="AY184" s="110">
        <v>102475.73</v>
      </c>
      <c r="AZ184" s="110">
        <v>120018.46</v>
      </c>
      <c r="BA184" s="110">
        <v>119650.49</v>
      </c>
      <c r="BB184" s="110">
        <v>120506.45</v>
      </c>
      <c r="BC184" s="110">
        <v>122243.31</v>
      </c>
      <c r="BD184" s="110">
        <v>122938.59</v>
      </c>
      <c r="BE184" s="110">
        <v>126227.97</v>
      </c>
      <c r="BF184" s="110">
        <v>125317.65</v>
      </c>
      <c r="BG184" s="237">
        <v>125519.74</v>
      </c>
      <c r="BH184" s="237">
        <v>125277.12</v>
      </c>
      <c r="BI184" s="237">
        <v>126214.37</v>
      </c>
      <c r="BJ184" s="237">
        <v>127605.58</v>
      </c>
      <c r="BK184" s="237">
        <v>128512.25</v>
      </c>
      <c r="BL184" s="237">
        <v>131050</v>
      </c>
      <c r="BM184" s="237">
        <v>130702.76</v>
      </c>
      <c r="BN184" s="237">
        <v>131878.42000000001</v>
      </c>
      <c r="BO184" s="237">
        <v>133462.26</v>
      </c>
      <c r="BP184" s="237">
        <v>134665.38</v>
      </c>
      <c r="BQ184" s="237">
        <v>136282.59</v>
      </c>
      <c r="BR184" s="237">
        <v>137334.32</v>
      </c>
      <c r="BS184" s="237">
        <v>138801.42000000001</v>
      </c>
      <c r="BT184" s="237">
        <v>140361.74</v>
      </c>
      <c r="BU184" s="237">
        <v>141460.76</v>
      </c>
      <c r="BV184" s="237">
        <v>142765.15</v>
      </c>
      <c r="BW184" s="237">
        <v>142016.51999999999</v>
      </c>
      <c r="BX184" s="237">
        <v>143054.39000000001</v>
      </c>
      <c r="BY184" s="237">
        <v>145054.63</v>
      </c>
      <c r="BZ184" s="237">
        <v>147261.26</v>
      </c>
      <c r="CA184" s="237">
        <v>147041.04</v>
      </c>
      <c r="CB184" s="237">
        <v>148303.49</v>
      </c>
      <c r="CC184" s="237">
        <v>137904.74</v>
      </c>
      <c r="CD184" s="237">
        <v>146588.5</v>
      </c>
      <c r="CE184" s="237">
        <v>143854.65</v>
      </c>
      <c r="CF184" s="237">
        <v>137166.12</v>
      </c>
      <c r="CG184" s="237">
        <v>146850</v>
      </c>
      <c r="CH184" s="30">
        <v>216.84</v>
      </c>
      <c r="CI184" s="30">
        <v>131.06</v>
      </c>
      <c r="CJ184" s="30" t="e">
        <f t="array" aca="1" ref="CJ184" ca="1">_xludf.XLOOKUP(C184,'PL TOTAL D0'!H:H,'PL TOTAL D0'!I:I,"")</f>
        <v>#NAME?</v>
      </c>
    </row>
    <row r="185" spans="1:88" ht="15.75" customHeight="1">
      <c r="A185" s="36" t="s">
        <v>2921</v>
      </c>
      <c r="B185" s="37" t="s">
        <v>3236</v>
      </c>
      <c r="C185" s="9">
        <v>577670</v>
      </c>
      <c r="D185" s="9" t="s">
        <v>2923</v>
      </c>
      <c r="E185" s="9" t="s">
        <v>20</v>
      </c>
      <c r="F185" s="6" t="s">
        <v>2930</v>
      </c>
      <c r="G185" s="7" t="e">
        <f t="shared" ca="1" si="0"/>
        <v>#NAME?</v>
      </c>
      <c r="H185" s="8" t="s">
        <v>143</v>
      </c>
      <c r="I185" s="24" t="s">
        <v>25</v>
      </c>
      <c r="J185" s="9" t="str">
        <f t="shared" si="3"/>
        <v>Não</v>
      </c>
      <c r="K185" s="107">
        <v>43559</v>
      </c>
      <c r="L185" s="239">
        <v>44482</v>
      </c>
      <c r="M185" s="6" t="s">
        <v>200</v>
      </c>
      <c r="N185" s="10">
        <v>0.01</v>
      </c>
      <c r="O185" s="9" t="s">
        <v>37</v>
      </c>
      <c r="P185" s="234">
        <v>0.1</v>
      </c>
      <c r="Q185" s="235"/>
      <c r="R185" s="235"/>
      <c r="S185" s="7" t="s">
        <v>145</v>
      </c>
      <c r="T185" s="6" t="s">
        <v>3237</v>
      </c>
      <c r="U185" s="6" t="s">
        <v>20</v>
      </c>
      <c r="V185" s="24" t="e">
        <f t="shared" ca="1" si="2"/>
        <v>#NAME?</v>
      </c>
      <c r="W185" s="24"/>
      <c r="X185" s="24"/>
      <c r="Y185" s="6"/>
      <c r="Z185" s="6"/>
      <c r="AA185" s="6"/>
      <c r="AB185" s="6"/>
      <c r="AC185" s="110">
        <v>267466.45</v>
      </c>
      <c r="AD185" s="110">
        <v>255373.39</v>
      </c>
      <c r="AE185" s="110">
        <v>227465.22</v>
      </c>
      <c r="AF185" s="110">
        <v>224494.2</v>
      </c>
      <c r="AG185" s="110">
        <v>214906.93</v>
      </c>
      <c r="AH185" s="110">
        <v>202047.35</v>
      </c>
      <c r="AI185" s="110">
        <v>197946.98</v>
      </c>
      <c r="AJ185" s="110">
        <v>179946.75</v>
      </c>
      <c r="AK185" s="110">
        <v>180319.19</v>
      </c>
      <c r="AL185" s="110">
        <v>165181.51</v>
      </c>
      <c r="AM185" s="110">
        <v>160124.04999999999</v>
      </c>
      <c r="AN185" s="110">
        <v>143317.79999999999</v>
      </c>
      <c r="AO185" s="110">
        <v>128344</v>
      </c>
      <c r="AP185" s="110">
        <v>123587.07</v>
      </c>
      <c r="AQ185" s="110">
        <v>115316.15</v>
      </c>
      <c r="AR185" s="110">
        <v>112816.83</v>
      </c>
      <c r="AS185" s="110">
        <v>113905.61</v>
      </c>
      <c r="AT185" s="110">
        <v>98710.87</v>
      </c>
      <c r="AU185" s="110">
        <v>46052.26</v>
      </c>
      <c r="AV185" s="110">
        <v>499.8</v>
      </c>
      <c r="AW185" s="240"/>
      <c r="AX185" s="240">
        <v>15.64</v>
      </c>
      <c r="AY185" s="110">
        <v>15.64</v>
      </c>
      <c r="AZ185" s="110"/>
      <c r="BA185" s="110"/>
      <c r="BB185" s="110"/>
      <c r="BC185" s="110"/>
      <c r="BD185" s="110">
        <v>0</v>
      </c>
      <c r="BE185" s="110">
        <v>0</v>
      </c>
      <c r="BF185" s="110">
        <v>0</v>
      </c>
      <c r="BG185" s="110" t="s">
        <v>2932</v>
      </c>
      <c r="BH185" s="110">
        <v>0</v>
      </c>
      <c r="BI185" s="110" t="s">
        <v>2932</v>
      </c>
      <c r="BJ185" s="110">
        <v>0</v>
      </c>
      <c r="BK185" s="237">
        <v>0</v>
      </c>
      <c r="BL185" s="237">
        <v>0</v>
      </c>
      <c r="BM185" s="237">
        <v>0</v>
      </c>
      <c r="BN185" s="237">
        <v>0</v>
      </c>
      <c r="BO185" s="237">
        <v>0</v>
      </c>
      <c r="BP185" s="237">
        <v>0</v>
      </c>
      <c r="BQ185" s="237">
        <v>0</v>
      </c>
      <c r="BR185" s="237">
        <v>0</v>
      </c>
      <c r="BS185" s="237">
        <v>0</v>
      </c>
      <c r="BT185" s="237">
        <v>0</v>
      </c>
      <c r="BU185" s="237">
        <v>0</v>
      </c>
      <c r="BV185" s="237">
        <v>0</v>
      </c>
      <c r="BW185" s="237">
        <v>0</v>
      </c>
      <c r="BX185" s="237">
        <v>0</v>
      </c>
      <c r="BY185" s="237">
        <v>0</v>
      </c>
      <c r="BZ185" s="237">
        <v>0</v>
      </c>
      <c r="CA185" s="237">
        <v>0</v>
      </c>
      <c r="CB185" s="237">
        <v>0</v>
      </c>
      <c r="CC185" s="237">
        <v>0</v>
      </c>
      <c r="CD185" s="237">
        <v>0</v>
      </c>
      <c r="CE185" s="237">
        <v>0</v>
      </c>
      <c r="CF185" s="237">
        <v>0</v>
      </c>
      <c r="CG185" s="237">
        <v>0</v>
      </c>
      <c r="CH185" s="30">
        <v>0</v>
      </c>
      <c r="CI185" s="30">
        <v>0</v>
      </c>
      <c r="CJ185" s="30" t="e">
        <f t="array" aca="1" ref="CJ185" ca="1">_xludf.XLOOKUP(C185,'PL TOTAL D0'!H:H,'PL TOTAL D0'!I:I,"")</f>
        <v>#NAME?</v>
      </c>
    </row>
    <row r="186" spans="1:88" ht="15.75" customHeight="1">
      <c r="A186" s="36" t="s">
        <v>2921</v>
      </c>
      <c r="B186" s="3" t="s">
        <v>3238</v>
      </c>
      <c r="C186" s="9">
        <v>439727</v>
      </c>
      <c r="D186" s="9" t="s">
        <v>19</v>
      </c>
      <c r="E186" s="9" t="s">
        <v>34</v>
      </c>
      <c r="F186" s="9" t="s">
        <v>2971</v>
      </c>
      <c r="G186" s="7" t="e">
        <f t="shared" ca="1" si="0"/>
        <v>#NAME?</v>
      </c>
      <c r="H186" s="8" t="s">
        <v>143</v>
      </c>
      <c r="I186" s="24" t="s">
        <v>25</v>
      </c>
      <c r="J186" s="9" t="str">
        <f t="shared" si="3"/>
        <v>Não</v>
      </c>
      <c r="K186" s="232">
        <v>44266</v>
      </c>
      <c r="L186" s="107">
        <v>44831</v>
      </c>
      <c r="M186" s="6" t="s">
        <v>58</v>
      </c>
      <c r="N186" s="233">
        <v>1.2E-2</v>
      </c>
      <c r="O186" s="9" t="s">
        <v>25</v>
      </c>
      <c r="P186" s="234">
        <v>0</v>
      </c>
      <c r="Q186" s="108"/>
      <c r="R186" s="108"/>
      <c r="S186" s="7" t="s">
        <v>145</v>
      </c>
      <c r="T186" s="6" t="s">
        <v>3239</v>
      </c>
      <c r="U186" s="6" t="s">
        <v>39</v>
      </c>
      <c r="V186" s="24" t="e">
        <f t="shared" ca="1" si="2"/>
        <v>#NAME?</v>
      </c>
      <c r="W186" s="24"/>
      <c r="X186" s="24"/>
      <c r="Y186" s="6" t="s">
        <v>253</v>
      </c>
      <c r="Z186" s="6"/>
      <c r="AA186" s="6"/>
      <c r="AB186" s="6"/>
      <c r="AC186" s="240"/>
      <c r="AD186" s="240"/>
      <c r="AE186" s="240"/>
      <c r="AF186" s="240"/>
      <c r="AG186" s="240"/>
      <c r="AH186" s="240"/>
      <c r="AI186" s="240"/>
      <c r="AJ186" s="240"/>
      <c r="AK186" s="240"/>
      <c r="AL186" s="240"/>
      <c r="AM186" s="240"/>
      <c r="AN186" s="240"/>
      <c r="AO186" s="240"/>
      <c r="AP186" s="110"/>
      <c r="AQ186" s="236">
        <v>295497.44</v>
      </c>
      <c r="AR186" s="236">
        <v>297012.5</v>
      </c>
      <c r="AS186" s="236"/>
      <c r="AT186" s="236">
        <v>302627.90000000002</v>
      </c>
      <c r="AU186" s="236">
        <v>290261.25</v>
      </c>
      <c r="AV186" s="110">
        <v>291115.09999999998</v>
      </c>
      <c r="AW186" s="110">
        <v>290231.61</v>
      </c>
      <c r="AX186" s="110">
        <v>271726.55</v>
      </c>
      <c r="AY186" s="110">
        <v>192658.06</v>
      </c>
      <c r="AZ186" s="110">
        <v>202578.14</v>
      </c>
      <c r="BA186" s="110">
        <v>161973.10999999999</v>
      </c>
      <c r="BB186" s="110">
        <v>151724.17000000001</v>
      </c>
      <c r="BC186" s="110">
        <v>138621.23000000001</v>
      </c>
      <c r="BD186" s="110">
        <v>126307.39</v>
      </c>
      <c r="BE186" s="110">
        <v>111262.06</v>
      </c>
      <c r="BF186" s="110">
        <v>112020.88</v>
      </c>
      <c r="BG186" s="237">
        <v>102112.65</v>
      </c>
      <c r="BH186" s="237">
        <v>59840.93</v>
      </c>
      <c r="BI186" s="237">
        <v>60457.77</v>
      </c>
      <c r="BJ186" s="237">
        <v>61148.26</v>
      </c>
      <c r="BK186" s="237">
        <v>0</v>
      </c>
      <c r="BL186" s="237">
        <v>0</v>
      </c>
      <c r="BM186" s="237">
        <v>0</v>
      </c>
      <c r="BN186" s="237">
        <v>0</v>
      </c>
      <c r="BO186" s="237">
        <v>0</v>
      </c>
      <c r="BP186" s="237">
        <v>0</v>
      </c>
      <c r="BQ186" s="237">
        <v>0</v>
      </c>
      <c r="BR186" s="237">
        <v>0</v>
      </c>
      <c r="BS186" s="237">
        <v>0</v>
      </c>
      <c r="BT186" s="237">
        <v>0</v>
      </c>
      <c r="BU186" s="237">
        <v>0</v>
      </c>
      <c r="BV186" s="237">
        <v>0</v>
      </c>
      <c r="BW186" s="237">
        <v>0</v>
      </c>
      <c r="BX186" s="237">
        <v>0</v>
      </c>
      <c r="BY186" s="237">
        <v>0</v>
      </c>
      <c r="BZ186" s="237">
        <v>0</v>
      </c>
      <c r="CA186" s="237">
        <v>0</v>
      </c>
      <c r="CB186" s="237">
        <v>0</v>
      </c>
      <c r="CC186" s="237">
        <v>0</v>
      </c>
      <c r="CD186" s="237">
        <v>0</v>
      </c>
      <c r="CE186" s="237">
        <v>0</v>
      </c>
      <c r="CF186" s="237">
        <v>0</v>
      </c>
      <c r="CG186" s="237">
        <v>0</v>
      </c>
      <c r="CH186" s="30">
        <v>0</v>
      </c>
      <c r="CI186" s="30">
        <v>0</v>
      </c>
      <c r="CJ186" s="30" t="e">
        <f t="array" aca="1" ref="CJ186" ca="1">_xludf.XLOOKUP(C186,'PL TOTAL D0'!H:H,'PL TOTAL D0'!I:I,"")</f>
        <v>#NAME?</v>
      </c>
    </row>
    <row r="187" spans="1:88" ht="15.75" customHeight="1">
      <c r="A187" s="36" t="s">
        <v>2921</v>
      </c>
      <c r="B187" s="3" t="s">
        <v>1411</v>
      </c>
      <c r="C187" s="9">
        <v>76952</v>
      </c>
      <c r="D187" s="9" t="s">
        <v>19</v>
      </c>
      <c r="E187" s="9" t="s">
        <v>34</v>
      </c>
      <c r="F187" s="9" t="s">
        <v>35</v>
      </c>
      <c r="G187" s="7" t="e">
        <f t="shared" ca="1" si="0"/>
        <v>#NAME?</v>
      </c>
      <c r="H187" s="8" t="s">
        <v>161</v>
      </c>
      <c r="I187" s="24" t="s">
        <v>162</v>
      </c>
      <c r="J187" s="9" t="str">
        <f t="shared" si="3"/>
        <v>Não</v>
      </c>
      <c r="K187" s="232">
        <v>44276</v>
      </c>
      <c r="L187" s="6"/>
      <c r="M187" s="6" t="s">
        <v>200</v>
      </c>
      <c r="N187" s="10">
        <v>1.4999999999999999E-2</v>
      </c>
      <c r="O187" s="9" t="s">
        <v>37</v>
      </c>
      <c r="P187" s="234">
        <v>0.1</v>
      </c>
      <c r="Q187" s="23"/>
      <c r="R187" s="108"/>
      <c r="S187" s="7" t="s">
        <v>145</v>
      </c>
      <c r="T187" s="6" t="s">
        <v>1413</v>
      </c>
      <c r="U187" s="6" t="s">
        <v>39</v>
      </c>
      <c r="V187" s="24" t="e">
        <f t="shared" ca="1" si="2"/>
        <v>#NAME?</v>
      </c>
      <c r="W187" s="24"/>
      <c r="X187" s="24"/>
      <c r="Y187" s="6" t="s">
        <v>253</v>
      </c>
      <c r="Z187" s="6"/>
      <c r="AA187" s="107">
        <v>44276</v>
      </c>
      <c r="AB187" s="6">
        <v>49075100003947</v>
      </c>
      <c r="AC187" s="240"/>
      <c r="AD187" s="240"/>
      <c r="AE187" s="240"/>
      <c r="AF187" s="240"/>
      <c r="AG187" s="240"/>
      <c r="AH187" s="240"/>
      <c r="AI187" s="240"/>
      <c r="AJ187" s="240"/>
      <c r="AK187" s="240"/>
      <c r="AL187" s="240"/>
      <c r="AM187" s="240"/>
      <c r="AN187" s="240"/>
      <c r="AO187" s="240"/>
      <c r="AP187" s="110"/>
      <c r="AQ187" s="236"/>
      <c r="AR187" s="236">
        <v>419598.61</v>
      </c>
      <c r="AS187" s="236"/>
      <c r="AT187" s="236">
        <v>426548.85</v>
      </c>
      <c r="AU187" s="236">
        <v>433725.04</v>
      </c>
      <c r="AV187" s="110">
        <v>433632.81</v>
      </c>
      <c r="AW187" s="110">
        <v>429540.47</v>
      </c>
      <c r="AX187" s="110">
        <v>421269.23</v>
      </c>
      <c r="AY187" s="110">
        <v>390450.12</v>
      </c>
      <c r="AZ187" s="110">
        <v>402724.4</v>
      </c>
      <c r="BA187" s="110">
        <v>408499.11</v>
      </c>
      <c r="BB187" s="110">
        <v>409894.99</v>
      </c>
      <c r="BC187" s="110">
        <v>416191.12</v>
      </c>
      <c r="BD187" s="110">
        <v>418360.96</v>
      </c>
      <c r="BE187" s="110">
        <v>427072.36</v>
      </c>
      <c r="BF187" s="110">
        <v>420488.88</v>
      </c>
      <c r="BG187" s="237">
        <v>415684.46</v>
      </c>
      <c r="BH187" s="237">
        <v>401556.72</v>
      </c>
      <c r="BI187" s="237">
        <v>408787.34</v>
      </c>
      <c r="BJ187" s="237">
        <v>414541.19</v>
      </c>
      <c r="BK187" s="237">
        <v>418623.1</v>
      </c>
      <c r="BL187" s="237">
        <v>434792.67</v>
      </c>
      <c r="BM187" s="237">
        <v>431309.09</v>
      </c>
      <c r="BN187" s="237">
        <v>435080.54</v>
      </c>
      <c r="BO187" s="237">
        <v>440215.9</v>
      </c>
      <c r="BP187" s="237">
        <v>426937.33</v>
      </c>
      <c r="BQ187" s="237">
        <v>432143.35</v>
      </c>
      <c r="BR187" s="237">
        <v>433109.35</v>
      </c>
      <c r="BS187" s="237">
        <v>444423.21</v>
      </c>
      <c r="BT187" s="237">
        <v>450235.26</v>
      </c>
      <c r="BU187" s="237">
        <v>126124.96</v>
      </c>
      <c r="BV187" s="237">
        <v>131276.82</v>
      </c>
      <c r="BW187" s="237">
        <v>131578.21</v>
      </c>
      <c r="BX187" s="237">
        <v>133975.44</v>
      </c>
      <c r="BY187" s="237">
        <v>21.6</v>
      </c>
      <c r="BZ187" s="237">
        <v>0</v>
      </c>
      <c r="CA187" s="237">
        <v>0</v>
      </c>
      <c r="CB187" s="237">
        <v>0</v>
      </c>
      <c r="CC187" s="237">
        <v>0</v>
      </c>
      <c r="CD187" s="237">
        <v>0</v>
      </c>
      <c r="CE187" s="237">
        <v>0</v>
      </c>
      <c r="CF187" s="237">
        <v>0</v>
      </c>
      <c r="CG187" s="237">
        <v>0</v>
      </c>
      <c r="CH187" s="30">
        <v>0</v>
      </c>
      <c r="CI187" s="30">
        <v>0</v>
      </c>
      <c r="CJ187" s="30" t="e">
        <f t="array" aca="1" ref="CJ187" ca="1">_xludf.XLOOKUP(C187,'PL TOTAL D0'!H:H,'PL TOTAL D0'!I:I,"")</f>
        <v>#NAME?</v>
      </c>
    </row>
    <row r="188" spans="1:88" ht="15.75" customHeight="1">
      <c r="A188" s="36" t="s">
        <v>2921</v>
      </c>
      <c r="B188" s="106" t="s">
        <v>3240</v>
      </c>
      <c r="C188" s="9">
        <v>381137</v>
      </c>
      <c r="D188" s="9" t="s">
        <v>19</v>
      </c>
      <c r="E188" s="9" t="s">
        <v>20</v>
      </c>
      <c r="F188" s="9" t="s">
        <v>2955</v>
      </c>
      <c r="G188" s="7" t="e">
        <f t="shared" ca="1" si="0"/>
        <v>#NAME?</v>
      </c>
      <c r="H188" s="8" t="s">
        <v>152</v>
      </c>
      <c r="I188" s="24" t="s">
        <v>25</v>
      </c>
      <c r="J188" s="9" t="str">
        <f t="shared" si="3"/>
        <v>Sim</v>
      </c>
      <c r="K188" s="232">
        <v>45146</v>
      </c>
      <c r="L188" s="6"/>
      <c r="M188" s="6" t="s">
        <v>42</v>
      </c>
      <c r="N188" s="10">
        <v>1.2E-2</v>
      </c>
      <c r="O188" s="9" t="s">
        <v>25</v>
      </c>
      <c r="P188" s="234">
        <v>0</v>
      </c>
      <c r="Q188" s="108" t="s">
        <v>3241</v>
      </c>
      <c r="R188" s="108"/>
      <c r="S188" s="7" t="s">
        <v>145</v>
      </c>
      <c r="T188" s="9" t="s">
        <v>3242</v>
      </c>
      <c r="U188" s="6" t="s">
        <v>886</v>
      </c>
      <c r="V188" s="24" t="e">
        <f t="shared" ca="1" si="2"/>
        <v>#NAME?</v>
      </c>
      <c r="W188" s="24"/>
      <c r="X188" s="24"/>
      <c r="Y188" s="6" t="s">
        <v>253</v>
      </c>
      <c r="Z188" s="6"/>
      <c r="AA188" s="107">
        <v>45146</v>
      </c>
      <c r="AB188" s="6">
        <v>49075100010676</v>
      </c>
      <c r="AC188" s="240"/>
      <c r="AD188" s="240"/>
      <c r="AE188" s="240"/>
      <c r="AF188" s="240"/>
      <c r="AG188" s="240"/>
      <c r="AH188" s="240"/>
      <c r="AI188" s="240"/>
      <c r="AJ188" s="240"/>
      <c r="AK188" s="240"/>
      <c r="AL188" s="240"/>
      <c r="AM188" s="240"/>
      <c r="AN188" s="240"/>
      <c r="AO188" s="240"/>
      <c r="AP188" s="110"/>
      <c r="AQ188" s="236"/>
      <c r="AR188" s="236"/>
      <c r="AS188" s="236"/>
      <c r="AT188" s="236"/>
      <c r="AU188" s="236"/>
      <c r="AV188" s="110"/>
      <c r="AW188" s="110"/>
      <c r="AX188" s="110"/>
      <c r="AY188" s="110"/>
      <c r="AZ188" s="110"/>
      <c r="BA188" s="110"/>
      <c r="BB188" s="110"/>
      <c r="BC188" s="110"/>
      <c r="BD188" s="110"/>
      <c r="BE188" s="110"/>
      <c r="BF188" s="110"/>
      <c r="BG188" s="237"/>
      <c r="BH188" s="237"/>
      <c r="BI188" s="237"/>
      <c r="BJ188" s="237"/>
      <c r="BK188" s="237"/>
      <c r="BL188" s="237"/>
      <c r="BM188" s="237"/>
      <c r="BN188" s="237"/>
      <c r="BO188" s="237"/>
      <c r="BP188" s="237"/>
      <c r="BQ188" s="237"/>
      <c r="BR188" s="237"/>
      <c r="BS188" s="237"/>
      <c r="BT188" s="237">
        <v>0</v>
      </c>
      <c r="BU188" s="237">
        <v>0</v>
      </c>
      <c r="BV188" s="237">
        <v>0</v>
      </c>
      <c r="BW188" s="237">
        <v>0</v>
      </c>
      <c r="BX188" s="237">
        <v>0</v>
      </c>
      <c r="BY188" s="237">
        <v>0</v>
      </c>
      <c r="BZ188" s="237">
        <v>0</v>
      </c>
      <c r="CA188" s="237">
        <v>0</v>
      </c>
      <c r="CB188" s="237">
        <v>0</v>
      </c>
      <c r="CC188" s="237">
        <v>24872.33</v>
      </c>
      <c r="CD188" s="237">
        <v>25094.98</v>
      </c>
      <c r="CE188" s="237">
        <v>18159.86</v>
      </c>
      <c r="CF188" s="237">
        <v>18308.25</v>
      </c>
      <c r="CG188" s="237">
        <v>18475.509999999998</v>
      </c>
      <c r="CH188" s="30">
        <v>48236.88</v>
      </c>
      <c r="CI188" s="30">
        <v>48578.23</v>
      </c>
      <c r="CJ188" s="30" t="e">
        <f t="array" aca="1" ref="CJ188" ca="1">_xludf.XLOOKUP(C188,'PL TOTAL D0'!H:H,'PL TOTAL D0'!I:I,"")</f>
        <v>#NAME?</v>
      </c>
    </row>
    <row r="189" spans="1:88" ht="15.75" customHeight="1">
      <c r="A189" s="36" t="s">
        <v>2921</v>
      </c>
      <c r="B189" s="3" t="s">
        <v>3243</v>
      </c>
      <c r="C189" s="9">
        <v>31793</v>
      </c>
      <c r="D189" s="9" t="s">
        <v>19</v>
      </c>
      <c r="E189" s="9" t="s">
        <v>34</v>
      </c>
      <c r="F189" s="6" t="s">
        <v>616</v>
      </c>
      <c r="G189" s="7" t="e">
        <f t="shared" ca="1" si="0"/>
        <v>#NAME?</v>
      </c>
      <c r="H189" s="8" t="s">
        <v>152</v>
      </c>
      <c r="I189" s="24" t="s">
        <v>25</v>
      </c>
      <c r="J189" s="9" t="str">
        <f t="shared" si="3"/>
        <v>Não</v>
      </c>
      <c r="K189" s="232">
        <v>44263</v>
      </c>
      <c r="L189" s="6"/>
      <c r="M189" s="6" t="s">
        <v>200</v>
      </c>
      <c r="N189" s="233">
        <v>1.4999999999999999E-2</v>
      </c>
      <c r="O189" s="9" t="s">
        <v>37</v>
      </c>
      <c r="P189" s="234">
        <v>0.1</v>
      </c>
      <c r="Q189" s="108"/>
      <c r="R189" s="108"/>
      <c r="S189" s="7" t="s">
        <v>145</v>
      </c>
      <c r="T189" s="6" t="s">
        <v>3244</v>
      </c>
      <c r="U189" s="6" t="s">
        <v>60</v>
      </c>
      <c r="V189" s="24" t="e">
        <f t="shared" ca="1" si="2"/>
        <v>#NAME?</v>
      </c>
      <c r="W189" s="24"/>
      <c r="X189" s="24"/>
      <c r="Y189" s="6" t="s">
        <v>253</v>
      </c>
      <c r="Z189" s="6"/>
      <c r="AA189" s="107">
        <v>44263</v>
      </c>
      <c r="AB189" s="6">
        <v>49075100009635</v>
      </c>
      <c r="AC189" s="240"/>
      <c r="AD189" s="240"/>
      <c r="AE189" s="240"/>
      <c r="AF189" s="240"/>
      <c r="AG189" s="240"/>
      <c r="AH189" s="240"/>
      <c r="AI189" s="240"/>
      <c r="AJ189" s="240"/>
      <c r="AK189" s="240"/>
      <c r="AL189" s="240"/>
      <c r="AM189" s="240"/>
      <c r="AN189" s="240"/>
      <c r="AO189" s="240"/>
      <c r="AP189" s="110"/>
      <c r="AQ189" s="236">
        <v>267972.83</v>
      </c>
      <c r="AR189" s="236">
        <v>270124.52</v>
      </c>
      <c r="AS189" s="236"/>
      <c r="AT189" s="236">
        <v>274430.49</v>
      </c>
      <c r="AU189" s="236">
        <v>277543.14</v>
      </c>
      <c r="AV189" s="110">
        <v>278326.46000000002</v>
      </c>
      <c r="AW189" s="110">
        <v>277108.23</v>
      </c>
      <c r="AX189" s="110">
        <v>274162.65000000002</v>
      </c>
      <c r="AY189" s="110">
        <v>272721.08</v>
      </c>
      <c r="AZ189" s="110">
        <v>266523.26</v>
      </c>
      <c r="BA189" s="110">
        <v>263741.11</v>
      </c>
      <c r="BB189" s="110">
        <v>263226.7</v>
      </c>
      <c r="BC189" s="110">
        <v>267711.96000000002</v>
      </c>
      <c r="BD189" s="110">
        <v>269475.14</v>
      </c>
      <c r="BE189" s="110">
        <v>261888.7</v>
      </c>
      <c r="BF189" s="110">
        <v>257151.69</v>
      </c>
      <c r="BG189" s="237">
        <v>256060.19</v>
      </c>
      <c r="BH189" s="237">
        <v>254075.36</v>
      </c>
      <c r="BI189" s="237">
        <v>257345.7</v>
      </c>
      <c r="BJ189" s="237">
        <v>237463.64</v>
      </c>
      <c r="BK189" s="237">
        <v>239442.77</v>
      </c>
      <c r="BL189" s="237">
        <v>248130.37</v>
      </c>
      <c r="BM189" s="237">
        <v>245445.52</v>
      </c>
      <c r="BN189" s="237">
        <v>247359.46</v>
      </c>
      <c r="BO189" s="237">
        <v>249697.04</v>
      </c>
      <c r="BP189" s="237">
        <v>251467.26</v>
      </c>
      <c r="BQ189" s="237">
        <v>252262.59</v>
      </c>
      <c r="BR189" s="237">
        <v>252960.63</v>
      </c>
      <c r="BS189" s="237">
        <v>242972.76</v>
      </c>
      <c r="BT189" s="237">
        <v>239962.79</v>
      </c>
      <c r="BU189" s="237">
        <v>200813.38</v>
      </c>
      <c r="BV189" s="237">
        <v>241285.85</v>
      </c>
      <c r="BW189" s="237">
        <v>227869.87</v>
      </c>
      <c r="BX189" s="237">
        <v>228776.22</v>
      </c>
      <c r="BY189" s="237">
        <v>233514.09</v>
      </c>
      <c r="BZ189" s="237">
        <v>229154.65</v>
      </c>
      <c r="CA189" s="237">
        <v>188549.13</v>
      </c>
      <c r="CB189" s="237">
        <v>236654.54</v>
      </c>
      <c r="CC189" s="237">
        <v>189959.78</v>
      </c>
      <c r="CD189" s="237">
        <v>224656.52</v>
      </c>
      <c r="CE189" s="237">
        <v>219229</v>
      </c>
      <c r="CF189" s="237">
        <v>219695.45</v>
      </c>
      <c r="CG189" s="237">
        <v>214949.84</v>
      </c>
      <c r="CH189" s="30">
        <v>217918.32</v>
      </c>
      <c r="CI189" s="30">
        <v>218169.76</v>
      </c>
      <c r="CJ189" s="30" t="e">
        <f t="array" aca="1" ref="CJ189" ca="1">_xludf.XLOOKUP(C189,'PL TOTAL D0'!H:H,'PL TOTAL D0'!I:I,"")</f>
        <v>#NAME?</v>
      </c>
    </row>
    <row r="190" spans="1:88" ht="15.75" customHeight="1">
      <c r="A190" s="36" t="s">
        <v>2921</v>
      </c>
      <c r="B190" s="3" t="s">
        <v>3245</v>
      </c>
      <c r="C190" s="9">
        <v>266389</v>
      </c>
      <c r="D190" s="9" t="s">
        <v>19</v>
      </c>
      <c r="E190" s="9" t="s">
        <v>34</v>
      </c>
      <c r="F190" s="9" t="s">
        <v>2971</v>
      </c>
      <c r="G190" s="7" t="e">
        <f t="shared" ca="1" si="0"/>
        <v>#NAME?</v>
      </c>
      <c r="H190" s="8" t="s">
        <v>161</v>
      </c>
      <c r="I190" s="24" t="s">
        <v>162</v>
      </c>
      <c r="J190" s="9" t="str">
        <f t="shared" si="3"/>
        <v>Não</v>
      </c>
      <c r="K190" s="25">
        <v>44358</v>
      </c>
      <c r="L190" s="6"/>
      <c r="M190" s="6" t="s">
        <v>58</v>
      </c>
      <c r="N190" s="233">
        <v>1.2E-2</v>
      </c>
      <c r="O190" s="9" t="s">
        <v>25</v>
      </c>
      <c r="P190" s="234">
        <v>0</v>
      </c>
      <c r="Q190" s="28"/>
      <c r="R190" s="28"/>
      <c r="S190" s="7" t="s">
        <v>145</v>
      </c>
      <c r="T190" s="6" t="s">
        <v>3246</v>
      </c>
      <c r="U190" s="6" t="s">
        <v>39</v>
      </c>
      <c r="V190" s="24" t="e">
        <f t="shared" ca="1" si="2"/>
        <v>#NAME?</v>
      </c>
      <c r="W190" s="24"/>
      <c r="X190" s="24"/>
      <c r="Y190" s="6" t="s">
        <v>253</v>
      </c>
      <c r="Z190" s="6"/>
      <c r="AA190" s="107">
        <v>44358</v>
      </c>
      <c r="AB190" s="6">
        <v>49075100009031</v>
      </c>
      <c r="AC190" s="132"/>
      <c r="AD190" s="132"/>
      <c r="AE190" s="132"/>
      <c r="AF190" s="132"/>
      <c r="AG190" s="132"/>
      <c r="AH190" s="132"/>
      <c r="AI190" s="132"/>
      <c r="AJ190" s="132"/>
      <c r="AK190" s="132"/>
      <c r="AL190" s="132"/>
      <c r="AM190" s="132"/>
      <c r="AN190" s="132"/>
      <c r="AO190" s="132"/>
      <c r="AP190" s="132"/>
      <c r="AQ190" s="236"/>
      <c r="AR190" s="236"/>
      <c r="AS190" s="236"/>
      <c r="AT190" s="236"/>
      <c r="AU190" s="132"/>
      <c r="AV190" s="110">
        <v>192075.49</v>
      </c>
      <c r="AW190" s="110">
        <v>194695.76</v>
      </c>
      <c r="AX190" s="110">
        <v>193492.51</v>
      </c>
      <c r="AY190" s="110">
        <v>166107.48000000001</v>
      </c>
      <c r="AZ190" s="110">
        <v>196009.18</v>
      </c>
      <c r="BA190" s="110">
        <v>196342.67</v>
      </c>
      <c r="BB190" s="110">
        <v>197950.9</v>
      </c>
      <c r="BC190" s="110">
        <v>200791.26</v>
      </c>
      <c r="BD190" s="110">
        <v>201905.43</v>
      </c>
      <c r="BE190" s="110">
        <v>206788.6</v>
      </c>
      <c r="BF190" s="110">
        <v>205724.41</v>
      </c>
      <c r="BG190" s="237">
        <v>206320.5</v>
      </c>
      <c r="BH190" s="237">
        <v>0</v>
      </c>
      <c r="BI190" s="237">
        <v>101846.67</v>
      </c>
      <c r="BJ190" s="237">
        <v>102838.77</v>
      </c>
      <c r="BK190" s="237">
        <v>103700.53</v>
      </c>
      <c r="BL190" s="237">
        <v>104529.81</v>
      </c>
      <c r="BM190" s="237">
        <v>105364.04</v>
      </c>
      <c r="BN190" s="237">
        <v>106205.09</v>
      </c>
      <c r="BO190" s="237">
        <v>107369.25</v>
      </c>
      <c r="BP190" s="237">
        <v>108138.84</v>
      </c>
      <c r="BQ190" s="237">
        <v>109130.64</v>
      </c>
      <c r="BR190" s="237">
        <v>109872.21</v>
      </c>
      <c r="BS190" s="237">
        <v>110884.01</v>
      </c>
      <c r="BT190" s="237">
        <v>0</v>
      </c>
      <c r="BU190" s="237">
        <v>0</v>
      </c>
      <c r="BV190" s="237">
        <v>0</v>
      </c>
      <c r="BW190" s="237">
        <v>0</v>
      </c>
      <c r="BX190" s="237">
        <v>0</v>
      </c>
      <c r="BY190" s="237">
        <v>0</v>
      </c>
      <c r="BZ190" s="237">
        <v>0</v>
      </c>
      <c r="CA190" s="237">
        <v>0</v>
      </c>
      <c r="CB190" s="237">
        <v>0</v>
      </c>
      <c r="CC190" s="237">
        <v>0</v>
      </c>
      <c r="CD190" s="237">
        <v>0</v>
      </c>
      <c r="CE190" s="237">
        <v>0</v>
      </c>
      <c r="CF190" s="237">
        <v>0</v>
      </c>
      <c r="CG190" s="237">
        <v>0</v>
      </c>
      <c r="CH190" s="30">
        <v>0</v>
      </c>
      <c r="CI190" s="30">
        <v>0</v>
      </c>
      <c r="CJ190" s="30" t="e">
        <f t="array" aca="1" ref="CJ190" ca="1">_xludf.XLOOKUP(C190,'PL TOTAL D0'!H:H,'PL TOTAL D0'!I:I,"")</f>
        <v>#NAME?</v>
      </c>
    </row>
    <row r="191" spans="1:88" ht="15.75" customHeight="1">
      <c r="A191" s="36" t="s">
        <v>2921</v>
      </c>
      <c r="B191" s="37" t="s">
        <v>3247</v>
      </c>
      <c r="C191" s="9">
        <v>327484</v>
      </c>
      <c r="D191" s="9" t="s">
        <v>19</v>
      </c>
      <c r="E191" s="9" t="s">
        <v>20</v>
      </c>
      <c r="F191" s="6" t="s">
        <v>3072</v>
      </c>
      <c r="G191" s="7" t="e">
        <f t="shared" ca="1" si="0"/>
        <v>#NAME?</v>
      </c>
      <c r="H191" s="8" t="s">
        <v>143</v>
      </c>
      <c r="I191" s="24" t="s">
        <v>25</v>
      </c>
      <c r="J191" s="9" t="str">
        <f t="shared" si="3"/>
        <v>Não</v>
      </c>
      <c r="K191" s="107">
        <v>43515</v>
      </c>
      <c r="L191" s="107">
        <v>44309</v>
      </c>
      <c r="M191" s="6" t="s">
        <v>87</v>
      </c>
      <c r="N191" s="10">
        <v>0.01</v>
      </c>
      <c r="O191" s="9" t="s">
        <v>183</v>
      </c>
      <c r="P191" s="234">
        <v>0.2</v>
      </c>
      <c r="Q191" s="108"/>
      <c r="R191" s="108"/>
      <c r="S191" s="7" t="s">
        <v>145</v>
      </c>
      <c r="T191" s="6" t="s">
        <v>3248</v>
      </c>
      <c r="U191" s="6" t="s">
        <v>20</v>
      </c>
      <c r="V191" s="24" t="e">
        <f t="shared" ca="1" si="2"/>
        <v>#NAME?</v>
      </c>
      <c r="W191" s="24"/>
      <c r="X191" s="24"/>
      <c r="Y191" s="6"/>
      <c r="Z191" s="6"/>
      <c r="AA191" s="6"/>
      <c r="AB191" s="6"/>
      <c r="AC191" s="110">
        <v>412004.58</v>
      </c>
      <c r="AD191" s="110">
        <v>207440.21</v>
      </c>
      <c r="AE191" s="110">
        <v>188939.88</v>
      </c>
      <c r="AF191" s="110">
        <v>193448.81</v>
      </c>
      <c r="AG191" s="110">
        <v>196268.85</v>
      </c>
      <c r="AH191" s="110">
        <v>198080.33</v>
      </c>
      <c r="AI191" s="110">
        <v>204955.23</v>
      </c>
      <c r="AJ191" s="110">
        <v>201131.43</v>
      </c>
      <c r="AK191" s="110">
        <v>196984.98</v>
      </c>
      <c r="AL191" s="110">
        <v>199951.16</v>
      </c>
      <c r="AM191" s="110">
        <v>210833.83</v>
      </c>
      <c r="AN191" s="110">
        <v>215696.4</v>
      </c>
      <c r="AO191" s="110">
        <v>211993.4</v>
      </c>
      <c r="AP191" s="110"/>
      <c r="AQ191" s="110">
        <v>324.88</v>
      </c>
      <c r="AR191" s="110"/>
      <c r="AS191" s="110">
        <v>385.03</v>
      </c>
      <c r="AT191" s="110">
        <v>384.97</v>
      </c>
      <c r="AU191" s="110"/>
      <c r="AV191" s="240"/>
      <c r="AW191" s="240"/>
      <c r="AX191" s="240"/>
      <c r="AY191" s="110"/>
      <c r="AZ191" s="110"/>
      <c r="BA191" s="110"/>
      <c r="BB191" s="110"/>
      <c r="BC191" s="110"/>
      <c r="BD191" s="110">
        <v>0</v>
      </c>
      <c r="BE191" s="110">
        <v>0</v>
      </c>
      <c r="BF191" s="110">
        <v>0</v>
      </c>
      <c r="BG191" s="110" t="s">
        <v>2932</v>
      </c>
      <c r="BH191" s="110">
        <v>0</v>
      </c>
      <c r="BI191" s="110" t="s">
        <v>2932</v>
      </c>
      <c r="BJ191" s="110">
        <v>0</v>
      </c>
      <c r="BK191" s="237">
        <v>0</v>
      </c>
      <c r="BL191" s="237">
        <v>0</v>
      </c>
      <c r="BM191" s="237">
        <v>0</v>
      </c>
      <c r="BN191" s="237">
        <v>0</v>
      </c>
      <c r="BO191" s="237">
        <v>0</v>
      </c>
      <c r="BP191" s="237">
        <v>0</v>
      </c>
      <c r="BQ191" s="237">
        <v>0</v>
      </c>
      <c r="BR191" s="237">
        <v>0</v>
      </c>
      <c r="BS191" s="237">
        <v>0</v>
      </c>
      <c r="BT191" s="237">
        <v>0</v>
      </c>
      <c r="BU191" s="237">
        <v>0</v>
      </c>
      <c r="BV191" s="237">
        <v>0</v>
      </c>
      <c r="BW191" s="237">
        <v>0</v>
      </c>
      <c r="BX191" s="237">
        <v>0</v>
      </c>
      <c r="BY191" s="237">
        <v>0</v>
      </c>
      <c r="BZ191" s="237">
        <v>0</v>
      </c>
      <c r="CA191" s="237">
        <v>0</v>
      </c>
      <c r="CB191" s="237">
        <v>0</v>
      </c>
      <c r="CC191" s="237">
        <v>0</v>
      </c>
      <c r="CD191" s="237">
        <v>0</v>
      </c>
      <c r="CE191" s="237">
        <v>0</v>
      </c>
      <c r="CF191" s="237">
        <v>0</v>
      </c>
      <c r="CG191" s="237">
        <v>0</v>
      </c>
      <c r="CH191" s="30">
        <v>0</v>
      </c>
      <c r="CI191" s="30">
        <v>0</v>
      </c>
      <c r="CJ191" s="30" t="e">
        <f t="array" aca="1" ref="CJ191" ca="1">_xludf.XLOOKUP(C191,'PL TOTAL D0'!H:H,'PL TOTAL D0'!I:I,"")</f>
        <v>#NAME?</v>
      </c>
    </row>
    <row r="192" spans="1:88" ht="15.75" customHeight="1">
      <c r="A192" s="36" t="s">
        <v>2921</v>
      </c>
      <c r="B192" s="3" t="s">
        <v>3249</v>
      </c>
      <c r="C192" s="9">
        <v>31966</v>
      </c>
      <c r="D192" s="9" t="s">
        <v>19</v>
      </c>
      <c r="E192" s="9" t="s">
        <v>34</v>
      </c>
      <c r="F192" s="9" t="s">
        <v>262</v>
      </c>
      <c r="G192" s="7" t="e">
        <f t="shared" ca="1" si="0"/>
        <v>#NAME?</v>
      </c>
      <c r="H192" s="8" t="s">
        <v>161</v>
      </c>
      <c r="I192" s="24" t="s">
        <v>162</v>
      </c>
      <c r="J192" s="9" t="str">
        <f t="shared" si="3"/>
        <v>Sim</v>
      </c>
      <c r="K192" s="232">
        <v>44656</v>
      </c>
      <c r="L192" s="6"/>
      <c r="M192" s="6" t="s">
        <v>87</v>
      </c>
      <c r="N192" s="233">
        <v>2.5000000000000001E-2</v>
      </c>
      <c r="O192" s="9" t="s">
        <v>183</v>
      </c>
      <c r="P192" s="234">
        <v>0.2</v>
      </c>
      <c r="Q192" s="28" t="s">
        <v>3250</v>
      </c>
      <c r="R192" s="28"/>
      <c r="S192" s="7" t="s">
        <v>145</v>
      </c>
      <c r="T192" s="6" t="s">
        <v>1426</v>
      </c>
      <c r="U192" s="6" t="s">
        <v>39</v>
      </c>
      <c r="V192" s="24" t="e">
        <f t="shared" ca="1" si="2"/>
        <v>#NAME?</v>
      </c>
      <c r="W192" s="24"/>
      <c r="X192" s="24"/>
      <c r="Y192" s="6" t="s">
        <v>253</v>
      </c>
      <c r="Z192" s="6"/>
      <c r="AA192" s="107">
        <v>44656</v>
      </c>
      <c r="AB192" s="6">
        <v>49075100006075</v>
      </c>
      <c r="AC192" s="132"/>
      <c r="AD192" s="132"/>
      <c r="AE192" s="132"/>
      <c r="AF192" s="132"/>
      <c r="AG192" s="132"/>
      <c r="AH192" s="132"/>
      <c r="AI192" s="132"/>
      <c r="AJ192" s="132"/>
      <c r="AK192" s="132"/>
      <c r="AL192" s="132"/>
      <c r="AM192" s="132"/>
      <c r="AN192" s="132"/>
      <c r="AO192" s="132"/>
      <c r="AP192" s="132"/>
      <c r="AQ192" s="236"/>
      <c r="AR192" s="236"/>
      <c r="AS192" s="236"/>
      <c r="AT192" s="236"/>
      <c r="AU192" s="132"/>
      <c r="AV192" s="110"/>
      <c r="AW192" s="110"/>
      <c r="AX192" s="110"/>
      <c r="AY192" s="110"/>
      <c r="AZ192" s="110"/>
      <c r="BA192" s="110"/>
      <c r="BB192" s="110"/>
      <c r="BC192" s="110"/>
      <c r="BD192" s="110"/>
      <c r="BE192" s="110">
        <v>35400.93</v>
      </c>
      <c r="BF192" s="110">
        <v>132891.49</v>
      </c>
      <c r="BG192" s="237">
        <v>130507.78</v>
      </c>
      <c r="BH192" s="237">
        <v>131510.25</v>
      </c>
      <c r="BI192" s="237">
        <v>133774.82</v>
      </c>
      <c r="BJ192" s="237">
        <v>133667.04999999999</v>
      </c>
      <c r="BK192" s="237">
        <v>133138.21</v>
      </c>
      <c r="BL192" s="237">
        <v>134889.73000000001</v>
      </c>
      <c r="BM192" s="237">
        <v>134605.93</v>
      </c>
      <c r="BN192" s="237">
        <v>134877.48000000001</v>
      </c>
      <c r="BO192" s="237">
        <v>137436.26</v>
      </c>
      <c r="BP192" s="237">
        <v>112034.74</v>
      </c>
      <c r="BQ192" s="237">
        <v>112500.92</v>
      </c>
      <c r="BR192" s="237">
        <v>89854.86</v>
      </c>
      <c r="BS192" s="237">
        <v>24.6</v>
      </c>
      <c r="BT192" s="237">
        <v>0</v>
      </c>
      <c r="BU192" s="237">
        <v>0</v>
      </c>
      <c r="BV192" s="237">
        <v>0</v>
      </c>
      <c r="BW192" s="237">
        <v>0</v>
      </c>
      <c r="BX192" s="237">
        <v>0</v>
      </c>
      <c r="BY192" s="237">
        <v>0</v>
      </c>
      <c r="BZ192" s="237">
        <v>0</v>
      </c>
      <c r="CA192" s="237">
        <v>0</v>
      </c>
      <c r="CB192" s="237">
        <v>0</v>
      </c>
      <c r="CC192" s="237">
        <v>0</v>
      </c>
      <c r="CD192" s="237">
        <v>0</v>
      </c>
      <c r="CE192" s="237">
        <v>0</v>
      </c>
      <c r="CF192" s="237">
        <v>0</v>
      </c>
      <c r="CG192" s="237">
        <v>0</v>
      </c>
      <c r="CH192" s="30">
        <v>0</v>
      </c>
      <c r="CI192" s="30">
        <v>0</v>
      </c>
      <c r="CJ192" s="30" t="e">
        <f t="array" aca="1" ref="CJ192" ca="1">_xludf.XLOOKUP(C192,'PL TOTAL D0'!H:H,'PL TOTAL D0'!I:I,"")</f>
        <v>#NAME?</v>
      </c>
    </row>
    <row r="193" spans="1:88" ht="15.75" customHeight="1">
      <c r="A193" s="36" t="s">
        <v>2921</v>
      </c>
      <c r="B193" s="3" t="s">
        <v>3251</v>
      </c>
      <c r="C193" s="9">
        <v>377270</v>
      </c>
      <c r="D193" s="9" t="s">
        <v>19</v>
      </c>
      <c r="E193" s="9" t="s">
        <v>34</v>
      </c>
      <c r="F193" s="9" t="s">
        <v>262</v>
      </c>
      <c r="G193" s="7" t="e">
        <f t="shared" ca="1" si="0"/>
        <v>#NAME?</v>
      </c>
      <c r="H193" s="8" t="s">
        <v>143</v>
      </c>
      <c r="I193" s="24" t="s">
        <v>25</v>
      </c>
      <c r="J193" s="9" t="str">
        <f t="shared" si="3"/>
        <v>Não</v>
      </c>
      <c r="K193" s="232">
        <v>44706</v>
      </c>
      <c r="L193" s="25">
        <v>45015</v>
      </c>
      <c r="M193" s="6" t="s">
        <v>875</v>
      </c>
      <c r="N193" s="6" t="s">
        <v>3252</v>
      </c>
      <c r="O193" s="9" t="s">
        <v>183</v>
      </c>
      <c r="P193" s="234">
        <v>0.2</v>
      </c>
      <c r="Q193" s="235"/>
      <c r="R193" s="235"/>
      <c r="S193" s="7" t="s">
        <v>145</v>
      </c>
      <c r="T193" s="6" t="s">
        <v>1426</v>
      </c>
      <c r="U193" s="6" t="s">
        <v>39</v>
      </c>
      <c r="V193" s="24" t="e">
        <f t="shared" ca="1" si="2"/>
        <v>#NAME?</v>
      </c>
      <c r="W193" s="24"/>
      <c r="X193" s="24"/>
      <c r="Y193" s="6"/>
      <c r="Z193" s="6"/>
      <c r="AA193" s="6"/>
      <c r="AB193" s="6"/>
      <c r="AC193" s="240"/>
      <c r="AD193" s="240"/>
      <c r="AE193" s="240"/>
      <c r="AF193" s="240"/>
      <c r="AG193" s="240"/>
      <c r="AH193" s="240"/>
      <c r="AI193" s="240"/>
      <c r="AJ193" s="240"/>
      <c r="AK193" s="240"/>
      <c r="AL193" s="240"/>
      <c r="AM193" s="240"/>
      <c r="AN193" s="240"/>
      <c r="AO193" s="240"/>
      <c r="AP193" s="110"/>
      <c r="AQ193" s="236"/>
      <c r="AR193" s="236"/>
      <c r="AS193" s="236"/>
      <c r="AT193" s="236"/>
      <c r="AU193" s="236"/>
      <c r="AV193" s="110"/>
      <c r="AW193" s="110"/>
      <c r="AX193" s="110"/>
      <c r="AY193" s="110"/>
      <c r="AZ193" s="110"/>
      <c r="BA193" s="110"/>
      <c r="BB193" s="110"/>
      <c r="BC193" s="110"/>
      <c r="BD193" s="110"/>
      <c r="BE193" s="110"/>
      <c r="BF193" s="110"/>
      <c r="BG193" s="237"/>
      <c r="BH193" s="237"/>
      <c r="BI193" s="237"/>
      <c r="BJ193" s="237"/>
      <c r="BK193" s="237"/>
      <c r="BL193" s="237"/>
      <c r="BM193" s="237"/>
      <c r="BN193" s="237"/>
      <c r="BO193" s="237"/>
      <c r="BP193" s="237">
        <v>0</v>
      </c>
      <c r="BQ193" s="237">
        <v>0</v>
      </c>
      <c r="BR193" s="237">
        <v>0</v>
      </c>
      <c r="BS193" s="237">
        <v>0</v>
      </c>
      <c r="BT193" s="237">
        <v>0</v>
      </c>
      <c r="BU193" s="237">
        <v>0</v>
      </c>
      <c r="BV193" s="237">
        <v>0</v>
      </c>
      <c r="BW193" s="237">
        <v>0</v>
      </c>
      <c r="BX193" s="237">
        <v>0</v>
      </c>
      <c r="BY193" s="237">
        <v>0</v>
      </c>
      <c r="BZ193" s="237">
        <v>0</v>
      </c>
      <c r="CA193" s="237">
        <v>0</v>
      </c>
      <c r="CB193" s="237">
        <v>0</v>
      </c>
      <c r="CC193" s="237">
        <v>0</v>
      </c>
      <c r="CD193" s="237">
        <v>0</v>
      </c>
      <c r="CE193" s="237">
        <v>0</v>
      </c>
      <c r="CF193" s="237">
        <v>0</v>
      </c>
      <c r="CG193" s="237">
        <v>0</v>
      </c>
      <c r="CH193" s="30">
        <v>0</v>
      </c>
      <c r="CI193" s="30">
        <v>0</v>
      </c>
      <c r="CJ193" s="30" t="e">
        <f t="array" aca="1" ref="CJ193" ca="1">_xludf.XLOOKUP(C193,'PL TOTAL D0'!H:H,'PL TOTAL D0'!I:I,"")</f>
        <v>#NAME?</v>
      </c>
    </row>
    <row r="194" spans="1:88" ht="15.75" customHeight="1">
      <c r="A194" s="36" t="s">
        <v>2921</v>
      </c>
      <c r="B194" s="3" t="s">
        <v>3253</v>
      </c>
      <c r="C194" s="9">
        <v>32897</v>
      </c>
      <c r="D194" s="9" t="s">
        <v>19</v>
      </c>
      <c r="E194" s="9" t="s">
        <v>34</v>
      </c>
      <c r="F194" s="9" t="s">
        <v>262</v>
      </c>
      <c r="G194" s="7" t="e">
        <f t="shared" ca="1" si="0"/>
        <v>#NAME?</v>
      </c>
      <c r="H194" s="8" t="s">
        <v>161</v>
      </c>
      <c r="I194" s="24" t="s">
        <v>162</v>
      </c>
      <c r="J194" s="9" t="str">
        <f t="shared" si="3"/>
        <v>Sim</v>
      </c>
      <c r="K194" s="232">
        <v>44278</v>
      </c>
      <c r="L194" s="7"/>
      <c r="M194" s="6" t="s">
        <v>345</v>
      </c>
      <c r="N194" s="10">
        <v>0.02</v>
      </c>
      <c r="O194" s="9" t="s">
        <v>37</v>
      </c>
      <c r="P194" s="234">
        <v>0.2</v>
      </c>
      <c r="Q194" s="108" t="s">
        <v>3170</v>
      </c>
      <c r="R194" s="108"/>
      <c r="S194" s="7" t="s">
        <v>145</v>
      </c>
      <c r="T194" s="6" t="s">
        <v>1433</v>
      </c>
      <c r="U194" s="6" t="s">
        <v>39</v>
      </c>
      <c r="V194" s="24" t="e">
        <f t="shared" ca="1" si="2"/>
        <v>#NAME?</v>
      </c>
      <c r="W194" s="24"/>
      <c r="X194" s="24"/>
      <c r="Y194" s="6" t="s">
        <v>253</v>
      </c>
      <c r="Z194" s="6"/>
      <c r="AA194" s="107">
        <v>44278</v>
      </c>
      <c r="AB194" s="6">
        <v>49075100003981</v>
      </c>
      <c r="AC194" s="240"/>
      <c r="AD194" s="240"/>
      <c r="AE194" s="240"/>
      <c r="AF194" s="240"/>
      <c r="AG194" s="240"/>
      <c r="AH194" s="240"/>
      <c r="AI194" s="240"/>
      <c r="AJ194" s="240"/>
      <c r="AK194" s="240"/>
      <c r="AL194" s="240"/>
      <c r="AM194" s="240"/>
      <c r="AN194" s="240"/>
      <c r="AO194" s="240"/>
      <c r="AP194" s="110"/>
      <c r="AQ194" s="236"/>
      <c r="AR194" s="236">
        <v>222951.17</v>
      </c>
      <c r="AS194" s="236"/>
      <c r="AT194" s="236">
        <v>227457.43</v>
      </c>
      <c r="AU194" s="236">
        <v>232086.74</v>
      </c>
      <c r="AV194" s="110">
        <v>231592.85</v>
      </c>
      <c r="AW194" s="110">
        <v>228445.54</v>
      </c>
      <c r="AX194" s="110">
        <v>221883.12</v>
      </c>
      <c r="AY194" s="110">
        <v>202077.7</v>
      </c>
      <c r="AZ194" s="110">
        <v>206795.73</v>
      </c>
      <c r="BA194" s="110">
        <v>202410.85</v>
      </c>
      <c r="BB194" s="110">
        <v>202774.52</v>
      </c>
      <c r="BC194" s="110">
        <v>207428.08</v>
      </c>
      <c r="BD194" s="110">
        <v>208706.19</v>
      </c>
      <c r="BE194" s="110">
        <v>109139.32</v>
      </c>
      <c r="BF194" s="110">
        <v>125409.47</v>
      </c>
      <c r="BG194" s="237">
        <v>156289.94</v>
      </c>
      <c r="BH194" s="237">
        <v>164410.95000000001</v>
      </c>
      <c r="BI194" s="237">
        <v>195079.82</v>
      </c>
      <c r="BJ194" s="237">
        <v>243818.16</v>
      </c>
      <c r="BK194" s="237">
        <v>271547.71999999997</v>
      </c>
      <c r="BL194" s="237">
        <v>290743.05</v>
      </c>
      <c r="BM194" s="237">
        <v>295910.36</v>
      </c>
      <c r="BN194" s="237">
        <v>297214.87</v>
      </c>
      <c r="BO194" s="237">
        <v>300562.40999999997</v>
      </c>
      <c r="BP194" s="237">
        <v>297981.15999999997</v>
      </c>
      <c r="BQ194" s="237">
        <v>300076.87</v>
      </c>
      <c r="BR194" s="237">
        <v>22572.2</v>
      </c>
      <c r="BS194" s="237">
        <v>22630.6</v>
      </c>
      <c r="BT194" s="237">
        <v>23036.47</v>
      </c>
      <c r="BU194" s="237">
        <v>228.15</v>
      </c>
      <c r="BV194" s="237">
        <v>224</v>
      </c>
      <c r="BW194" s="237">
        <v>0</v>
      </c>
      <c r="BX194" s="237">
        <v>114.69</v>
      </c>
      <c r="BY194" s="237">
        <v>72.489999999999995</v>
      </c>
      <c r="BZ194" s="237">
        <v>61.13</v>
      </c>
      <c r="CA194" s="237">
        <v>61.13</v>
      </c>
      <c r="CB194" s="237">
        <v>61.13</v>
      </c>
      <c r="CC194" s="237">
        <v>51.39</v>
      </c>
      <c r="CD194" s="237">
        <v>51.39</v>
      </c>
      <c r="CE194" s="237">
        <v>35.409999999999997</v>
      </c>
      <c r="CF194" s="237">
        <v>35.409999999999997</v>
      </c>
      <c r="CG194" s="237">
        <v>35.409999999999997</v>
      </c>
      <c r="CH194" s="30">
        <v>35.409999999999997</v>
      </c>
      <c r="CI194" s="30">
        <v>35.409999999999997</v>
      </c>
      <c r="CJ194" s="30" t="e">
        <f t="array" aca="1" ref="CJ194" ca="1">_xludf.XLOOKUP(C194,'PL TOTAL D0'!H:H,'PL TOTAL D0'!I:I,"")</f>
        <v>#NAME?</v>
      </c>
    </row>
    <row r="195" spans="1:88" ht="15.75" customHeight="1">
      <c r="A195" s="36" t="s">
        <v>2921</v>
      </c>
      <c r="B195" s="3" t="s">
        <v>3253</v>
      </c>
      <c r="C195" s="9">
        <v>39137</v>
      </c>
      <c r="D195" s="9" t="s">
        <v>19</v>
      </c>
      <c r="E195" s="9" t="s">
        <v>34</v>
      </c>
      <c r="F195" s="9" t="s">
        <v>262</v>
      </c>
      <c r="G195" s="7" t="e">
        <f t="shared" ca="1" si="0"/>
        <v>#NAME?</v>
      </c>
      <c r="H195" s="8" t="s">
        <v>161</v>
      </c>
      <c r="I195" s="24" t="s">
        <v>162</v>
      </c>
      <c r="J195" s="9" t="str">
        <f t="shared" si="3"/>
        <v>Sim</v>
      </c>
      <c r="K195" s="232">
        <v>44278</v>
      </c>
      <c r="L195" s="6"/>
      <c r="M195" s="6" t="s">
        <v>87</v>
      </c>
      <c r="N195" s="233">
        <v>2.5000000000000001E-2</v>
      </c>
      <c r="O195" s="9" t="s">
        <v>183</v>
      </c>
      <c r="P195" s="234">
        <v>0.2</v>
      </c>
      <c r="Q195" s="108" t="s">
        <v>3170</v>
      </c>
      <c r="R195" s="108"/>
      <c r="S195" s="7" t="s">
        <v>145</v>
      </c>
      <c r="T195" s="6" t="s">
        <v>1433</v>
      </c>
      <c r="U195" s="6" t="s">
        <v>39</v>
      </c>
      <c r="V195" s="24" t="e">
        <f t="shared" ca="1" si="2"/>
        <v>#NAME?</v>
      </c>
      <c r="W195" s="24"/>
      <c r="X195" s="24"/>
      <c r="Y195" s="6" t="s">
        <v>253</v>
      </c>
      <c r="Z195" s="6"/>
      <c r="AA195" s="107">
        <v>44278</v>
      </c>
      <c r="AB195" s="6">
        <v>49075100010684</v>
      </c>
      <c r="AC195" s="240"/>
      <c r="AD195" s="240"/>
      <c r="AE195" s="240"/>
      <c r="AF195" s="240"/>
      <c r="AG195" s="240"/>
      <c r="AH195" s="240"/>
      <c r="AI195" s="240"/>
      <c r="AJ195" s="240"/>
      <c r="AK195" s="240"/>
      <c r="AL195" s="240"/>
      <c r="AM195" s="240"/>
      <c r="AN195" s="240"/>
      <c r="AO195" s="240"/>
      <c r="AP195" s="110"/>
      <c r="AQ195" s="236"/>
      <c r="AR195" s="236">
        <v>148864.29</v>
      </c>
      <c r="AS195" s="236">
        <v>150382.81</v>
      </c>
      <c r="AT195" s="236">
        <v>151173.29999999999</v>
      </c>
      <c r="AU195" s="236">
        <v>101397.08</v>
      </c>
      <c r="AV195" s="110">
        <v>103071.69</v>
      </c>
      <c r="AW195" s="110">
        <v>127880.01</v>
      </c>
      <c r="AX195" s="110">
        <v>143694.54999999999</v>
      </c>
      <c r="AY195" s="110">
        <v>158442.54</v>
      </c>
      <c r="AZ195" s="110">
        <v>176057.75</v>
      </c>
      <c r="BA195" s="110">
        <v>184277.53</v>
      </c>
      <c r="BB195" s="110">
        <v>202122.97</v>
      </c>
      <c r="BC195" s="110">
        <v>216555.46</v>
      </c>
      <c r="BD195" s="110">
        <v>220676.2</v>
      </c>
      <c r="BE195" s="110">
        <v>239851.16</v>
      </c>
      <c r="BF195" s="110">
        <v>231724.04</v>
      </c>
      <c r="BG195" s="237">
        <v>226737.5</v>
      </c>
      <c r="BH195" s="237">
        <v>169621.77</v>
      </c>
      <c r="BI195" s="237">
        <v>177375.96</v>
      </c>
      <c r="BJ195" s="237">
        <v>178618.83</v>
      </c>
      <c r="BK195" s="237">
        <v>179894.17</v>
      </c>
      <c r="BL195" s="237">
        <v>193370.18</v>
      </c>
      <c r="BM195" s="237">
        <v>189568.32</v>
      </c>
      <c r="BN195" s="237">
        <v>188331.67</v>
      </c>
      <c r="BO195" s="237">
        <v>194179.11</v>
      </c>
      <c r="BP195" s="237">
        <v>187202.55</v>
      </c>
      <c r="BQ195" s="237">
        <v>186378.77</v>
      </c>
      <c r="BR195" s="237">
        <v>38725.75</v>
      </c>
      <c r="BS195" s="237">
        <v>38948.959999999999</v>
      </c>
      <c r="BT195" s="237">
        <v>39813.760000000002</v>
      </c>
      <c r="BU195" s="237">
        <v>40150.11</v>
      </c>
      <c r="BV195" s="237">
        <v>522.69000000000005</v>
      </c>
      <c r="BW195" s="237">
        <v>0</v>
      </c>
      <c r="BX195" s="237">
        <v>251.12</v>
      </c>
      <c r="BY195" s="237">
        <v>195.75</v>
      </c>
      <c r="BZ195" s="237">
        <v>142.22999999999999</v>
      </c>
      <c r="CA195" s="237">
        <v>142.22999999999999</v>
      </c>
      <c r="CB195" s="237">
        <v>142.22999999999999</v>
      </c>
      <c r="CC195" s="237">
        <v>0</v>
      </c>
      <c r="CD195" s="237">
        <v>0</v>
      </c>
      <c r="CE195" s="237">
        <v>0</v>
      </c>
      <c r="CF195" s="237">
        <v>0</v>
      </c>
      <c r="CG195" s="237">
        <v>0</v>
      </c>
      <c r="CH195" s="30">
        <v>0</v>
      </c>
      <c r="CI195" s="30">
        <v>0</v>
      </c>
      <c r="CJ195" s="30" t="e">
        <f t="array" aca="1" ref="CJ195" ca="1">_xludf.XLOOKUP(C195,'PL TOTAL D0'!H:H,'PL TOTAL D0'!I:I,"")</f>
        <v>#NAME?</v>
      </c>
    </row>
    <row r="196" spans="1:88" ht="15.75" customHeight="1">
      <c r="A196" s="36" t="s">
        <v>2921</v>
      </c>
      <c r="B196" s="37" t="s">
        <v>3254</v>
      </c>
      <c r="C196" s="9">
        <v>320310</v>
      </c>
      <c r="D196" s="9" t="s">
        <v>2923</v>
      </c>
      <c r="E196" s="9" t="s">
        <v>20</v>
      </c>
      <c r="F196" s="6" t="s">
        <v>2930</v>
      </c>
      <c r="G196" s="7" t="e">
        <f t="shared" ca="1" si="0"/>
        <v>#NAME?</v>
      </c>
      <c r="H196" s="8" t="s">
        <v>143</v>
      </c>
      <c r="I196" s="24" t="s">
        <v>25</v>
      </c>
      <c r="J196" s="9" t="str">
        <f t="shared" si="3"/>
        <v>Não</v>
      </c>
      <c r="K196" s="107">
        <v>43664</v>
      </c>
      <c r="L196" s="107">
        <v>44309</v>
      </c>
      <c r="M196" s="6" t="s">
        <v>200</v>
      </c>
      <c r="N196" s="10">
        <v>0.01</v>
      </c>
      <c r="O196" s="9" t="s">
        <v>37</v>
      </c>
      <c r="P196" s="234">
        <v>0.1</v>
      </c>
      <c r="Q196" s="235"/>
      <c r="R196" s="235"/>
      <c r="S196" s="7" t="s">
        <v>145</v>
      </c>
      <c r="T196" s="6">
        <v>295405180</v>
      </c>
      <c r="U196" s="6" t="s">
        <v>20</v>
      </c>
      <c r="V196" s="24" t="e">
        <f t="shared" ca="1" si="2"/>
        <v>#NAME?</v>
      </c>
      <c r="W196" s="24"/>
      <c r="X196" s="24"/>
      <c r="Y196" s="6"/>
      <c r="Z196" s="6"/>
      <c r="AA196" s="6"/>
      <c r="AB196" s="6"/>
      <c r="AC196" s="110">
        <v>85533.02</v>
      </c>
      <c r="AD196" s="110">
        <v>83215.509999999995</v>
      </c>
      <c r="AE196" s="110">
        <v>58071.75</v>
      </c>
      <c r="AF196" s="110">
        <v>59448.05</v>
      </c>
      <c r="AG196" s="110">
        <v>49527.54</v>
      </c>
      <c r="AH196" s="110">
        <v>40444.269999999997</v>
      </c>
      <c r="AI196" s="110">
        <v>35543.82</v>
      </c>
      <c r="AJ196" s="110">
        <v>29035.3</v>
      </c>
      <c r="AK196" s="110">
        <v>22461.66</v>
      </c>
      <c r="AL196" s="110">
        <v>15939.32</v>
      </c>
      <c r="AM196" s="110">
        <v>9419.68</v>
      </c>
      <c r="AN196" s="110">
        <v>9408.2000000000007</v>
      </c>
      <c r="AO196" s="110">
        <v>4401.6000000000004</v>
      </c>
      <c r="AP196" s="110">
        <v>4176.04</v>
      </c>
      <c r="AQ196" s="110">
        <v>4043.29</v>
      </c>
      <c r="AR196" s="110">
        <v>4170.42</v>
      </c>
      <c r="AS196" s="110">
        <v>4120.67</v>
      </c>
      <c r="AT196" s="110">
        <v>4022.3</v>
      </c>
      <c r="AU196" s="110"/>
      <c r="AV196" s="240"/>
      <c r="AW196" s="240"/>
      <c r="AX196" s="240"/>
      <c r="AY196" s="110"/>
      <c r="AZ196" s="110"/>
      <c r="BA196" s="110"/>
      <c r="BB196" s="110"/>
      <c r="BC196" s="110"/>
      <c r="BD196" s="110">
        <v>0</v>
      </c>
      <c r="BE196" s="110">
        <v>0</v>
      </c>
      <c r="BF196" s="110">
        <v>0</v>
      </c>
      <c r="BG196" s="110" t="s">
        <v>2932</v>
      </c>
      <c r="BH196" s="110">
        <v>0</v>
      </c>
      <c r="BI196" s="110" t="s">
        <v>2932</v>
      </c>
      <c r="BJ196" s="110">
        <v>0</v>
      </c>
      <c r="BK196" s="237">
        <v>0</v>
      </c>
      <c r="BL196" s="237">
        <v>0</v>
      </c>
      <c r="BM196" s="237">
        <v>0</v>
      </c>
      <c r="BN196" s="237">
        <v>0</v>
      </c>
      <c r="BO196" s="237">
        <v>0</v>
      </c>
      <c r="BP196" s="237">
        <v>0</v>
      </c>
      <c r="BQ196" s="237">
        <v>0</v>
      </c>
      <c r="BR196" s="237">
        <v>0</v>
      </c>
      <c r="BS196" s="237">
        <v>0</v>
      </c>
      <c r="BT196" s="237">
        <v>0</v>
      </c>
      <c r="BU196" s="237">
        <v>0</v>
      </c>
      <c r="BV196" s="237">
        <v>0</v>
      </c>
      <c r="BW196" s="237">
        <v>0</v>
      </c>
      <c r="BX196" s="237">
        <v>0</v>
      </c>
      <c r="BY196" s="237">
        <v>0</v>
      </c>
      <c r="BZ196" s="237">
        <v>0</v>
      </c>
      <c r="CA196" s="237">
        <v>0</v>
      </c>
      <c r="CB196" s="237">
        <v>0</v>
      </c>
      <c r="CC196" s="237">
        <v>0</v>
      </c>
      <c r="CD196" s="237">
        <v>0</v>
      </c>
      <c r="CE196" s="237">
        <v>0</v>
      </c>
      <c r="CF196" s="237">
        <v>0</v>
      </c>
      <c r="CG196" s="237">
        <v>0</v>
      </c>
      <c r="CH196" s="30">
        <v>0</v>
      </c>
      <c r="CI196" s="30">
        <v>0</v>
      </c>
      <c r="CJ196" s="30" t="e">
        <f t="array" aca="1" ref="CJ196" ca="1">_xludf.XLOOKUP(C196,'PL TOTAL D0'!H:H,'PL TOTAL D0'!I:I,"")</f>
        <v>#NAME?</v>
      </c>
    </row>
    <row r="197" spans="1:88" ht="15.75" customHeight="1">
      <c r="A197" s="36" t="s">
        <v>2921</v>
      </c>
      <c r="B197" s="37" t="s">
        <v>3255</v>
      </c>
      <c r="C197" s="9">
        <v>35930</v>
      </c>
      <c r="D197" s="9" t="s">
        <v>2923</v>
      </c>
      <c r="E197" s="9" t="s">
        <v>20</v>
      </c>
      <c r="F197" s="6" t="s">
        <v>2930</v>
      </c>
      <c r="G197" s="7" t="e">
        <f t="shared" ca="1" si="0"/>
        <v>#NAME?</v>
      </c>
      <c r="H197" s="8" t="s">
        <v>143</v>
      </c>
      <c r="I197" s="24" t="s">
        <v>25</v>
      </c>
      <c r="J197" s="9" t="str">
        <f t="shared" si="3"/>
        <v>Não</v>
      </c>
      <c r="K197" s="107">
        <v>43853</v>
      </c>
      <c r="L197" s="239">
        <v>44484</v>
      </c>
      <c r="M197" s="6" t="s">
        <v>200</v>
      </c>
      <c r="N197" s="10">
        <v>1.4999999999999999E-2</v>
      </c>
      <c r="O197" s="9" t="s">
        <v>37</v>
      </c>
      <c r="P197" s="234">
        <v>0.1</v>
      </c>
      <c r="Q197" s="108"/>
      <c r="R197" s="108"/>
      <c r="S197" s="7" t="s">
        <v>145</v>
      </c>
      <c r="T197" s="6" t="s">
        <v>3256</v>
      </c>
      <c r="U197" s="6" t="s">
        <v>20</v>
      </c>
      <c r="V197" s="24" t="e">
        <f t="shared" ca="1" si="2"/>
        <v>#NAME?</v>
      </c>
      <c r="W197" s="24"/>
      <c r="X197" s="24"/>
      <c r="Y197" s="6"/>
      <c r="Z197" s="6"/>
      <c r="AA197" s="6"/>
      <c r="AB197" s="6"/>
      <c r="AC197" s="110">
        <v>118108.75</v>
      </c>
      <c r="AD197" s="110">
        <v>36450.620000000003</v>
      </c>
      <c r="AE197" s="110">
        <v>37628.94</v>
      </c>
      <c r="AF197" s="110">
        <v>0</v>
      </c>
      <c r="AG197" s="110">
        <v>63.98</v>
      </c>
      <c r="AH197" s="110">
        <v>0</v>
      </c>
      <c r="AI197" s="110">
        <v>0</v>
      </c>
      <c r="AJ197" s="110">
        <v>0</v>
      </c>
      <c r="AK197" s="240"/>
      <c r="AL197" s="110">
        <v>63.98</v>
      </c>
      <c r="AM197" s="110">
        <v>63.98</v>
      </c>
      <c r="AN197" s="110">
        <v>25.92</v>
      </c>
      <c r="AO197" s="110">
        <v>63.98</v>
      </c>
      <c r="AP197" s="110">
        <v>63.98</v>
      </c>
      <c r="AQ197" s="110">
        <v>63.98</v>
      </c>
      <c r="AR197" s="110">
        <v>63.98</v>
      </c>
      <c r="AS197" s="110">
        <v>63.98</v>
      </c>
      <c r="AT197" s="110">
        <v>63.98</v>
      </c>
      <c r="AU197" s="110">
        <v>63.98</v>
      </c>
      <c r="AV197" s="110">
        <v>63.98</v>
      </c>
      <c r="AW197" s="110">
        <v>78</v>
      </c>
      <c r="AX197" s="110">
        <v>78</v>
      </c>
      <c r="AY197" s="110">
        <v>78</v>
      </c>
      <c r="AZ197" s="110">
        <v>78</v>
      </c>
      <c r="BA197" s="110"/>
      <c r="BB197" s="110"/>
      <c r="BC197" s="110"/>
      <c r="BD197" s="110">
        <v>0</v>
      </c>
      <c r="BE197" s="110">
        <v>0</v>
      </c>
      <c r="BF197" s="110">
        <v>0</v>
      </c>
      <c r="BG197" s="110" t="s">
        <v>2932</v>
      </c>
      <c r="BH197" s="110">
        <v>0</v>
      </c>
      <c r="BI197" s="110" t="s">
        <v>2932</v>
      </c>
      <c r="BJ197" s="110">
        <v>0</v>
      </c>
      <c r="BK197" s="237">
        <v>0</v>
      </c>
      <c r="BL197" s="237">
        <v>0</v>
      </c>
      <c r="BM197" s="237">
        <v>0</v>
      </c>
      <c r="BN197" s="237">
        <v>0</v>
      </c>
      <c r="BO197" s="237">
        <v>0</v>
      </c>
      <c r="BP197" s="237">
        <v>0</v>
      </c>
      <c r="BQ197" s="237">
        <v>0</v>
      </c>
      <c r="BR197" s="237">
        <v>0</v>
      </c>
      <c r="BS197" s="237">
        <v>0</v>
      </c>
      <c r="BT197" s="237">
        <v>0</v>
      </c>
      <c r="BU197" s="237">
        <v>0</v>
      </c>
      <c r="BV197" s="237">
        <v>0</v>
      </c>
      <c r="BW197" s="237">
        <v>0</v>
      </c>
      <c r="BX197" s="237">
        <v>0</v>
      </c>
      <c r="BY197" s="237">
        <v>0</v>
      </c>
      <c r="BZ197" s="237">
        <v>0</v>
      </c>
      <c r="CA197" s="237">
        <v>0</v>
      </c>
      <c r="CB197" s="237">
        <v>0</v>
      </c>
      <c r="CC197" s="237">
        <v>0</v>
      </c>
      <c r="CD197" s="237">
        <v>0</v>
      </c>
      <c r="CE197" s="237">
        <v>0</v>
      </c>
      <c r="CF197" s="237">
        <v>0</v>
      </c>
      <c r="CG197" s="237">
        <v>0</v>
      </c>
      <c r="CH197" s="30">
        <v>0</v>
      </c>
      <c r="CI197" s="30">
        <v>0</v>
      </c>
      <c r="CJ197" s="30" t="e">
        <f t="array" aca="1" ref="CJ197" ca="1">_xludf.XLOOKUP(C197,'PL TOTAL D0'!H:H,'PL TOTAL D0'!I:I,"")</f>
        <v>#NAME?</v>
      </c>
    </row>
    <row r="198" spans="1:88" ht="15.75" customHeight="1">
      <c r="A198" s="36" t="s">
        <v>2921</v>
      </c>
      <c r="B198" s="3" t="s">
        <v>3257</v>
      </c>
      <c r="C198" s="9">
        <v>32362</v>
      </c>
      <c r="D198" s="9" t="s">
        <v>19</v>
      </c>
      <c r="E198" s="9" t="s">
        <v>34</v>
      </c>
      <c r="F198" s="9" t="s">
        <v>35</v>
      </c>
      <c r="G198" s="7" t="e">
        <f t="shared" ca="1" si="0"/>
        <v>#NAME?</v>
      </c>
      <c r="H198" s="8" t="s">
        <v>161</v>
      </c>
      <c r="I198" s="24" t="s">
        <v>162</v>
      </c>
      <c r="J198" s="9" t="str">
        <f t="shared" si="3"/>
        <v>Não</v>
      </c>
      <c r="K198" s="232">
        <v>44295</v>
      </c>
      <c r="L198" s="6"/>
      <c r="M198" s="6" t="s">
        <v>42</v>
      </c>
      <c r="N198" s="10">
        <v>7.0000000000000001E-3</v>
      </c>
      <c r="O198" s="9" t="s">
        <v>25</v>
      </c>
      <c r="P198" s="234">
        <v>0</v>
      </c>
      <c r="Q198" s="45"/>
      <c r="R198" s="45"/>
      <c r="S198" s="7" t="s">
        <v>145</v>
      </c>
      <c r="T198" s="6" t="s">
        <v>3258</v>
      </c>
      <c r="U198" s="6" t="s">
        <v>39</v>
      </c>
      <c r="V198" s="24" t="e">
        <f t="shared" ca="1" si="2"/>
        <v>#NAME?</v>
      </c>
      <c r="W198" s="24"/>
      <c r="X198" s="24"/>
      <c r="Y198" s="6" t="s">
        <v>253</v>
      </c>
      <c r="Z198" s="6"/>
      <c r="AA198" s="107">
        <v>44295</v>
      </c>
      <c r="AB198" s="6">
        <v>49075100009295</v>
      </c>
      <c r="AC198" s="240"/>
      <c r="AD198" s="240"/>
      <c r="AE198" s="240"/>
      <c r="AF198" s="240"/>
      <c r="AG198" s="240"/>
      <c r="AH198" s="240"/>
      <c r="AI198" s="240"/>
      <c r="AJ198" s="240"/>
      <c r="AK198" s="240"/>
      <c r="AL198" s="240"/>
      <c r="AM198" s="240"/>
      <c r="AN198" s="240"/>
      <c r="AO198" s="240"/>
      <c r="AP198" s="110"/>
      <c r="AQ198" s="236">
        <v>201873.52</v>
      </c>
      <c r="AR198" s="236">
        <v>203442.8</v>
      </c>
      <c r="AS198" s="236"/>
      <c r="AT198" s="236">
        <v>305641.03999999998</v>
      </c>
      <c r="AU198" s="236">
        <v>310529.28000000003</v>
      </c>
      <c r="AV198" s="110">
        <v>299479.81</v>
      </c>
      <c r="AW198" s="110">
        <v>278085.71999999997</v>
      </c>
      <c r="AX198" s="110">
        <v>252585.03</v>
      </c>
      <c r="AY198" s="110">
        <v>228456.32000000001</v>
      </c>
      <c r="AZ198" s="110">
        <v>201772.65</v>
      </c>
      <c r="BA198" s="110">
        <v>154051.10999999999</v>
      </c>
      <c r="BB198" s="110">
        <v>139990.29</v>
      </c>
      <c r="BC198" s="110">
        <v>113250.99</v>
      </c>
      <c r="BD198" s="110">
        <v>115500.71</v>
      </c>
      <c r="BE198" s="110">
        <v>118139.67</v>
      </c>
      <c r="BF198" s="110">
        <v>118683.35</v>
      </c>
      <c r="BG198" s="237">
        <v>119927.59</v>
      </c>
      <c r="BH198" s="237">
        <v>120490.05</v>
      </c>
      <c r="BI198" s="237">
        <v>105403.04</v>
      </c>
      <c r="BJ198" s="237">
        <v>91288.2</v>
      </c>
      <c r="BK198" s="237">
        <v>76466.69</v>
      </c>
      <c r="BL198" s="237">
        <v>66749.81</v>
      </c>
      <c r="BM198" s="237">
        <v>61779.56</v>
      </c>
      <c r="BN198" s="237">
        <v>44018.1</v>
      </c>
      <c r="BO198" s="237">
        <v>44429.599999999999</v>
      </c>
      <c r="BP198" s="237">
        <v>39678.18</v>
      </c>
      <c r="BQ198" s="237">
        <v>24963.5</v>
      </c>
      <c r="BR198" s="237">
        <v>22550.34</v>
      </c>
      <c r="BS198" s="237">
        <v>22733.26</v>
      </c>
      <c r="BT198" s="237">
        <v>21.47</v>
      </c>
      <c r="BU198" s="237">
        <v>0</v>
      </c>
      <c r="BV198" s="237">
        <v>0</v>
      </c>
      <c r="BW198" s="237">
        <v>0</v>
      </c>
      <c r="BX198" s="237">
        <v>0</v>
      </c>
      <c r="BY198" s="237">
        <v>0</v>
      </c>
      <c r="BZ198" s="237">
        <v>0</v>
      </c>
      <c r="CA198" s="237">
        <v>0</v>
      </c>
      <c r="CB198" s="237">
        <v>0</v>
      </c>
      <c r="CC198" s="237">
        <v>0</v>
      </c>
      <c r="CD198" s="237">
        <v>0</v>
      </c>
      <c r="CE198" s="237">
        <v>0</v>
      </c>
      <c r="CF198" s="237">
        <v>0</v>
      </c>
      <c r="CG198" s="237">
        <v>0</v>
      </c>
      <c r="CH198" s="30">
        <v>0</v>
      </c>
      <c r="CI198" s="30">
        <v>0</v>
      </c>
      <c r="CJ198" s="30" t="e">
        <f t="array" aca="1" ref="CJ198" ca="1">_xludf.XLOOKUP(C198,'PL TOTAL D0'!H:H,'PL TOTAL D0'!I:I,"")</f>
        <v>#NAME?</v>
      </c>
    </row>
    <row r="199" spans="1:88" ht="15.75" customHeight="1">
      <c r="A199" s="36" t="s">
        <v>2921</v>
      </c>
      <c r="B199" s="106" t="s">
        <v>3259</v>
      </c>
      <c r="C199" s="9">
        <v>32254</v>
      </c>
      <c r="D199" s="9" t="s">
        <v>19</v>
      </c>
      <c r="E199" s="9" t="s">
        <v>34</v>
      </c>
      <c r="F199" s="9" t="s">
        <v>35</v>
      </c>
      <c r="G199" s="7" t="e">
        <f t="shared" ca="1" si="0"/>
        <v>#NAME?</v>
      </c>
      <c r="H199" s="8" t="s">
        <v>161</v>
      </c>
      <c r="I199" s="24" t="s">
        <v>162</v>
      </c>
      <c r="J199" s="9" t="str">
        <f t="shared" si="3"/>
        <v>Não</v>
      </c>
      <c r="K199" s="232">
        <v>44263</v>
      </c>
      <c r="L199" s="6"/>
      <c r="M199" s="6" t="s">
        <v>200</v>
      </c>
      <c r="N199" s="10">
        <v>1.4999999999999999E-2</v>
      </c>
      <c r="O199" s="9" t="s">
        <v>37</v>
      </c>
      <c r="P199" s="234">
        <v>0.1</v>
      </c>
      <c r="Q199" s="45"/>
      <c r="R199" s="45"/>
      <c r="S199" s="7" t="s">
        <v>145</v>
      </c>
      <c r="T199" s="9" t="s">
        <v>3260</v>
      </c>
      <c r="U199" s="6" t="s">
        <v>39</v>
      </c>
      <c r="V199" s="24" t="e">
        <f t="shared" ca="1" si="2"/>
        <v>#NAME?</v>
      </c>
      <c r="W199" s="24"/>
      <c r="X199" s="24"/>
      <c r="Y199" s="6" t="s">
        <v>147</v>
      </c>
      <c r="Z199" s="6"/>
      <c r="AA199" s="107">
        <v>44263</v>
      </c>
      <c r="AB199" s="6">
        <v>49075100009651</v>
      </c>
      <c r="AC199" s="240"/>
      <c r="AD199" s="240"/>
      <c r="AE199" s="240"/>
      <c r="AF199" s="240"/>
      <c r="AG199" s="240"/>
      <c r="AH199" s="240"/>
      <c r="AI199" s="240"/>
      <c r="AJ199" s="240"/>
      <c r="AK199" s="240"/>
      <c r="AL199" s="240"/>
      <c r="AM199" s="240"/>
      <c r="AN199" s="240"/>
      <c r="AO199" s="240"/>
      <c r="AP199" s="110"/>
      <c r="AQ199" s="236">
        <v>4599422.1500000004</v>
      </c>
      <c r="AR199" s="236">
        <v>4600910.95</v>
      </c>
      <c r="AS199" s="236"/>
      <c r="AT199" s="236">
        <v>4699829.4800000004</v>
      </c>
      <c r="AU199" s="236">
        <v>4790763.18</v>
      </c>
      <c r="AV199" s="110">
        <v>4759783.8499999996</v>
      </c>
      <c r="AW199" s="110">
        <v>4711416.53</v>
      </c>
      <c r="AX199" s="110">
        <v>4626909.59</v>
      </c>
      <c r="AY199" s="110">
        <v>4552265.47</v>
      </c>
      <c r="AZ199" s="110">
        <v>4399846.51</v>
      </c>
      <c r="BA199" s="110">
        <v>4141748.2</v>
      </c>
      <c r="BB199" s="110">
        <v>4318686.8</v>
      </c>
      <c r="BC199" s="110">
        <v>4411857.6100000003</v>
      </c>
      <c r="BD199" s="110">
        <v>4440223.88</v>
      </c>
      <c r="BE199" s="110">
        <v>4585980.05</v>
      </c>
      <c r="BF199" s="110">
        <v>4508435.5</v>
      </c>
      <c r="BG199" s="237">
        <v>4499095.24</v>
      </c>
      <c r="BH199" s="237">
        <v>4458914.2699999996</v>
      </c>
      <c r="BI199" s="237">
        <v>4500794.91</v>
      </c>
      <c r="BJ199" s="237">
        <v>4562258.13</v>
      </c>
      <c r="BK199" s="237">
        <v>4596416.6500000004</v>
      </c>
      <c r="BL199" s="237">
        <v>4738693.54</v>
      </c>
      <c r="BM199" s="237">
        <v>4686752.17</v>
      </c>
      <c r="BN199" s="237">
        <v>4726105.68</v>
      </c>
      <c r="BO199" s="237">
        <v>4722969.1900000004</v>
      </c>
      <c r="BP199" s="237">
        <v>4768940.75</v>
      </c>
      <c r="BQ199" s="237">
        <v>4827338.17</v>
      </c>
      <c r="BR199" s="237">
        <v>117240.86</v>
      </c>
      <c r="BS199" s="237">
        <v>117338.69</v>
      </c>
      <c r="BT199" s="237">
        <v>0</v>
      </c>
      <c r="BU199" s="237">
        <v>0</v>
      </c>
      <c r="BV199" s="237">
        <v>0</v>
      </c>
      <c r="BW199" s="237">
        <v>0</v>
      </c>
      <c r="BX199" s="237">
        <v>0</v>
      </c>
      <c r="BY199" s="237">
        <v>0</v>
      </c>
      <c r="BZ199" s="237">
        <v>0</v>
      </c>
      <c r="CA199" s="237">
        <v>0</v>
      </c>
      <c r="CB199" s="237">
        <v>0</v>
      </c>
      <c r="CC199" s="237">
        <v>0</v>
      </c>
      <c r="CD199" s="237">
        <v>0</v>
      </c>
      <c r="CE199" s="237">
        <v>0</v>
      </c>
      <c r="CF199" s="237">
        <v>0</v>
      </c>
      <c r="CG199" s="237">
        <v>0</v>
      </c>
      <c r="CH199" s="30">
        <v>0</v>
      </c>
      <c r="CI199" s="30">
        <v>0</v>
      </c>
      <c r="CJ199" s="30" t="e">
        <f t="array" aca="1" ref="CJ199" ca="1">_xludf.XLOOKUP(C199,'PL TOTAL D0'!H:H,'PL TOTAL D0'!I:I,"")</f>
        <v>#NAME?</v>
      </c>
    </row>
    <row r="200" spans="1:88" ht="15.75" customHeight="1">
      <c r="A200" s="36" t="s">
        <v>2921</v>
      </c>
      <c r="B200" s="36" t="s">
        <v>3261</v>
      </c>
      <c r="C200" s="9">
        <v>577499</v>
      </c>
      <c r="D200" s="9" t="s">
        <v>2923</v>
      </c>
      <c r="E200" s="9" t="s">
        <v>20</v>
      </c>
      <c r="F200" s="9" t="s">
        <v>2924</v>
      </c>
      <c r="G200" s="7" t="e">
        <f t="shared" ca="1" si="0"/>
        <v>#NAME?</v>
      </c>
      <c r="H200" s="8" t="s">
        <v>161</v>
      </c>
      <c r="I200" s="24" t="s">
        <v>162</v>
      </c>
      <c r="J200" s="9" t="str">
        <f t="shared" si="3"/>
        <v>Sim</v>
      </c>
      <c r="K200" s="232">
        <v>43879</v>
      </c>
      <c r="L200" s="6"/>
      <c r="M200" s="6" t="s">
        <v>200</v>
      </c>
      <c r="N200" s="10">
        <v>1.4999999999999999E-2</v>
      </c>
      <c r="O200" s="9" t="s">
        <v>25</v>
      </c>
      <c r="P200" s="234">
        <v>0</v>
      </c>
      <c r="Q200" s="108" t="s">
        <v>3170</v>
      </c>
      <c r="R200" s="45"/>
      <c r="S200" s="7" t="s">
        <v>145</v>
      </c>
      <c r="T200" s="9" t="s">
        <v>1467</v>
      </c>
      <c r="U200" s="6" t="s">
        <v>20</v>
      </c>
      <c r="V200" s="24" t="e">
        <f t="shared" ca="1" si="2"/>
        <v>#NAME?</v>
      </c>
      <c r="W200" s="24"/>
      <c r="X200" s="24"/>
      <c r="Y200" s="6" t="s">
        <v>253</v>
      </c>
      <c r="Z200" s="6"/>
      <c r="AA200" s="107">
        <v>43879</v>
      </c>
      <c r="AB200" s="6">
        <v>49075100004021</v>
      </c>
      <c r="AC200" s="110">
        <v>0</v>
      </c>
      <c r="AD200" s="110">
        <v>535969.85</v>
      </c>
      <c r="AE200" s="110">
        <v>490382.84</v>
      </c>
      <c r="AF200" s="110">
        <v>499141.57</v>
      </c>
      <c r="AG200" s="110">
        <v>506758.08</v>
      </c>
      <c r="AH200" s="110">
        <v>510755.9</v>
      </c>
      <c r="AI200" s="110">
        <v>523238.48</v>
      </c>
      <c r="AJ200" s="110">
        <v>510383.91</v>
      </c>
      <c r="AK200" s="110">
        <v>499673.67</v>
      </c>
      <c r="AL200" s="110">
        <v>500390.23</v>
      </c>
      <c r="AM200" s="110">
        <v>533447.28</v>
      </c>
      <c r="AN200" s="110">
        <v>544300.97</v>
      </c>
      <c r="AO200" s="110">
        <v>539238.41</v>
      </c>
      <c r="AP200" s="110">
        <v>523493.34</v>
      </c>
      <c r="AQ200" s="236">
        <v>516332.5</v>
      </c>
      <c r="AR200" s="236">
        <v>532947.04</v>
      </c>
      <c r="AS200" s="236">
        <v>534028.62</v>
      </c>
      <c r="AT200" s="236">
        <v>549293.9</v>
      </c>
      <c r="AU200" s="236">
        <v>646270.39</v>
      </c>
      <c r="AV200" s="110">
        <v>642858.41</v>
      </c>
      <c r="AW200" s="110">
        <v>636845.93000000005</v>
      </c>
      <c r="AX200" s="110">
        <v>632866.38</v>
      </c>
      <c r="AY200" s="110">
        <v>613246.32999999996</v>
      </c>
      <c r="AZ200" s="110">
        <v>448321.42</v>
      </c>
      <c r="BA200" s="110">
        <v>442312.97</v>
      </c>
      <c r="BB200" s="110">
        <v>444262.98</v>
      </c>
      <c r="BC200" s="110">
        <v>457593.61</v>
      </c>
      <c r="BD200" s="110">
        <v>461900.61</v>
      </c>
      <c r="BE200" s="110">
        <v>479221.27</v>
      </c>
      <c r="BF200" s="110">
        <v>472386.21</v>
      </c>
      <c r="BG200" s="237">
        <v>471569.87</v>
      </c>
      <c r="BH200" s="237">
        <v>469811.91</v>
      </c>
      <c r="BI200" s="237">
        <v>477582.4</v>
      </c>
      <c r="BJ200" s="237">
        <v>472526.17</v>
      </c>
      <c r="BK200" s="237">
        <v>486187.5</v>
      </c>
      <c r="BL200" s="237">
        <v>500197.58</v>
      </c>
      <c r="BM200" s="237">
        <v>499161.69</v>
      </c>
      <c r="BN200" s="237">
        <v>503193.54</v>
      </c>
      <c r="BO200" s="237">
        <v>508402.59</v>
      </c>
      <c r="BP200" s="237">
        <v>508694.47</v>
      </c>
      <c r="BQ200" s="237">
        <v>513510.29</v>
      </c>
      <c r="BR200" s="237">
        <v>514557.24</v>
      </c>
      <c r="BS200" s="237">
        <v>527439.12</v>
      </c>
      <c r="BT200" s="237">
        <v>535157</v>
      </c>
      <c r="BU200" s="237">
        <v>537343.84</v>
      </c>
      <c r="BV200" s="237">
        <v>539704.11</v>
      </c>
      <c r="BW200" s="237">
        <v>539716.96</v>
      </c>
      <c r="BX200" s="237">
        <v>545555.34</v>
      </c>
      <c r="BY200" s="237">
        <v>51.63</v>
      </c>
      <c r="BZ200" s="237">
        <v>51.63</v>
      </c>
      <c r="CA200" s="237">
        <v>51.63</v>
      </c>
      <c r="CB200" s="237">
        <v>51.63</v>
      </c>
      <c r="CC200" s="237">
        <v>51.63</v>
      </c>
      <c r="CD200" s="237">
        <v>51.63</v>
      </c>
      <c r="CE200" s="237">
        <v>0</v>
      </c>
      <c r="CF200" s="237">
        <v>0</v>
      </c>
      <c r="CG200" s="237">
        <v>0</v>
      </c>
      <c r="CH200" s="30">
        <v>0</v>
      </c>
      <c r="CI200" s="30">
        <v>0</v>
      </c>
      <c r="CJ200" s="30" t="e">
        <f t="array" aca="1" ref="CJ200" ca="1">_xludf.XLOOKUP(C200,'PL TOTAL D0'!H:H,'PL TOTAL D0'!I:I,"")</f>
        <v>#NAME?</v>
      </c>
    </row>
    <row r="201" spans="1:88" ht="15.75" customHeight="1">
      <c r="A201" s="36" t="s">
        <v>2921</v>
      </c>
      <c r="B201" s="3" t="s">
        <v>3262</v>
      </c>
      <c r="C201" s="9">
        <v>32702</v>
      </c>
      <c r="D201" s="9" t="s">
        <v>19</v>
      </c>
      <c r="E201" s="9" t="s">
        <v>20</v>
      </c>
      <c r="F201" s="9" t="s">
        <v>210</v>
      </c>
      <c r="G201" s="7" t="e">
        <f t="shared" ca="1" si="0"/>
        <v>#NAME?</v>
      </c>
      <c r="H201" s="8" t="s">
        <v>161</v>
      </c>
      <c r="I201" s="24" t="s">
        <v>162</v>
      </c>
      <c r="J201" s="9" t="str">
        <f t="shared" si="3"/>
        <v>Sim</v>
      </c>
      <c r="K201" s="232">
        <v>43851</v>
      </c>
      <c r="L201" s="6"/>
      <c r="M201" s="6" t="s">
        <v>58</v>
      </c>
      <c r="N201" s="10">
        <v>1.2E-2</v>
      </c>
      <c r="O201" s="9" t="s">
        <v>25</v>
      </c>
      <c r="P201" s="234">
        <v>0</v>
      </c>
      <c r="Q201" s="108" t="s">
        <v>3263</v>
      </c>
      <c r="R201" s="108" t="s">
        <v>3264</v>
      </c>
      <c r="S201" s="7" t="s">
        <v>145</v>
      </c>
      <c r="T201" s="6" t="s">
        <v>3265</v>
      </c>
      <c r="U201" s="6" t="s">
        <v>20</v>
      </c>
      <c r="V201" s="24" t="e">
        <f t="shared" ca="1" si="2"/>
        <v>#NAME?</v>
      </c>
      <c r="W201" s="24"/>
      <c r="X201" s="24"/>
      <c r="Y201" s="6" t="s">
        <v>253</v>
      </c>
      <c r="Z201" s="6"/>
      <c r="AA201" s="107">
        <v>43851</v>
      </c>
      <c r="AB201" s="6">
        <v>49075100004031</v>
      </c>
      <c r="AC201" s="110">
        <v>123988.76</v>
      </c>
      <c r="AD201" s="110">
        <v>121612.37</v>
      </c>
      <c r="AE201" s="110">
        <v>118512.14</v>
      </c>
      <c r="AF201" s="110">
        <v>119673.14</v>
      </c>
      <c r="AG201" s="110">
        <v>120205.86</v>
      </c>
      <c r="AH201" s="110">
        <v>120917.9</v>
      </c>
      <c r="AI201" s="110">
        <v>122068.17</v>
      </c>
      <c r="AJ201" s="110">
        <v>120544.68</v>
      </c>
      <c r="AK201" s="110">
        <v>119139.42</v>
      </c>
      <c r="AL201" s="110">
        <v>119192.71</v>
      </c>
      <c r="AM201" s="110">
        <v>122516.59</v>
      </c>
      <c r="AN201" s="110">
        <v>123014.43</v>
      </c>
      <c r="AO201" s="110">
        <v>121625.12</v>
      </c>
      <c r="AP201" s="110">
        <v>118736.18</v>
      </c>
      <c r="AQ201" s="236">
        <v>117568.32000000001</v>
      </c>
      <c r="AR201" s="236">
        <v>118378.73</v>
      </c>
      <c r="AS201" s="236">
        <v>120125.06</v>
      </c>
      <c r="AT201" s="236">
        <v>120036.7</v>
      </c>
      <c r="AU201" s="236">
        <v>122177.62</v>
      </c>
      <c r="AV201" s="110">
        <v>123306.7</v>
      </c>
      <c r="AW201" s="110">
        <v>122274.52</v>
      </c>
      <c r="AX201" s="110">
        <v>120941.88</v>
      </c>
      <c r="AY201" s="110">
        <v>120064.95</v>
      </c>
      <c r="AZ201" s="110">
        <v>118930.37</v>
      </c>
      <c r="BA201" s="110">
        <v>117479.22</v>
      </c>
      <c r="BB201" s="110">
        <v>117927.52</v>
      </c>
      <c r="BC201" s="110">
        <v>119508.84</v>
      </c>
      <c r="BD201" s="110">
        <v>118565.11</v>
      </c>
      <c r="BE201" s="110">
        <v>120173.61</v>
      </c>
      <c r="BF201" s="110">
        <v>120163.28</v>
      </c>
      <c r="BG201" s="237">
        <v>121054.15</v>
      </c>
      <c r="BH201" s="237">
        <v>121923.76</v>
      </c>
      <c r="BI201" s="237">
        <v>123154.99</v>
      </c>
      <c r="BJ201" s="237">
        <v>123822.12</v>
      </c>
      <c r="BK201" s="237">
        <v>124453.75999999999</v>
      </c>
      <c r="BL201" s="237">
        <v>125069.11</v>
      </c>
      <c r="BM201" s="237">
        <v>125741.73</v>
      </c>
      <c r="BN201" s="237">
        <v>126422.51</v>
      </c>
      <c r="BO201" s="237">
        <v>127078.39</v>
      </c>
      <c r="BP201" s="237">
        <v>127709.26</v>
      </c>
      <c r="BQ201" s="237">
        <v>128615.38</v>
      </c>
      <c r="BR201" s="237">
        <v>129231.32</v>
      </c>
      <c r="BS201" s="237">
        <v>130133.27</v>
      </c>
      <c r="BT201" s="237">
        <v>131072.28</v>
      </c>
      <c r="BU201" s="237">
        <v>131754.54</v>
      </c>
      <c r="BV201" s="237">
        <v>132909.41</v>
      </c>
      <c r="BW201" s="237">
        <v>133483.39000000001</v>
      </c>
      <c r="BX201" s="237">
        <v>120196.72</v>
      </c>
      <c r="BY201" s="237">
        <v>108282.28</v>
      </c>
      <c r="BZ201" s="237">
        <v>109201.7</v>
      </c>
      <c r="CA201" s="237">
        <v>78557.73</v>
      </c>
      <c r="CB201" s="237">
        <v>78173.100000000006</v>
      </c>
      <c r="CC201" s="237">
        <v>78919.38</v>
      </c>
      <c r="CD201" s="237">
        <v>79662.44</v>
      </c>
      <c r="CE201" s="237">
        <v>80061.710000000006</v>
      </c>
      <c r="CF201" s="237">
        <v>0</v>
      </c>
      <c r="CG201" s="237">
        <v>0</v>
      </c>
      <c r="CH201" s="30">
        <v>0</v>
      </c>
      <c r="CI201" s="30">
        <v>0</v>
      </c>
      <c r="CJ201" s="30" t="e">
        <f t="array" aca="1" ref="CJ201" ca="1">_xludf.XLOOKUP(C201,'PL TOTAL D0'!H:H,'PL TOTAL D0'!I:I,"")</f>
        <v>#NAME?</v>
      </c>
    </row>
    <row r="202" spans="1:88" ht="15.75" customHeight="1">
      <c r="A202" s="36" t="s">
        <v>2921</v>
      </c>
      <c r="B202" s="3" t="s">
        <v>3266</v>
      </c>
      <c r="C202" s="9">
        <v>435597</v>
      </c>
      <c r="D202" s="9" t="s">
        <v>2923</v>
      </c>
      <c r="E202" s="9" t="s">
        <v>20</v>
      </c>
      <c r="F202" s="9" t="s">
        <v>2924</v>
      </c>
      <c r="G202" s="7" t="e">
        <f t="shared" ca="1" si="0"/>
        <v>#NAME?</v>
      </c>
      <c r="H202" s="8" t="s">
        <v>161</v>
      </c>
      <c r="I202" s="24" t="s">
        <v>162</v>
      </c>
      <c r="J202" s="9" t="str">
        <f t="shared" si="3"/>
        <v>Sim</v>
      </c>
      <c r="K202" s="232">
        <v>43711</v>
      </c>
      <c r="L202" s="6"/>
      <c r="M202" s="6" t="s">
        <v>200</v>
      </c>
      <c r="N202" s="233">
        <v>0.01</v>
      </c>
      <c r="O202" s="9" t="s">
        <v>37</v>
      </c>
      <c r="P202" s="234">
        <v>0.1</v>
      </c>
      <c r="Q202" s="108" t="s">
        <v>2947</v>
      </c>
      <c r="R202" s="108"/>
      <c r="S202" s="7" t="s">
        <v>145</v>
      </c>
      <c r="T202" s="6" t="s">
        <v>3267</v>
      </c>
      <c r="U202" s="6" t="s">
        <v>20</v>
      </c>
      <c r="V202" s="24" t="e">
        <f t="shared" ca="1" si="2"/>
        <v>#NAME?</v>
      </c>
      <c r="W202" s="24"/>
      <c r="X202" s="24"/>
      <c r="Y202" s="6" t="s">
        <v>253</v>
      </c>
      <c r="Z202" s="6"/>
      <c r="AA202" s="107">
        <v>43711</v>
      </c>
      <c r="AB202" s="6">
        <v>49075100010692</v>
      </c>
      <c r="AC202" s="110">
        <v>165929.85999999999</v>
      </c>
      <c r="AD202" s="110">
        <v>163935.20000000001</v>
      </c>
      <c r="AE202" s="110">
        <v>156591.57999999999</v>
      </c>
      <c r="AF202" s="110">
        <v>158470.37</v>
      </c>
      <c r="AG202" s="110">
        <v>159236.74</v>
      </c>
      <c r="AH202" s="110">
        <v>160527.60999999999</v>
      </c>
      <c r="AI202" s="110">
        <v>162055.5</v>
      </c>
      <c r="AJ202" s="110">
        <v>160360.82999999999</v>
      </c>
      <c r="AK202" s="110">
        <v>130848</v>
      </c>
      <c r="AL202" s="110">
        <v>131007.07</v>
      </c>
      <c r="AM202" s="110">
        <v>135043.82</v>
      </c>
      <c r="AN202" s="110">
        <v>109394.88</v>
      </c>
      <c r="AO202" s="110">
        <v>108740.68</v>
      </c>
      <c r="AP202" s="110">
        <v>106565.27</v>
      </c>
      <c r="AQ202" s="236">
        <v>105657.5</v>
      </c>
      <c r="AR202" s="236">
        <v>107592.06</v>
      </c>
      <c r="AS202" s="236">
        <v>107604.5</v>
      </c>
      <c r="AT202" s="236">
        <v>107481.43</v>
      </c>
      <c r="AU202" s="236">
        <v>71727.5</v>
      </c>
      <c r="AV202" s="110">
        <v>71115.14</v>
      </c>
      <c r="AW202" s="110">
        <v>20168.53</v>
      </c>
      <c r="AX202" s="110">
        <v>20255.64</v>
      </c>
      <c r="AY202" s="110">
        <v>20317.900000000001</v>
      </c>
      <c r="AZ202" s="110">
        <v>20436.55</v>
      </c>
      <c r="BA202" s="110">
        <v>1009.59</v>
      </c>
      <c r="BB202" s="110">
        <v>1074.3900000000001</v>
      </c>
      <c r="BC202" s="110">
        <v>1084.8900000000001</v>
      </c>
      <c r="BD202" s="110">
        <v>1084.8900000000001</v>
      </c>
      <c r="BE202" s="110">
        <v>997.81</v>
      </c>
      <c r="BF202" s="110">
        <v>997.81</v>
      </c>
      <c r="BG202" s="237">
        <v>997.81</v>
      </c>
      <c r="BH202" s="237">
        <v>0</v>
      </c>
      <c r="BI202" s="237">
        <v>1011.5</v>
      </c>
      <c r="BJ202" s="237">
        <v>1011.5</v>
      </c>
      <c r="BK202" s="237">
        <v>1011.5</v>
      </c>
      <c r="BL202" s="237">
        <v>1011.5</v>
      </c>
      <c r="BM202" s="237">
        <v>1011.5</v>
      </c>
      <c r="BN202" s="237">
        <v>1011.5</v>
      </c>
      <c r="BO202" s="237">
        <v>1011.5</v>
      </c>
      <c r="BP202" s="237">
        <v>1011.5</v>
      </c>
      <c r="BQ202" s="237">
        <v>1011.5</v>
      </c>
      <c r="BR202" s="237">
        <v>1011.5</v>
      </c>
      <c r="BS202" s="237">
        <v>0</v>
      </c>
      <c r="BT202" s="237">
        <v>0</v>
      </c>
      <c r="BU202" s="237">
        <v>0</v>
      </c>
      <c r="BV202" s="237">
        <v>0</v>
      </c>
      <c r="BW202" s="237">
        <v>0</v>
      </c>
      <c r="BX202" s="237">
        <v>0</v>
      </c>
      <c r="BY202" s="237">
        <v>0</v>
      </c>
      <c r="BZ202" s="237">
        <v>0</v>
      </c>
      <c r="CA202" s="237">
        <v>0</v>
      </c>
      <c r="CB202" s="237">
        <v>0</v>
      </c>
      <c r="CC202" s="237">
        <v>0</v>
      </c>
      <c r="CD202" s="237">
        <v>0</v>
      </c>
      <c r="CE202" s="237">
        <v>0</v>
      </c>
      <c r="CF202" s="237">
        <v>0</v>
      </c>
      <c r="CG202" s="237">
        <v>0</v>
      </c>
      <c r="CH202" s="30">
        <v>0</v>
      </c>
      <c r="CI202" s="30">
        <v>0</v>
      </c>
      <c r="CJ202" s="30" t="e">
        <f t="array" aca="1" ref="CJ202" ca="1">_xludf.XLOOKUP(C202,'PL TOTAL D0'!H:H,'PL TOTAL D0'!I:I,"")</f>
        <v>#NAME?</v>
      </c>
    </row>
    <row r="203" spans="1:88" ht="15.75" customHeight="1">
      <c r="A203" s="36" t="s">
        <v>2921</v>
      </c>
      <c r="B203" s="3" t="s">
        <v>3268</v>
      </c>
      <c r="C203" s="9">
        <v>74950</v>
      </c>
      <c r="D203" s="9" t="s">
        <v>19</v>
      </c>
      <c r="E203" s="9" t="s">
        <v>34</v>
      </c>
      <c r="F203" s="9" t="s">
        <v>262</v>
      </c>
      <c r="G203" s="7" t="e">
        <f t="shared" ca="1" si="0"/>
        <v>#NAME?</v>
      </c>
      <c r="H203" s="8" t="s">
        <v>143</v>
      </c>
      <c r="I203" s="24" t="s">
        <v>25</v>
      </c>
      <c r="J203" s="9" t="str">
        <f t="shared" si="3"/>
        <v>Não</v>
      </c>
      <c r="K203" s="232">
        <v>44333</v>
      </c>
      <c r="L203" s="107">
        <v>44966</v>
      </c>
      <c r="M203" s="6" t="s">
        <v>58</v>
      </c>
      <c r="N203" s="10">
        <v>1.2E-2</v>
      </c>
      <c r="O203" s="9" t="s">
        <v>25</v>
      </c>
      <c r="P203" s="234">
        <v>0</v>
      </c>
      <c r="Q203" s="28"/>
      <c r="R203" s="235" t="s">
        <v>3269</v>
      </c>
      <c r="S203" s="7" t="s">
        <v>145</v>
      </c>
      <c r="T203" s="6" t="s">
        <v>3270</v>
      </c>
      <c r="U203" s="6" t="s">
        <v>39</v>
      </c>
      <c r="V203" s="24" t="e">
        <f t="shared" ca="1" si="2"/>
        <v>#NAME?</v>
      </c>
      <c r="W203" s="24"/>
      <c r="X203" s="24"/>
      <c r="Y203" s="6" t="s">
        <v>253</v>
      </c>
      <c r="Z203" s="6"/>
      <c r="AA203" s="6"/>
      <c r="AB203" s="6"/>
      <c r="AC203" s="132"/>
      <c r="AD203" s="132"/>
      <c r="AE203" s="132"/>
      <c r="AF203" s="132"/>
      <c r="AG203" s="132"/>
      <c r="AH203" s="132"/>
      <c r="AI203" s="132"/>
      <c r="AJ203" s="132"/>
      <c r="AK203" s="132"/>
      <c r="AL203" s="132"/>
      <c r="AM203" s="132"/>
      <c r="AN203" s="132"/>
      <c r="AO203" s="132"/>
      <c r="AP203" s="132"/>
      <c r="AQ203" s="236"/>
      <c r="AR203" s="236"/>
      <c r="AS203" s="236"/>
      <c r="AT203" s="132"/>
      <c r="AU203" s="132">
        <v>279854.78999999998</v>
      </c>
      <c r="AV203" s="110">
        <v>281663.67</v>
      </c>
      <c r="AW203" s="110">
        <v>281003.55</v>
      </c>
      <c r="AX203" s="110">
        <v>278983.28999999998</v>
      </c>
      <c r="AY203" s="110">
        <v>278541.15999999997</v>
      </c>
      <c r="AZ203" s="110">
        <v>164239.18</v>
      </c>
      <c r="BA203" s="110">
        <v>276242.61</v>
      </c>
      <c r="BB203" s="110">
        <v>279080</v>
      </c>
      <c r="BC203" s="110">
        <v>265122.40999999997</v>
      </c>
      <c r="BD203" s="110">
        <v>266571.96000000002</v>
      </c>
      <c r="BE203" s="110">
        <v>274226.78999999998</v>
      </c>
      <c r="BF203" s="110">
        <v>232114.02</v>
      </c>
      <c r="BG203" s="237">
        <v>232960.46</v>
      </c>
      <c r="BH203" s="237">
        <v>205170.99</v>
      </c>
      <c r="BI203" s="237">
        <v>187439.94</v>
      </c>
      <c r="BJ203" s="237">
        <v>138428.35999999999</v>
      </c>
      <c r="BK203" s="237">
        <v>119754.05</v>
      </c>
      <c r="BL203" s="237">
        <v>102682.37</v>
      </c>
      <c r="BM203" s="237">
        <v>82880.240000000005</v>
      </c>
      <c r="BN203" s="237">
        <v>36407.01</v>
      </c>
      <c r="BO203" s="237">
        <v>36895.08</v>
      </c>
      <c r="BP203" s="237">
        <v>0</v>
      </c>
      <c r="BQ203" s="237">
        <v>2.25</v>
      </c>
      <c r="BR203" s="237">
        <v>2.25</v>
      </c>
      <c r="BS203" s="237">
        <v>2.25</v>
      </c>
      <c r="BT203" s="237">
        <v>0</v>
      </c>
      <c r="BU203" s="237">
        <v>0</v>
      </c>
      <c r="BV203" s="237">
        <v>0</v>
      </c>
      <c r="BW203" s="237">
        <v>0</v>
      </c>
      <c r="BX203" s="237">
        <v>0</v>
      </c>
      <c r="BY203" s="237">
        <v>0</v>
      </c>
      <c r="BZ203" s="237">
        <v>0</v>
      </c>
      <c r="CA203" s="237">
        <v>0</v>
      </c>
      <c r="CB203" s="237">
        <v>0</v>
      </c>
      <c r="CC203" s="237">
        <v>0</v>
      </c>
      <c r="CD203" s="237">
        <v>0</v>
      </c>
      <c r="CE203" s="237">
        <v>0</v>
      </c>
      <c r="CF203" s="237">
        <v>0</v>
      </c>
      <c r="CG203" s="237">
        <v>0</v>
      </c>
      <c r="CH203" s="30">
        <v>0</v>
      </c>
      <c r="CI203" s="30">
        <v>0</v>
      </c>
      <c r="CJ203" s="30" t="e">
        <f t="array" aca="1" ref="CJ203" ca="1">_xludf.XLOOKUP(C203,'PL TOTAL D0'!H:H,'PL TOTAL D0'!I:I,"")</f>
        <v>#NAME?</v>
      </c>
    </row>
    <row r="204" spans="1:88" ht="15.75" customHeight="1">
      <c r="A204" s="36" t="s">
        <v>2921</v>
      </c>
      <c r="B204" s="37" t="s">
        <v>3271</v>
      </c>
      <c r="C204" s="9">
        <v>446205</v>
      </c>
      <c r="D204" s="9" t="s">
        <v>2923</v>
      </c>
      <c r="E204" s="9" t="s">
        <v>20</v>
      </c>
      <c r="F204" s="6" t="s">
        <v>2924</v>
      </c>
      <c r="G204" s="7" t="e">
        <f t="shared" ca="1" si="0"/>
        <v>#NAME?</v>
      </c>
      <c r="H204" s="8" t="s">
        <v>143</v>
      </c>
      <c r="I204" s="24" t="s">
        <v>25</v>
      </c>
      <c r="J204" s="9" t="str">
        <f t="shared" si="3"/>
        <v>Não</v>
      </c>
      <c r="K204" s="107">
        <v>43853</v>
      </c>
      <c r="L204" s="107">
        <v>44592</v>
      </c>
      <c r="M204" s="6" t="s">
        <v>58</v>
      </c>
      <c r="N204" s="10">
        <v>1.2E-2</v>
      </c>
      <c r="O204" s="9" t="s">
        <v>25</v>
      </c>
      <c r="P204" s="234">
        <v>0</v>
      </c>
      <c r="Q204" s="108"/>
      <c r="R204" s="108"/>
      <c r="S204" s="7" t="s">
        <v>145</v>
      </c>
      <c r="T204" s="6" t="s">
        <v>3272</v>
      </c>
      <c r="U204" s="6" t="s">
        <v>20</v>
      </c>
      <c r="V204" s="24" t="e">
        <f t="shared" ca="1" si="2"/>
        <v>#NAME?</v>
      </c>
      <c r="W204" s="24"/>
      <c r="X204" s="24"/>
      <c r="Y204" s="6"/>
      <c r="Z204" s="6"/>
      <c r="AA204" s="6"/>
      <c r="AB204" s="6"/>
      <c r="AC204" s="110">
        <v>143918.41</v>
      </c>
      <c r="AD204" s="110">
        <v>142068.18</v>
      </c>
      <c r="AE204" s="110">
        <v>136803.07</v>
      </c>
      <c r="AF204" s="110">
        <v>137950.59</v>
      </c>
      <c r="AG204" s="110">
        <v>138784.57</v>
      </c>
      <c r="AH204" s="110">
        <v>139641.85</v>
      </c>
      <c r="AI204" s="110">
        <v>141269.87</v>
      </c>
      <c r="AJ204" s="110">
        <v>139900.14000000001</v>
      </c>
      <c r="AK204" s="240">
        <v>137756.03</v>
      </c>
      <c r="AL204" s="110">
        <v>115460.99</v>
      </c>
      <c r="AM204" s="110">
        <v>119158.38</v>
      </c>
      <c r="AN204" s="110">
        <v>108790.47</v>
      </c>
      <c r="AO204" s="110">
        <v>79577.61</v>
      </c>
      <c r="AP204" s="110">
        <v>75643.34</v>
      </c>
      <c r="AQ204" s="110">
        <v>74822.05</v>
      </c>
      <c r="AR204" s="110">
        <v>76770.149999999994</v>
      </c>
      <c r="AS204" s="110">
        <v>76890.679999999993</v>
      </c>
      <c r="AT204" s="110">
        <v>76763.149999999994</v>
      </c>
      <c r="AU204" s="110">
        <v>77401.73</v>
      </c>
      <c r="AV204" s="110">
        <v>77184.2</v>
      </c>
      <c r="AW204" s="110">
        <v>77017.2</v>
      </c>
      <c r="AX204" s="110">
        <v>72134.990000000005</v>
      </c>
      <c r="AY204" s="110">
        <v>71731.240000000005</v>
      </c>
      <c r="AZ204" s="110">
        <v>71159.710000000006</v>
      </c>
      <c r="BA204" s="110">
        <v>71233.3</v>
      </c>
      <c r="BB204" s="110">
        <v>71738.63</v>
      </c>
      <c r="BC204" s="110">
        <v>13386.01</v>
      </c>
      <c r="BD204" s="110">
        <v>0</v>
      </c>
      <c r="BE204" s="110">
        <v>0</v>
      </c>
      <c r="BF204" s="110">
        <v>0</v>
      </c>
      <c r="BG204" s="110" t="s">
        <v>2932</v>
      </c>
      <c r="BH204" s="110">
        <v>0</v>
      </c>
      <c r="BI204" s="110" t="s">
        <v>2932</v>
      </c>
      <c r="BJ204" s="110">
        <v>0</v>
      </c>
      <c r="BK204" s="237">
        <v>0</v>
      </c>
      <c r="BL204" s="237">
        <v>0</v>
      </c>
      <c r="BM204" s="237">
        <v>0</v>
      </c>
      <c r="BN204" s="237">
        <v>0</v>
      </c>
      <c r="BO204" s="237">
        <v>0</v>
      </c>
      <c r="BP204" s="237">
        <v>0</v>
      </c>
      <c r="BQ204" s="237">
        <v>0</v>
      </c>
      <c r="BR204" s="237">
        <v>0</v>
      </c>
      <c r="BS204" s="237">
        <v>0</v>
      </c>
      <c r="BT204" s="237">
        <v>0</v>
      </c>
      <c r="BU204" s="237">
        <v>0</v>
      </c>
      <c r="BV204" s="237">
        <v>0</v>
      </c>
      <c r="BW204" s="237">
        <v>0</v>
      </c>
      <c r="BX204" s="237">
        <v>0</v>
      </c>
      <c r="BY204" s="237">
        <v>0</v>
      </c>
      <c r="BZ204" s="237">
        <v>0</v>
      </c>
      <c r="CA204" s="237">
        <v>0</v>
      </c>
      <c r="CB204" s="237">
        <v>0</v>
      </c>
      <c r="CC204" s="237">
        <v>0</v>
      </c>
      <c r="CD204" s="237">
        <v>0</v>
      </c>
      <c r="CE204" s="237">
        <v>0</v>
      </c>
      <c r="CF204" s="237">
        <v>0</v>
      </c>
      <c r="CG204" s="237">
        <v>0</v>
      </c>
      <c r="CH204" s="30">
        <v>0</v>
      </c>
      <c r="CI204" s="30">
        <v>0</v>
      </c>
      <c r="CJ204" s="30" t="e">
        <f t="array" aca="1" ref="CJ204" ca="1">_xludf.XLOOKUP(C204,'PL TOTAL D0'!H:H,'PL TOTAL D0'!I:I,"")</f>
        <v>#NAME?</v>
      </c>
    </row>
    <row r="205" spans="1:88" ht="15.75" customHeight="1">
      <c r="A205" s="36" t="s">
        <v>2921</v>
      </c>
      <c r="B205" s="37" t="s">
        <v>3273</v>
      </c>
      <c r="C205" s="9">
        <v>440076</v>
      </c>
      <c r="D205" s="9" t="s">
        <v>19</v>
      </c>
      <c r="E205" s="9" t="s">
        <v>34</v>
      </c>
      <c r="F205" s="9" t="s">
        <v>262</v>
      </c>
      <c r="G205" s="7" t="e">
        <f t="shared" ca="1" si="0"/>
        <v>#NAME?</v>
      </c>
      <c r="H205" s="8" t="s">
        <v>143</v>
      </c>
      <c r="I205" s="24" t="s">
        <v>25</v>
      </c>
      <c r="J205" s="9" t="str">
        <f t="shared" si="3"/>
        <v>Não</v>
      </c>
      <c r="K205" s="25">
        <v>44439</v>
      </c>
      <c r="L205" s="243">
        <v>44865</v>
      </c>
      <c r="M205" s="6" t="s">
        <v>58</v>
      </c>
      <c r="N205" s="233">
        <v>1.2E-2</v>
      </c>
      <c r="O205" s="9" t="s">
        <v>25</v>
      </c>
      <c r="P205" s="234">
        <v>0</v>
      </c>
      <c r="Q205" s="28"/>
      <c r="R205" s="28"/>
      <c r="S205" s="7" t="s">
        <v>145</v>
      </c>
      <c r="T205" s="6" t="s">
        <v>3274</v>
      </c>
      <c r="U205" s="6" t="s">
        <v>39</v>
      </c>
      <c r="V205" s="24" t="e">
        <f t="shared" ca="1" si="2"/>
        <v>#NAME?</v>
      </c>
      <c r="W205" s="24"/>
      <c r="X205" s="24"/>
      <c r="Y205" s="6"/>
      <c r="Z205" s="6"/>
      <c r="AA205" s="6"/>
      <c r="AB205" s="6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40"/>
      <c r="AO205" s="110"/>
      <c r="AP205" s="236"/>
      <c r="AQ205" s="236"/>
      <c r="AR205" s="236"/>
      <c r="AS205" s="236"/>
      <c r="AT205" s="236"/>
      <c r="AU205" s="110"/>
      <c r="AV205" s="110"/>
      <c r="AW205" s="132"/>
      <c r="AX205" s="132">
        <v>461389.09</v>
      </c>
      <c r="AY205" s="110">
        <v>399622.66</v>
      </c>
      <c r="AZ205" s="110">
        <v>397304.91</v>
      </c>
      <c r="BA205" s="110">
        <v>400943.16</v>
      </c>
      <c r="BB205" s="110">
        <v>405108.37</v>
      </c>
      <c r="BC205" s="110">
        <v>406470.91</v>
      </c>
      <c r="BD205" s="110">
        <v>408802.34</v>
      </c>
      <c r="BE205" s="110">
        <v>0</v>
      </c>
      <c r="BF205" s="110">
        <v>0</v>
      </c>
      <c r="BG205" s="237">
        <v>14219.74</v>
      </c>
      <c r="BH205" s="237">
        <v>13799.76</v>
      </c>
      <c r="BI205" s="237">
        <v>13875.66</v>
      </c>
      <c r="BJ205" s="237">
        <v>14093.63</v>
      </c>
      <c r="BK205" s="237">
        <v>14256.05</v>
      </c>
      <c r="BL205" s="237">
        <v>0</v>
      </c>
      <c r="BM205" s="237">
        <v>0</v>
      </c>
      <c r="BN205" s="237">
        <v>0</v>
      </c>
      <c r="BO205" s="237">
        <v>0</v>
      </c>
      <c r="BP205" s="237">
        <v>0</v>
      </c>
      <c r="BQ205" s="237">
        <v>0</v>
      </c>
      <c r="BR205" s="237">
        <v>0</v>
      </c>
      <c r="BS205" s="237">
        <v>0</v>
      </c>
      <c r="BT205" s="237">
        <v>0</v>
      </c>
      <c r="BU205" s="237">
        <v>0</v>
      </c>
      <c r="BV205" s="237">
        <v>0</v>
      </c>
      <c r="BW205" s="237">
        <v>0</v>
      </c>
      <c r="BX205" s="237">
        <v>0</v>
      </c>
      <c r="BY205" s="237">
        <v>0</v>
      </c>
      <c r="BZ205" s="237">
        <v>0</v>
      </c>
      <c r="CA205" s="237">
        <v>0</v>
      </c>
      <c r="CB205" s="237">
        <v>0</v>
      </c>
      <c r="CC205" s="237">
        <v>0</v>
      </c>
      <c r="CD205" s="237">
        <v>0</v>
      </c>
      <c r="CE205" s="237">
        <v>0</v>
      </c>
      <c r="CF205" s="237">
        <v>0</v>
      </c>
      <c r="CG205" s="237">
        <v>0</v>
      </c>
      <c r="CH205" s="30">
        <v>0</v>
      </c>
      <c r="CI205" s="30">
        <v>0</v>
      </c>
      <c r="CJ205" s="30" t="e">
        <f t="array" aca="1" ref="CJ205" ca="1">_xludf.XLOOKUP(C205,'PL TOTAL D0'!H:H,'PL TOTAL D0'!I:I,"")</f>
        <v>#NAME?</v>
      </c>
    </row>
    <row r="206" spans="1:88" ht="15.75" customHeight="1">
      <c r="A206" s="36" t="s">
        <v>2921</v>
      </c>
      <c r="B206" s="3" t="s">
        <v>3275</v>
      </c>
      <c r="C206" s="9">
        <v>34985</v>
      </c>
      <c r="D206" s="9" t="s">
        <v>19</v>
      </c>
      <c r="E206" s="9" t="s">
        <v>34</v>
      </c>
      <c r="F206" s="9" t="s">
        <v>262</v>
      </c>
      <c r="G206" s="7" t="e">
        <f t="shared" ca="1" si="0"/>
        <v>#NAME?</v>
      </c>
      <c r="H206" s="8" t="s">
        <v>161</v>
      </c>
      <c r="I206" s="24" t="s">
        <v>162</v>
      </c>
      <c r="J206" s="9" t="str">
        <f t="shared" si="3"/>
        <v>Não</v>
      </c>
      <c r="K206" s="232">
        <v>44280</v>
      </c>
      <c r="L206" s="6"/>
      <c r="M206" s="6" t="s">
        <v>200</v>
      </c>
      <c r="N206" s="10">
        <v>1.4999999999999999E-2</v>
      </c>
      <c r="O206" s="9" t="s">
        <v>37</v>
      </c>
      <c r="P206" s="234">
        <v>0.1</v>
      </c>
      <c r="Q206" s="108"/>
      <c r="R206" s="108" t="s">
        <v>3276</v>
      </c>
      <c r="S206" s="7" t="s">
        <v>145</v>
      </c>
      <c r="T206" s="6" t="s">
        <v>1506</v>
      </c>
      <c r="U206" s="6" t="s">
        <v>39</v>
      </c>
      <c r="V206" s="24" t="e">
        <f t="shared" ca="1" si="2"/>
        <v>#NAME?</v>
      </c>
      <c r="W206" s="24"/>
      <c r="X206" s="24"/>
      <c r="Y206" s="6" t="s">
        <v>253</v>
      </c>
      <c r="Z206" s="6"/>
      <c r="AA206" s="107">
        <v>44280</v>
      </c>
      <c r="AB206" s="6">
        <v>49075100004072</v>
      </c>
      <c r="AC206" s="240"/>
      <c r="AD206" s="240"/>
      <c r="AE206" s="240"/>
      <c r="AF206" s="240"/>
      <c r="AG206" s="240"/>
      <c r="AH206" s="240"/>
      <c r="AI206" s="240"/>
      <c r="AJ206" s="240"/>
      <c r="AK206" s="240"/>
      <c r="AL206" s="240"/>
      <c r="AM206" s="240"/>
      <c r="AN206" s="240"/>
      <c r="AO206" s="240"/>
      <c r="AP206" s="110"/>
      <c r="AQ206" s="236"/>
      <c r="AR206" s="236">
        <v>419957.43</v>
      </c>
      <c r="AS206" s="236"/>
      <c r="AT206" s="236">
        <v>475937.26</v>
      </c>
      <c r="AU206" s="236">
        <v>411264.58</v>
      </c>
      <c r="AV206" s="110">
        <v>410623.98</v>
      </c>
      <c r="AW206" s="110">
        <v>436585.81</v>
      </c>
      <c r="AX206" s="110">
        <v>453477.05</v>
      </c>
      <c r="AY206" s="110">
        <v>426197.67</v>
      </c>
      <c r="AZ206" s="110">
        <v>450798.93</v>
      </c>
      <c r="BA206" s="110">
        <v>447279.08</v>
      </c>
      <c r="BB206" s="110">
        <v>419227.7</v>
      </c>
      <c r="BC206" s="110">
        <v>459636.61</v>
      </c>
      <c r="BD206" s="110">
        <v>482550.57</v>
      </c>
      <c r="BE206" s="110">
        <v>502193.02</v>
      </c>
      <c r="BF206" s="110">
        <v>469291.11</v>
      </c>
      <c r="BG206" s="237">
        <v>467927.27</v>
      </c>
      <c r="BH206" s="237">
        <v>464185.75</v>
      </c>
      <c r="BI206" s="237">
        <v>523635.6</v>
      </c>
      <c r="BJ206" s="237">
        <v>559445.9</v>
      </c>
      <c r="BK206" s="237">
        <v>565375.74</v>
      </c>
      <c r="BL206" s="237">
        <v>513855.77</v>
      </c>
      <c r="BM206" s="237">
        <v>535979.66</v>
      </c>
      <c r="BN206" s="237">
        <v>565881.84</v>
      </c>
      <c r="BO206" s="237">
        <v>518268.97</v>
      </c>
      <c r="BP206" s="237">
        <v>521089.73</v>
      </c>
      <c r="BQ206" s="237">
        <v>543101.15</v>
      </c>
      <c r="BR206" s="237">
        <v>433.97</v>
      </c>
      <c r="BS206" s="237">
        <v>438.96</v>
      </c>
      <c r="BT206" s="237">
        <v>0</v>
      </c>
      <c r="BU206" s="237">
        <v>0</v>
      </c>
      <c r="BV206" s="237">
        <v>0</v>
      </c>
      <c r="BW206" s="237">
        <v>0</v>
      </c>
      <c r="BX206" s="237">
        <v>0</v>
      </c>
      <c r="BY206" s="237">
        <v>0</v>
      </c>
      <c r="BZ206" s="237">
        <v>0</v>
      </c>
      <c r="CA206" s="237">
        <v>0</v>
      </c>
      <c r="CB206" s="237">
        <v>0</v>
      </c>
      <c r="CC206" s="237">
        <v>0</v>
      </c>
      <c r="CD206" s="237">
        <v>0</v>
      </c>
      <c r="CE206" s="237">
        <v>0</v>
      </c>
      <c r="CF206" s="237">
        <v>0</v>
      </c>
      <c r="CG206" s="237">
        <v>0</v>
      </c>
      <c r="CH206" s="30">
        <v>0</v>
      </c>
      <c r="CI206" s="30">
        <v>0</v>
      </c>
      <c r="CJ206" s="30" t="e">
        <f t="array" aca="1" ref="CJ206" ca="1">_xludf.XLOOKUP(C206,'PL TOTAL D0'!H:H,'PL TOTAL D0'!I:I,"")</f>
        <v>#NAME?</v>
      </c>
    </row>
    <row r="207" spans="1:88" ht="15.75" customHeight="1">
      <c r="A207" s="36" t="s">
        <v>2921</v>
      </c>
      <c r="B207" s="37" t="s">
        <v>3277</v>
      </c>
      <c r="C207" s="9">
        <v>317557</v>
      </c>
      <c r="D207" s="9" t="s">
        <v>2989</v>
      </c>
      <c r="E207" s="9" t="s">
        <v>20</v>
      </c>
      <c r="F207" s="6" t="s">
        <v>2989</v>
      </c>
      <c r="G207" s="7" t="e">
        <f t="shared" ca="1" si="0"/>
        <v>#NAME?</v>
      </c>
      <c r="H207" s="8" t="s">
        <v>143</v>
      </c>
      <c r="I207" s="24" t="s">
        <v>25</v>
      </c>
      <c r="J207" s="9" t="str">
        <f t="shared" si="3"/>
        <v>Não</v>
      </c>
      <c r="K207" s="107">
        <v>43439</v>
      </c>
      <c r="L207" s="107">
        <v>44698</v>
      </c>
      <c r="M207" s="6" t="s">
        <v>87</v>
      </c>
      <c r="N207" s="10">
        <v>0.02</v>
      </c>
      <c r="O207" s="9" t="s">
        <v>183</v>
      </c>
      <c r="P207" s="234">
        <v>0.2</v>
      </c>
      <c r="Q207" s="108"/>
      <c r="R207" s="108"/>
      <c r="S207" s="7" t="s">
        <v>145</v>
      </c>
      <c r="T207" s="6" t="s">
        <v>3278</v>
      </c>
      <c r="U207" s="6" t="s">
        <v>20</v>
      </c>
      <c r="V207" s="24" t="e">
        <f t="shared" ca="1" si="2"/>
        <v>#NAME?</v>
      </c>
      <c r="W207" s="24"/>
      <c r="X207" s="24"/>
      <c r="Y207" s="6" t="s">
        <v>253</v>
      </c>
      <c r="Z207" s="6"/>
      <c r="AA207" s="6"/>
      <c r="AB207" s="6"/>
      <c r="AC207" s="110">
        <v>182775.62</v>
      </c>
      <c r="AD207" s="110">
        <v>173346.31</v>
      </c>
      <c r="AE207" s="110">
        <v>133244.41</v>
      </c>
      <c r="AF207" s="110">
        <v>141451.07</v>
      </c>
      <c r="AG207" s="110">
        <v>146597.66</v>
      </c>
      <c r="AH207" s="110">
        <v>153836.28</v>
      </c>
      <c r="AI207" s="110">
        <v>164345.03</v>
      </c>
      <c r="AJ207" s="110">
        <v>157208.89000000001</v>
      </c>
      <c r="AK207" s="110">
        <v>149315.32</v>
      </c>
      <c r="AL207" s="110">
        <v>154879.73000000001</v>
      </c>
      <c r="AM207" s="110">
        <v>174608.18</v>
      </c>
      <c r="AN207" s="110">
        <v>180685.17</v>
      </c>
      <c r="AO207" s="110">
        <v>175723.75</v>
      </c>
      <c r="AP207" s="110">
        <v>161983.6</v>
      </c>
      <c r="AQ207" s="110">
        <v>156764.76999999999</v>
      </c>
      <c r="AR207" s="110">
        <v>169952.44</v>
      </c>
      <c r="AS207" s="110">
        <v>170885.24</v>
      </c>
      <c r="AT207" s="110">
        <v>171897.11</v>
      </c>
      <c r="AU207" s="110">
        <v>178962.12</v>
      </c>
      <c r="AV207" s="110">
        <v>176351.7</v>
      </c>
      <c r="AW207" s="110">
        <v>171431.85</v>
      </c>
      <c r="AX207" s="110">
        <v>164074.76</v>
      </c>
      <c r="AY207" s="110">
        <v>156484.56</v>
      </c>
      <c r="AZ207" s="110">
        <v>147439.31</v>
      </c>
      <c r="BA207" s="110">
        <v>142928.48000000001</v>
      </c>
      <c r="BB207" s="110">
        <v>143884.26999999999</v>
      </c>
      <c r="BC207" s="110">
        <v>151924.5</v>
      </c>
      <c r="BD207" s="110">
        <v>153885.31</v>
      </c>
      <c r="BE207" s="110">
        <v>165125.26</v>
      </c>
      <c r="BF207" s="110">
        <v>66249.179999999993</v>
      </c>
      <c r="BG207" s="241">
        <v>2768.95</v>
      </c>
      <c r="BH207" s="110">
        <v>0</v>
      </c>
      <c r="BI207" s="110" t="s">
        <v>2932</v>
      </c>
      <c r="BJ207" s="110">
        <v>0</v>
      </c>
      <c r="BK207" s="237">
        <v>0</v>
      </c>
      <c r="BL207" s="237">
        <v>0</v>
      </c>
      <c r="BM207" s="237">
        <v>0</v>
      </c>
      <c r="BN207" s="237">
        <v>0</v>
      </c>
      <c r="BO207" s="237">
        <v>0</v>
      </c>
      <c r="BP207" s="237">
        <v>0</v>
      </c>
      <c r="BQ207" s="237">
        <v>0</v>
      </c>
      <c r="BR207" s="237">
        <v>0</v>
      </c>
      <c r="BS207" s="237">
        <v>0</v>
      </c>
      <c r="BT207" s="237">
        <v>0</v>
      </c>
      <c r="BU207" s="237">
        <v>0</v>
      </c>
      <c r="BV207" s="237">
        <v>0</v>
      </c>
      <c r="BW207" s="237">
        <v>0</v>
      </c>
      <c r="BX207" s="237">
        <v>0</v>
      </c>
      <c r="BY207" s="237">
        <v>0</v>
      </c>
      <c r="BZ207" s="237">
        <v>0</v>
      </c>
      <c r="CA207" s="237">
        <v>0</v>
      </c>
      <c r="CB207" s="237">
        <v>0</v>
      </c>
      <c r="CC207" s="237">
        <v>0</v>
      </c>
      <c r="CD207" s="237">
        <v>0</v>
      </c>
      <c r="CE207" s="237">
        <v>0</v>
      </c>
      <c r="CF207" s="237">
        <v>0</v>
      </c>
      <c r="CG207" s="237">
        <v>0</v>
      </c>
      <c r="CH207" s="30">
        <v>0</v>
      </c>
      <c r="CI207" s="30">
        <v>0</v>
      </c>
      <c r="CJ207" s="30" t="e">
        <f t="array" aca="1" ref="CJ207" ca="1">_xludf.XLOOKUP(C207,'PL TOTAL D0'!H:H,'PL TOTAL D0'!I:I,"")</f>
        <v>#NAME?</v>
      </c>
    </row>
    <row r="208" spans="1:88" ht="15.75" customHeight="1">
      <c r="A208" s="36" t="s">
        <v>2921</v>
      </c>
      <c r="B208" s="3" t="s">
        <v>3279</v>
      </c>
      <c r="C208" s="9">
        <v>575947</v>
      </c>
      <c r="D208" s="9" t="s">
        <v>19</v>
      </c>
      <c r="E208" s="9" t="s">
        <v>34</v>
      </c>
      <c r="F208" s="6" t="s">
        <v>262</v>
      </c>
      <c r="G208" s="7" t="e">
        <f t="shared" ca="1" si="0"/>
        <v>#NAME?</v>
      </c>
      <c r="H208" s="8" t="s">
        <v>143</v>
      </c>
      <c r="I208" s="24" t="s">
        <v>25</v>
      </c>
      <c r="J208" s="9" t="str">
        <f t="shared" si="3"/>
        <v>Não</v>
      </c>
      <c r="K208" s="107">
        <v>44321</v>
      </c>
      <c r="L208" s="25">
        <v>44704</v>
      </c>
      <c r="M208" s="6" t="s">
        <v>345</v>
      </c>
      <c r="N208" s="10">
        <v>0.02</v>
      </c>
      <c r="O208" s="9" t="s">
        <v>37</v>
      </c>
      <c r="P208" s="234">
        <v>0.2</v>
      </c>
      <c r="Q208" s="28"/>
      <c r="R208" s="28"/>
      <c r="S208" s="7" t="s">
        <v>145</v>
      </c>
      <c r="T208" s="6" t="s">
        <v>3280</v>
      </c>
      <c r="U208" s="6" t="s">
        <v>39</v>
      </c>
      <c r="V208" s="24" t="e">
        <f t="shared" ca="1" si="2"/>
        <v>#NAME?</v>
      </c>
      <c r="W208" s="24"/>
      <c r="X208" s="24"/>
      <c r="Y208" s="6" t="s">
        <v>253</v>
      </c>
      <c r="Z208" s="6"/>
      <c r="AA208" s="6"/>
      <c r="AB208" s="6"/>
      <c r="AC208" s="132"/>
      <c r="AD208" s="132"/>
      <c r="AE208" s="132"/>
      <c r="AF208" s="132"/>
      <c r="AG208" s="132"/>
      <c r="AH208" s="132"/>
      <c r="AI208" s="132"/>
      <c r="AJ208" s="132"/>
      <c r="AK208" s="132"/>
      <c r="AL208" s="132"/>
      <c r="AM208" s="132"/>
      <c r="AN208" s="132"/>
      <c r="AO208" s="132"/>
      <c r="AP208" s="110"/>
      <c r="AQ208" s="110"/>
      <c r="AR208" s="110"/>
      <c r="AS208" s="110"/>
      <c r="AT208" s="110"/>
      <c r="AU208" s="110">
        <v>151206.60999999999</v>
      </c>
      <c r="AV208" s="110">
        <v>151283.68</v>
      </c>
      <c r="AW208" s="110">
        <v>150032.19</v>
      </c>
      <c r="AX208" s="110">
        <v>147431.21</v>
      </c>
      <c r="AY208" s="110">
        <v>145842.89000000001</v>
      </c>
      <c r="AZ208" s="110">
        <v>141294.41</v>
      </c>
      <c r="BA208" s="110">
        <v>138914.26</v>
      </c>
      <c r="BB208" s="110">
        <v>138422.19</v>
      </c>
      <c r="BC208" s="110">
        <v>16300.55</v>
      </c>
      <c r="BD208" s="110">
        <v>16717.099999999999</v>
      </c>
      <c r="BE208" s="110">
        <v>18166.2</v>
      </c>
      <c r="BF208" s="110">
        <v>17334.77</v>
      </c>
      <c r="BG208" s="241" t="s">
        <v>2932</v>
      </c>
      <c r="BH208" s="110">
        <v>0</v>
      </c>
      <c r="BI208" s="110" t="s">
        <v>2932</v>
      </c>
      <c r="BJ208" s="110">
        <v>0</v>
      </c>
      <c r="BK208" s="237">
        <v>0</v>
      </c>
      <c r="BL208" s="237">
        <v>0</v>
      </c>
      <c r="BM208" s="237">
        <v>0</v>
      </c>
      <c r="BN208" s="237">
        <v>0</v>
      </c>
      <c r="BO208" s="237">
        <v>0</v>
      </c>
      <c r="BP208" s="237">
        <v>0</v>
      </c>
      <c r="BQ208" s="237">
        <v>0</v>
      </c>
      <c r="BR208" s="237">
        <v>0</v>
      </c>
      <c r="BS208" s="237">
        <v>0</v>
      </c>
      <c r="BT208" s="237">
        <v>0</v>
      </c>
      <c r="BU208" s="237">
        <v>0</v>
      </c>
      <c r="BV208" s="237">
        <v>0</v>
      </c>
      <c r="BW208" s="237">
        <v>0</v>
      </c>
      <c r="BX208" s="237">
        <v>0</v>
      </c>
      <c r="BY208" s="237">
        <v>0</v>
      </c>
      <c r="BZ208" s="237">
        <v>0</v>
      </c>
      <c r="CA208" s="237">
        <v>0</v>
      </c>
      <c r="CB208" s="237">
        <v>0</v>
      </c>
      <c r="CC208" s="237">
        <v>0</v>
      </c>
      <c r="CD208" s="237">
        <v>0</v>
      </c>
      <c r="CE208" s="237">
        <v>0</v>
      </c>
      <c r="CF208" s="237">
        <v>0</v>
      </c>
      <c r="CG208" s="237">
        <v>0</v>
      </c>
      <c r="CH208" s="30">
        <v>0</v>
      </c>
      <c r="CI208" s="30">
        <v>0</v>
      </c>
      <c r="CJ208" s="30" t="e">
        <f t="array" aca="1" ref="CJ208" ca="1">_xludf.XLOOKUP(C208,'PL TOTAL D0'!H:H,'PL TOTAL D0'!I:I,"")</f>
        <v>#NAME?</v>
      </c>
    </row>
    <row r="209" spans="1:88" ht="15.75" customHeight="1">
      <c r="A209" s="36" t="s">
        <v>2921</v>
      </c>
      <c r="B209" s="36" t="s">
        <v>3281</v>
      </c>
      <c r="C209" s="9">
        <v>85867</v>
      </c>
      <c r="D209" s="9" t="s">
        <v>2989</v>
      </c>
      <c r="E209" s="9" t="s">
        <v>20</v>
      </c>
      <c r="F209" s="9" t="s">
        <v>2989</v>
      </c>
      <c r="G209" s="7" t="e">
        <f t="shared" ca="1" si="0"/>
        <v>#NAME?</v>
      </c>
      <c r="H209" s="8" t="s">
        <v>152</v>
      </c>
      <c r="I209" s="24" t="s">
        <v>25</v>
      </c>
      <c r="J209" s="9" t="str">
        <f t="shared" si="3"/>
        <v>Não</v>
      </c>
      <c r="K209" s="232">
        <v>43405</v>
      </c>
      <c r="L209" s="6"/>
      <c r="M209" s="6" t="s">
        <v>87</v>
      </c>
      <c r="N209" s="233">
        <v>0.01</v>
      </c>
      <c r="O209" s="9" t="s">
        <v>25</v>
      </c>
      <c r="P209" s="234">
        <v>0</v>
      </c>
      <c r="Q209" s="108"/>
      <c r="R209" s="108"/>
      <c r="S209" s="7" t="s">
        <v>145</v>
      </c>
      <c r="T209" s="9" t="s">
        <v>3282</v>
      </c>
      <c r="U209" s="9" t="s">
        <v>20</v>
      </c>
      <c r="V209" s="24" t="e">
        <f t="shared" ca="1" si="2"/>
        <v>#NAME?</v>
      </c>
      <c r="W209" s="24"/>
      <c r="X209" s="24"/>
      <c r="Y209" s="6" t="s">
        <v>253</v>
      </c>
      <c r="Z209" s="6"/>
      <c r="AA209" s="107">
        <v>43405</v>
      </c>
      <c r="AB209" s="6">
        <v>49075100010161</v>
      </c>
      <c r="AC209" s="110">
        <v>130119.63</v>
      </c>
      <c r="AD209" s="110">
        <v>124467.12</v>
      </c>
      <c r="AE209" s="110">
        <v>94570.41</v>
      </c>
      <c r="AF209" s="110">
        <v>102615.72</v>
      </c>
      <c r="AG209" s="110">
        <v>106378.57</v>
      </c>
      <c r="AH209" s="110">
        <v>112226.83</v>
      </c>
      <c r="AI209" s="110">
        <v>122061.52</v>
      </c>
      <c r="AJ209" s="110">
        <v>117668.74</v>
      </c>
      <c r="AK209" s="110">
        <v>112869.38</v>
      </c>
      <c r="AL209" s="110">
        <v>116886.78</v>
      </c>
      <c r="AM209" s="110">
        <v>131989.14000000001</v>
      </c>
      <c r="AN209" s="110">
        <v>137255.35999999999</v>
      </c>
      <c r="AO209" s="110">
        <v>133024.23000000001</v>
      </c>
      <c r="AP209" s="110">
        <v>122508.02</v>
      </c>
      <c r="AQ209" s="236">
        <v>118540.09</v>
      </c>
      <c r="AR209" s="236">
        <v>123782.2</v>
      </c>
      <c r="AS209" s="236">
        <v>130709.24</v>
      </c>
      <c r="AT209" s="236">
        <v>130955.73</v>
      </c>
      <c r="AU209" s="236">
        <v>136233.51</v>
      </c>
      <c r="AV209" s="110">
        <v>134164.76</v>
      </c>
      <c r="AW209" s="110">
        <v>130140.56</v>
      </c>
      <c r="AX209" s="110">
        <v>124384.48</v>
      </c>
      <c r="AY209" s="110">
        <v>118061.1</v>
      </c>
      <c r="AZ209" s="110">
        <v>110724.16</v>
      </c>
      <c r="BA209" s="110">
        <v>107396.27</v>
      </c>
      <c r="BB209" s="110">
        <v>108256.51</v>
      </c>
      <c r="BC209" s="110">
        <v>115039.1</v>
      </c>
      <c r="BD209" s="110">
        <v>116407.77</v>
      </c>
      <c r="BE209" s="110">
        <v>124687.41</v>
      </c>
      <c r="BF209" s="110">
        <v>118609.57</v>
      </c>
      <c r="BG209" s="237">
        <v>115636.05</v>
      </c>
      <c r="BH209" s="237">
        <v>110376.66</v>
      </c>
      <c r="BI209" s="237">
        <v>115730.03</v>
      </c>
      <c r="BJ209" s="237">
        <v>117321.3</v>
      </c>
      <c r="BK209" s="237">
        <v>118162.12</v>
      </c>
      <c r="BL209" s="237">
        <v>127163.71</v>
      </c>
      <c r="BM209" s="237">
        <v>124736.19</v>
      </c>
      <c r="BN209" s="237">
        <v>124079.33</v>
      </c>
      <c r="BO209" s="237">
        <v>127706.18</v>
      </c>
      <c r="BP209" s="237">
        <v>123080.46</v>
      </c>
      <c r="BQ209" s="237">
        <v>122227.94</v>
      </c>
      <c r="BR209" s="237">
        <v>119754.65</v>
      </c>
      <c r="BS209" s="237">
        <v>125093.41</v>
      </c>
      <c r="BT209" s="237">
        <v>134851.39000000001</v>
      </c>
      <c r="BU209" s="237">
        <v>141613.57</v>
      </c>
      <c r="BV209" s="237">
        <v>140525.65</v>
      </c>
      <c r="BW209" s="237">
        <v>135766.89000000001</v>
      </c>
      <c r="BX209" s="237">
        <v>129515.76</v>
      </c>
      <c r="BY209" s="237">
        <v>139035.34</v>
      </c>
      <c r="BZ209" s="237">
        <v>145118.6</v>
      </c>
      <c r="CA209" s="237">
        <v>135438.44</v>
      </c>
      <c r="CB209" s="237">
        <v>138290.07</v>
      </c>
      <c r="CC209" s="237">
        <v>140393.01999999999</v>
      </c>
      <c r="CD209" s="237">
        <v>115174.69</v>
      </c>
      <c r="CE209" s="237">
        <v>101763.89</v>
      </c>
      <c r="CF209" s="237">
        <v>132006.10999999999</v>
      </c>
      <c r="CG209" s="237">
        <v>128405.19</v>
      </c>
      <c r="CH209" s="30">
        <v>137245.04999999999</v>
      </c>
      <c r="CI209" s="30">
        <v>134408.57999999999</v>
      </c>
      <c r="CJ209" s="30" t="e">
        <f t="array" aca="1" ref="CJ209" ca="1">_xludf.XLOOKUP(C209,'PL TOTAL D0'!H:H,'PL TOTAL D0'!I:I,"")</f>
        <v>#NAME?</v>
      </c>
    </row>
    <row r="210" spans="1:88" ht="15.75" customHeight="1">
      <c r="A210" s="36" t="s">
        <v>2921</v>
      </c>
      <c r="B210" s="3" t="s">
        <v>1516</v>
      </c>
      <c r="C210" s="9">
        <v>33722</v>
      </c>
      <c r="D210" s="9" t="s">
        <v>19</v>
      </c>
      <c r="E210" s="9" t="s">
        <v>34</v>
      </c>
      <c r="F210" s="9" t="s">
        <v>35</v>
      </c>
      <c r="G210" s="7" t="e">
        <f t="shared" ca="1" si="0"/>
        <v>#NAME?</v>
      </c>
      <c r="H210" s="8" t="s">
        <v>161</v>
      </c>
      <c r="I210" s="24" t="s">
        <v>162</v>
      </c>
      <c r="J210" s="9" t="str">
        <f t="shared" si="3"/>
        <v>Não</v>
      </c>
      <c r="K210" s="232">
        <v>44320</v>
      </c>
      <c r="L210" s="6"/>
      <c r="M210" s="6" t="s">
        <v>42</v>
      </c>
      <c r="N210" s="10">
        <v>7.0000000000000001E-3</v>
      </c>
      <c r="O210" s="9" t="s">
        <v>25</v>
      </c>
      <c r="P210" s="234">
        <v>0</v>
      </c>
      <c r="Q210" s="23"/>
      <c r="R210" s="28" t="s">
        <v>3283</v>
      </c>
      <c r="S210" s="7" t="s">
        <v>145</v>
      </c>
      <c r="T210" s="6" t="s">
        <v>1519</v>
      </c>
      <c r="U210" s="6" t="s">
        <v>39</v>
      </c>
      <c r="V210" s="24" t="e">
        <f t="shared" ca="1" si="2"/>
        <v>#NAME?</v>
      </c>
      <c r="W210" s="24"/>
      <c r="X210" s="24"/>
      <c r="Y210" s="6" t="s">
        <v>253</v>
      </c>
      <c r="Z210" s="6"/>
      <c r="AA210" s="107">
        <v>44320</v>
      </c>
      <c r="AB210" s="6">
        <v>49075100004935</v>
      </c>
      <c r="AC210" s="132"/>
      <c r="AD210" s="132"/>
      <c r="AE210" s="132"/>
      <c r="AF210" s="132"/>
      <c r="AG210" s="132"/>
      <c r="AH210" s="132"/>
      <c r="AI210" s="132"/>
      <c r="AJ210" s="132"/>
      <c r="AK210" s="132"/>
      <c r="AL210" s="132"/>
      <c r="AM210" s="132"/>
      <c r="AN210" s="132"/>
      <c r="AO210" s="132"/>
      <c r="AP210" s="110"/>
      <c r="AQ210" s="110"/>
      <c r="AR210" s="110"/>
      <c r="AS210" s="110"/>
      <c r="AT210" s="110"/>
      <c r="AU210" s="110">
        <v>690232.16</v>
      </c>
      <c r="AV210" s="110">
        <v>685502.16</v>
      </c>
      <c r="AW210" s="110">
        <v>678874.15</v>
      </c>
      <c r="AX210" s="110">
        <v>666884.34</v>
      </c>
      <c r="AY210" s="110">
        <v>657461.93999999994</v>
      </c>
      <c r="AZ210" s="110">
        <v>643967.37</v>
      </c>
      <c r="BA210" s="110">
        <v>637842.22</v>
      </c>
      <c r="BB210" s="110">
        <v>615861.44999999995</v>
      </c>
      <c r="BC210" s="110">
        <v>632848.48</v>
      </c>
      <c r="BD210" s="110">
        <v>637404.53</v>
      </c>
      <c r="BE210" s="110">
        <v>661193.18999999994</v>
      </c>
      <c r="BF210" s="110">
        <v>650935.25</v>
      </c>
      <c r="BG210" s="237">
        <v>657951.67000000004</v>
      </c>
      <c r="BH210" s="237">
        <v>662886.17000000004</v>
      </c>
      <c r="BI210" s="237">
        <v>666504.46</v>
      </c>
      <c r="BJ210" s="237">
        <v>670270.23</v>
      </c>
      <c r="BK210" s="237">
        <v>673462.64</v>
      </c>
      <c r="BL210" s="237">
        <v>676988.6</v>
      </c>
      <c r="BM210" s="237">
        <v>560555.28</v>
      </c>
      <c r="BN210" s="237">
        <v>688430.77</v>
      </c>
      <c r="BO210" s="237">
        <v>694958.1</v>
      </c>
      <c r="BP210" s="237">
        <v>699339.2</v>
      </c>
      <c r="BQ210" s="237">
        <v>705084.46</v>
      </c>
      <c r="BR210" s="237">
        <v>709515.58</v>
      </c>
      <c r="BS210" s="237">
        <v>782963.85</v>
      </c>
      <c r="BT210" s="237">
        <v>724315.08</v>
      </c>
      <c r="BU210" s="237">
        <v>729121.46</v>
      </c>
      <c r="BV210" s="237">
        <v>738148.76</v>
      </c>
      <c r="BW210" s="237">
        <v>744926.04</v>
      </c>
      <c r="BX210" s="237">
        <v>747755.51</v>
      </c>
      <c r="BY210" s="237">
        <v>45.11</v>
      </c>
      <c r="BZ210" s="237">
        <v>45.11</v>
      </c>
      <c r="CA210" s="237">
        <v>45.11</v>
      </c>
      <c r="CB210" s="237">
        <v>45.11</v>
      </c>
      <c r="CC210" s="237">
        <v>45.11</v>
      </c>
      <c r="CD210" s="237">
        <v>45.11</v>
      </c>
      <c r="CE210" s="237">
        <v>0</v>
      </c>
      <c r="CF210" s="237">
        <v>0</v>
      </c>
      <c r="CG210" s="237">
        <v>0</v>
      </c>
      <c r="CH210" s="30">
        <v>0</v>
      </c>
      <c r="CI210" s="30">
        <v>0</v>
      </c>
      <c r="CJ210" s="30" t="e">
        <f t="array" aca="1" ref="CJ210" ca="1">_xludf.XLOOKUP(C210,'PL TOTAL D0'!H:H,'PL TOTAL D0'!I:I,"")</f>
        <v>#NAME?</v>
      </c>
    </row>
    <row r="211" spans="1:88" ht="15.75" customHeight="1">
      <c r="A211" s="36" t="s">
        <v>2921</v>
      </c>
      <c r="B211" s="106" t="s">
        <v>1520</v>
      </c>
      <c r="C211" s="9">
        <v>388028</v>
      </c>
      <c r="D211" s="9" t="s">
        <v>19</v>
      </c>
      <c r="E211" s="9" t="s">
        <v>20</v>
      </c>
      <c r="F211" s="7" t="s">
        <v>449</v>
      </c>
      <c r="G211" s="7" t="e">
        <f t="shared" ca="1" si="0"/>
        <v>#NAME?</v>
      </c>
      <c r="H211" s="8" t="s">
        <v>161</v>
      </c>
      <c r="I211" s="24" t="s">
        <v>162</v>
      </c>
      <c r="J211" s="9" t="str">
        <f t="shared" si="3"/>
        <v>Não</v>
      </c>
      <c r="K211" s="232">
        <v>45330</v>
      </c>
      <c r="L211" s="6"/>
      <c r="M211" s="9" t="s">
        <v>42</v>
      </c>
      <c r="N211" s="10">
        <v>1.2E-2</v>
      </c>
      <c r="O211" s="9" t="s">
        <v>25</v>
      </c>
      <c r="P211" s="11">
        <v>0</v>
      </c>
      <c r="Q211" s="23"/>
      <c r="R211" s="28"/>
      <c r="S211" s="7" t="s">
        <v>145</v>
      </c>
      <c r="T211" s="9" t="s">
        <v>1522</v>
      </c>
      <c r="U211" s="6" t="s">
        <v>46</v>
      </c>
      <c r="V211" s="24" t="e">
        <f t="shared" ca="1" si="2"/>
        <v>#NAME?</v>
      </c>
      <c r="W211" s="24"/>
      <c r="X211" s="24"/>
      <c r="Y211" s="6" t="s">
        <v>253</v>
      </c>
      <c r="Z211" s="6"/>
      <c r="AA211" s="107">
        <v>45330</v>
      </c>
      <c r="AB211" s="6">
        <v>49075100015295</v>
      </c>
      <c r="AC211" s="132"/>
      <c r="AD211" s="132"/>
      <c r="AE211" s="132"/>
      <c r="AF211" s="132"/>
      <c r="AG211" s="132"/>
      <c r="AH211" s="132"/>
      <c r="AI211" s="132"/>
      <c r="AJ211" s="132"/>
      <c r="AK211" s="132"/>
      <c r="AL211" s="132"/>
      <c r="AM211" s="132"/>
      <c r="AN211" s="132"/>
      <c r="AO211" s="132"/>
      <c r="AP211" s="110"/>
      <c r="AQ211" s="110"/>
      <c r="AR211" s="110"/>
      <c r="AS211" s="110"/>
      <c r="AT211" s="110"/>
      <c r="AU211" s="110"/>
      <c r="AV211" s="110"/>
      <c r="AW211" s="110"/>
      <c r="AX211" s="110"/>
      <c r="AY211" s="110"/>
      <c r="AZ211" s="110"/>
      <c r="BA211" s="110"/>
      <c r="BB211" s="110"/>
      <c r="BC211" s="110"/>
      <c r="BD211" s="110"/>
      <c r="BE211" s="110"/>
      <c r="BF211" s="110"/>
      <c r="BG211" s="237"/>
      <c r="BH211" s="237"/>
      <c r="BI211" s="237"/>
      <c r="BJ211" s="237"/>
      <c r="BK211" s="237"/>
      <c r="BL211" s="237"/>
      <c r="BM211" s="237"/>
      <c r="BN211" s="237"/>
      <c r="BO211" s="237"/>
      <c r="BP211" s="237"/>
      <c r="BQ211" s="237"/>
      <c r="BR211" s="237"/>
      <c r="BS211" s="237"/>
      <c r="BT211" s="237"/>
      <c r="BU211" s="237"/>
      <c r="BV211" s="237"/>
      <c r="BW211" s="237"/>
      <c r="BX211" s="237"/>
      <c r="BY211" s="237"/>
      <c r="BZ211" s="237"/>
      <c r="CA211" s="237"/>
      <c r="CB211" s="237">
        <v>0</v>
      </c>
      <c r="CC211" s="237">
        <v>0</v>
      </c>
      <c r="CD211" s="237">
        <v>0</v>
      </c>
      <c r="CE211" s="237">
        <v>0</v>
      </c>
      <c r="CF211" s="237">
        <v>0</v>
      </c>
      <c r="CG211" s="237">
        <v>0</v>
      </c>
      <c r="CH211" s="30">
        <v>0</v>
      </c>
      <c r="CI211" s="30">
        <v>0</v>
      </c>
      <c r="CJ211" s="30" t="e">
        <f t="array" aca="1" ref="CJ211" ca="1">_xludf.XLOOKUP(C211,'PL TOTAL D0'!H:H,'PL TOTAL D0'!I:I,"")</f>
        <v>#NAME?</v>
      </c>
    </row>
    <row r="212" spans="1:88" ht="15.75" customHeight="1">
      <c r="A212" s="36" t="s">
        <v>2921</v>
      </c>
      <c r="B212" s="106" t="s">
        <v>3284</v>
      </c>
      <c r="C212" s="9">
        <v>388035</v>
      </c>
      <c r="D212" s="9" t="s">
        <v>19</v>
      </c>
      <c r="E212" s="9" t="s">
        <v>20</v>
      </c>
      <c r="F212" s="7" t="s">
        <v>449</v>
      </c>
      <c r="G212" s="7" t="e">
        <f t="shared" ca="1" si="0"/>
        <v>#NAME?</v>
      </c>
      <c r="H212" s="8" t="s">
        <v>161</v>
      </c>
      <c r="I212" s="24" t="s">
        <v>162</v>
      </c>
      <c r="J212" s="9" t="str">
        <f t="shared" si="3"/>
        <v>Não</v>
      </c>
      <c r="K212" s="232">
        <v>45331</v>
      </c>
      <c r="L212" s="6"/>
      <c r="M212" s="9" t="s">
        <v>42</v>
      </c>
      <c r="N212" s="10">
        <v>1.2E-2</v>
      </c>
      <c r="O212" s="9" t="s">
        <v>25</v>
      </c>
      <c r="P212" s="11">
        <v>0</v>
      </c>
      <c r="Q212" s="23"/>
      <c r="R212" s="28"/>
      <c r="S212" s="7" t="s">
        <v>187</v>
      </c>
      <c r="T212" s="9" t="s">
        <v>1395</v>
      </c>
      <c r="U212" s="6" t="s">
        <v>46</v>
      </c>
      <c r="V212" s="24" t="e">
        <f t="shared" ca="1" si="2"/>
        <v>#NAME?</v>
      </c>
      <c r="W212" s="24"/>
      <c r="X212" s="24"/>
      <c r="Y212" s="6" t="s">
        <v>253</v>
      </c>
      <c r="Z212" s="6"/>
      <c r="AA212" s="107">
        <v>45331</v>
      </c>
      <c r="AB212" s="6">
        <v>49075100015309</v>
      </c>
      <c r="AC212" s="132"/>
      <c r="AD212" s="132"/>
      <c r="AE212" s="132"/>
      <c r="AF212" s="132"/>
      <c r="AG212" s="132"/>
      <c r="AH212" s="132"/>
      <c r="AI212" s="132"/>
      <c r="AJ212" s="132"/>
      <c r="AK212" s="132"/>
      <c r="AL212" s="132"/>
      <c r="AM212" s="132"/>
      <c r="AN212" s="132"/>
      <c r="AO212" s="132"/>
      <c r="AP212" s="110"/>
      <c r="AQ212" s="110"/>
      <c r="AR212" s="110"/>
      <c r="AS212" s="110"/>
      <c r="AT212" s="110"/>
      <c r="AU212" s="110"/>
      <c r="AV212" s="110"/>
      <c r="AW212" s="110"/>
      <c r="AX212" s="110"/>
      <c r="AY212" s="110"/>
      <c r="AZ212" s="110"/>
      <c r="BA212" s="110"/>
      <c r="BB212" s="110"/>
      <c r="BC212" s="110"/>
      <c r="BD212" s="110"/>
      <c r="BE212" s="110"/>
      <c r="BF212" s="110"/>
      <c r="BG212" s="237"/>
      <c r="BH212" s="237"/>
      <c r="BI212" s="237"/>
      <c r="BJ212" s="237"/>
      <c r="BK212" s="237"/>
      <c r="BL212" s="237"/>
      <c r="BM212" s="237"/>
      <c r="BN212" s="237"/>
      <c r="BO212" s="237"/>
      <c r="BP212" s="237"/>
      <c r="BQ212" s="237"/>
      <c r="BR212" s="237"/>
      <c r="BS212" s="237"/>
      <c r="BT212" s="237"/>
      <c r="BU212" s="237"/>
      <c r="BV212" s="237"/>
      <c r="BW212" s="237"/>
      <c r="BX212" s="237"/>
      <c r="BY212" s="237"/>
      <c r="BZ212" s="237"/>
      <c r="CA212" s="237"/>
      <c r="CB212" s="237">
        <v>0</v>
      </c>
      <c r="CC212" s="237">
        <v>0</v>
      </c>
      <c r="CD212" s="237">
        <v>0</v>
      </c>
      <c r="CE212" s="237">
        <v>0</v>
      </c>
      <c r="CF212" s="237">
        <v>0</v>
      </c>
      <c r="CG212" s="237">
        <v>0</v>
      </c>
      <c r="CH212" s="30">
        <v>0</v>
      </c>
      <c r="CI212" s="30">
        <v>0</v>
      </c>
      <c r="CJ212" s="30" t="e">
        <f t="array" aca="1" ref="CJ212" ca="1">_xludf.XLOOKUP(C212,'PL TOTAL D0'!H:H,'PL TOTAL D0'!I:I,"")</f>
        <v>#NAME?</v>
      </c>
    </row>
    <row r="213" spans="1:88" ht="15.75" customHeight="1">
      <c r="A213" s="36" t="s">
        <v>2921</v>
      </c>
      <c r="B213" s="3" t="s">
        <v>1530</v>
      </c>
      <c r="C213" s="9">
        <v>330314</v>
      </c>
      <c r="D213" s="9" t="s">
        <v>19</v>
      </c>
      <c r="E213" s="9" t="s">
        <v>34</v>
      </c>
      <c r="F213" s="9" t="s">
        <v>35</v>
      </c>
      <c r="G213" s="7" t="e">
        <f t="shared" ca="1" si="0"/>
        <v>#NAME?</v>
      </c>
      <c r="H213" s="8" t="s">
        <v>161</v>
      </c>
      <c r="I213" s="24" t="s">
        <v>162</v>
      </c>
      <c r="J213" s="9" t="str">
        <f t="shared" si="3"/>
        <v>Sim</v>
      </c>
      <c r="K213" s="232">
        <v>44263</v>
      </c>
      <c r="L213" s="6"/>
      <c r="M213" s="6" t="s">
        <v>87</v>
      </c>
      <c r="N213" s="10">
        <v>2.5000000000000001E-2</v>
      </c>
      <c r="O213" s="9" t="s">
        <v>183</v>
      </c>
      <c r="P213" s="234">
        <v>0.2</v>
      </c>
      <c r="Q213" s="108" t="s">
        <v>3285</v>
      </c>
      <c r="R213" s="108" t="s">
        <v>3207</v>
      </c>
      <c r="S213" s="7" t="s">
        <v>145</v>
      </c>
      <c r="T213" s="6" t="s">
        <v>1532</v>
      </c>
      <c r="U213" s="6" t="s">
        <v>39</v>
      </c>
      <c r="V213" s="24" t="e">
        <f t="shared" ca="1" si="2"/>
        <v>#NAME?</v>
      </c>
      <c r="W213" s="24"/>
      <c r="X213" s="24"/>
      <c r="Y213" s="6" t="s">
        <v>147</v>
      </c>
      <c r="Z213" s="6"/>
      <c r="AA213" s="107">
        <v>44263</v>
      </c>
      <c r="AB213" s="6">
        <v>49075100010706</v>
      </c>
      <c r="AC213" s="240"/>
      <c r="AD213" s="240"/>
      <c r="AE213" s="240"/>
      <c r="AF213" s="240"/>
      <c r="AG213" s="240"/>
      <c r="AH213" s="240"/>
      <c r="AI213" s="240"/>
      <c r="AJ213" s="240"/>
      <c r="AK213" s="240"/>
      <c r="AL213" s="240"/>
      <c r="AM213" s="240"/>
      <c r="AN213" s="110"/>
      <c r="AO213" s="110"/>
      <c r="AP213" s="110"/>
      <c r="AQ213" s="236">
        <v>2334192.46</v>
      </c>
      <c r="AR213" s="236">
        <v>2345849.73</v>
      </c>
      <c r="AS213" s="236">
        <v>2358653.35</v>
      </c>
      <c r="AT213" s="236">
        <v>2373648.9500000002</v>
      </c>
      <c r="AU213" s="236">
        <v>2631993.16</v>
      </c>
      <c r="AV213" s="110">
        <v>2586014.64</v>
      </c>
      <c r="AW213" s="110">
        <v>2707709.32</v>
      </c>
      <c r="AX213" s="110">
        <v>2577464.81</v>
      </c>
      <c r="AY213" s="110">
        <v>2454439.6800000002</v>
      </c>
      <c r="AZ213" s="110">
        <v>2452936.7000000002</v>
      </c>
      <c r="BA213" s="110">
        <v>217475.8</v>
      </c>
      <c r="BB213" s="110">
        <v>217007.91</v>
      </c>
      <c r="BC213" s="110">
        <v>85493.4</v>
      </c>
      <c r="BD213" s="110">
        <v>2556196.42</v>
      </c>
      <c r="BE213" s="110">
        <v>2748796.12</v>
      </c>
      <c r="BF213" s="110">
        <v>2237899.66</v>
      </c>
      <c r="BG213" s="237">
        <v>2184045.56</v>
      </c>
      <c r="BH213" s="237">
        <v>2073066.97</v>
      </c>
      <c r="BI213" s="237">
        <v>2171629.08</v>
      </c>
      <c r="BJ213" s="237">
        <v>2201621.84</v>
      </c>
      <c r="BK213" s="237">
        <v>2225304.0499999998</v>
      </c>
      <c r="BL213" s="237">
        <v>2355561.29</v>
      </c>
      <c r="BM213" s="237">
        <v>2325535.86</v>
      </c>
      <c r="BN213" s="237">
        <v>2318880.65</v>
      </c>
      <c r="BO213" s="237">
        <v>2382829.7200000002</v>
      </c>
      <c r="BP213" s="237">
        <v>2109732.16</v>
      </c>
      <c r="BQ213" s="237">
        <v>1678820.69</v>
      </c>
      <c r="BR213" s="237">
        <v>1168.27</v>
      </c>
      <c r="BS213" s="237">
        <v>1172.5</v>
      </c>
      <c r="BT213" s="237">
        <v>0</v>
      </c>
      <c r="BU213" s="237">
        <v>0</v>
      </c>
      <c r="BV213" s="237">
        <v>0</v>
      </c>
      <c r="BW213" s="237">
        <v>0</v>
      </c>
      <c r="BX213" s="237">
        <v>0</v>
      </c>
      <c r="BY213" s="237">
        <v>0</v>
      </c>
      <c r="BZ213" s="237">
        <v>0</v>
      </c>
      <c r="CA213" s="237">
        <v>0</v>
      </c>
      <c r="CB213" s="237">
        <v>0</v>
      </c>
      <c r="CC213" s="237">
        <v>0</v>
      </c>
      <c r="CD213" s="237">
        <v>0</v>
      </c>
      <c r="CE213" s="237">
        <v>0</v>
      </c>
      <c r="CF213" s="237">
        <v>0</v>
      </c>
      <c r="CG213" s="237">
        <v>0</v>
      </c>
      <c r="CH213" s="30">
        <v>0</v>
      </c>
      <c r="CI213" s="30">
        <v>0</v>
      </c>
      <c r="CJ213" s="30" t="e">
        <f t="array" aca="1" ref="CJ213" ca="1">_xludf.XLOOKUP(C213,'PL TOTAL D0'!H:H,'PL TOTAL D0'!I:I,"")</f>
        <v>#NAME?</v>
      </c>
    </row>
    <row r="214" spans="1:88" ht="15.75" customHeight="1">
      <c r="A214" s="36" t="s">
        <v>2921</v>
      </c>
      <c r="B214" s="3" t="s">
        <v>3286</v>
      </c>
      <c r="C214" s="9">
        <v>285004</v>
      </c>
      <c r="D214" s="9" t="s">
        <v>19</v>
      </c>
      <c r="E214" s="9" t="s">
        <v>34</v>
      </c>
      <c r="F214" s="9" t="s">
        <v>35</v>
      </c>
      <c r="G214" s="7" t="e">
        <f t="shared" ca="1" si="0"/>
        <v>#NAME?</v>
      </c>
      <c r="H214" s="8" t="s">
        <v>161</v>
      </c>
      <c r="I214" s="24" t="s">
        <v>162</v>
      </c>
      <c r="J214" s="9" t="str">
        <f t="shared" si="3"/>
        <v>Não</v>
      </c>
      <c r="K214" s="232">
        <v>44319</v>
      </c>
      <c r="L214" s="6"/>
      <c r="M214" s="6" t="s">
        <v>200</v>
      </c>
      <c r="N214" s="10">
        <v>1.4999999999999999E-2</v>
      </c>
      <c r="O214" s="9" t="s">
        <v>37</v>
      </c>
      <c r="P214" s="234">
        <v>0.1</v>
      </c>
      <c r="Q214" s="28"/>
      <c r="R214" s="28" t="s">
        <v>3287</v>
      </c>
      <c r="S214" s="7" t="s">
        <v>145</v>
      </c>
      <c r="T214" s="6" t="s">
        <v>3288</v>
      </c>
      <c r="U214" s="6" t="s">
        <v>39</v>
      </c>
      <c r="V214" s="24" t="e">
        <f t="shared" ca="1" si="2"/>
        <v>#NAME?</v>
      </c>
      <c r="W214" s="24"/>
      <c r="X214" s="24"/>
      <c r="Y214" s="6" t="s">
        <v>253</v>
      </c>
      <c r="Z214" s="6"/>
      <c r="AA214" s="107">
        <v>44319</v>
      </c>
      <c r="AB214" s="6">
        <v>49075100010714</v>
      </c>
      <c r="AC214" s="132"/>
      <c r="AD214" s="132"/>
      <c r="AE214" s="132"/>
      <c r="AF214" s="132"/>
      <c r="AG214" s="132"/>
      <c r="AH214" s="132"/>
      <c r="AI214" s="132"/>
      <c r="AJ214" s="132"/>
      <c r="AK214" s="132"/>
      <c r="AL214" s="132"/>
      <c r="AM214" s="132"/>
      <c r="AN214" s="132"/>
      <c r="AO214" s="132"/>
      <c r="AP214" s="110"/>
      <c r="AQ214" s="110"/>
      <c r="AR214" s="110"/>
      <c r="AS214" s="110"/>
      <c r="AT214" s="110"/>
      <c r="AU214" s="110">
        <v>215394.67</v>
      </c>
      <c r="AV214" s="110">
        <v>215119.33</v>
      </c>
      <c r="AW214" s="110">
        <v>213430.54</v>
      </c>
      <c r="AX214" s="110">
        <v>229441.7</v>
      </c>
      <c r="AY214" s="110">
        <v>226727.37</v>
      </c>
      <c r="AZ214" s="110">
        <v>220281.12</v>
      </c>
      <c r="BA214" s="110"/>
      <c r="BB214" s="110"/>
      <c r="BC214" s="110"/>
      <c r="BD214" s="110">
        <v>85990.73</v>
      </c>
      <c r="BE214" s="110">
        <v>86858.45</v>
      </c>
      <c r="BF214" s="110">
        <v>87184.47</v>
      </c>
      <c r="BG214" s="237">
        <v>88053.18</v>
      </c>
      <c r="BH214" s="237">
        <v>87307.22</v>
      </c>
      <c r="BI214" s="237">
        <v>202.41</v>
      </c>
      <c r="BJ214" s="237">
        <v>202.41</v>
      </c>
      <c r="BK214" s="237">
        <v>202.41</v>
      </c>
      <c r="BL214" s="237">
        <v>202.41</v>
      </c>
      <c r="BM214" s="237">
        <v>202.41</v>
      </c>
      <c r="BN214" s="237">
        <v>202.41</v>
      </c>
      <c r="BO214" s="237">
        <v>202.41</v>
      </c>
      <c r="BP214" s="237">
        <v>202.41</v>
      </c>
      <c r="BQ214" s="237">
        <v>202.41</v>
      </c>
      <c r="BR214" s="237">
        <v>202.41</v>
      </c>
      <c r="BS214" s="237">
        <v>0</v>
      </c>
      <c r="BT214" s="237">
        <v>0</v>
      </c>
      <c r="BU214" s="237">
        <v>0</v>
      </c>
      <c r="BV214" s="237">
        <v>0</v>
      </c>
      <c r="BW214" s="237">
        <v>0</v>
      </c>
      <c r="BX214" s="237">
        <v>0</v>
      </c>
      <c r="BY214" s="237">
        <v>0</v>
      </c>
      <c r="BZ214" s="237">
        <v>0</v>
      </c>
      <c r="CA214" s="237">
        <v>0</v>
      </c>
      <c r="CB214" s="237">
        <v>0</v>
      </c>
      <c r="CC214" s="237">
        <v>0</v>
      </c>
      <c r="CD214" s="237">
        <v>0</v>
      </c>
      <c r="CE214" s="237">
        <v>0</v>
      </c>
      <c r="CF214" s="237">
        <v>0</v>
      </c>
      <c r="CG214" s="237">
        <v>0</v>
      </c>
      <c r="CH214" s="30">
        <v>0</v>
      </c>
      <c r="CI214" s="30">
        <v>0</v>
      </c>
      <c r="CJ214" s="30" t="e">
        <f t="array" aca="1" ref="CJ214" ca="1">_xludf.XLOOKUP(C214,'PL TOTAL D0'!H:H,'PL TOTAL D0'!I:I,"")</f>
        <v>#NAME?</v>
      </c>
    </row>
    <row r="215" spans="1:88" ht="15.75" customHeight="1">
      <c r="A215" s="36" t="s">
        <v>2921</v>
      </c>
      <c r="B215" s="37" t="s">
        <v>3289</v>
      </c>
      <c r="C215" s="9">
        <v>338374</v>
      </c>
      <c r="D215" s="9" t="s">
        <v>2923</v>
      </c>
      <c r="E215" s="9" t="s">
        <v>20</v>
      </c>
      <c r="F215" s="6" t="s">
        <v>2930</v>
      </c>
      <c r="G215" s="7" t="e">
        <f t="shared" ca="1" si="0"/>
        <v>#NAME?</v>
      </c>
      <c r="H215" s="8" t="s">
        <v>143</v>
      </c>
      <c r="I215" s="24" t="s">
        <v>25</v>
      </c>
      <c r="J215" s="9" t="str">
        <f t="shared" si="3"/>
        <v>Não</v>
      </c>
      <c r="K215" s="107">
        <v>43567</v>
      </c>
      <c r="L215" s="239">
        <v>43782</v>
      </c>
      <c r="M215" s="6" t="s">
        <v>200</v>
      </c>
      <c r="N215" s="10">
        <v>0.01</v>
      </c>
      <c r="O215" s="9" t="s">
        <v>37</v>
      </c>
      <c r="P215" s="234">
        <v>0.1</v>
      </c>
      <c r="Q215" s="235"/>
      <c r="R215" s="108"/>
      <c r="S215" s="7" t="s">
        <v>145</v>
      </c>
      <c r="T215" s="6" t="s">
        <v>3290</v>
      </c>
      <c r="U215" s="6" t="s">
        <v>20</v>
      </c>
      <c r="V215" s="24" t="e">
        <f t="shared" ca="1" si="2"/>
        <v>#NAME?</v>
      </c>
      <c r="W215" s="24"/>
      <c r="X215" s="24"/>
      <c r="Y215" s="6"/>
      <c r="Z215" s="6"/>
      <c r="AA215" s="6"/>
      <c r="AB215" s="6"/>
      <c r="AC215" s="110">
        <v>0</v>
      </c>
      <c r="AD215" s="110">
        <v>0</v>
      </c>
      <c r="AE215" s="110">
        <v>0</v>
      </c>
      <c r="AF215" s="110">
        <v>0</v>
      </c>
      <c r="AG215" s="110">
        <v>0</v>
      </c>
      <c r="AH215" s="110">
        <v>0</v>
      </c>
      <c r="AI215" s="110">
        <v>0</v>
      </c>
      <c r="AJ215" s="110"/>
      <c r="AK215" s="110"/>
      <c r="AL215" s="110"/>
      <c r="AM215" s="110"/>
      <c r="AN215" s="110"/>
      <c r="AO215" s="110"/>
      <c r="AP215" s="110"/>
      <c r="AQ215" s="110"/>
      <c r="AR215" s="110"/>
      <c r="AS215" s="110"/>
      <c r="AT215" s="110"/>
      <c r="AU215" s="110"/>
      <c r="AV215" s="240"/>
      <c r="AW215" s="240"/>
      <c r="AX215" s="240"/>
      <c r="AY215" s="110"/>
      <c r="AZ215" s="110"/>
      <c r="BA215" s="110">
        <v>2375408.86</v>
      </c>
      <c r="BB215" s="110">
        <v>2397363.9</v>
      </c>
      <c r="BC215" s="110">
        <v>2529874.06</v>
      </c>
      <c r="BD215" s="110">
        <v>0</v>
      </c>
      <c r="BE215" s="110">
        <v>0</v>
      </c>
      <c r="BF215" s="110">
        <v>0</v>
      </c>
      <c r="BG215" s="110" t="s">
        <v>2932</v>
      </c>
      <c r="BH215" s="110">
        <v>0</v>
      </c>
      <c r="BI215" s="110" t="s">
        <v>2932</v>
      </c>
      <c r="BJ215" s="110">
        <v>0</v>
      </c>
      <c r="BK215" s="237">
        <v>0</v>
      </c>
      <c r="BL215" s="237">
        <v>0</v>
      </c>
      <c r="BM215" s="237">
        <v>0</v>
      </c>
      <c r="BN215" s="237">
        <v>0</v>
      </c>
      <c r="BO215" s="237">
        <v>0</v>
      </c>
      <c r="BP215" s="237">
        <v>0</v>
      </c>
      <c r="BQ215" s="237">
        <v>0</v>
      </c>
      <c r="BR215" s="237">
        <v>0</v>
      </c>
      <c r="BS215" s="237">
        <v>0</v>
      </c>
      <c r="BT215" s="237">
        <v>0</v>
      </c>
      <c r="BU215" s="237">
        <v>0</v>
      </c>
      <c r="BV215" s="237">
        <v>0</v>
      </c>
      <c r="BW215" s="237">
        <v>0</v>
      </c>
      <c r="BX215" s="237">
        <v>0</v>
      </c>
      <c r="BY215" s="237">
        <v>0</v>
      </c>
      <c r="BZ215" s="237">
        <v>0</v>
      </c>
      <c r="CA215" s="237">
        <v>0</v>
      </c>
      <c r="CB215" s="237">
        <v>0</v>
      </c>
      <c r="CC215" s="237">
        <v>0</v>
      </c>
      <c r="CD215" s="237">
        <v>0</v>
      </c>
      <c r="CE215" s="237">
        <v>0</v>
      </c>
      <c r="CF215" s="237">
        <v>0</v>
      </c>
      <c r="CG215" s="237">
        <v>0</v>
      </c>
      <c r="CH215" s="30">
        <v>0</v>
      </c>
      <c r="CI215" s="30">
        <v>0</v>
      </c>
      <c r="CJ215" s="30" t="e">
        <f t="array" aca="1" ref="CJ215" ca="1">_xludf.XLOOKUP(C215,'PL TOTAL D0'!H:H,'PL TOTAL D0'!I:I,"")</f>
        <v>#NAME?</v>
      </c>
    </row>
    <row r="216" spans="1:88" ht="15.75" customHeight="1">
      <c r="A216" s="36" t="s">
        <v>2921</v>
      </c>
      <c r="B216" s="3" t="s">
        <v>3291</v>
      </c>
      <c r="C216" s="9">
        <v>437539</v>
      </c>
      <c r="D216" s="9" t="s">
        <v>2923</v>
      </c>
      <c r="E216" s="9" t="s">
        <v>20</v>
      </c>
      <c r="F216" s="6" t="s">
        <v>2924</v>
      </c>
      <c r="G216" s="7" t="e">
        <f t="shared" ca="1" si="0"/>
        <v>#NAME?</v>
      </c>
      <c r="H216" s="8" t="s">
        <v>143</v>
      </c>
      <c r="I216" s="24" t="s">
        <v>25</v>
      </c>
      <c r="J216" s="9" t="str">
        <f t="shared" si="3"/>
        <v>Não</v>
      </c>
      <c r="K216" s="107">
        <v>43732</v>
      </c>
      <c r="L216" s="239">
        <v>44484</v>
      </c>
      <c r="M216" s="6" t="s">
        <v>200</v>
      </c>
      <c r="N216" s="10">
        <v>0.01</v>
      </c>
      <c r="O216" s="9" t="s">
        <v>37</v>
      </c>
      <c r="P216" s="234">
        <v>0.1</v>
      </c>
      <c r="Q216" s="235"/>
      <c r="R216" s="108"/>
      <c r="S216" s="7" t="s">
        <v>145</v>
      </c>
      <c r="T216" s="6" t="s">
        <v>3292</v>
      </c>
      <c r="U216" s="6" t="s">
        <v>20</v>
      </c>
      <c r="V216" s="24" t="e">
        <f t="shared" ca="1" si="2"/>
        <v>#NAME?</v>
      </c>
      <c r="W216" s="24"/>
      <c r="X216" s="24"/>
      <c r="Y216" s="6"/>
      <c r="Z216" s="6"/>
      <c r="AA216" s="6"/>
      <c r="AB216" s="6"/>
      <c r="AC216" s="110">
        <v>322375.53000000003</v>
      </c>
      <c r="AD216" s="110">
        <v>319961.89</v>
      </c>
      <c r="AE216" s="110">
        <v>306772.49</v>
      </c>
      <c r="AF216" s="110">
        <v>311459.99</v>
      </c>
      <c r="AG216" s="110">
        <v>313476.94</v>
      </c>
      <c r="AH216" s="110">
        <v>317530.15999999997</v>
      </c>
      <c r="AI216" s="110">
        <v>287018.19</v>
      </c>
      <c r="AJ216" s="110">
        <v>283865.38</v>
      </c>
      <c r="AK216" s="110">
        <v>280912.13</v>
      </c>
      <c r="AL216" s="110">
        <v>280961.52</v>
      </c>
      <c r="AM216" s="110">
        <v>151745.24</v>
      </c>
      <c r="AN216" s="110">
        <v>153039.26</v>
      </c>
      <c r="AO216" s="110">
        <v>152138.43</v>
      </c>
      <c r="AP216" s="110">
        <v>149577.76</v>
      </c>
      <c r="AQ216" s="110">
        <v>148566.25</v>
      </c>
      <c r="AR216" s="110">
        <v>150246.35999999999</v>
      </c>
      <c r="AS216" s="110">
        <v>150996.32999999999</v>
      </c>
      <c r="AT216" s="110">
        <v>150895.04999999999</v>
      </c>
      <c r="AU216" s="110">
        <v>63729.48</v>
      </c>
      <c r="AV216" s="110">
        <v>24986.82</v>
      </c>
      <c r="AW216" s="110">
        <v>10555.55</v>
      </c>
      <c r="AX216" s="110">
        <v>10604.3</v>
      </c>
      <c r="AY216" s="110">
        <v>146.69</v>
      </c>
      <c r="AZ216" s="110"/>
      <c r="BA216" s="110"/>
      <c r="BB216" s="110"/>
      <c r="BC216" s="110"/>
      <c r="BD216" s="110">
        <v>0</v>
      </c>
      <c r="BE216" s="110">
        <v>0</v>
      </c>
      <c r="BF216" s="110">
        <v>0</v>
      </c>
      <c r="BG216" s="110" t="s">
        <v>2932</v>
      </c>
      <c r="BH216" s="110">
        <v>0</v>
      </c>
      <c r="BI216" s="110" t="s">
        <v>2932</v>
      </c>
      <c r="BJ216" s="110">
        <v>0</v>
      </c>
      <c r="BK216" s="237">
        <v>0</v>
      </c>
      <c r="BL216" s="237">
        <v>0</v>
      </c>
      <c r="BM216" s="237">
        <v>0</v>
      </c>
      <c r="BN216" s="237">
        <v>0</v>
      </c>
      <c r="BO216" s="237">
        <v>0</v>
      </c>
      <c r="BP216" s="237">
        <v>0</v>
      </c>
      <c r="BQ216" s="237">
        <v>0</v>
      </c>
      <c r="BR216" s="237">
        <v>0</v>
      </c>
      <c r="BS216" s="237">
        <v>0</v>
      </c>
      <c r="BT216" s="237">
        <v>0</v>
      </c>
      <c r="BU216" s="237">
        <v>0</v>
      </c>
      <c r="BV216" s="237">
        <v>0</v>
      </c>
      <c r="BW216" s="237">
        <v>0</v>
      </c>
      <c r="BX216" s="237">
        <v>0</v>
      </c>
      <c r="BY216" s="237">
        <v>0</v>
      </c>
      <c r="BZ216" s="237">
        <v>0</v>
      </c>
      <c r="CA216" s="237">
        <v>0</v>
      </c>
      <c r="CB216" s="237">
        <v>0</v>
      </c>
      <c r="CC216" s="237">
        <v>0</v>
      </c>
      <c r="CD216" s="237">
        <v>0</v>
      </c>
      <c r="CE216" s="237">
        <v>0</v>
      </c>
      <c r="CF216" s="237">
        <v>0</v>
      </c>
      <c r="CG216" s="237">
        <v>0</v>
      </c>
      <c r="CH216" s="30">
        <v>0</v>
      </c>
      <c r="CI216" s="30">
        <v>0</v>
      </c>
      <c r="CJ216" s="30" t="e">
        <f t="array" aca="1" ref="CJ216" ca="1">_xludf.XLOOKUP(C216,'PL TOTAL D0'!H:H,'PL TOTAL D0'!I:I,"")</f>
        <v>#NAME?</v>
      </c>
    </row>
    <row r="217" spans="1:88" ht="15.75" customHeight="1">
      <c r="A217" s="36" t="s">
        <v>2921</v>
      </c>
      <c r="B217" s="3" t="s">
        <v>3293</v>
      </c>
      <c r="C217" s="9">
        <v>629394</v>
      </c>
      <c r="D217" s="9" t="s">
        <v>19</v>
      </c>
      <c r="E217" s="9" t="s">
        <v>34</v>
      </c>
      <c r="F217" s="6" t="s">
        <v>262</v>
      </c>
      <c r="G217" s="7" t="e">
        <f t="shared" ca="1" si="0"/>
        <v>#NAME?</v>
      </c>
      <c r="H217" s="8" t="s">
        <v>143</v>
      </c>
      <c r="I217" s="24" t="s">
        <v>25</v>
      </c>
      <c r="J217" s="9" t="str">
        <f t="shared" si="3"/>
        <v>Não</v>
      </c>
      <c r="K217" s="107">
        <v>44440</v>
      </c>
      <c r="L217" s="107">
        <v>44658</v>
      </c>
      <c r="M217" s="6" t="s">
        <v>200</v>
      </c>
      <c r="N217" s="10">
        <v>1.4999999999999999E-2</v>
      </c>
      <c r="O217" s="9" t="s">
        <v>37</v>
      </c>
      <c r="P217" s="234">
        <v>0.1</v>
      </c>
      <c r="Q217" s="28"/>
      <c r="R217" s="28"/>
      <c r="S217" s="7" t="s">
        <v>145</v>
      </c>
      <c r="T217" s="6" t="s">
        <v>3294</v>
      </c>
      <c r="U217" s="6" t="s">
        <v>39</v>
      </c>
      <c r="V217" s="24" t="e">
        <f t="shared" ca="1" si="2"/>
        <v>#NAME?</v>
      </c>
      <c r="W217" s="24"/>
      <c r="X217" s="24"/>
      <c r="Y217" s="6" t="s">
        <v>253</v>
      </c>
      <c r="Z217" s="6"/>
      <c r="AA217" s="6"/>
      <c r="AB217" s="6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40"/>
      <c r="AO217" s="110"/>
      <c r="AP217" s="110"/>
      <c r="AQ217" s="110"/>
      <c r="AR217" s="110"/>
      <c r="AS217" s="110"/>
      <c r="AT217" s="110"/>
      <c r="AU217" s="110"/>
      <c r="AV217" s="110"/>
      <c r="AW217" s="132"/>
      <c r="AX217" s="132">
        <v>77135.12</v>
      </c>
      <c r="AY217" s="110">
        <v>58974.13</v>
      </c>
      <c r="AZ217" s="110">
        <v>57395.74</v>
      </c>
      <c r="BA217" s="110">
        <v>56955.97</v>
      </c>
      <c r="BB217" s="110">
        <v>57143.28</v>
      </c>
      <c r="BC217" s="110"/>
      <c r="BD217" s="110">
        <v>2.2799999999999998</v>
      </c>
      <c r="BE217" s="110">
        <v>54.54</v>
      </c>
      <c r="BF217" s="110">
        <v>57.28</v>
      </c>
      <c r="BG217" s="241" t="s">
        <v>2932</v>
      </c>
      <c r="BH217" s="110">
        <v>0</v>
      </c>
      <c r="BI217" s="110" t="s">
        <v>2932</v>
      </c>
      <c r="BJ217" s="110">
        <v>0</v>
      </c>
      <c r="BK217" s="237">
        <v>0</v>
      </c>
      <c r="BL217" s="237">
        <v>0</v>
      </c>
      <c r="BM217" s="237">
        <v>0</v>
      </c>
      <c r="BN217" s="237">
        <v>0</v>
      </c>
      <c r="BO217" s="237">
        <v>0</v>
      </c>
      <c r="BP217" s="237">
        <v>0</v>
      </c>
      <c r="BQ217" s="237">
        <v>0</v>
      </c>
      <c r="BR217" s="237">
        <v>0</v>
      </c>
      <c r="BS217" s="237">
        <v>0</v>
      </c>
      <c r="BT217" s="237">
        <v>0</v>
      </c>
      <c r="BU217" s="237">
        <v>0</v>
      </c>
      <c r="BV217" s="237">
        <v>0</v>
      </c>
      <c r="BW217" s="237">
        <v>0</v>
      </c>
      <c r="BX217" s="237">
        <v>0</v>
      </c>
      <c r="BY217" s="237">
        <v>0</v>
      </c>
      <c r="BZ217" s="237">
        <v>0</v>
      </c>
      <c r="CA217" s="237">
        <v>0</v>
      </c>
      <c r="CB217" s="237">
        <v>0</v>
      </c>
      <c r="CC217" s="237">
        <v>0</v>
      </c>
      <c r="CD217" s="237">
        <v>0</v>
      </c>
      <c r="CE217" s="237">
        <v>0</v>
      </c>
      <c r="CF217" s="237">
        <v>0</v>
      </c>
      <c r="CG217" s="237">
        <v>0</v>
      </c>
      <c r="CH217" s="30">
        <v>0</v>
      </c>
      <c r="CI217" s="30">
        <v>0</v>
      </c>
      <c r="CJ217" s="30" t="e">
        <f t="array" aca="1" ref="CJ217" ca="1">_xludf.XLOOKUP(C217,'PL TOTAL D0'!H:H,'PL TOTAL D0'!I:I,"")</f>
        <v>#NAME?</v>
      </c>
    </row>
    <row r="218" spans="1:88" ht="15.75" customHeight="1">
      <c r="A218" s="36" t="s">
        <v>2921</v>
      </c>
      <c r="B218" s="3" t="s">
        <v>1573</v>
      </c>
      <c r="C218" s="9">
        <v>32879</v>
      </c>
      <c r="D218" s="9" t="s">
        <v>19</v>
      </c>
      <c r="E218" s="9" t="s">
        <v>34</v>
      </c>
      <c r="F218" s="9" t="s">
        <v>35</v>
      </c>
      <c r="G218" s="7" t="e">
        <f t="shared" ca="1" si="0"/>
        <v>#NAME?</v>
      </c>
      <c r="H218" s="8" t="s">
        <v>161</v>
      </c>
      <c r="I218" s="24" t="s">
        <v>162</v>
      </c>
      <c r="J218" s="9" t="str">
        <f t="shared" si="3"/>
        <v>Não</v>
      </c>
      <c r="K218" s="232">
        <v>44273</v>
      </c>
      <c r="L218" s="6"/>
      <c r="M218" s="6" t="s">
        <v>200</v>
      </c>
      <c r="N218" s="10">
        <v>1.4999999999999999E-2</v>
      </c>
      <c r="O218" s="9" t="s">
        <v>37</v>
      </c>
      <c r="P218" s="234">
        <v>0.1</v>
      </c>
      <c r="Q218" s="108"/>
      <c r="R218" s="108"/>
      <c r="S218" s="7" t="s">
        <v>145</v>
      </c>
      <c r="T218" s="6" t="s">
        <v>1575</v>
      </c>
      <c r="U218" s="6" t="s">
        <v>39</v>
      </c>
      <c r="V218" s="24" t="e">
        <f t="shared" ca="1" si="2"/>
        <v>#NAME?</v>
      </c>
      <c r="W218" s="24"/>
      <c r="X218" s="24"/>
      <c r="Y218" s="6" t="s">
        <v>253</v>
      </c>
      <c r="Z218" s="6"/>
      <c r="AA218" s="107">
        <v>44273</v>
      </c>
      <c r="AB218" s="6">
        <v>49075100004129</v>
      </c>
      <c r="AC218" s="240"/>
      <c r="AD218" s="240"/>
      <c r="AE218" s="240"/>
      <c r="AF218" s="240"/>
      <c r="AG218" s="240"/>
      <c r="AH218" s="240"/>
      <c r="AI218" s="240"/>
      <c r="AJ218" s="240"/>
      <c r="AK218" s="240"/>
      <c r="AL218" s="240"/>
      <c r="AM218" s="240"/>
      <c r="AN218" s="240"/>
      <c r="AO218" s="240"/>
      <c r="AP218" s="110"/>
      <c r="AQ218" s="236"/>
      <c r="AR218" s="236">
        <v>420366.43</v>
      </c>
      <c r="AS218" s="236"/>
      <c r="AT218" s="236">
        <v>426923.34</v>
      </c>
      <c r="AU218" s="236">
        <v>433809.53</v>
      </c>
      <c r="AV218" s="110">
        <v>685702.1</v>
      </c>
      <c r="AW218" s="110">
        <v>683692.1</v>
      </c>
      <c r="AX218" s="110">
        <v>676882.01</v>
      </c>
      <c r="AY218" s="110">
        <v>657264.42000000004</v>
      </c>
      <c r="AZ218" s="110">
        <v>660774.56999999995</v>
      </c>
      <c r="BA218" s="110">
        <v>656027.68999999994</v>
      </c>
      <c r="BB218" s="110">
        <v>655017.03</v>
      </c>
      <c r="BC218" s="110">
        <v>666102.96</v>
      </c>
      <c r="BD218" s="110">
        <v>670385.14</v>
      </c>
      <c r="BE218" s="110">
        <v>698402.15</v>
      </c>
      <c r="BF218" s="110">
        <v>697071.63</v>
      </c>
      <c r="BG218" s="237">
        <v>694289.36</v>
      </c>
      <c r="BH218" s="237">
        <v>687532.63</v>
      </c>
      <c r="BI218" s="237">
        <v>698188.4</v>
      </c>
      <c r="BJ218" s="237">
        <v>707617.29</v>
      </c>
      <c r="BK218" s="237">
        <v>713623.43</v>
      </c>
      <c r="BL218" s="237">
        <v>740271.6</v>
      </c>
      <c r="BM218" s="237">
        <v>733249.79</v>
      </c>
      <c r="BN218" s="237">
        <v>739098.49</v>
      </c>
      <c r="BO218" s="237">
        <v>748194.52</v>
      </c>
      <c r="BP218" s="237">
        <v>753142.46</v>
      </c>
      <c r="BQ218" s="237">
        <v>761972.83</v>
      </c>
      <c r="BR218" s="237">
        <v>764090.06</v>
      </c>
      <c r="BS218" s="237">
        <v>38003.230000000003</v>
      </c>
      <c r="BT218" s="237">
        <v>160.07</v>
      </c>
      <c r="BU218" s="237">
        <v>0</v>
      </c>
      <c r="BV218" s="237">
        <v>0</v>
      </c>
      <c r="BW218" s="237">
        <v>0</v>
      </c>
      <c r="BX218" s="237">
        <v>0</v>
      </c>
      <c r="BY218" s="237">
        <v>0</v>
      </c>
      <c r="BZ218" s="237">
        <v>0</v>
      </c>
      <c r="CA218" s="237">
        <v>0</v>
      </c>
      <c r="CB218" s="237">
        <v>0</v>
      </c>
      <c r="CC218" s="237">
        <v>0</v>
      </c>
      <c r="CD218" s="237">
        <v>0</v>
      </c>
      <c r="CE218" s="237">
        <v>0</v>
      </c>
      <c r="CF218" s="237">
        <v>0</v>
      </c>
      <c r="CG218" s="237">
        <v>0</v>
      </c>
      <c r="CH218" s="30">
        <v>0</v>
      </c>
      <c r="CI218" s="30">
        <v>0</v>
      </c>
      <c r="CJ218" s="30" t="e">
        <f t="array" aca="1" ref="CJ218" ca="1">_xludf.XLOOKUP(C218,'PL TOTAL D0'!H:H,'PL TOTAL D0'!I:I,"")</f>
        <v>#NAME?</v>
      </c>
    </row>
    <row r="219" spans="1:88" ht="15.75" customHeight="1">
      <c r="A219" s="36" t="s">
        <v>2921</v>
      </c>
      <c r="B219" s="106" t="s">
        <v>3295</v>
      </c>
      <c r="C219" s="9">
        <v>33154</v>
      </c>
      <c r="D219" s="9" t="s">
        <v>19</v>
      </c>
      <c r="E219" s="9" t="s">
        <v>34</v>
      </c>
      <c r="F219" s="9" t="s">
        <v>2971</v>
      </c>
      <c r="G219" s="7" t="e">
        <f t="shared" ca="1" si="0"/>
        <v>#NAME?</v>
      </c>
      <c r="H219" s="8" t="s">
        <v>161</v>
      </c>
      <c r="I219" s="24" t="s">
        <v>162</v>
      </c>
      <c r="J219" s="9" t="str">
        <f t="shared" si="3"/>
        <v>Não</v>
      </c>
      <c r="K219" s="232">
        <v>44263</v>
      </c>
      <c r="L219" s="6"/>
      <c r="M219" s="6" t="s">
        <v>58</v>
      </c>
      <c r="N219" s="233">
        <v>1.2E-2</v>
      </c>
      <c r="O219" s="9" t="s">
        <v>25</v>
      </c>
      <c r="P219" s="234">
        <v>0</v>
      </c>
      <c r="Q219" s="108"/>
      <c r="R219" s="108"/>
      <c r="S219" s="7" t="s">
        <v>145</v>
      </c>
      <c r="T219" s="9" t="s">
        <v>1590</v>
      </c>
      <c r="U219" s="6" t="s">
        <v>39</v>
      </c>
      <c r="V219" s="24" t="e">
        <f t="shared" ca="1" si="2"/>
        <v>#NAME?</v>
      </c>
      <c r="W219" s="24"/>
      <c r="X219" s="24"/>
      <c r="Y219" s="6" t="s">
        <v>253</v>
      </c>
      <c r="Z219" s="6"/>
      <c r="AA219" s="107">
        <v>44263</v>
      </c>
      <c r="AB219" s="6">
        <v>49075100009661</v>
      </c>
      <c r="AC219" s="240"/>
      <c r="AD219" s="240"/>
      <c r="AE219" s="240"/>
      <c r="AF219" s="240"/>
      <c r="AG219" s="240"/>
      <c r="AH219" s="240"/>
      <c r="AI219" s="240"/>
      <c r="AJ219" s="240"/>
      <c r="AK219" s="240"/>
      <c r="AL219" s="240"/>
      <c r="AM219" s="240"/>
      <c r="AN219" s="240"/>
      <c r="AO219" s="240"/>
      <c r="AP219" s="110"/>
      <c r="AQ219" s="236">
        <v>198855.38</v>
      </c>
      <c r="AR219" s="236">
        <v>200032.1</v>
      </c>
      <c r="AS219" s="236"/>
      <c r="AT219" s="236">
        <v>203032.53</v>
      </c>
      <c r="AU219" s="236">
        <v>204852.34</v>
      </c>
      <c r="AV219" s="110">
        <v>205079.13</v>
      </c>
      <c r="AW219" s="110">
        <v>204181.77</v>
      </c>
      <c r="AX219" s="110">
        <v>202553.34</v>
      </c>
      <c r="AY219" s="110">
        <v>201703.37</v>
      </c>
      <c r="AZ219" s="110">
        <v>198738.9</v>
      </c>
      <c r="BA219" s="110">
        <v>197367.58</v>
      </c>
      <c r="BB219" s="110">
        <v>197381.15</v>
      </c>
      <c r="BC219" s="110">
        <v>199591.06</v>
      </c>
      <c r="BD219" s="110">
        <v>200788.67</v>
      </c>
      <c r="BE219" s="110">
        <v>206647.5</v>
      </c>
      <c r="BF219" s="110">
        <v>240604.24</v>
      </c>
      <c r="BG219" s="237">
        <v>228713.87</v>
      </c>
      <c r="BH219" s="237">
        <v>240132.03</v>
      </c>
      <c r="BI219" s="237">
        <v>242182.35</v>
      </c>
      <c r="BJ219" s="237">
        <v>245167.72</v>
      </c>
      <c r="BK219" s="237">
        <v>247080.54</v>
      </c>
      <c r="BL219" s="237">
        <v>252554.41</v>
      </c>
      <c r="BM219" s="237">
        <v>251269.26</v>
      </c>
      <c r="BN219" s="237">
        <v>253527.62</v>
      </c>
      <c r="BO219" s="237">
        <v>256037.43</v>
      </c>
      <c r="BP219" s="237">
        <v>258337.55</v>
      </c>
      <c r="BQ219" s="237">
        <v>261457.83</v>
      </c>
      <c r="BR219" s="237">
        <v>263534.24</v>
      </c>
      <c r="BS219" s="237">
        <v>266487.63</v>
      </c>
      <c r="BT219" s="237">
        <v>193720.82</v>
      </c>
      <c r="BU219" s="237">
        <v>195250.72</v>
      </c>
      <c r="BV219" s="237">
        <v>197923.5</v>
      </c>
      <c r="BW219" s="237">
        <v>18977.05</v>
      </c>
      <c r="BX219" s="237">
        <v>3.96</v>
      </c>
      <c r="BY219" s="237">
        <v>3.96</v>
      </c>
      <c r="BZ219" s="237">
        <v>3.96</v>
      </c>
      <c r="CA219" s="237">
        <v>0</v>
      </c>
      <c r="CB219" s="237">
        <v>0</v>
      </c>
      <c r="CC219" s="237">
        <v>0</v>
      </c>
      <c r="CD219" s="237">
        <v>0</v>
      </c>
      <c r="CE219" s="237">
        <v>0</v>
      </c>
      <c r="CF219" s="237">
        <v>0</v>
      </c>
      <c r="CG219" s="237">
        <v>0</v>
      </c>
      <c r="CH219" s="30">
        <v>0</v>
      </c>
      <c r="CI219" s="30">
        <v>0</v>
      </c>
      <c r="CJ219" s="30" t="e">
        <f t="array" aca="1" ref="CJ219" ca="1">_xludf.XLOOKUP(C219,'PL TOTAL D0'!H:H,'PL TOTAL D0'!I:I,"")</f>
        <v>#NAME?</v>
      </c>
    </row>
    <row r="220" spans="1:88" ht="15.75" customHeight="1">
      <c r="A220" s="36" t="s">
        <v>2921</v>
      </c>
      <c r="B220" s="106" t="s">
        <v>3296</v>
      </c>
      <c r="C220" s="9">
        <v>34322</v>
      </c>
      <c r="D220" s="9" t="s">
        <v>19</v>
      </c>
      <c r="E220" s="9" t="s">
        <v>34</v>
      </c>
      <c r="F220" s="9" t="s">
        <v>35</v>
      </c>
      <c r="G220" s="7" t="e">
        <f t="shared" ca="1" si="0"/>
        <v>#NAME?</v>
      </c>
      <c r="H220" s="8" t="s">
        <v>161</v>
      </c>
      <c r="I220" s="24" t="s">
        <v>162</v>
      </c>
      <c r="J220" s="9" t="str">
        <f t="shared" si="3"/>
        <v>Não</v>
      </c>
      <c r="K220" s="232">
        <v>44263</v>
      </c>
      <c r="L220" s="6"/>
      <c r="M220" s="6" t="s">
        <v>345</v>
      </c>
      <c r="N220" s="233">
        <v>0.02</v>
      </c>
      <c r="O220" s="9" t="s">
        <v>37</v>
      </c>
      <c r="P220" s="234">
        <v>0.2</v>
      </c>
      <c r="Q220" s="45"/>
      <c r="R220" s="108" t="s">
        <v>3297</v>
      </c>
      <c r="S220" s="7" t="s">
        <v>145</v>
      </c>
      <c r="T220" s="9" t="s">
        <v>1605</v>
      </c>
      <c r="U220" s="6" t="s">
        <v>39</v>
      </c>
      <c r="V220" s="24" t="e">
        <f t="shared" ca="1" si="2"/>
        <v>#NAME?</v>
      </c>
      <c r="W220" s="24"/>
      <c r="X220" s="24"/>
      <c r="Y220" s="6" t="s">
        <v>253</v>
      </c>
      <c r="Z220" s="6"/>
      <c r="AA220" s="107">
        <v>44263</v>
      </c>
      <c r="AB220" s="6">
        <v>49075100009678</v>
      </c>
      <c r="AC220" s="240"/>
      <c r="AD220" s="240"/>
      <c r="AE220" s="240"/>
      <c r="AF220" s="240"/>
      <c r="AG220" s="240"/>
      <c r="AH220" s="240"/>
      <c r="AI220" s="240"/>
      <c r="AJ220" s="240"/>
      <c r="AK220" s="240"/>
      <c r="AL220" s="240"/>
      <c r="AM220" s="240"/>
      <c r="AN220" s="240"/>
      <c r="AO220" s="240"/>
      <c r="AP220" s="110"/>
      <c r="AQ220" s="236">
        <v>415129.62</v>
      </c>
      <c r="AR220" s="236">
        <v>417730.26</v>
      </c>
      <c r="AS220" s="236"/>
      <c r="AT220" s="236">
        <v>425633.12</v>
      </c>
      <c r="AU220" s="236">
        <v>432273.2</v>
      </c>
      <c r="AV220" s="110">
        <v>432356.5</v>
      </c>
      <c r="AW220" s="110">
        <v>737497.79</v>
      </c>
      <c r="AX220" s="110">
        <v>718881.68</v>
      </c>
      <c r="AY220" s="110">
        <v>695661.45</v>
      </c>
      <c r="AZ220" s="110">
        <v>658334.57999999996</v>
      </c>
      <c r="BA220" s="110">
        <v>577746.66</v>
      </c>
      <c r="BB220" s="110">
        <v>574564.67000000004</v>
      </c>
      <c r="BC220" s="110">
        <v>510337.87</v>
      </c>
      <c r="BD220" s="110">
        <v>512897.96</v>
      </c>
      <c r="BE220" s="110">
        <v>534743.84</v>
      </c>
      <c r="BF220" s="110">
        <v>520383.62</v>
      </c>
      <c r="BG220" s="237">
        <v>514852.24</v>
      </c>
      <c r="BH220" s="237">
        <v>495844.91</v>
      </c>
      <c r="BI220" s="237">
        <v>508707.58</v>
      </c>
      <c r="BJ220" s="237">
        <v>519986.04</v>
      </c>
      <c r="BK220" s="237">
        <v>523383.14</v>
      </c>
      <c r="BL220" s="237">
        <v>535552.69999999995</v>
      </c>
      <c r="BM220" s="237">
        <v>541207.19999999995</v>
      </c>
      <c r="BN220" s="237">
        <v>543432.43999999994</v>
      </c>
      <c r="BO220" s="237">
        <v>551180.31000000006</v>
      </c>
      <c r="BP220" s="237">
        <v>546444.85</v>
      </c>
      <c r="BQ220" s="237">
        <v>550836.59</v>
      </c>
      <c r="BR220" s="237">
        <v>553560.15</v>
      </c>
      <c r="BS220" s="237">
        <v>488905.25</v>
      </c>
      <c r="BT220" s="237">
        <v>476456.84</v>
      </c>
      <c r="BU220" s="237">
        <v>320866.90999999997</v>
      </c>
      <c r="BV220" s="237">
        <v>445848.54</v>
      </c>
      <c r="BW220" s="237">
        <v>430901.76000000001</v>
      </c>
      <c r="BX220" s="237">
        <v>274027.21000000002</v>
      </c>
      <c r="BY220" s="237">
        <v>174797.54</v>
      </c>
      <c r="BZ220" s="237">
        <v>177415.98</v>
      </c>
      <c r="CA220" s="237">
        <v>175748.19</v>
      </c>
      <c r="CB220" s="237">
        <v>177568.06</v>
      </c>
      <c r="CC220" s="237">
        <v>178792.94</v>
      </c>
      <c r="CD220" s="237">
        <v>705.08</v>
      </c>
      <c r="CE220" s="237">
        <v>635.67999999999995</v>
      </c>
      <c r="CF220" s="237">
        <v>577.36</v>
      </c>
      <c r="CG220" s="237">
        <v>488.96</v>
      </c>
      <c r="CH220" s="30">
        <v>488.96</v>
      </c>
      <c r="CI220" s="30">
        <v>445.28</v>
      </c>
      <c r="CJ220" s="30" t="e">
        <f t="array" aca="1" ref="CJ220" ca="1">_xludf.XLOOKUP(C220,'PL TOTAL D0'!H:H,'PL TOTAL D0'!I:I,"")</f>
        <v>#NAME?</v>
      </c>
    </row>
    <row r="221" spans="1:88" ht="15.75" customHeight="1">
      <c r="A221" s="36" t="s">
        <v>2921</v>
      </c>
      <c r="B221" s="106" t="s">
        <v>3296</v>
      </c>
      <c r="C221" s="9">
        <v>34368</v>
      </c>
      <c r="D221" s="244" t="s">
        <v>19</v>
      </c>
      <c r="E221" s="244" t="s">
        <v>34</v>
      </c>
      <c r="F221" s="244" t="s">
        <v>35</v>
      </c>
      <c r="G221" s="7" t="e">
        <f t="shared" ca="1" si="0"/>
        <v>#NAME?</v>
      </c>
      <c r="H221" s="245" t="s">
        <v>161</v>
      </c>
      <c r="I221" s="24" t="s">
        <v>162</v>
      </c>
      <c r="J221" s="9" t="str">
        <f t="shared" si="3"/>
        <v>Não</v>
      </c>
      <c r="K221" s="246">
        <v>44390</v>
      </c>
      <c r="L221" s="247"/>
      <c r="M221" s="247" t="s">
        <v>200</v>
      </c>
      <c r="N221" s="251">
        <v>1.4999999999999999E-2</v>
      </c>
      <c r="O221" s="251"/>
      <c r="P221" s="249"/>
      <c r="Q221" s="45"/>
      <c r="R221" s="108" t="s">
        <v>3298</v>
      </c>
      <c r="S221" s="7" t="s">
        <v>145</v>
      </c>
      <c r="T221" s="9" t="s">
        <v>1605</v>
      </c>
      <c r="U221" s="6" t="s">
        <v>39</v>
      </c>
      <c r="V221" s="24" t="e">
        <f t="shared" ca="1" si="2"/>
        <v>#NAME?</v>
      </c>
      <c r="W221" s="24"/>
      <c r="X221" s="24"/>
      <c r="Y221" s="6" t="s">
        <v>253</v>
      </c>
      <c r="Z221" s="6"/>
      <c r="AA221" s="107">
        <v>44390</v>
      </c>
      <c r="AB221" s="6">
        <v>49075100004153</v>
      </c>
      <c r="AC221" s="132"/>
      <c r="AD221" s="132"/>
      <c r="AE221" s="132"/>
      <c r="AF221" s="132"/>
      <c r="AG221" s="132"/>
      <c r="AH221" s="132"/>
      <c r="AI221" s="132"/>
      <c r="AJ221" s="132"/>
      <c r="AK221" s="132"/>
      <c r="AL221" s="132"/>
      <c r="AM221" s="132"/>
      <c r="AN221" s="132"/>
      <c r="AO221" s="110"/>
      <c r="AP221" s="236"/>
      <c r="AQ221" s="236"/>
      <c r="AR221" s="236"/>
      <c r="AS221" s="236"/>
      <c r="AT221" s="236"/>
      <c r="AU221" s="110"/>
      <c r="AV221" s="132"/>
      <c r="AW221" s="110">
        <v>304738.17</v>
      </c>
      <c r="AX221" s="110">
        <v>296183.23</v>
      </c>
      <c r="AY221" s="110">
        <v>287825.44</v>
      </c>
      <c r="AZ221" s="110">
        <v>277633.8</v>
      </c>
      <c r="BA221" s="110">
        <v>176809.5</v>
      </c>
      <c r="BB221" s="110">
        <v>175846.29</v>
      </c>
      <c r="BC221" s="110">
        <v>265263.84000000003</v>
      </c>
      <c r="BD221" s="110">
        <v>268988.36</v>
      </c>
      <c r="BE221" s="110">
        <v>280147.46999999997</v>
      </c>
      <c r="BF221" s="110">
        <v>273872.71000000002</v>
      </c>
      <c r="BG221" s="237">
        <v>266325.93</v>
      </c>
      <c r="BH221" s="237">
        <v>269792.15000000002</v>
      </c>
      <c r="BI221" s="237">
        <v>275009.73</v>
      </c>
      <c r="BJ221" s="237">
        <v>277856.39</v>
      </c>
      <c r="BK221" s="237">
        <v>280804.84000000003</v>
      </c>
      <c r="BL221" s="237">
        <v>535552.69999999995</v>
      </c>
      <c r="BM221" s="237">
        <v>289550.78999999998</v>
      </c>
      <c r="BN221" s="237">
        <v>291460.08</v>
      </c>
      <c r="BO221" s="237">
        <v>293700.2</v>
      </c>
      <c r="BP221" s="237">
        <v>294560.90999999997</v>
      </c>
      <c r="BQ221" s="237">
        <v>297334.58</v>
      </c>
      <c r="BR221" s="237">
        <v>297817.42</v>
      </c>
      <c r="BS221" s="237">
        <v>166750.54999999999</v>
      </c>
      <c r="BT221" s="237">
        <v>151858.66</v>
      </c>
      <c r="BU221" s="237">
        <v>106425.76</v>
      </c>
      <c r="BV221" s="237">
        <v>80759.990000000005</v>
      </c>
      <c r="BW221" s="237">
        <v>65813.990000000005</v>
      </c>
      <c r="BX221" s="237">
        <v>66463.490000000005</v>
      </c>
      <c r="BY221" s="237">
        <v>67768.479999999996</v>
      </c>
      <c r="BZ221" s="237">
        <v>44199.57</v>
      </c>
      <c r="CA221" s="237">
        <v>47462.01</v>
      </c>
      <c r="CB221" s="237">
        <v>23955.74</v>
      </c>
      <c r="CC221" s="237">
        <v>28571.09</v>
      </c>
      <c r="CD221" s="237">
        <v>88.93</v>
      </c>
      <c r="CE221" s="237">
        <v>55.7</v>
      </c>
      <c r="CF221" s="237">
        <v>55.7</v>
      </c>
      <c r="CG221" s="237">
        <v>44.31</v>
      </c>
      <c r="CH221" s="30">
        <v>44.31</v>
      </c>
      <c r="CI221" s="30">
        <v>40.6</v>
      </c>
      <c r="CJ221" s="30" t="e">
        <f t="array" aca="1" ref="CJ221" ca="1">_xludf.XLOOKUP(C221,'PL TOTAL D0'!H:H,'PL TOTAL D0'!I:I,"")</f>
        <v>#NAME?</v>
      </c>
    </row>
    <row r="222" spans="1:88" ht="15.75" customHeight="1">
      <c r="A222" s="36" t="s">
        <v>2921</v>
      </c>
      <c r="B222" s="3" t="s">
        <v>1633</v>
      </c>
      <c r="C222" s="9">
        <v>649332</v>
      </c>
      <c r="D222" s="9" t="s">
        <v>19</v>
      </c>
      <c r="E222" s="9" t="s">
        <v>34</v>
      </c>
      <c r="F222" s="9" t="s">
        <v>262</v>
      </c>
      <c r="G222" s="7" t="e">
        <f t="shared" ca="1" si="0"/>
        <v>#NAME?</v>
      </c>
      <c r="H222" s="8" t="s">
        <v>161</v>
      </c>
      <c r="I222" s="24" t="s">
        <v>162</v>
      </c>
      <c r="J222" s="9" t="str">
        <f t="shared" si="3"/>
        <v>Não</v>
      </c>
      <c r="K222" s="232">
        <v>44715</v>
      </c>
      <c r="L222" s="7"/>
      <c r="M222" s="6" t="s">
        <v>58</v>
      </c>
      <c r="N222" s="26">
        <v>1.2E-2</v>
      </c>
      <c r="O222" s="9" t="s">
        <v>25</v>
      </c>
      <c r="P222" s="234">
        <v>0</v>
      </c>
      <c r="Q222" s="28"/>
      <c r="R222" s="28"/>
      <c r="S222" s="7" t="s">
        <v>145</v>
      </c>
      <c r="T222" s="6" t="s">
        <v>1635</v>
      </c>
      <c r="U222" s="6" t="s">
        <v>60</v>
      </c>
      <c r="V222" s="24" t="e">
        <f t="shared" ca="1" si="2"/>
        <v>#NAME?</v>
      </c>
      <c r="W222" s="24"/>
      <c r="X222" s="24"/>
      <c r="Y222" s="6" t="s">
        <v>253</v>
      </c>
      <c r="Z222" s="6"/>
      <c r="AA222" s="107">
        <v>44715</v>
      </c>
      <c r="AB222" s="6">
        <v>49075100010722</v>
      </c>
      <c r="AC222" s="132"/>
      <c r="AD222" s="132"/>
      <c r="AE222" s="132"/>
      <c r="AF222" s="132"/>
      <c r="AG222" s="132"/>
      <c r="AH222" s="132"/>
      <c r="AI222" s="132"/>
      <c r="AJ222" s="132"/>
      <c r="AK222" s="132"/>
      <c r="AL222" s="132"/>
      <c r="AM222" s="132"/>
      <c r="AN222" s="132"/>
      <c r="AO222" s="132"/>
      <c r="AP222" s="110"/>
      <c r="AQ222" s="236"/>
      <c r="AR222" s="236"/>
      <c r="AS222" s="236"/>
      <c r="AT222" s="236"/>
      <c r="AU222" s="236"/>
      <c r="AV222" s="110"/>
      <c r="AW222" s="110"/>
      <c r="AX222" s="110"/>
      <c r="AY222" s="110"/>
      <c r="AZ222" s="110"/>
      <c r="BA222" s="110"/>
      <c r="BB222" s="110"/>
      <c r="BC222" s="110"/>
      <c r="BD222" s="110"/>
      <c r="BE222" s="110"/>
      <c r="BF222" s="110"/>
      <c r="BG222" s="253">
        <v>140000</v>
      </c>
      <c r="BH222" s="237">
        <v>139493.42000000001</v>
      </c>
      <c r="BI222" s="237">
        <v>140779.44</v>
      </c>
      <c r="BJ222" s="237">
        <v>0</v>
      </c>
      <c r="BK222" s="237">
        <v>-49.69</v>
      </c>
      <c r="BL222" s="237">
        <v>-49.66</v>
      </c>
      <c r="BM222" s="237">
        <v>-49.66</v>
      </c>
      <c r="BN222" s="237">
        <v>-49.66</v>
      </c>
      <c r="BO222" s="237">
        <v>-49.66</v>
      </c>
      <c r="BP222" s="237">
        <v>-49.66</v>
      </c>
      <c r="BQ222" s="237">
        <v>-49.66</v>
      </c>
      <c r="BR222" s="237">
        <v>0</v>
      </c>
      <c r="BS222" s="237">
        <v>0</v>
      </c>
      <c r="BT222" s="237">
        <v>0</v>
      </c>
      <c r="BU222" s="237">
        <v>0</v>
      </c>
      <c r="BV222" s="237">
        <v>0</v>
      </c>
      <c r="BW222" s="237">
        <v>0</v>
      </c>
      <c r="BX222" s="237">
        <v>0</v>
      </c>
      <c r="BY222" s="237">
        <v>0</v>
      </c>
      <c r="BZ222" s="237">
        <v>0</v>
      </c>
      <c r="CA222" s="237">
        <v>0</v>
      </c>
      <c r="CB222" s="237">
        <v>0</v>
      </c>
      <c r="CC222" s="237">
        <v>0</v>
      </c>
      <c r="CD222" s="237">
        <v>0</v>
      </c>
      <c r="CE222" s="237">
        <v>0</v>
      </c>
      <c r="CF222" s="237">
        <v>0</v>
      </c>
      <c r="CG222" s="237">
        <v>0</v>
      </c>
      <c r="CH222" s="30">
        <v>0</v>
      </c>
      <c r="CI222" s="30">
        <v>0</v>
      </c>
      <c r="CJ222" s="30" t="e">
        <f t="array" aca="1" ref="CJ222" ca="1">_xludf.XLOOKUP(C222,'PL TOTAL D0'!H:H,'PL TOTAL D0'!I:I,"")</f>
        <v>#NAME?</v>
      </c>
    </row>
    <row r="223" spans="1:88" ht="15.75" customHeight="1">
      <c r="A223" s="36" t="s">
        <v>2921</v>
      </c>
      <c r="B223" s="3" t="s">
        <v>3299</v>
      </c>
      <c r="C223" s="9">
        <v>448575</v>
      </c>
      <c r="D223" s="9" t="s">
        <v>19</v>
      </c>
      <c r="E223" s="9" t="s">
        <v>34</v>
      </c>
      <c r="F223" s="9" t="s">
        <v>35</v>
      </c>
      <c r="G223" s="7" t="e">
        <f t="shared" ca="1" si="0"/>
        <v>#NAME?</v>
      </c>
      <c r="H223" s="8" t="s">
        <v>161</v>
      </c>
      <c r="I223" s="24" t="s">
        <v>162</v>
      </c>
      <c r="J223" s="9" t="str">
        <f t="shared" si="3"/>
        <v>Não</v>
      </c>
      <c r="K223" s="232">
        <v>44298</v>
      </c>
      <c r="L223" s="7"/>
      <c r="M223" s="6" t="s">
        <v>42</v>
      </c>
      <c r="N223" s="26">
        <v>7.0000000000000001E-3</v>
      </c>
      <c r="O223" s="9" t="s">
        <v>25</v>
      </c>
      <c r="P223" s="234">
        <v>0</v>
      </c>
      <c r="Q223" s="28"/>
      <c r="R223" s="235" t="s">
        <v>3300</v>
      </c>
      <c r="S223" s="7" t="s">
        <v>145</v>
      </c>
      <c r="T223" s="6" t="s">
        <v>3301</v>
      </c>
      <c r="U223" s="6" t="s">
        <v>39</v>
      </c>
      <c r="V223" s="24" t="e">
        <f t="shared" ca="1" si="2"/>
        <v>#NAME?</v>
      </c>
      <c r="W223" s="24"/>
      <c r="X223" s="24"/>
      <c r="Y223" s="6" t="s">
        <v>253</v>
      </c>
      <c r="Z223" s="6"/>
      <c r="AA223" s="107">
        <v>44298</v>
      </c>
      <c r="AB223" s="6">
        <v>49075100010730</v>
      </c>
      <c r="AC223" s="132"/>
      <c r="AD223" s="132"/>
      <c r="AE223" s="132"/>
      <c r="AF223" s="132"/>
      <c r="AG223" s="132"/>
      <c r="AH223" s="132"/>
      <c r="AI223" s="132"/>
      <c r="AJ223" s="132"/>
      <c r="AK223" s="132"/>
      <c r="AL223" s="132"/>
      <c r="AM223" s="132"/>
      <c r="AN223" s="132"/>
      <c r="AO223" s="132"/>
      <c r="AP223" s="110"/>
      <c r="AQ223" s="236"/>
      <c r="AR223" s="236"/>
      <c r="AS223" s="236"/>
      <c r="AT223" s="236"/>
      <c r="AU223" s="236">
        <v>298278.75</v>
      </c>
      <c r="AV223" s="110">
        <v>297313.40000000002</v>
      </c>
      <c r="AW223" s="110">
        <v>321981.8</v>
      </c>
      <c r="AX223" s="110">
        <v>314985.39</v>
      </c>
      <c r="AY223" s="110">
        <v>307278.34000000003</v>
      </c>
      <c r="AZ223" s="110">
        <v>291979.48</v>
      </c>
      <c r="BA223" s="110">
        <v>286200.7</v>
      </c>
      <c r="BB223" s="110">
        <v>287252.14</v>
      </c>
      <c r="BC223" s="110">
        <v>293582.46999999997</v>
      </c>
      <c r="BD223" s="110">
        <v>296191.68</v>
      </c>
      <c r="BE223" s="110">
        <v>308726.59000000003</v>
      </c>
      <c r="BF223" s="110">
        <v>303487.15999999997</v>
      </c>
      <c r="BG223" s="237">
        <v>303710.15999999997</v>
      </c>
      <c r="BH223" s="237">
        <v>305706.23999999999</v>
      </c>
      <c r="BI223" s="237">
        <v>306956.95</v>
      </c>
      <c r="BJ223" s="237">
        <v>310142.5</v>
      </c>
      <c r="BK223" s="237">
        <v>311874.84000000003</v>
      </c>
      <c r="BL223" s="237">
        <v>159997.20000000001</v>
      </c>
      <c r="BM223" s="237">
        <v>502</v>
      </c>
      <c r="BN223" s="237">
        <v>502</v>
      </c>
      <c r="BO223" s="237">
        <v>502.52</v>
      </c>
      <c r="BP223" s="237">
        <v>502.52</v>
      </c>
      <c r="BQ223" s="237">
        <v>502.52</v>
      </c>
      <c r="BR223" s="237">
        <v>502.52</v>
      </c>
      <c r="BS223" s="237">
        <v>0</v>
      </c>
      <c r="BT223" s="237">
        <v>0</v>
      </c>
      <c r="BU223" s="237">
        <v>0</v>
      </c>
      <c r="BV223" s="237">
        <v>0</v>
      </c>
      <c r="BW223" s="237">
        <v>0</v>
      </c>
      <c r="BX223" s="237">
        <v>0</v>
      </c>
      <c r="BY223" s="237">
        <v>0</v>
      </c>
      <c r="BZ223" s="237">
        <v>0</v>
      </c>
      <c r="CA223" s="237">
        <v>0</v>
      </c>
      <c r="CB223" s="237">
        <v>0</v>
      </c>
      <c r="CC223" s="237">
        <v>0</v>
      </c>
      <c r="CD223" s="237">
        <v>0</v>
      </c>
      <c r="CE223" s="237">
        <v>0</v>
      </c>
      <c r="CF223" s="237">
        <v>0</v>
      </c>
      <c r="CG223" s="237">
        <v>0</v>
      </c>
      <c r="CH223" s="30">
        <v>0</v>
      </c>
      <c r="CI223" s="30">
        <v>0</v>
      </c>
      <c r="CJ223" s="30" t="e">
        <f t="array" aca="1" ref="CJ223" ca="1">_xludf.XLOOKUP(C223,'PL TOTAL D0'!H:H,'PL TOTAL D0'!I:I,"")</f>
        <v>#NAME?</v>
      </c>
    </row>
    <row r="224" spans="1:88" ht="15.75" customHeight="1">
      <c r="A224" s="36" t="s">
        <v>2921</v>
      </c>
      <c r="B224" s="36" t="s">
        <v>3302</v>
      </c>
      <c r="C224" s="9">
        <v>580912</v>
      </c>
      <c r="D224" s="9" t="s">
        <v>2923</v>
      </c>
      <c r="E224" s="9" t="s">
        <v>20</v>
      </c>
      <c r="F224" s="9" t="s">
        <v>2924</v>
      </c>
      <c r="G224" s="7" t="e">
        <f t="shared" ca="1" si="0"/>
        <v>#NAME?</v>
      </c>
      <c r="H224" s="8" t="s">
        <v>161</v>
      </c>
      <c r="I224" s="24" t="s">
        <v>162</v>
      </c>
      <c r="J224" s="9" t="str">
        <f t="shared" si="3"/>
        <v>Não</v>
      </c>
      <c r="K224" s="232">
        <v>43620</v>
      </c>
      <c r="L224" s="6"/>
      <c r="M224" s="6" t="s">
        <v>200</v>
      </c>
      <c r="N224" s="233">
        <v>1.4999999999999999E-2</v>
      </c>
      <c r="O224" s="9" t="s">
        <v>37</v>
      </c>
      <c r="P224" s="234">
        <v>0.1</v>
      </c>
      <c r="Q224" s="36"/>
      <c r="R224" s="108" t="s">
        <v>3303</v>
      </c>
      <c r="S224" s="7" t="s">
        <v>145</v>
      </c>
      <c r="T224" s="9" t="s">
        <v>3304</v>
      </c>
      <c r="U224" s="6" t="s">
        <v>20</v>
      </c>
      <c r="V224" s="24" t="e">
        <f t="shared" ca="1" si="2"/>
        <v>#NAME?</v>
      </c>
      <c r="W224" s="24"/>
      <c r="X224" s="24"/>
      <c r="Y224" s="6" t="s">
        <v>253</v>
      </c>
      <c r="Z224" s="6"/>
      <c r="AA224" s="107">
        <v>43620</v>
      </c>
      <c r="AB224" s="6">
        <v>49075100009961</v>
      </c>
      <c r="AC224" s="110">
        <v>553586.46</v>
      </c>
      <c r="AD224" s="110">
        <v>545252.55000000005</v>
      </c>
      <c r="AE224" s="110">
        <v>508622.11</v>
      </c>
      <c r="AF224" s="110">
        <v>519787.21</v>
      </c>
      <c r="AG224" s="110">
        <v>526530.54</v>
      </c>
      <c r="AH224" s="110">
        <v>532642.71</v>
      </c>
      <c r="AI224" s="110">
        <v>439504.16</v>
      </c>
      <c r="AJ224" s="110">
        <v>374075.64</v>
      </c>
      <c r="AK224" s="110">
        <v>368954.56</v>
      </c>
      <c r="AL224" s="110">
        <v>367894.44</v>
      </c>
      <c r="AM224" s="110">
        <v>386077.57</v>
      </c>
      <c r="AN224" s="110">
        <v>393359.97</v>
      </c>
      <c r="AO224" s="110">
        <v>389144.61</v>
      </c>
      <c r="AP224" s="110">
        <v>375965.32</v>
      </c>
      <c r="AQ224" s="236">
        <v>370564.72</v>
      </c>
      <c r="AR224" s="236">
        <v>383073.16</v>
      </c>
      <c r="AS224" s="236">
        <v>384215.3</v>
      </c>
      <c r="AT224" s="236">
        <v>385205.05</v>
      </c>
      <c r="AU224" s="236">
        <v>391564.43</v>
      </c>
      <c r="AV224" s="110">
        <v>391322.02</v>
      </c>
      <c r="AW224" s="110">
        <v>387675.05</v>
      </c>
      <c r="AX224" s="110">
        <v>381092.72</v>
      </c>
      <c r="AY224" s="110">
        <v>344948.39</v>
      </c>
      <c r="AZ224" s="110">
        <v>363925.82</v>
      </c>
      <c r="BA224" s="110">
        <v>223231.68</v>
      </c>
      <c r="BB224" s="110">
        <v>204541.03</v>
      </c>
      <c r="BC224" s="110">
        <v>210511.46</v>
      </c>
      <c r="BD224" s="110">
        <v>177265.3</v>
      </c>
      <c r="BE224" s="110">
        <v>158160.65</v>
      </c>
      <c r="BF224" s="110">
        <v>151324.25</v>
      </c>
      <c r="BG224" s="237">
        <v>152479.29999999999</v>
      </c>
      <c r="BH224" s="237">
        <v>0</v>
      </c>
      <c r="BI224" s="237">
        <v>121379.13</v>
      </c>
      <c r="BJ224" s="237">
        <v>61391.74</v>
      </c>
      <c r="BK224" s="237">
        <v>48182.32</v>
      </c>
      <c r="BL224" s="237">
        <v>49948.639999999999</v>
      </c>
      <c r="BM224" s="237">
        <v>44246.04</v>
      </c>
      <c r="BN224" s="237">
        <v>42094.62</v>
      </c>
      <c r="BO224" s="237">
        <v>44196.95</v>
      </c>
      <c r="BP224" s="237">
        <v>41888.89</v>
      </c>
      <c r="BQ224" s="237">
        <v>39426.79</v>
      </c>
      <c r="BR224" s="237">
        <v>39582.480000000003</v>
      </c>
      <c r="BS224" s="237">
        <v>0</v>
      </c>
      <c r="BT224" s="237">
        <v>0</v>
      </c>
      <c r="BU224" s="237">
        <v>0</v>
      </c>
      <c r="BV224" s="237">
        <v>0</v>
      </c>
      <c r="BW224" s="237">
        <v>0</v>
      </c>
      <c r="BX224" s="237">
        <v>0</v>
      </c>
      <c r="BY224" s="237">
        <v>0</v>
      </c>
      <c r="BZ224" s="237">
        <v>0</v>
      </c>
      <c r="CA224" s="237">
        <v>0</v>
      </c>
      <c r="CB224" s="237">
        <v>0</v>
      </c>
      <c r="CC224" s="237">
        <v>0</v>
      </c>
      <c r="CD224" s="237">
        <v>0</v>
      </c>
      <c r="CE224" s="237">
        <v>0</v>
      </c>
      <c r="CF224" s="237">
        <v>0</v>
      </c>
      <c r="CG224" s="237">
        <v>0</v>
      </c>
      <c r="CH224" s="30">
        <v>0</v>
      </c>
      <c r="CI224" s="30">
        <v>0</v>
      </c>
      <c r="CJ224" s="30" t="e">
        <f t="array" aca="1" ref="CJ224" ca="1">_xludf.XLOOKUP(C224,'PL TOTAL D0'!H:H,'PL TOTAL D0'!I:I,"")</f>
        <v>#NAME?</v>
      </c>
    </row>
    <row r="225" spans="1:88" ht="15.75" customHeight="1">
      <c r="A225" s="36" t="s">
        <v>2921</v>
      </c>
      <c r="B225" s="3" t="s">
        <v>1668</v>
      </c>
      <c r="C225" s="9">
        <v>382026</v>
      </c>
      <c r="D225" s="9" t="s">
        <v>19</v>
      </c>
      <c r="E225" s="9" t="s">
        <v>20</v>
      </c>
      <c r="F225" s="9" t="s">
        <v>3305</v>
      </c>
      <c r="G225" s="7" t="e">
        <f t="shared" ca="1" si="0"/>
        <v>#NAME?</v>
      </c>
      <c r="H225" s="8" t="s">
        <v>161</v>
      </c>
      <c r="I225" s="24" t="s">
        <v>162</v>
      </c>
      <c r="J225" s="9" t="str">
        <f t="shared" si="3"/>
        <v>Não</v>
      </c>
      <c r="K225" s="232">
        <v>45098</v>
      </c>
      <c r="L225" s="6"/>
      <c r="M225" s="6" t="s">
        <v>42</v>
      </c>
      <c r="N225" s="233">
        <v>1.2E-2</v>
      </c>
      <c r="O225" s="9" t="s">
        <v>25</v>
      </c>
      <c r="P225" s="234">
        <v>0</v>
      </c>
      <c r="Q225" s="108"/>
      <c r="R225" s="108"/>
      <c r="S225" s="7" t="s">
        <v>145</v>
      </c>
      <c r="T225" s="6" t="s">
        <v>1671</v>
      </c>
      <c r="U225" s="6" t="s">
        <v>20</v>
      </c>
      <c r="V225" s="24" t="e">
        <f t="shared" ca="1" si="2"/>
        <v>#NAME?</v>
      </c>
      <c r="W225" s="24"/>
      <c r="X225" s="24"/>
      <c r="Y225" s="6" t="s">
        <v>253</v>
      </c>
      <c r="Z225" s="6"/>
      <c r="AA225" s="107">
        <v>45098</v>
      </c>
      <c r="AB225" s="6">
        <v>49075100010749</v>
      </c>
      <c r="AC225" s="110"/>
      <c r="AD225" s="110"/>
      <c r="AE225" s="110"/>
      <c r="AF225" s="110"/>
      <c r="AG225" s="110"/>
      <c r="AH225" s="110"/>
      <c r="AI225" s="110"/>
      <c r="AJ225" s="110"/>
      <c r="AK225" s="110"/>
      <c r="AL225" s="110"/>
      <c r="AM225" s="110"/>
      <c r="AN225" s="110"/>
      <c r="AO225" s="110"/>
      <c r="AP225" s="110"/>
      <c r="AQ225" s="236"/>
      <c r="AR225" s="236"/>
      <c r="AS225" s="236"/>
      <c r="AT225" s="236"/>
      <c r="AU225" s="236"/>
      <c r="AV225" s="110"/>
      <c r="AW225" s="110"/>
      <c r="AX225" s="110"/>
      <c r="AY225" s="110"/>
      <c r="AZ225" s="110"/>
      <c r="BA225" s="110"/>
      <c r="BB225" s="110"/>
      <c r="BC225" s="110"/>
      <c r="BD225" s="110"/>
      <c r="BE225" s="110"/>
      <c r="BF225" s="110"/>
      <c r="BG225" s="237"/>
      <c r="BH225" s="237"/>
      <c r="BI225" s="237"/>
      <c r="BJ225" s="237"/>
      <c r="BK225" s="237"/>
      <c r="BL225" s="237"/>
      <c r="BM225" s="237"/>
      <c r="BN225" s="237"/>
      <c r="BO225" s="237"/>
      <c r="BP225" s="237"/>
      <c r="BQ225" s="237"/>
      <c r="BR225" s="237">
        <v>0</v>
      </c>
      <c r="BS225" s="237">
        <v>0</v>
      </c>
      <c r="BT225" s="237">
        <v>0</v>
      </c>
      <c r="BU225" s="237">
        <v>0</v>
      </c>
      <c r="BV225" s="237">
        <v>0</v>
      </c>
      <c r="BW225" s="237">
        <v>86134.84</v>
      </c>
      <c r="BX225" s="237">
        <v>21900.37</v>
      </c>
      <c r="BY225" s="237">
        <v>21805.33</v>
      </c>
      <c r="BZ225" s="237">
        <v>22142.5</v>
      </c>
      <c r="CA225" s="237">
        <v>22557.63</v>
      </c>
      <c r="CB225" s="237">
        <v>22887.93</v>
      </c>
      <c r="CC225" s="237">
        <v>23279.41</v>
      </c>
      <c r="CD225" s="237">
        <v>23696.71</v>
      </c>
      <c r="CE225" s="237">
        <v>24102.02</v>
      </c>
      <c r="CF225" s="237">
        <v>24494.47</v>
      </c>
      <c r="CG225" s="237">
        <v>24953.69</v>
      </c>
      <c r="CH225" s="30">
        <v>25401.01</v>
      </c>
      <c r="CI225" s="30">
        <v>25835.46</v>
      </c>
      <c r="CJ225" s="30" t="e">
        <f t="array" aca="1" ref="CJ225" ca="1">_xludf.XLOOKUP(C225,'PL TOTAL D0'!H:H,'PL TOTAL D0'!I:I,"")</f>
        <v>#NAME?</v>
      </c>
    </row>
    <row r="226" spans="1:88" ht="15.75" customHeight="1">
      <c r="A226" s="36" t="s">
        <v>2921</v>
      </c>
      <c r="B226" s="3" t="s">
        <v>3306</v>
      </c>
      <c r="C226" s="9">
        <v>806458</v>
      </c>
      <c r="D226" s="9" t="s">
        <v>19</v>
      </c>
      <c r="E226" s="9" t="s">
        <v>20</v>
      </c>
      <c r="F226" s="9" t="s">
        <v>2955</v>
      </c>
      <c r="G226" s="7" t="e">
        <f t="shared" ca="1" si="0"/>
        <v>#NAME?</v>
      </c>
      <c r="H226" s="8" t="s">
        <v>152</v>
      </c>
      <c r="I226" s="24" t="s">
        <v>25</v>
      </c>
      <c r="J226" s="9" t="str">
        <f t="shared" si="3"/>
        <v>Não</v>
      </c>
      <c r="K226" s="232">
        <v>45414</v>
      </c>
      <c r="L226" s="6"/>
      <c r="M226" s="6" t="s">
        <v>42</v>
      </c>
      <c r="N226" s="233">
        <v>0.01</v>
      </c>
      <c r="O226" s="9" t="s">
        <v>25</v>
      </c>
      <c r="P226" s="234">
        <v>0</v>
      </c>
      <c r="Q226" s="108"/>
      <c r="R226" s="108"/>
      <c r="S226" s="7" t="s">
        <v>145</v>
      </c>
      <c r="T226" s="12" t="s">
        <v>3307</v>
      </c>
      <c r="U226" s="6" t="s">
        <v>886</v>
      </c>
      <c r="V226" s="24" t="e">
        <f t="shared" ca="1" si="2"/>
        <v>#NAME?</v>
      </c>
      <c r="W226" s="24"/>
      <c r="X226" s="24" t="s">
        <v>52</v>
      </c>
      <c r="Y226" s="6"/>
      <c r="Z226" s="6"/>
      <c r="AA226" s="107">
        <v>45414</v>
      </c>
      <c r="AB226" s="6">
        <v>49075100015325</v>
      </c>
      <c r="AC226" s="110"/>
      <c r="AD226" s="110"/>
      <c r="AE226" s="110"/>
      <c r="AF226" s="110"/>
      <c r="AG226" s="110"/>
      <c r="AH226" s="110"/>
      <c r="AI226" s="110"/>
      <c r="AJ226" s="110"/>
      <c r="AK226" s="110"/>
      <c r="AL226" s="110"/>
      <c r="AM226" s="110"/>
      <c r="AN226" s="110"/>
      <c r="AO226" s="110"/>
      <c r="AP226" s="110"/>
      <c r="AQ226" s="236"/>
      <c r="AR226" s="236"/>
      <c r="AS226" s="236"/>
      <c r="AT226" s="236"/>
      <c r="AU226" s="236"/>
      <c r="AV226" s="110"/>
      <c r="AW226" s="110"/>
      <c r="AX226" s="110"/>
      <c r="AY226" s="110"/>
      <c r="AZ226" s="110"/>
      <c r="BA226" s="110"/>
      <c r="BB226" s="110"/>
      <c r="BC226" s="110"/>
      <c r="BD226" s="110"/>
      <c r="BE226" s="110"/>
      <c r="BF226" s="110"/>
      <c r="BG226" s="237"/>
      <c r="BH226" s="237"/>
      <c r="BI226" s="237"/>
      <c r="BJ226" s="237"/>
      <c r="BK226" s="237"/>
      <c r="BL226" s="237"/>
      <c r="BM226" s="237"/>
      <c r="BN226" s="237"/>
      <c r="BO226" s="237"/>
      <c r="BP226" s="237"/>
      <c r="BQ226" s="237"/>
      <c r="BR226" s="237"/>
      <c r="BS226" s="237"/>
      <c r="BT226" s="237"/>
      <c r="BU226" s="237"/>
      <c r="BV226" s="237"/>
      <c r="BW226" s="237"/>
      <c r="BX226" s="237"/>
      <c r="BY226" s="237"/>
      <c r="BZ226" s="237"/>
      <c r="CA226" s="237"/>
      <c r="CB226" s="237"/>
      <c r="CC226" s="237"/>
      <c r="CD226" s="237">
        <v>0</v>
      </c>
      <c r="CE226" s="237">
        <v>259211.67</v>
      </c>
      <c r="CF226" s="237">
        <v>436088.23</v>
      </c>
      <c r="CG226" s="237">
        <v>750400.73</v>
      </c>
      <c r="CH226" s="30">
        <v>740887.1</v>
      </c>
      <c r="CI226" s="30">
        <v>706198.4</v>
      </c>
      <c r="CJ226" s="30" t="e">
        <f t="array" aca="1" ref="CJ226" ca="1">_xludf.XLOOKUP(C226,'PL TOTAL D0'!H:H,'PL TOTAL D0'!I:I,"")</f>
        <v>#NAME?</v>
      </c>
    </row>
    <row r="227" spans="1:88" ht="15.75" customHeight="1">
      <c r="A227" s="36" t="s">
        <v>2921</v>
      </c>
      <c r="B227" s="37" t="s">
        <v>3308</v>
      </c>
      <c r="C227" s="9">
        <v>425269</v>
      </c>
      <c r="D227" s="9" t="s">
        <v>19</v>
      </c>
      <c r="E227" s="9" t="s">
        <v>34</v>
      </c>
      <c r="F227" s="6" t="s">
        <v>262</v>
      </c>
      <c r="G227" s="7" t="e">
        <f t="shared" ca="1" si="0"/>
        <v>#NAME?</v>
      </c>
      <c r="H227" s="8" t="s">
        <v>143</v>
      </c>
      <c r="I227" s="24" t="s">
        <v>25</v>
      </c>
      <c r="J227" s="9" t="str">
        <f t="shared" si="3"/>
        <v>Não</v>
      </c>
      <c r="K227" s="107">
        <v>44600</v>
      </c>
      <c r="L227" s="25">
        <v>44783</v>
      </c>
      <c r="M227" s="6" t="s">
        <v>58</v>
      </c>
      <c r="N227" s="10">
        <v>1.2E-2</v>
      </c>
      <c r="O227" s="9" t="s">
        <v>25</v>
      </c>
      <c r="P227" s="234">
        <v>0</v>
      </c>
      <c r="Q227" s="108"/>
      <c r="R227" s="108"/>
      <c r="S227" s="7" t="s">
        <v>145</v>
      </c>
      <c r="T227" s="6" t="s">
        <v>3309</v>
      </c>
      <c r="U227" s="6" t="s">
        <v>39</v>
      </c>
      <c r="V227" s="24" t="e">
        <f t="shared" ca="1" si="2"/>
        <v>#NAME?</v>
      </c>
      <c r="W227" s="24"/>
      <c r="X227" s="24"/>
      <c r="Y227" s="6" t="s">
        <v>253</v>
      </c>
      <c r="Z227" s="6"/>
      <c r="AA227" s="6"/>
      <c r="AB227" s="6"/>
      <c r="AC227" s="110"/>
      <c r="AD227" s="110"/>
      <c r="AE227" s="110"/>
      <c r="AF227" s="110"/>
      <c r="AG227" s="110"/>
      <c r="AH227" s="110"/>
      <c r="AI227" s="110"/>
      <c r="AJ227" s="110"/>
      <c r="AK227" s="110"/>
      <c r="AL227" s="110"/>
      <c r="AM227" s="110"/>
      <c r="AN227" s="110"/>
      <c r="AO227" s="110"/>
      <c r="AP227" s="110"/>
      <c r="AQ227" s="110"/>
      <c r="AR227" s="110"/>
      <c r="AS227" s="110"/>
      <c r="AT227" s="110"/>
      <c r="AU227" s="110"/>
      <c r="AV227" s="110"/>
      <c r="AW227" s="110"/>
      <c r="AX227" s="110"/>
      <c r="AY227" s="110"/>
      <c r="AZ227" s="110"/>
      <c r="BA227" s="110"/>
      <c r="BB227" s="110"/>
      <c r="BC227" s="110"/>
      <c r="BD227" s="110">
        <v>277841.27</v>
      </c>
      <c r="BE227" s="110">
        <v>285601.52</v>
      </c>
      <c r="BF227" s="110">
        <v>283547.59999999998</v>
      </c>
      <c r="BG227" s="110">
        <v>284163.3</v>
      </c>
      <c r="BH227" s="110">
        <v>283635.31</v>
      </c>
      <c r="BI227" s="110">
        <v>111338.29</v>
      </c>
      <c r="BJ227" s="110">
        <v>0</v>
      </c>
      <c r="BK227" s="237">
        <v>0</v>
      </c>
      <c r="BL227" s="237">
        <v>0</v>
      </c>
      <c r="BM227" s="237">
        <v>0</v>
      </c>
      <c r="BN227" s="237">
        <v>0</v>
      </c>
      <c r="BO227" s="237">
        <v>0</v>
      </c>
      <c r="BP227" s="237">
        <v>0</v>
      </c>
      <c r="BQ227" s="237">
        <v>0</v>
      </c>
      <c r="BR227" s="237">
        <v>0</v>
      </c>
      <c r="BS227" s="237">
        <v>0</v>
      </c>
      <c r="BT227" s="237">
        <v>0</v>
      </c>
      <c r="BU227" s="237">
        <v>0</v>
      </c>
      <c r="BV227" s="237">
        <v>0</v>
      </c>
      <c r="BW227" s="237">
        <v>0</v>
      </c>
      <c r="BX227" s="237">
        <v>0</v>
      </c>
      <c r="BY227" s="237">
        <v>0</v>
      </c>
      <c r="BZ227" s="237">
        <v>0</v>
      </c>
      <c r="CA227" s="237">
        <v>0</v>
      </c>
      <c r="CB227" s="237">
        <v>0</v>
      </c>
      <c r="CC227" s="237">
        <v>0</v>
      </c>
      <c r="CD227" s="237">
        <v>0</v>
      </c>
      <c r="CE227" s="237">
        <v>0</v>
      </c>
      <c r="CF227" s="237">
        <v>0</v>
      </c>
      <c r="CG227" s="237">
        <v>0</v>
      </c>
      <c r="CH227" s="30">
        <v>0</v>
      </c>
      <c r="CI227" s="30">
        <v>0</v>
      </c>
      <c r="CJ227" s="30" t="e">
        <f t="array" aca="1" ref="CJ227" ca="1">_xludf.XLOOKUP(C227,'PL TOTAL D0'!H:H,'PL TOTAL D0'!I:I,"")</f>
        <v>#NAME?</v>
      </c>
    </row>
    <row r="228" spans="1:88" ht="15.75" customHeight="1">
      <c r="A228" s="36" t="s">
        <v>2921</v>
      </c>
      <c r="B228" s="37" t="s">
        <v>3310</v>
      </c>
      <c r="C228" s="9">
        <v>584239</v>
      </c>
      <c r="D228" s="9" t="s">
        <v>2923</v>
      </c>
      <c r="E228" s="9" t="s">
        <v>20</v>
      </c>
      <c r="F228" s="6" t="s">
        <v>2930</v>
      </c>
      <c r="G228" s="7" t="e">
        <f t="shared" ca="1" si="0"/>
        <v>#NAME?</v>
      </c>
      <c r="H228" s="8" t="s">
        <v>143</v>
      </c>
      <c r="I228" s="24" t="s">
        <v>25</v>
      </c>
      <c r="J228" s="9" t="str">
        <f t="shared" si="3"/>
        <v>Não</v>
      </c>
      <c r="K228" s="107">
        <v>43606</v>
      </c>
      <c r="L228" s="239">
        <v>44484</v>
      </c>
      <c r="M228" s="6" t="s">
        <v>58</v>
      </c>
      <c r="N228" s="10">
        <v>5.0000000000000001E-3</v>
      </c>
      <c r="O228" s="9" t="s">
        <v>25</v>
      </c>
      <c r="P228" s="234">
        <v>0</v>
      </c>
      <c r="Q228" s="108"/>
      <c r="R228" s="108"/>
      <c r="S228" s="7" t="s">
        <v>187</v>
      </c>
      <c r="T228" s="6" t="s">
        <v>3311</v>
      </c>
      <c r="U228" s="6" t="s">
        <v>49</v>
      </c>
      <c r="V228" s="24" t="e">
        <f t="shared" ca="1" si="2"/>
        <v>#NAME?</v>
      </c>
      <c r="W228" s="24"/>
      <c r="X228" s="24"/>
      <c r="Y228" s="6"/>
      <c r="Z228" s="6"/>
      <c r="AA228" s="6"/>
      <c r="AB228" s="6"/>
      <c r="AC228" s="110">
        <v>0</v>
      </c>
      <c r="AD228" s="110">
        <v>0</v>
      </c>
      <c r="AE228" s="110">
        <v>0</v>
      </c>
      <c r="AF228" s="110">
        <v>0</v>
      </c>
      <c r="AG228" s="110">
        <v>0</v>
      </c>
      <c r="AH228" s="110">
        <v>0</v>
      </c>
      <c r="AI228" s="110">
        <v>0</v>
      </c>
      <c r="AJ228" s="110"/>
      <c r="AK228" s="110"/>
      <c r="AL228" s="110"/>
      <c r="AM228" s="110"/>
      <c r="AN228" s="110"/>
      <c r="AO228" s="110"/>
      <c r="AP228" s="110"/>
      <c r="AQ228" s="110"/>
      <c r="AR228" s="110"/>
      <c r="AS228" s="110"/>
      <c r="AT228" s="110"/>
      <c r="AU228" s="110"/>
      <c r="AV228" s="240"/>
      <c r="AW228" s="240"/>
      <c r="AX228" s="240"/>
      <c r="AY228" s="110"/>
      <c r="AZ228" s="110"/>
      <c r="BA228" s="110"/>
      <c r="BB228" s="110"/>
      <c r="BC228" s="110"/>
      <c r="BD228" s="110">
        <v>0</v>
      </c>
      <c r="BE228" s="110">
        <v>0</v>
      </c>
      <c r="BF228" s="110">
        <v>0</v>
      </c>
      <c r="BG228" s="110" t="s">
        <v>2932</v>
      </c>
      <c r="BH228" s="110">
        <v>0</v>
      </c>
      <c r="BI228" s="110" t="s">
        <v>2932</v>
      </c>
      <c r="BJ228" s="110">
        <v>0</v>
      </c>
      <c r="BK228" s="237">
        <v>0</v>
      </c>
      <c r="BL228" s="237">
        <v>0</v>
      </c>
      <c r="BM228" s="237">
        <v>0</v>
      </c>
      <c r="BN228" s="237">
        <v>0</v>
      </c>
      <c r="BO228" s="237">
        <v>0</v>
      </c>
      <c r="BP228" s="237">
        <v>0</v>
      </c>
      <c r="BQ228" s="237">
        <v>0</v>
      </c>
      <c r="BR228" s="237">
        <v>0</v>
      </c>
      <c r="BS228" s="237">
        <v>0</v>
      </c>
      <c r="BT228" s="237">
        <v>0</v>
      </c>
      <c r="BU228" s="237">
        <v>0</v>
      </c>
      <c r="BV228" s="237">
        <v>0</v>
      </c>
      <c r="BW228" s="237">
        <v>0</v>
      </c>
      <c r="BX228" s="237">
        <v>0</v>
      </c>
      <c r="BY228" s="237">
        <v>0</v>
      </c>
      <c r="BZ228" s="237">
        <v>0</v>
      </c>
      <c r="CA228" s="237">
        <v>0</v>
      </c>
      <c r="CB228" s="237">
        <v>0</v>
      </c>
      <c r="CC228" s="237">
        <v>0</v>
      </c>
      <c r="CD228" s="237">
        <v>0</v>
      </c>
      <c r="CE228" s="237">
        <v>0</v>
      </c>
      <c r="CF228" s="237">
        <v>0</v>
      </c>
      <c r="CG228" s="237">
        <v>0</v>
      </c>
      <c r="CH228" s="30">
        <v>0</v>
      </c>
      <c r="CI228" s="30">
        <v>0</v>
      </c>
      <c r="CJ228" s="30" t="e">
        <f t="array" aca="1" ref="CJ228" ca="1">_xludf.XLOOKUP(C228,'PL TOTAL D0'!H:H,'PL TOTAL D0'!I:I,"")</f>
        <v>#NAME?</v>
      </c>
    </row>
    <row r="229" spans="1:88" ht="15.75" customHeight="1">
      <c r="A229" s="36" t="s">
        <v>2921</v>
      </c>
      <c r="B229" s="37" t="s">
        <v>3312</v>
      </c>
      <c r="C229" s="9">
        <v>272112</v>
      </c>
      <c r="D229" s="9" t="s">
        <v>2923</v>
      </c>
      <c r="E229" s="9" t="s">
        <v>20</v>
      </c>
      <c r="F229" s="6" t="s">
        <v>2930</v>
      </c>
      <c r="G229" s="7" t="e">
        <f t="shared" ca="1" si="0"/>
        <v>#NAME?</v>
      </c>
      <c r="H229" s="8" t="s">
        <v>143</v>
      </c>
      <c r="I229" s="24" t="s">
        <v>25</v>
      </c>
      <c r="J229" s="9" t="str">
        <f t="shared" si="3"/>
        <v>Não</v>
      </c>
      <c r="K229" s="107">
        <v>43853</v>
      </c>
      <c r="L229" s="107">
        <v>43997</v>
      </c>
      <c r="M229" s="6" t="s">
        <v>58</v>
      </c>
      <c r="N229" s="10">
        <v>1.2E-2</v>
      </c>
      <c r="O229" s="9" t="s">
        <v>25</v>
      </c>
      <c r="P229" s="234">
        <v>0</v>
      </c>
      <c r="Q229" s="108"/>
      <c r="R229" s="108"/>
      <c r="S229" s="7" t="s">
        <v>145</v>
      </c>
      <c r="T229" s="6" t="s">
        <v>3313</v>
      </c>
      <c r="U229" s="6" t="s">
        <v>20</v>
      </c>
      <c r="V229" s="24" t="e">
        <f t="shared" ca="1" si="2"/>
        <v>#NAME?</v>
      </c>
      <c r="W229" s="24"/>
      <c r="X229" s="24"/>
      <c r="Y229" s="6"/>
      <c r="Z229" s="6"/>
      <c r="AA229" s="6"/>
      <c r="AB229" s="6"/>
      <c r="AC229" s="110">
        <v>109621.19</v>
      </c>
      <c r="AD229" s="110">
        <v>106136.05</v>
      </c>
      <c r="AE229" s="110">
        <v>99529.74</v>
      </c>
      <c r="AF229" s="110">
        <v>100955.14</v>
      </c>
      <c r="AG229" s="110">
        <v>76468.36</v>
      </c>
      <c r="AH229" s="110">
        <v>0</v>
      </c>
      <c r="AI229" s="110">
        <v>0</v>
      </c>
      <c r="AJ229" s="110"/>
      <c r="AK229" s="110"/>
      <c r="AL229" s="110"/>
      <c r="AM229" s="110"/>
      <c r="AN229" s="110"/>
      <c r="AO229" s="110"/>
      <c r="AP229" s="110"/>
      <c r="AQ229" s="110"/>
      <c r="AR229" s="110"/>
      <c r="AS229" s="110"/>
      <c r="AT229" s="110"/>
      <c r="AU229" s="110"/>
      <c r="AV229" s="240"/>
      <c r="AW229" s="240"/>
      <c r="AX229" s="240"/>
      <c r="AY229" s="110"/>
      <c r="AZ229" s="110"/>
      <c r="BA229" s="110"/>
      <c r="BB229" s="110"/>
      <c r="BC229" s="110"/>
      <c r="BD229" s="110">
        <v>0</v>
      </c>
      <c r="BE229" s="110">
        <v>0</v>
      </c>
      <c r="BF229" s="110">
        <v>0</v>
      </c>
      <c r="BG229" s="110" t="s">
        <v>2932</v>
      </c>
      <c r="BH229" s="110">
        <v>0</v>
      </c>
      <c r="BI229" s="110" t="s">
        <v>2932</v>
      </c>
      <c r="BJ229" s="110">
        <v>0</v>
      </c>
      <c r="BK229" s="237">
        <v>0</v>
      </c>
      <c r="BL229" s="237">
        <v>0</v>
      </c>
      <c r="BM229" s="237">
        <v>0</v>
      </c>
      <c r="BN229" s="237">
        <v>0</v>
      </c>
      <c r="BO229" s="237">
        <v>0</v>
      </c>
      <c r="BP229" s="237">
        <v>0</v>
      </c>
      <c r="BQ229" s="237">
        <v>0</v>
      </c>
      <c r="BR229" s="237">
        <v>0</v>
      </c>
      <c r="BS229" s="237">
        <v>0</v>
      </c>
      <c r="BT229" s="237">
        <v>0</v>
      </c>
      <c r="BU229" s="237">
        <v>0</v>
      </c>
      <c r="BV229" s="237">
        <v>0</v>
      </c>
      <c r="BW229" s="237">
        <v>0</v>
      </c>
      <c r="BX229" s="237">
        <v>0</v>
      </c>
      <c r="BY229" s="237">
        <v>0</v>
      </c>
      <c r="BZ229" s="237">
        <v>0</v>
      </c>
      <c r="CA229" s="237">
        <v>0</v>
      </c>
      <c r="CB229" s="237">
        <v>0</v>
      </c>
      <c r="CC229" s="237">
        <v>0</v>
      </c>
      <c r="CD229" s="237">
        <v>0</v>
      </c>
      <c r="CE229" s="237">
        <v>0</v>
      </c>
      <c r="CF229" s="237">
        <v>0</v>
      </c>
      <c r="CG229" s="237">
        <v>0</v>
      </c>
      <c r="CH229" s="30">
        <v>0</v>
      </c>
      <c r="CI229" s="30">
        <v>0</v>
      </c>
      <c r="CJ229" s="30" t="e">
        <f t="array" aca="1" ref="CJ229" ca="1">_xludf.XLOOKUP(C229,'PL TOTAL D0'!H:H,'PL TOTAL D0'!I:I,"")</f>
        <v>#NAME?</v>
      </c>
    </row>
    <row r="230" spans="1:88" ht="15.75" customHeight="1">
      <c r="A230" s="36" t="s">
        <v>2921</v>
      </c>
      <c r="B230" s="36" t="s">
        <v>3314</v>
      </c>
      <c r="C230" s="9">
        <v>254177</v>
      </c>
      <c r="D230" s="9" t="s">
        <v>19</v>
      </c>
      <c r="E230" s="9" t="s">
        <v>20</v>
      </c>
      <c r="F230" s="9" t="s">
        <v>199</v>
      </c>
      <c r="G230" s="7" t="e">
        <f t="shared" ca="1" si="0"/>
        <v>#NAME?</v>
      </c>
      <c r="H230" s="8" t="s">
        <v>152</v>
      </c>
      <c r="I230" s="24" t="s">
        <v>25</v>
      </c>
      <c r="J230" s="9" t="str">
        <f t="shared" si="3"/>
        <v>Não</v>
      </c>
      <c r="K230" s="232">
        <v>43605</v>
      </c>
      <c r="L230" s="6"/>
      <c r="M230" s="6" t="s">
        <v>87</v>
      </c>
      <c r="N230" s="233">
        <v>0.02</v>
      </c>
      <c r="O230" s="9" t="s">
        <v>183</v>
      </c>
      <c r="P230" s="234">
        <v>0.2</v>
      </c>
      <c r="Q230" s="108"/>
      <c r="R230" s="108" t="s">
        <v>3315</v>
      </c>
      <c r="S230" s="7" t="s">
        <v>145</v>
      </c>
      <c r="T230" s="9" t="s">
        <v>3316</v>
      </c>
      <c r="U230" s="6" t="s">
        <v>20</v>
      </c>
      <c r="V230" s="24" t="e">
        <f t="shared" ca="1" si="2"/>
        <v>#NAME?</v>
      </c>
      <c r="W230" s="24"/>
      <c r="X230" s="24"/>
      <c r="Y230" s="6" t="s">
        <v>253</v>
      </c>
      <c r="Z230" s="6"/>
      <c r="AA230" s="107">
        <v>43605</v>
      </c>
      <c r="AB230" s="6">
        <v>49075100004196</v>
      </c>
      <c r="AC230" s="110">
        <v>203765.14</v>
      </c>
      <c r="AD230" s="110">
        <v>192733.61</v>
      </c>
      <c r="AE230" s="110">
        <v>145685.72</v>
      </c>
      <c r="AF230" s="110">
        <v>153669.94</v>
      </c>
      <c r="AG230" s="110">
        <v>159552.51</v>
      </c>
      <c r="AH230" s="110">
        <v>163838.57</v>
      </c>
      <c r="AI230" s="110">
        <v>172183.97</v>
      </c>
      <c r="AJ230" s="110">
        <v>165248.79999999999</v>
      </c>
      <c r="AK230" s="110">
        <v>156115.79999999999</v>
      </c>
      <c r="AL230" s="110">
        <v>153946.04</v>
      </c>
      <c r="AM230" s="110">
        <v>178139.42</v>
      </c>
      <c r="AN230" s="110">
        <v>184038.19</v>
      </c>
      <c r="AO230" s="110">
        <v>175324.16</v>
      </c>
      <c r="AP230" s="110">
        <v>165142.71</v>
      </c>
      <c r="AQ230" s="236">
        <v>160423.34</v>
      </c>
      <c r="AR230" s="236">
        <v>166492.01</v>
      </c>
      <c r="AS230" s="236">
        <v>174628.13</v>
      </c>
      <c r="AT230" s="236">
        <v>175723.48</v>
      </c>
      <c r="AU230" s="236">
        <v>182966.66</v>
      </c>
      <c r="AV230" s="110">
        <v>180110.66</v>
      </c>
      <c r="AW230" s="110">
        <v>174710.39999999999</v>
      </c>
      <c r="AX230" s="110">
        <v>166243.91</v>
      </c>
      <c r="AY230" s="110">
        <v>158006.95000000001</v>
      </c>
      <c r="AZ230" s="110">
        <v>148150.53</v>
      </c>
      <c r="BA230" s="110">
        <v>143319.45000000001</v>
      </c>
      <c r="BB230" s="110">
        <v>144392.04</v>
      </c>
      <c r="BC230" s="110">
        <v>153401.57999999999</v>
      </c>
      <c r="BD230" s="110">
        <v>154842</v>
      </c>
      <c r="BE230" s="110">
        <v>165131.6</v>
      </c>
      <c r="BF230" s="110">
        <v>156924.85</v>
      </c>
      <c r="BG230" s="237">
        <v>152941.35</v>
      </c>
      <c r="BH230" s="237">
        <v>145788.75</v>
      </c>
      <c r="BI230" s="237">
        <v>152908.88</v>
      </c>
      <c r="BJ230" s="237">
        <v>155011.96</v>
      </c>
      <c r="BK230" s="237">
        <v>156265.26999999999</v>
      </c>
      <c r="BL230" s="237">
        <v>168059.85</v>
      </c>
      <c r="BM230" s="237">
        <v>164613.74</v>
      </c>
      <c r="BN230" s="237">
        <v>163642.63</v>
      </c>
      <c r="BO230" s="237">
        <v>168465.87</v>
      </c>
      <c r="BP230" s="237">
        <v>162301.56</v>
      </c>
      <c r="BQ230" s="237">
        <v>161392.31</v>
      </c>
      <c r="BR230" s="237">
        <v>157968.79</v>
      </c>
      <c r="BS230" s="237">
        <v>164898.01999999999</v>
      </c>
      <c r="BT230" s="237">
        <v>177743.22</v>
      </c>
      <c r="BU230" s="237">
        <v>186346.03</v>
      </c>
      <c r="BV230" s="237">
        <v>184863.6</v>
      </c>
      <c r="BW230" s="237">
        <v>178398.64</v>
      </c>
      <c r="BX230" s="237">
        <v>169677.95</v>
      </c>
      <c r="BY230" s="237">
        <v>182559.83</v>
      </c>
      <c r="BZ230" s="237">
        <v>190649.46</v>
      </c>
      <c r="CA230" s="237">
        <v>177975.46</v>
      </c>
      <c r="CB230" s="237">
        <v>181682.01</v>
      </c>
      <c r="CC230" s="237">
        <v>183770.72</v>
      </c>
      <c r="CD230" s="237">
        <v>176450.28</v>
      </c>
      <c r="CE230" s="237">
        <v>118192.86</v>
      </c>
      <c r="CF230" s="237">
        <v>129604.77</v>
      </c>
      <c r="CG230" s="237">
        <v>117114.06</v>
      </c>
      <c r="CH230" s="30">
        <v>134773.57</v>
      </c>
      <c r="CI230" s="30">
        <v>132080.93</v>
      </c>
      <c r="CJ230" s="30" t="e">
        <f t="array" aca="1" ref="CJ230" ca="1">_xludf.XLOOKUP(C230,'PL TOTAL D0'!H:H,'PL TOTAL D0'!I:I,"")</f>
        <v>#NAME?</v>
      </c>
    </row>
    <row r="231" spans="1:88" ht="15.75" customHeight="1">
      <c r="A231" s="36" t="s">
        <v>2921</v>
      </c>
      <c r="B231" s="37" t="s">
        <v>3314</v>
      </c>
      <c r="C231" s="9">
        <v>33371</v>
      </c>
      <c r="D231" s="9" t="s">
        <v>19</v>
      </c>
      <c r="E231" s="9" t="s">
        <v>20</v>
      </c>
      <c r="F231" s="9" t="s">
        <v>199</v>
      </c>
      <c r="G231" s="7" t="e">
        <f t="shared" ca="1" si="0"/>
        <v>#NAME?</v>
      </c>
      <c r="H231" s="8" t="s">
        <v>152</v>
      </c>
      <c r="I231" s="24" t="s">
        <v>25</v>
      </c>
      <c r="J231" s="9" t="str">
        <f t="shared" si="3"/>
        <v>Não</v>
      </c>
      <c r="K231" s="232">
        <v>45225</v>
      </c>
      <c r="L231" s="6"/>
      <c r="M231" s="9" t="s">
        <v>58</v>
      </c>
      <c r="N231" s="26">
        <v>1.2E-2</v>
      </c>
      <c r="O231" s="6" t="s">
        <v>37</v>
      </c>
      <c r="P231" s="234">
        <v>0.1</v>
      </c>
      <c r="Q231" s="108"/>
      <c r="R231" s="108" t="s">
        <v>3317</v>
      </c>
      <c r="S231" s="7" t="s">
        <v>145</v>
      </c>
      <c r="T231" s="6" t="s">
        <v>3316</v>
      </c>
      <c r="U231" s="6" t="s">
        <v>20</v>
      </c>
      <c r="V231" s="24" t="e">
        <f t="shared" ca="1" si="2"/>
        <v>#NAME?</v>
      </c>
      <c r="W231" s="24"/>
      <c r="X231" s="24"/>
      <c r="Y231" s="6" t="s">
        <v>253</v>
      </c>
      <c r="Z231" s="6"/>
      <c r="AA231" s="107">
        <v>45225</v>
      </c>
      <c r="AB231" s="6">
        <v>49075100013101</v>
      </c>
      <c r="AC231" s="110"/>
      <c r="AD231" s="110"/>
      <c r="AE231" s="110"/>
      <c r="AF231" s="110"/>
      <c r="AG231" s="110"/>
      <c r="AH231" s="110"/>
      <c r="AI231" s="110"/>
      <c r="AJ231" s="110"/>
      <c r="AK231" s="110"/>
      <c r="AL231" s="110"/>
      <c r="AM231" s="110"/>
      <c r="AN231" s="110"/>
      <c r="AO231" s="110"/>
      <c r="AP231" s="110"/>
      <c r="AQ231" s="236"/>
      <c r="AR231" s="236"/>
      <c r="AS231" s="236"/>
      <c r="AT231" s="236"/>
      <c r="AU231" s="236"/>
      <c r="AV231" s="110"/>
      <c r="AW231" s="110"/>
      <c r="AX231" s="110"/>
      <c r="AY231" s="110"/>
      <c r="AZ231" s="110"/>
      <c r="BA231" s="110"/>
      <c r="BB231" s="110"/>
      <c r="BC231" s="110"/>
      <c r="BD231" s="110"/>
      <c r="BE231" s="110"/>
      <c r="BF231" s="110"/>
      <c r="BG231" s="237"/>
      <c r="BH231" s="237"/>
      <c r="BI231" s="237"/>
      <c r="BJ231" s="237"/>
      <c r="BK231" s="237"/>
      <c r="BL231" s="237"/>
      <c r="BM231" s="237"/>
      <c r="BN231" s="237"/>
      <c r="BO231" s="237"/>
      <c r="BP231" s="237"/>
      <c r="BQ231" s="237"/>
      <c r="BR231" s="237"/>
      <c r="BS231" s="237"/>
      <c r="BT231" s="237"/>
      <c r="BU231" s="237"/>
      <c r="BV231" s="237"/>
      <c r="BW231" s="237"/>
      <c r="BX231" s="237">
        <v>561679.94999999995</v>
      </c>
      <c r="BY231" s="237">
        <v>287547.74</v>
      </c>
      <c r="BZ231" s="237">
        <v>570999.74</v>
      </c>
      <c r="CA231" s="237">
        <v>570094.06000000006</v>
      </c>
      <c r="CB231" s="237">
        <v>574940.09</v>
      </c>
      <c r="CC231" s="237">
        <v>528997.98</v>
      </c>
      <c r="CD231" s="237">
        <v>570534.86</v>
      </c>
      <c r="CE231" s="237">
        <v>314555.3</v>
      </c>
      <c r="CF231" s="237">
        <v>316733.99</v>
      </c>
      <c r="CG231" s="237">
        <v>315502.84999999998</v>
      </c>
      <c r="CH231" s="30">
        <v>315620.38</v>
      </c>
      <c r="CI231" s="30">
        <v>323048.89</v>
      </c>
      <c r="CJ231" s="30" t="e">
        <f t="array" aca="1" ref="CJ231" ca="1">_xludf.XLOOKUP(C231,'PL TOTAL D0'!H:H,'PL TOTAL D0'!I:I,"")</f>
        <v>#NAME?</v>
      </c>
    </row>
    <row r="232" spans="1:88" ht="15.75" customHeight="1">
      <c r="A232" s="36" t="s">
        <v>2921</v>
      </c>
      <c r="B232" s="36" t="s">
        <v>3318</v>
      </c>
      <c r="C232" s="9">
        <v>439655</v>
      </c>
      <c r="D232" s="9" t="s">
        <v>19</v>
      </c>
      <c r="E232" s="9" t="s">
        <v>20</v>
      </c>
      <c r="F232" s="9" t="s">
        <v>199</v>
      </c>
      <c r="G232" s="7" t="e">
        <f t="shared" ca="1" si="0"/>
        <v>#NAME?</v>
      </c>
      <c r="H232" s="8" t="s">
        <v>152</v>
      </c>
      <c r="I232" s="24" t="s">
        <v>25</v>
      </c>
      <c r="J232" s="9" t="str">
        <f t="shared" si="3"/>
        <v>Não</v>
      </c>
      <c r="K232" s="232">
        <v>43881</v>
      </c>
      <c r="L232" s="6"/>
      <c r="M232" s="6" t="s">
        <v>200</v>
      </c>
      <c r="N232" s="10">
        <v>1.4999999999999999E-2</v>
      </c>
      <c r="O232" s="9" t="s">
        <v>25</v>
      </c>
      <c r="P232" s="234">
        <v>0</v>
      </c>
      <c r="Q232" s="108"/>
      <c r="R232" s="108" t="s">
        <v>3319</v>
      </c>
      <c r="S232" s="7" t="s">
        <v>145</v>
      </c>
      <c r="T232" s="9" t="s">
        <v>3320</v>
      </c>
      <c r="U232" s="6" t="s">
        <v>20</v>
      </c>
      <c r="V232" s="24" t="e">
        <f t="shared" ca="1" si="2"/>
        <v>#NAME?</v>
      </c>
      <c r="W232" s="24"/>
      <c r="X232" s="24"/>
      <c r="Y232" s="6" t="s">
        <v>147</v>
      </c>
      <c r="Z232" s="6"/>
      <c r="AA232" s="107">
        <v>43881</v>
      </c>
      <c r="AB232" s="6">
        <v>49075100004201</v>
      </c>
      <c r="AC232" s="110">
        <v>35996.61</v>
      </c>
      <c r="AD232" s="110">
        <v>637367.5</v>
      </c>
      <c r="AE232" s="110">
        <v>706911.97</v>
      </c>
      <c r="AF232" s="110">
        <v>737631.37</v>
      </c>
      <c r="AG232" s="110">
        <v>794356.68</v>
      </c>
      <c r="AH232" s="110">
        <v>824053.74</v>
      </c>
      <c r="AI232" s="110">
        <v>906547.85</v>
      </c>
      <c r="AJ232" s="110">
        <v>934944.02</v>
      </c>
      <c r="AK232" s="110">
        <v>915819.44</v>
      </c>
      <c r="AL232" s="110">
        <v>934412.95</v>
      </c>
      <c r="AM232" s="110">
        <v>986975.31</v>
      </c>
      <c r="AN232" s="110">
        <v>1007606.02</v>
      </c>
      <c r="AO232" s="110">
        <v>988796.16</v>
      </c>
      <c r="AP232" s="110">
        <v>968151.58</v>
      </c>
      <c r="AQ232" s="236">
        <v>962904.67</v>
      </c>
      <c r="AR232" s="236">
        <v>1029120.99</v>
      </c>
      <c r="AS232" s="236">
        <v>1047498.45</v>
      </c>
      <c r="AT232" s="236">
        <v>1048674.01</v>
      </c>
      <c r="AU232" s="236">
        <v>1068859.94</v>
      </c>
      <c r="AV232" s="110">
        <v>1061972.6499999999</v>
      </c>
      <c r="AW232" s="110">
        <v>1051591.6599999999</v>
      </c>
      <c r="AX232" s="110">
        <v>1032584.63</v>
      </c>
      <c r="AY232" s="110">
        <v>1018022.38</v>
      </c>
      <c r="AZ232" s="110">
        <v>995888.09</v>
      </c>
      <c r="BA232" s="110">
        <v>987090.24</v>
      </c>
      <c r="BB232" s="110">
        <v>989810.62</v>
      </c>
      <c r="BC232" s="110">
        <v>1012402.22</v>
      </c>
      <c r="BD232" s="110">
        <v>1020342.07</v>
      </c>
      <c r="BE232" s="110">
        <v>1059152.19</v>
      </c>
      <c r="BF232" s="110">
        <v>1042327.67</v>
      </c>
      <c r="BG232" s="237">
        <v>1037559.99</v>
      </c>
      <c r="BH232" s="237">
        <v>1029470.23</v>
      </c>
      <c r="BI232" s="237">
        <v>1050850.18</v>
      </c>
      <c r="BJ232" s="237">
        <v>1061130.02</v>
      </c>
      <c r="BK232" s="237">
        <v>1072117.7</v>
      </c>
      <c r="BL232" s="237">
        <v>1109390.31</v>
      </c>
      <c r="BM232" s="237">
        <v>1104151.92</v>
      </c>
      <c r="BN232" s="237">
        <v>1112737.5900000001</v>
      </c>
      <c r="BO232" s="237">
        <v>1122721.24</v>
      </c>
      <c r="BP232" s="237">
        <v>1126869.8500000001</v>
      </c>
      <c r="BQ232" s="237">
        <v>1133214.23</v>
      </c>
      <c r="BR232" s="237">
        <v>1135594.1200000001</v>
      </c>
      <c r="BS232" s="237">
        <v>1164143.3400000001</v>
      </c>
      <c r="BT232" s="237">
        <v>1186172.57</v>
      </c>
      <c r="BU232" s="237">
        <v>1191694.3</v>
      </c>
      <c r="BV232" s="237">
        <v>1198331.98</v>
      </c>
      <c r="BW232" s="237">
        <v>1190355.56</v>
      </c>
      <c r="BX232" s="237">
        <v>1197041.1499999999</v>
      </c>
      <c r="BY232" s="237">
        <v>1191572.6100000001</v>
      </c>
      <c r="BZ232" s="237">
        <v>1240892.3999999999</v>
      </c>
      <c r="CA232" s="237">
        <v>1225339.05</v>
      </c>
      <c r="CB232" s="237">
        <v>1237772.7</v>
      </c>
      <c r="CC232" s="237">
        <v>1194341.8999999999</v>
      </c>
      <c r="CD232" s="237">
        <v>1226959.8899999999</v>
      </c>
      <c r="CE232" s="237">
        <v>1190459.46</v>
      </c>
      <c r="CF232" s="237">
        <v>1228840.17</v>
      </c>
      <c r="CG232" s="237">
        <v>1202718.26</v>
      </c>
      <c r="CH232" s="30">
        <v>1256643.95</v>
      </c>
      <c r="CI232" s="30">
        <v>1257724.8999999999</v>
      </c>
      <c r="CJ232" s="30" t="e">
        <f t="array" aca="1" ref="CJ232" ca="1">_xludf.XLOOKUP(C232,'PL TOTAL D0'!H:H,'PL TOTAL D0'!I:I,"")</f>
        <v>#NAME?</v>
      </c>
    </row>
    <row r="233" spans="1:88" ht="15.75" customHeight="1">
      <c r="A233" s="36" t="s">
        <v>2921</v>
      </c>
      <c r="B233" s="36" t="s">
        <v>3321</v>
      </c>
      <c r="C233" s="9">
        <v>33344</v>
      </c>
      <c r="D233" s="9" t="s">
        <v>19</v>
      </c>
      <c r="E233" s="9" t="s">
        <v>34</v>
      </c>
      <c r="F233" s="9" t="s">
        <v>616</v>
      </c>
      <c r="G233" s="7" t="e">
        <f t="shared" ca="1" si="0"/>
        <v>#NAME?</v>
      </c>
      <c r="H233" s="8" t="s">
        <v>161</v>
      </c>
      <c r="I233" s="24" t="s">
        <v>162</v>
      </c>
      <c r="J233" s="9" t="str">
        <f t="shared" si="3"/>
        <v>Não</v>
      </c>
      <c r="K233" s="232">
        <v>44680</v>
      </c>
      <c r="L233" s="6"/>
      <c r="M233" s="6" t="s">
        <v>42</v>
      </c>
      <c r="N233" s="10">
        <v>7.0000000000000001E-3</v>
      </c>
      <c r="O233" s="9" t="s">
        <v>25</v>
      </c>
      <c r="P233" s="234">
        <v>0</v>
      </c>
      <c r="Q233" s="36"/>
      <c r="R233" s="108"/>
      <c r="S233" s="7" t="s">
        <v>145</v>
      </c>
      <c r="T233" s="9" t="s">
        <v>3322</v>
      </c>
      <c r="U233" s="6" t="s">
        <v>60</v>
      </c>
      <c r="V233" s="24" t="e">
        <f t="shared" ca="1" si="2"/>
        <v>#NAME?</v>
      </c>
      <c r="W233" s="24"/>
      <c r="X233" s="24"/>
      <c r="Y233" s="6" t="s">
        <v>253</v>
      </c>
      <c r="Z233" s="6"/>
      <c r="AA233" s="107">
        <v>44680</v>
      </c>
      <c r="AB233" s="6">
        <v>49075100010757</v>
      </c>
      <c r="AC233" s="110"/>
      <c r="AD233" s="110"/>
      <c r="AE233" s="110"/>
      <c r="AF233" s="110"/>
      <c r="AG233" s="110"/>
      <c r="AH233" s="110"/>
      <c r="AI233" s="110"/>
      <c r="AJ233" s="110"/>
      <c r="AK233" s="110"/>
      <c r="AL233" s="110"/>
      <c r="AM233" s="110"/>
      <c r="AN233" s="110"/>
      <c r="AO233" s="110"/>
      <c r="AP233" s="110"/>
      <c r="AQ233" s="236"/>
      <c r="AR233" s="236"/>
      <c r="AS233" s="236"/>
      <c r="AT233" s="236"/>
      <c r="AU233" s="236"/>
      <c r="AV233" s="110"/>
      <c r="AW233" s="110"/>
      <c r="AX233" s="110"/>
      <c r="AY233" s="110"/>
      <c r="AZ233" s="110"/>
      <c r="BA233" s="110"/>
      <c r="BB233" s="110"/>
      <c r="BC233" s="110"/>
      <c r="BD233" s="110"/>
      <c r="BE233" s="110"/>
      <c r="BF233" s="110">
        <v>603875.74</v>
      </c>
      <c r="BG233" s="237">
        <v>907054.03</v>
      </c>
      <c r="BH233" s="237">
        <v>914940.78</v>
      </c>
      <c r="BI233" s="237">
        <v>921073.64</v>
      </c>
      <c r="BJ233" s="237">
        <v>926017.19</v>
      </c>
      <c r="BK233" s="237">
        <v>932352.24</v>
      </c>
      <c r="BL233" s="237">
        <v>938377.17</v>
      </c>
      <c r="BM233" s="237">
        <v>945738.82</v>
      </c>
      <c r="BN233" s="237">
        <v>953052.75</v>
      </c>
      <c r="BO233" s="237">
        <v>962019.26</v>
      </c>
      <c r="BP233" s="237">
        <v>968996.7</v>
      </c>
      <c r="BQ233" s="237">
        <v>978786.52</v>
      </c>
      <c r="BR233" s="237">
        <v>516741.16</v>
      </c>
      <c r="BS233" s="237">
        <v>4.57</v>
      </c>
      <c r="BT233" s="237">
        <v>0</v>
      </c>
      <c r="BU233" s="237">
        <v>0</v>
      </c>
      <c r="BV233" s="237">
        <v>0</v>
      </c>
      <c r="BW233" s="237">
        <v>0</v>
      </c>
      <c r="BX233" s="237">
        <v>0</v>
      </c>
      <c r="BY233" s="237">
        <v>0</v>
      </c>
      <c r="BZ233" s="237">
        <v>0</v>
      </c>
      <c r="CA233" s="237">
        <v>0</v>
      </c>
      <c r="CB233" s="237">
        <v>0</v>
      </c>
      <c r="CC233" s="237">
        <v>0</v>
      </c>
      <c r="CD233" s="237">
        <v>0</v>
      </c>
      <c r="CE233" s="237">
        <v>0</v>
      </c>
      <c r="CF233" s="237">
        <v>0</v>
      </c>
      <c r="CG233" s="237">
        <v>0</v>
      </c>
      <c r="CH233" s="30">
        <v>0</v>
      </c>
      <c r="CI233" s="30">
        <v>0</v>
      </c>
      <c r="CJ233" s="30" t="e">
        <f t="array" aca="1" ref="CJ233" ca="1">_xludf.XLOOKUP(C233,'PL TOTAL D0'!H:H,'PL TOTAL D0'!I:I,"")</f>
        <v>#NAME?</v>
      </c>
    </row>
    <row r="234" spans="1:88" ht="15.75" customHeight="1">
      <c r="A234" s="36" t="s">
        <v>2921</v>
      </c>
      <c r="B234" s="37" t="s">
        <v>3321</v>
      </c>
      <c r="C234" s="9">
        <v>560930</v>
      </c>
      <c r="D234" s="9" t="s">
        <v>19</v>
      </c>
      <c r="E234" s="9" t="s">
        <v>34</v>
      </c>
      <c r="F234" s="6" t="s">
        <v>616</v>
      </c>
      <c r="G234" s="7" t="e">
        <f t="shared" ca="1" si="0"/>
        <v>#NAME?</v>
      </c>
      <c r="H234" s="8" t="s">
        <v>143</v>
      </c>
      <c r="I234" s="24" t="s">
        <v>25</v>
      </c>
      <c r="J234" s="9" t="str">
        <f t="shared" si="3"/>
        <v>Não</v>
      </c>
      <c r="K234" s="25">
        <v>44628</v>
      </c>
      <c r="L234" s="25">
        <v>44638</v>
      </c>
      <c r="M234" s="6" t="s">
        <v>42</v>
      </c>
      <c r="N234" s="10">
        <v>7.0000000000000001E-3</v>
      </c>
      <c r="O234" s="9" t="s">
        <v>25</v>
      </c>
      <c r="P234" s="234">
        <v>0</v>
      </c>
      <c r="Q234" s="28"/>
      <c r="R234" s="28"/>
      <c r="S234" s="7" t="s">
        <v>145</v>
      </c>
      <c r="T234" s="6" t="s">
        <v>3322</v>
      </c>
      <c r="U234" s="6" t="s">
        <v>60</v>
      </c>
      <c r="V234" s="24" t="e">
        <f t="shared" ca="1" si="2"/>
        <v>#NAME?</v>
      </c>
      <c r="W234" s="24"/>
      <c r="X234" s="24"/>
      <c r="Y234" s="6" t="s">
        <v>253</v>
      </c>
      <c r="Z234" s="6"/>
      <c r="AA234" s="6"/>
      <c r="AB234" s="6"/>
      <c r="AC234" s="132"/>
      <c r="AD234" s="132"/>
      <c r="AE234" s="132"/>
      <c r="AF234" s="132"/>
      <c r="AG234" s="132"/>
      <c r="AH234" s="132"/>
      <c r="AI234" s="132"/>
      <c r="AJ234" s="132"/>
      <c r="AK234" s="132"/>
      <c r="AL234" s="132"/>
      <c r="AM234" s="132"/>
      <c r="AN234" s="132"/>
      <c r="AO234" s="132"/>
      <c r="AP234" s="132"/>
      <c r="AQ234" s="110"/>
      <c r="AR234" s="110"/>
      <c r="AS234" s="110"/>
      <c r="AT234" s="110"/>
      <c r="AU234" s="132"/>
      <c r="AV234" s="110"/>
      <c r="AW234" s="110"/>
      <c r="AX234" s="110"/>
      <c r="AY234" s="110"/>
      <c r="AZ234" s="110"/>
      <c r="BA234" s="110"/>
      <c r="BB234" s="110"/>
      <c r="BC234" s="110"/>
      <c r="BD234" s="110"/>
      <c r="BE234" s="110">
        <v>352755.15</v>
      </c>
      <c r="BF234" s="110">
        <v>356409.65</v>
      </c>
      <c r="BG234" s="241" t="s">
        <v>2932</v>
      </c>
      <c r="BH234" s="110">
        <v>0</v>
      </c>
      <c r="BI234" s="110" t="s">
        <v>2932</v>
      </c>
      <c r="BJ234" s="110">
        <v>0</v>
      </c>
      <c r="BK234" s="237">
        <v>0</v>
      </c>
      <c r="BL234" s="237">
        <v>0</v>
      </c>
      <c r="BM234" s="237">
        <v>0</v>
      </c>
      <c r="BN234" s="237">
        <v>0</v>
      </c>
      <c r="BO234" s="237">
        <v>0</v>
      </c>
      <c r="BP234" s="237">
        <v>0</v>
      </c>
      <c r="BQ234" s="237">
        <v>76427.95</v>
      </c>
      <c r="BR234" s="237">
        <v>0</v>
      </c>
      <c r="BS234" s="237">
        <v>0</v>
      </c>
      <c r="BT234" s="237">
        <v>0</v>
      </c>
      <c r="BU234" s="237">
        <v>0</v>
      </c>
      <c r="BV234" s="237">
        <v>0</v>
      </c>
      <c r="BW234" s="237">
        <v>0</v>
      </c>
      <c r="BX234" s="237">
        <v>0</v>
      </c>
      <c r="BY234" s="237">
        <v>0</v>
      </c>
      <c r="BZ234" s="237">
        <v>0</v>
      </c>
      <c r="CA234" s="237">
        <v>0</v>
      </c>
      <c r="CB234" s="237">
        <v>0</v>
      </c>
      <c r="CC234" s="237">
        <v>0</v>
      </c>
      <c r="CD234" s="237">
        <v>0</v>
      </c>
      <c r="CE234" s="237">
        <v>0</v>
      </c>
      <c r="CF234" s="237">
        <v>0</v>
      </c>
      <c r="CG234" s="237">
        <v>0</v>
      </c>
      <c r="CH234" s="30">
        <v>0</v>
      </c>
      <c r="CI234" s="30">
        <v>0</v>
      </c>
      <c r="CJ234" s="30" t="e">
        <f t="array" aca="1" ref="CJ234" ca="1">_xludf.XLOOKUP(C234,'PL TOTAL D0'!H:H,'PL TOTAL D0'!I:I,"")</f>
        <v>#NAME?</v>
      </c>
    </row>
    <row r="235" spans="1:88" ht="15.75" customHeight="1">
      <c r="A235" s="36" t="s">
        <v>2921</v>
      </c>
      <c r="B235" s="3" t="s">
        <v>1754</v>
      </c>
      <c r="C235" s="9">
        <v>47841</v>
      </c>
      <c r="D235" s="9" t="s">
        <v>19</v>
      </c>
      <c r="E235" s="9" t="s">
        <v>34</v>
      </c>
      <c r="F235" s="6" t="s">
        <v>35</v>
      </c>
      <c r="G235" s="7" t="e">
        <f t="shared" ca="1" si="0"/>
        <v>#NAME?</v>
      </c>
      <c r="H235" s="8" t="s">
        <v>161</v>
      </c>
      <c r="I235" s="24" t="s">
        <v>162</v>
      </c>
      <c r="J235" s="9" t="str">
        <f t="shared" si="3"/>
        <v>Não</v>
      </c>
      <c r="K235" s="25">
        <v>44357</v>
      </c>
      <c r="L235" s="6"/>
      <c r="M235" s="6" t="s">
        <v>200</v>
      </c>
      <c r="N235" s="10">
        <v>1.4999999999999999E-2</v>
      </c>
      <c r="O235" s="9" t="s">
        <v>37</v>
      </c>
      <c r="P235" s="234">
        <v>0.1</v>
      </c>
      <c r="Q235" s="28"/>
      <c r="R235" s="28"/>
      <c r="S235" s="7" t="s">
        <v>145</v>
      </c>
      <c r="T235" s="6" t="s">
        <v>1756</v>
      </c>
      <c r="U235" s="6" t="s">
        <v>39</v>
      </c>
      <c r="V235" s="24" t="e">
        <f t="shared" ca="1" si="2"/>
        <v>#NAME?</v>
      </c>
      <c r="W235" s="24"/>
      <c r="X235" s="24"/>
      <c r="Y235" s="6" t="s">
        <v>253</v>
      </c>
      <c r="Z235" s="6"/>
      <c r="AA235" s="107">
        <v>44357</v>
      </c>
      <c r="AB235" s="6">
        <v>49075100009171</v>
      </c>
      <c r="AC235" s="132"/>
      <c r="AD235" s="132"/>
      <c r="AE235" s="132"/>
      <c r="AF235" s="132"/>
      <c r="AG235" s="132"/>
      <c r="AH235" s="132"/>
      <c r="AI235" s="132"/>
      <c r="AJ235" s="132"/>
      <c r="AK235" s="132"/>
      <c r="AL235" s="132"/>
      <c r="AM235" s="132"/>
      <c r="AN235" s="132"/>
      <c r="AO235" s="132"/>
      <c r="AP235" s="132"/>
      <c r="AQ235" s="236"/>
      <c r="AR235" s="236"/>
      <c r="AS235" s="236"/>
      <c r="AT235" s="236"/>
      <c r="AU235" s="132"/>
      <c r="AV235" s="110">
        <v>161782.07999999999</v>
      </c>
      <c r="AW235" s="110">
        <v>159098.44</v>
      </c>
      <c r="AX235" s="110">
        <v>154354.4</v>
      </c>
      <c r="AY235" s="110">
        <v>151041.18</v>
      </c>
      <c r="AZ235" s="110">
        <v>146798.54999999999</v>
      </c>
      <c r="BA235" s="110">
        <v>156423.26</v>
      </c>
      <c r="BB235" s="110">
        <v>157930.29</v>
      </c>
      <c r="BC235" s="110">
        <v>163050.13</v>
      </c>
      <c r="BD235" s="110">
        <v>166293.9</v>
      </c>
      <c r="BE235" s="110">
        <v>171592.71</v>
      </c>
      <c r="BF235" s="110">
        <v>168524.85</v>
      </c>
      <c r="BG235" s="237">
        <v>167612.01</v>
      </c>
      <c r="BH235" s="237">
        <v>166295.35</v>
      </c>
      <c r="BI235" s="237">
        <v>168874.32</v>
      </c>
      <c r="BJ235" s="237">
        <v>170748.59</v>
      </c>
      <c r="BK235" s="237">
        <v>172575.62</v>
      </c>
      <c r="BL235" s="237">
        <v>177916.81</v>
      </c>
      <c r="BM235" s="237">
        <v>176869.83</v>
      </c>
      <c r="BN235" s="237">
        <v>178466.71</v>
      </c>
      <c r="BO235" s="237">
        <v>249011.09</v>
      </c>
      <c r="BP235" s="237">
        <v>250626.75</v>
      </c>
      <c r="BQ235" s="237">
        <v>253575.13</v>
      </c>
      <c r="BR235" s="237">
        <v>255376.26</v>
      </c>
      <c r="BS235" s="237">
        <v>258062.92</v>
      </c>
      <c r="BT235" s="237">
        <v>260901.8</v>
      </c>
      <c r="BU235" s="237">
        <v>262177.67</v>
      </c>
      <c r="BV235" s="237">
        <v>265755.62</v>
      </c>
      <c r="BW235" s="237">
        <v>266411.34999999998</v>
      </c>
      <c r="BX235" s="237">
        <v>230.6</v>
      </c>
      <c r="BY235" s="237">
        <v>9.7100000000000009</v>
      </c>
      <c r="BZ235" s="237">
        <v>0</v>
      </c>
      <c r="CA235" s="237">
        <v>0</v>
      </c>
      <c r="CB235" s="237">
        <v>0</v>
      </c>
      <c r="CC235" s="237">
        <v>0</v>
      </c>
      <c r="CD235" s="237">
        <v>0</v>
      </c>
      <c r="CE235" s="237">
        <v>0</v>
      </c>
      <c r="CF235" s="237">
        <v>0</v>
      </c>
      <c r="CG235" s="237">
        <v>0</v>
      </c>
      <c r="CH235" s="30">
        <v>0</v>
      </c>
      <c r="CI235" s="30">
        <v>0</v>
      </c>
      <c r="CJ235" s="30" t="e">
        <f t="array" aca="1" ref="CJ235" ca="1">_xludf.XLOOKUP(C235,'PL TOTAL D0'!H:H,'PL TOTAL D0'!I:I,"")</f>
        <v>#NAME?</v>
      </c>
    </row>
    <row r="236" spans="1:88" ht="15.75" customHeight="1">
      <c r="A236" s="36" t="s">
        <v>2921</v>
      </c>
      <c r="B236" s="36" t="s">
        <v>3323</v>
      </c>
      <c r="C236" s="9">
        <v>451710</v>
      </c>
      <c r="D236" s="9" t="s">
        <v>2989</v>
      </c>
      <c r="E236" s="9" t="s">
        <v>20</v>
      </c>
      <c r="F236" s="9" t="s">
        <v>2989</v>
      </c>
      <c r="G236" s="7" t="e">
        <f t="shared" ca="1" si="0"/>
        <v>#NAME?</v>
      </c>
      <c r="H236" s="8" t="s">
        <v>152</v>
      </c>
      <c r="I236" s="24" t="s">
        <v>25</v>
      </c>
      <c r="J236" s="9" t="str">
        <f t="shared" si="3"/>
        <v>Não</v>
      </c>
      <c r="K236" s="232">
        <v>43944</v>
      </c>
      <c r="L236" s="6"/>
      <c r="M236" s="6" t="s">
        <v>87</v>
      </c>
      <c r="N236" s="10">
        <v>2.5000000000000001E-2</v>
      </c>
      <c r="O236" s="9" t="s">
        <v>183</v>
      </c>
      <c r="P236" s="234">
        <v>0.2</v>
      </c>
      <c r="Q236" s="108"/>
      <c r="R236" s="108"/>
      <c r="S236" s="7" t="s">
        <v>145</v>
      </c>
      <c r="T236" s="9" t="s">
        <v>3324</v>
      </c>
      <c r="U236" s="6" t="s">
        <v>20</v>
      </c>
      <c r="V236" s="24" t="e">
        <f t="shared" ca="1" si="2"/>
        <v>#NAME?</v>
      </c>
      <c r="W236" s="24"/>
      <c r="X236" s="24"/>
      <c r="Y236" s="6" t="s">
        <v>253</v>
      </c>
      <c r="Z236" s="6"/>
      <c r="AA236" s="107">
        <v>43944</v>
      </c>
      <c r="AB236" s="6">
        <v>49075100004234</v>
      </c>
      <c r="AC236" s="110">
        <v>0</v>
      </c>
      <c r="AD236" s="110">
        <v>0</v>
      </c>
      <c r="AE236" s="110">
        <v>0</v>
      </c>
      <c r="AF236" s="110">
        <v>185447.07</v>
      </c>
      <c r="AG236" s="110">
        <v>193182.73</v>
      </c>
      <c r="AH236" s="110">
        <v>202096.52</v>
      </c>
      <c r="AI236" s="110">
        <v>210272.13</v>
      </c>
      <c r="AJ236" s="110">
        <v>198919.42</v>
      </c>
      <c r="AK236" s="110">
        <v>189756.16</v>
      </c>
      <c r="AL236" s="110">
        <v>189627.21</v>
      </c>
      <c r="AM236" s="110">
        <v>222915.18</v>
      </c>
      <c r="AN236" s="110">
        <v>232290.54</v>
      </c>
      <c r="AO236" s="110">
        <v>222639.39</v>
      </c>
      <c r="AP236" s="110">
        <v>210747.47</v>
      </c>
      <c r="AQ236" s="236">
        <v>203264.86</v>
      </c>
      <c r="AR236" s="236">
        <v>220188.55</v>
      </c>
      <c r="AS236" s="236">
        <v>221562.68</v>
      </c>
      <c r="AT236" s="236">
        <v>222381.75</v>
      </c>
      <c r="AU236" s="236">
        <v>232587.48</v>
      </c>
      <c r="AV236" s="110">
        <v>228486.51</v>
      </c>
      <c r="AW236" s="110">
        <v>221221.47</v>
      </c>
      <c r="AX236" s="110">
        <v>211579.41</v>
      </c>
      <c r="AY236" s="110">
        <v>201165.32</v>
      </c>
      <c r="AZ236" s="110">
        <v>189214.95</v>
      </c>
      <c r="BA236" s="110">
        <v>184019.43</v>
      </c>
      <c r="BB236" s="110">
        <v>183815.13</v>
      </c>
      <c r="BC236" s="110">
        <v>192454.65</v>
      </c>
      <c r="BD236" s="110">
        <v>195092.59</v>
      </c>
      <c r="BE236" s="110">
        <v>209402.86</v>
      </c>
      <c r="BF236" s="110">
        <v>198900.47</v>
      </c>
      <c r="BG236" s="237">
        <v>193733.11</v>
      </c>
      <c r="BH236" s="237">
        <v>184563.05</v>
      </c>
      <c r="BI236" s="237">
        <v>193534.5</v>
      </c>
      <c r="BJ236" s="237">
        <v>196547.84</v>
      </c>
      <c r="BK236" s="237">
        <v>198040.69</v>
      </c>
      <c r="BL236" s="237">
        <v>192562.54</v>
      </c>
      <c r="BM236" s="237">
        <v>188633.41</v>
      </c>
      <c r="BN236" s="237">
        <v>187405.83</v>
      </c>
      <c r="BO236" s="237">
        <v>193215.84</v>
      </c>
      <c r="BP236" s="237">
        <v>186000.51</v>
      </c>
      <c r="BQ236" s="237">
        <v>184720.42</v>
      </c>
      <c r="BR236" s="237">
        <v>180586.12</v>
      </c>
      <c r="BS236" s="237">
        <v>188603.17</v>
      </c>
      <c r="BT236" s="237">
        <v>203532.49</v>
      </c>
      <c r="BU236" s="237">
        <v>213639.11</v>
      </c>
      <c r="BV236" s="237">
        <v>211428.77</v>
      </c>
      <c r="BW236" s="237">
        <v>204011.14</v>
      </c>
      <c r="BX236" s="237">
        <v>193392.91</v>
      </c>
      <c r="BY236" s="237">
        <v>208559.82</v>
      </c>
      <c r="BZ236" s="237">
        <v>217659.36</v>
      </c>
      <c r="CA236" s="237">
        <v>203153.28</v>
      </c>
      <c r="CB236" s="237">
        <v>207419.86</v>
      </c>
      <c r="CC236" s="237">
        <v>209427.71</v>
      </c>
      <c r="CD236" s="237">
        <v>172079.64</v>
      </c>
      <c r="CE236" s="237">
        <v>152502.46</v>
      </c>
      <c r="CF236" s="237">
        <v>196563.28</v>
      </c>
      <c r="CG236" s="237">
        <v>191033.25</v>
      </c>
      <c r="CH236" s="30">
        <v>204379.93</v>
      </c>
      <c r="CI236" s="30">
        <v>200161.6</v>
      </c>
      <c r="CJ236" s="30" t="e">
        <f t="array" aca="1" ref="CJ236" ca="1">_xludf.XLOOKUP(C236,'PL TOTAL D0'!H:H,'PL TOTAL D0'!I:I,"")</f>
        <v>#NAME?</v>
      </c>
    </row>
    <row r="237" spans="1:88" ht="15.75" customHeight="1">
      <c r="A237" s="36" t="s">
        <v>2921</v>
      </c>
      <c r="B237" s="3" t="s">
        <v>3325</v>
      </c>
      <c r="C237" s="9">
        <v>465277</v>
      </c>
      <c r="D237" s="9" t="s">
        <v>19</v>
      </c>
      <c r="E237" s="9" t="s">
        <v>34</v>
      </c>
      <c r="F237" s="6" t="s">
        <v>2971</v>
      </c>
      <c r="G237" s="7" t="e">
        <f t="shared" ca="1" si="0"/>
        <v>#NAME?</v>
      </c>
      <c r="H237" s="8" t="s">
        <v>143</v>
      </c>
      <c r="I237" s="24" t="s">
        <v>25</v>
      </c>
      <c r="J237" s="9" t="str">
        <f t="shared" si="3"/>
        <v>Não</v>
      </c>
      <c r="K237" s="239">
        <v>44559</v>
      </c>
      <c r="L237" s="25">
        <v>44777</v>
      </c>
      <c r="M237" s="6" t="s">
        <v>42</v>
      </c>
      <c r="N237" s="10">
        <v>7.0000000000000001E-3</v>
      </c>
      <c r="O237" s="9" t="s">
        <v>25</v>
      </c>
      <c r="P237" s="234">
        <v>0</v>
      </c>
      <c r="Q237" s="28"/>
      <c r="R237" s="28"/>
      <c r="S237" s="7" t="s">
        <v>145</v>
      </c>
      <c r="T237" s="6" t="s">
        <v>3326</v>
      </c>
      <c r="U237" s="6" t="s">
        <v>39</v>
      </c>
      <c r="V237" s="24" t="e">
        <f t="shared" ca="1" si="2"/>
        <v>#NAME?</v>
      </c>
      <c r="W237" s="24"/>
      <c r="X237" s="24"/>
      <c r="Y237" s="6" t="s">
        <v>253</v>
      </c>
      <c r="Z237" s="6"/>
      <c r="AA237" s="6"/>
      <c r="AB237" s="6"/>
      <c r="AC237" s="23"/>
      <c r="AD237" s="23"/>
      <c r="AE237" s="23"/>
      <c r="AF237" s="23"/>
      <c r="AG237" s="23"/>
      <c r="AH237" s="23"/>
      <c r="AI237" s="23"/>
      <c r="AJ237" s="23"/>
      <c r="AK237" s="23"/>
      <c r="AL237" s="23"/>
      <c r="AM237" s="23"/>
      <c r="AN237" s="110"/>
      <c r="AO237" s="110"/>
      <c r="AP237" s="236"/>
      <c r="AQ237" s="236"/>
      <c r="AR237" s="236"/>
      <c r="AS237" s="236"/>
      <c r="AT237" s="236"/>
      <c r="AU237" s="110"/>
      <c r="AV237" s="110"/>
      <c r="AW237" s="110"/>
      <c r="AX237" s="110"/>
      <c r="AY237" s="110"/>
      <c r="AZ237" s="110"/>
      <c r="BA237" s="23"/>
      <c r="BB237" s="23"/>
      <c r="BC237" s="110">
        <v>100502.83</v>
      </c>
      <c r="BD237" s="110">
        <v>101161.47</v>
      </c>
      <c r="BE237" s="110">
        <v>103039.67999999999</v>
      </c>
      <c r="BF237" s="110">
        <v>101573.51</v>
      </c>
      <c r="BG237" s="237">
        <v>72157.789999999994</v>
      </c>
      <c r="BH237" s="237">
        <v>70662.59</v>
      </c>
      <c r="BI237" s="237">
        <v>74385.52</v>
      </c>
      <c r="BJ237" s="237">
        <v>79.849999999999994</v>
      </c>
      <c r="BK237" s="237">
        <v>72.87</v>
      </c>
      <c r="BL237" s="237">
        <v>72.87</v>
      </c>
      <c r="BM237" s="237">
        <v>72.87</v>
      </c>
      <c r="BN237" s="237">
        <v>72.87</v>
      </c>
      <c r="BO237" s="237">
        <v>72.87</v>
      </c>
      <c r="BP237" s="237">
        <v>72.87</v>
      </c>
      <c r="BQ237" s="237">
        <v>72.87</v>
      </c>
      <c r="BR237" s="237">
        <v>72.87</v>
      </c>
      <c r="BS237" s="237">
        <v>72.87</v>
      </c>
      <c r="BT237" s="237">
        <v>0</v>
      </c>
      <c r="BU237" s="237">
        <v>0</v>
      </c>
      <c r="BV237" s="237">
        <v>0</v>
      </c>
      <c r="BW237" s="237">
        <v>0</v>
      </c>
      <c r="BX237" s="237">
        <v>0</v>
      </c>
      <c r="BY237" s="237">
        <v>0</v>
      </c>
      <c r="BZ237" s="237">
        <v>0</v>
      </c>
      <c r="CA237" s="237">
        <v>0</v>
      </c>
      <c r="CB237" s="237">
        <v>0</v>
      </c>
      <c r="CC237" s="237">
        <v>0</v>
      </c>
      <c r="CD237" s="237">
        <v>0</v>
      </c>
      <c r="CE237" s="237">
        <v>0</v>
      </c>
      <c r="CF237" s="237">
        <v>0</v>
      </c>
      <c r="CG237" s="237">
        <v>0</v>
      </c>
      <c r="CH237" s="30">
        <v>0</v>
      </c>
      <c r="CI237" s="30">
        <v>0</v>
      </c>
      <c r="CJ237" s="30" t="e">
        <f t="array" aca="1" ref="CJ237" ca="1">_xludf.XLOOKUP(C237,'PL TOTAL D0'!H:H,'PL TOTAL D0'!I:I,"")</f>
        <v>#NAME?</v>
      </c>
    </row>
    <row r="238" spans="1:88" ht="15.75" customHeight="1">
      <c r="A238" s="36" t="s">
        <v>2921</v>
      </c>
      <c r="B238" s="36" t="s">
        <v>3327</v>
      </c>
      <c r="C238" s="9">
        <v>356345</v>
      </c>
      <c r="D238" s="9" t="s">
        <v>19</v>
      </c>
      <c r="E238" s="9" t="s">
        <v>34</v>
      </c>
      <c r="F238" s="9" t="s">
        <v>35</v>
      </c>
      <c r="G238" s="7" t="e">
        <f t="shared" ca="1" si="0"/>
        <v>#NAME?</v>
      </c>
      <c r="H238" s="8" t="s">
        <v>161</v>
      </c>
      <c r="I238" s="24" t="s">
        <v>162</v>
      </c>
      <c r="J238" s="9" t="str">
        <f t="shared" si="3"/>
        <v>Não</v>
      </c>
      <c r="K238" s="232">
        <v>44797</v>
      </c>
      <c r="L238" s="6"/>
      <c r="M238" s="6" t="s">
        <v>58</v>
      </c>
      <c r="N238" s="233">
        <v>1.2E-2</v>
      </c>
      <c r="O238" s="9" t="s">
        <v>25</v>
      </c>
      <c r="P238" s="234">
        <v>0</v>
      </c>
      <c r="Q238" s="36"/>
      <c r="R238" s="235"/>
      <c r="S238" s="7" t="s">
        <v>145</v>
      </c>
      <c r="T238" s="9" t="s">
        <v>1783</v>
      </c>
      <c r="U238" s="9" t="s">
        <v>39</v>
      </c>
      <c r="V238" s="24" t="e">
        <f t="shared" ca="1" si="2"/>
        <v>#NAME?</v>
      </c>
      <c r="W238" s="24"/>
      <c r="X238" s="24"/>
      <c r="Y238" s="6" t="s">
        <v>253</v>
      </c>
      <c r="Z238" s="6"/>
      <c r="AA238" s="107">
        <v>44797</v>
      </c>
      <c r="AB238" s="6">
        <v>49075100010765</v>
      </c>
      <c r="AC238" s="110"/>
      <c r="AD238" s="110"/>
      <c r="AE238" s="110"/>
      <c r="AF238" s="110"/>
      <c r="AG238" s="110"/>
      <c r="AH238" s="110"/>
      <c r="AI238" s="110"/>
      <c r="AJ238" s="110"/>
      <c r="AK238" s="110"/>
      <c r="AL238" s="110"/>
      <c r="AM238" s="110"/>
      <c r="AN238" s="110"/>
      <c r="AO238" s="110"/>
      <c r="AP238" s="110"/>
      <c r="AQ238" s="236"/>
      <c r="AR238" s="236"/>
      <c r="AS238" s="236"/>
      <c r="AT238" s="236"/>
      <c r="AU238" s="236"/>
      <c r="AV238" s="110"/>
      <c r="AW238" s="110"/>
      <c r="AX238" s="110"/>
      <c r="AY238" s="110"/>
      <c r="AZ238" s="110"/>
      <c r="BA238" s="110"/>
      <c r="BB238" s="110"/>
      <c r="BC238" s="110"/>
      <c r="BD238" s="110"/>
      <c r="BE238" s="110"/>
      <c r="BF238" s="110"/>
      <c r="BG238" s="237"/>
      <c r="BH238" s="237"/>
      <c r="BI238" s="237"/>
      <c r="BJ238" s="237">
        <v>299138.37</v>
      </c>
      <c r="BK238" s="237">
        <v>314315.05</v>
      </c>
      <c r="BL238" s="237">
        <v>469472.54</v>
      </c>
      <c r="BM238" s="237">
        <v>471497.59</v>
      </c>
      <c r="BN238" s="237">
        <v>485884.02</v>
      </c>
      <c r="BO238" s="237">
        <v>490907.72</v>
      </c>
      <c r="BP238" s="237">
        <v>0</v>
      </c>
      <c r="BQ238" s="237">
        <v>500150.19</v>
      </c>
      <c r="BR238" s="237">
        <v>0</v>
      </c>
      <c r="BS238" s="237">
        <v>0.46</v>
      </c>
      <c r="BT238" s="237">
        <v>0</v>
      </c>
      <c r="BU238" s="237">
        <v>0</v>
      </c>
      <c r="BV238" s="237">
        <v>0</v>
      </c>
      <c r="BW238" s="237">
        <v>0</v>
      </c>
      <c r="BX238" s="237">
        <v>0</v>
      </c>
      <c r="BY238" s="237">
        <v>0</v>
      </c>
      <c r="BZ238" s="237">
        <v>0</v>
      </c>
      <c r="CA238" s="237">
        <v>0</v>
      </c>
      <c r="CB238" s="237">
        <v>0</v>
      </c>
      <c r="CC238" s="237">
        <v>0</v>
      </c>
      <c r="CD238" s="237">
        <v>0</v>
      </c>
      <c r="CE238" s="237">
        <v>0</v>
      </c>
      <c r="CF238" s="237">
        <v>0</v>
      </c>
      <c r="CG238" s="237">
        <v>0</v>
      </c>
      <c r="CH238" s="30">
        <v>0</v>
      </c>
      <c r="CI238" s="30">
        <v>0</v>
      </c>
      <c r="CJ238" s="30" t="e">
        <f t="array" aca="1" ref="CJ238" ca="1">_xludf.XLOOKUP(C238,'PL TOTAL D0'!H:H,'PL TOTAL D0'!I:I,"")</f>
        <v>#NAME?</v>
      </c>
    </row>
    <row r="239" spans="1:88" ht="15.75" customHeight="1">
      <c r="A239" s="36" t="s">
        <v>2921</v>
      </c>
      <c r="B239" s="36" t="s">
        <v>3328</v>
      </c>
      <c r="C239" s="9">
        <v>86469</v>
      </c>
      <c r="D239" s="9" t="s">
        <v>2989</v>
      </c>
      <c r="E239" s="9" t="s">
        <v>20</v>
      </c>
      <c r="F239" s="9" t="s">
        <v>2989</v>
      </c>
      <c r="G239" s="7" t="e">
        <f t="shared" ca="1" si="0"/>
        <v>#NAME?</v>
      </c>
      <c r="H239" s="8" t="s">
        <v>161</v>
      </c>
      <c r="I239" s="24" t="s">
        <v>162</v>
      </c>
      <c r="J239" s="9" t="str">
        <f t="shared" si="3"/>
        <v>Não</v>
      </c>
      <c r="K239" s="232">
        <v>43538</v>
      </c>
      <c r="L239" s="6"/>
      <c r="M239" s="6" t="s">
        <v>87</v>
      </c>
      <c r="N239" s="233">
        <v>0.01</v>
      </c>
      <c r="O239" s="9" t="s">
        <v>183</v>
      </c>
      <c r="P239" s="234">
        <v>0.2</v>
      </c>
      <c r="Q239" s="108"/>
      <c r="R239" s="108"/>
      <c r="S239" s="7" t="s">
        <v>145</v>
      </c>
      <c r="T239" s="9" t="s">
        <v>3329</v>
      </c>
      <c r="U239" s="9" t="s">
        <v>20</v>
      </c>
      <c r="V239" s="24" t="e">
        <f t="shared" ca="1" si="2"/>
        <v>#NAME?</v>
      </c>
      <c r="W239" s="24"/>
      <c r="X239" s="24"/>
      <c r="Y239" s="6" t="s">
        <v>253</v>
      </c>
      <c r="Z239" s="6"/>
      <c r="AA239" s="107">
        <v>43538</v>
      </c>
      <c r="AB239" s="6">
        <v>49075100004242</v>
      </c>
      <c r="AC239" s="110">
        <v>135222.59</v>
      </c>
      <c r="AD239" s="110">
        <v>129076.26</v>
      </c>
      <c r="AE239" s="110">
        <v>101871.14</v>
      </c>
      <c r="AF239" s="110">
        <v>107079.43</v>
      </c>
      <c r="AG239" s="110">
        <v>110538.03</v>
      </c>
      <c r="AH239" s="110">
        <v>114857.2</v>
      </c>
      <c r="AI239" s="110">
        <v>122965.54</v>
      </c>
      <c r="AJ239" s="110">
        <v>118978</v>
      </c>
      <c r="AK239" s="110">
        <v>114221.6</v>
      </c>
      <c r="AL239" s="110">
        <v>118495.83</v>
      </c>
      <c r="AM239" s="110">
        <v>132258.15</v>
      </c>
      <c r="AN239" s="110">
        <v>136167.09</v>
      </c>
      <c r="AO239" s="110">
        <v>135000.13</v>
      </c>
      <c r="AP239" s="110">
        <v>127412.3</v>
      </c>
      <c r="AQ239" s="236">
        <v>123238.94</v>
      </c>
      <c r="AR239" s="236">
        <v>130864.28</v>
      </c>
      <c r="AS239" s="236">
        <v>128239.44</v>
      </c>
      <c r="AT239" s="236">
        <v>128960.56</v>
      </c>
      <c r="AU239" s="236">
        <v>135430.57999999999</v>
      </c>
      <c r="AV239" s="110">
        <v>133190.23000000001</v>
      </c>
      <c r="AW239" s="110">
        <v>129654.29</v>
      </c>
      <c r="AX239" s="110">
        <v>123802.05</v>
      </c>
      <c r="AY239" s="110">
        <v>117385.69</v>
      </c>
      <c r="AZ239" s="110">
        <v>110794.35</v>
      </c>
      <c r="BA239" s="110">
        <v>107803.91</v>
      </c>
      <c r="BB239" s="110">
        <v>107098.03</v>
      </c>
      <c r="BC239" s="110">
        <v>113986.28</v>
      </c>
      <c r="BD239" s="110">
        <v>114608.11</v>
      </c>
      <c r="BE239" s="110">
        <v>123460.29</v>
      </c>
      <c r="BF239" s="110">
        <v>117627.38</v>
      </c>
      <c r="BG239" s="237">
        <v>1132.74</v>
      </c>
      <c r="BH239" s="237">
        <v>1076</v>
      </c>
      <c r="BI239" s="237">
        <v>1163.99</v>
      </c>
      <c r="BJ239" s="237">
        <v>1347.74</v>
      </c>
      <c r="BK239" s="237">
        <v>1356.94</v>
      </c>
      <c r="BL239" s="237">
        <v>1367.65</v>
      </c>
      <c r="BM239" s="237">
        <v>1376.69</v>
      </c>
      <c r="BN239" s="237">
        <v>1385.95</v>
      </c>
      <c r="BO239" s="237">
        <v>1924.62</v>
      </c>
      <c r="BP239" s="237">
        <v>1932.66</v>
      </c>
      <c r="BQ239" s="237">
        <v>1943.43</v>
      </c>
      <c r="BR239" s="237">
        <v>1954.13</v>
      </c>
      <c r="BS239" s="237">
        <v>1972.25</v>
      </c>
      <c r="BT239" s="237">
        <v>0</v>
      </c>
      <c r="BU239" s="237">
        <v>0</v>
      </c>
      <c r="BV239" s="237">
        <v>0</v>
      </c>
      <c r="BW239" s="237">
        <v>0</v>
      </c>
      <c r="BX239" s="237">
        <v>0</v>
      </c>
      <c r="BY239" s="237">
        <v>0</v>
      </c>
      <c r="BZ239" s="237">
        <v>0</v>
      </c>
      <c r="CA239" s="237">
        <v>0</v>
      </c>
      <c r="CB239" s="237">
        <v>0</v>
      </c>
      <c r="CC239" s="237">
        <v>0</v>
      </c>
      <c r="CD239" s="237">
        <v>0</v>
      </c>
      <c r="CE239" s="237">
        <v>0</v>
      </c>
      <c r="CF239" s="237">
        <v>0</v>
      </c>
      <c r="CG239" s="237">
        <v>0</v>
      </c>
      <c r="CH239" s="30">
        <v>0</v>
      </c>
      <c r="CI239" s="30">
        <v>0</v>
      </c>
      <c r="CJ239" s="30" t="e">
        <f t="array" aca="1" ref="CJ239" ca="1">_xludf.XLOOKUP(C239,'PL TOTAL D0'!H:H,'PL TOTAL D0'!I:I,"")</f>
        <v>#NAME?</v>
      </c>
    </row>
    <row r="240" spans="1:88" ht="15.75" customHeight="1">
      <c r="A240" s="36" t="s">
        <v>2921</v>
      </c>
      <c r="B240" s="36" t="s">
        <v>3330</v>
      </c>
      <c r="C240" s="9">
        <v>338375</v>
      </c>
      <c r="D240" s="9" t="s">
        <v>2923</v>
      </c>
      <c r="E240" s="9" t="s">
        <v>20</v>
      </c>
      <c r="F240" s="9" t="s">
        <v>2924</v>
      </c>
      <c r="G240" s="7" t="e">
        <f t="shared" ca="1" si="0"/>
        <v>#NAME?</v>
      </c>
      <c r="H240" s="8" t="s">
        <v>161</v>
      </c>
      <c r="I240" s="24" t="s">
        <v>162</v>
      </c>
      <c r="J240" s="9" t="str">
        <f t="shared" si="3"/>
        <v>Não</v>
      </c>
      <c r="K240" s="232">
        <v>43601</v>
      </c>
      <c r="L240" s="6"/>
      <c r="M240" s="6" t="s">
        <v>87</v>
      </c>
      <c r="N240" s="233">
        <v>0.02</v>
      </c>
      <c r="O240" s="9" t="s">
        <v>183</v>
      </c>
      <c r="P240" s="234">
        <v>0.2</v>
      </c>
      <c r="Q240" s="108"/>
      <c r="R240" s="108"/>
      <c r="S240" s="7" t="s">
        <v>145</v>
      </c>
      <c r="T240" s="9" t="s">
        <v>3331</v>
      </c>
      <c r="U240" s="6" t="s">
        <v>20</v>
      </c>
      <c r="V240" s="24" t="e">
        <f t="shared" ca="1" si="2"/>
        <v>#NAME?</v>
      </c>
      <c r="W240" s="24"/>
      <c r="X240" s="24"/>
      <c r="Y240" s="6" t="s">
        <v>253</v>
      </c>
      <c r="Z240" s="6"/>
      <c r="AA240" s="107">
        <v>43601</v>
      </c>
      <c r="AB240" s="6">
        <v>49075100010773</v>
      </c>
      <c r="AC240" s="110">
        <v>74487.92</v>
      </c>
      <c r="AD240" s="110">
        <v>138320.85</v>
      </c>
      <c r="AE240" s="110">
        <v>110088.9</v>
      </c>
      <c r="AF240" s="110">
        <v>116710.29</v>
      </c>
      <c r="AG240" s="110">
        <v>119955.61</v>
      </c>
      <c r="AH240" s="110">
        <v>127104.81</v>
      </c>
      <c r="AI240" s="110">
        <v>137000.97</v>
      </c>
      <c r="AJ240" s="110">
        <v>129844.11</v>
      </c>
      <c r="AK240" s="110">
        <v>123965.85</v>
      </c>
      <c r="AL240" s="110">
        <v>128991.2</v>
      </c>
      <c r="AM240" s="110">
        <v>143734.09</v>
      </c>
      <c r="AN240" s="110">
        <v>148153.69</v>
      </c>
      <c r="AO240" s="110">
        <v>141505.66</v>
      </c>
      <c r="AP240" s="110">
        <v>132826.84</v>
      </c>
      <c r="AQ240" s="236">
        <v>128825.86</v>
      </c>
      <c r="AR240" s="236">
        <v>139228.75</v>
      </c>
      <c r="AS240" s="236">
        <v>139577.82999999999</v>
      </c>
      <c r="AT240" s="236">
        <v>140396.20000000001</v>
      </c>
      <c r="AU240" s="236">
        <v>146749.18</v>
      </c>
      <c r="AV240" s="110">
        <v>144636.62</v>
      </c>
      <c r="AW240" s="110">
        <v>140552.72</v>
      </c>
      <c r="AX240" s="110">
        <v>134008.87</v>
      </c>
      <c r="AY240" s="110">
        <v>127034.87</v>
      </c>
      <c r="AZ240" s="110">
        <v>119444.27</v>
      </c>
      <c r="BA240" s="110">
        <v>115543.24</v>
      </c>
      <c r="BB240" s="110">
        <v>116333.79</v>
      </c>
      <c r="BC240" s="110">
        <v>123455.83</v>
      </c>
      <c r="BD240" s="110">
        <v>124897.14</v>
      </c>
      <c r="BE240" s="110">
        <v>133933.97</v>
      </c>
      <c r="BF240" s="110">
        <v>127227.96</v>
      </c>
      <c r="BG240" s="237">
        <v>123922.9</v>
      </c>
      <c r="BH240" s="237">
        <v>118379.57</v>
      </c>
      <c r="BI240" s="237">
        <v>124196.56</v>
      </c>
      <c r="BJ240" s="237">
        <v>112107.18</v>
      </c>
      <c r="BK240" s="237">
        <v>52078.17</v>
      </c>
      <c r="BL240" s="237">
        <v>14978.25</v>
      </c>
      <c r="BM240" s="237">
        <v>13638.37</v>
      </c>
      <c r="BN240" s="237">
        <v>12934.86</v>
      </c>
      <c r="BO240" s="237">
        <v>13386.64</v>
      </c>
      <c r="BP240" s="237">
        <v>12123.86</v>
      </c>
      <c r="BQ240" s="237">
        <v>-2.98</v>
      </c>
      <c r="BR240" s="237">
        <v>0</v>
      </c>
      <c r="BS240" s="237">
        <v>0</v>
      </c>
      <c r="BT240" s="237">
        <v>0</v>
      </c>
      <c r="BU240" s="237">
        <v>0</v>
      </c>
      <c r="BV240" s="237">
        <v>0</v>
      </c>
      <c r="BW240" s="237">
        <v>0</v>
      </c>
      <c r="BX240" s="237">
        <v>0</v>
      </c>
      <c r="BY240" s="237">
        <v>0</v>
      </c>
      <c r="BZ240" s="237">
        <v>0</v>
      </c>
      <c r="CA240" s="237">
        <v>0</v>
      </c>
      <c r="CB240" s="237">
        <v>0</v>
      </c>
      <c r="CC240" s="237">
        <v>0</v>
      </c>
      <c r="CD240" s="237">
        <v>0</v>
      </c>
      <c r="CE240" s="237">
        <v>0</v>
      </c>
      <c r="CF240" s="237">
        <v>0</v>
      </c>
      <c r="CG240" s="237">
        <v>0</v>
      </c>
      <c r="CH240" s="30">
        <v>0</v>
      </c>
      <c r="CI240" s="30">
        <v>0</v>
      </c>
      <c r="CJ240" s="30" t="e">
        <f t="array" aca="1" ref="CJ240" ca="1">_xludf.XLOOKUP(C240,'PL TOTAL D0'!H:H,'PL TOTAL D0'!I:I,"")</f>
        <v>#NAME?</v>
      </c>
    </row>
    <row r="241" spans="1:88" ht="15.75" customHeight="1">
      <c r="A241" s="36" t="s">
        <v>2921</v>
      </c>
      <c r="B241" s="3" t="s">
        <v>3332</v>
      </c>
      <c r="C241" s="9">
        <v>472226</v>
      </c>
      <c r="D241" s="9" t="s">
        <v>19</v>
      </c>
      <c r="E241" s="9" t="s">
        <v>34</v>
      </c>
      <c r="F241" s="6" t="s">
        <v>262</v>
      </c>
      <c r="G241" s="7" t="e">
        <f t="shared" ca="1" si="0"/>
        <v>#NAME?</v>
      </c>
      <c r="H241" s="8" t="s">
        <v>143</v>
      </c>
      <c r="I241" s="24" t="s">
        <v>25</v>
      </c>
      <c r="J241" s="9" t="str">
        <f t="shared" si="3"/>
        <v>Não</v>
      </c>
      <c r="K241" s="107">
        <v>44322</v>
      </c>
      <c r="L241" s="107">
        <v>44652</v>
      </c>
      <c r="M241" s="6" t="s">
        <v>200</v>
      </c>
      <c r="N241" s="10">
        <v>1.4999999999999999E-2</v>
      </c>
      <c r="O241" s="9" t="s">
        <v>37</v>
      </c>
      <c r="P241" s="234">
        <v>0.1</v>
      </c>
      <c r="Q241" s="28"/>
      <c r="R241" s="28"/>
      <c r="S241" s="7" t="s">
        <v>145</v>
      </c>
      <c r="T241" s="6" t="s">
        <v>3333</v>
      </c>
      <c r="U241" s="6" t="s">
        <v>39</v>
      </c>
      <c r="V241" s="24" t="e">
        <f t="shared" ca="1" si="2"/>
        <v>#NAME?</v>
      </c>
      <c r="W241" s="24"/>
      <c r="X241" s="24"/>
      <c r="Y241" s="6"/>
      <c r="Z241" s="6"/>
      <c r="AA241" s="6"/>
      <c r="AB241" s="6"/>
      <c r="AC241" s="132"/>
      <c r="AD241" s="132"/>
      <c r="AE241" s="132"/>
      <c r="AF241" s="132"/>
      <c r="AG241" s="132"/>
      <c r="AH241" s="132"/>
      <c r="AI241" s="132"/>
      <c r="AJ241" s="132"/>
      <c r="AK241" s="132"/>
      <c r="AL241" s="132"/>
      <c r="AM241" s="132"/>
      <c r="AN241" s="132"/>
      <c r="AO241" s="132"/>
      <c r="AP241" s="110"/>
      <c r="AQ241" s="110"/>
      <c r="AR241" s="110"/>
      <c r="AS241" s="110"/>
      <c r="AT241" s="110"/>
      <c r="AU241" s="110">
        <v>322521.53000000003</v>
      </c>
      <c r="AV241" s="110">
        <v>274157.46999999997</v>
      </c>
      <c r="AW241" s="110">
        <v>185038.99</v>
      </c>
      <c r="AX241" s="110">
        <v>83591.850000000006</v>
      </c>
      <c r="AY241" s="110">
        <v>70957.78</v>
      </c>
      <c r="AZ241" s="110">
        <v>38698.699999999997</v>
      </c>
      <c r="BA241" s="110">
        <v>34560.61</v>
      </c>
      <c r="BB241" s="110">
        <v>24666.400000000001</v>
      </c>
      <c r="BC241" s="110">
        <v>22481.9</v>
      </c>
      <c r="BD241" s="110">
        <v>16879.38</v>
      </c>
      <c r="BE241" s="110">
        <v>15010.14</v>
      </c>
      <c r="BF241" s="110">
        <v>0</v>
      </c>
      <c r="BG241" s="110" t="s">
        <v>2932</v>
      </c>
      <c r="BH241" s="110">
        <v>0</v>
      </c>
      <c r="BI241" s="110" t="s">
        <v>2932</v>
      </c>
      <c r="BJ241" s="110">
        <v>0</v>
      </c>
      <c r="BK241" s="237">
        <v>0</v>
      </c>
      <c r="BL241" s="237">
        <v>0</v>
      </c>
      <c r="BM241" s="237">
        <v>0</v>
      </c>
      <c r="BN241" s="237">
        <v>0</v>
      </c>
      <c r="BO241" s="237">
        <v>0</v>
      </c>
      <c r="BP241" s="237">
        <v>0</v>
      </c>
      <c r="BQ241" s="237">
        <v>0</v>
      </c>
      <c r="BR241" s="237">
        <v>0</v>
      </c>
      <c r="BS241" s="237">
        <v>0</v>
      </c>
      <c r="BT241" s="237">
        <v>0</v>
      </c>
      <c r="BU241" s="237">
        <v>0</v>
      </c>
      <c r="BV241" s="237">
        <v>0</v>
      </c>
      <c r="BW241" s="237">
        <v>0</v>
      </c>
      <c r="BX241" s="237">
        <v>0</v>
      </c>
      <c r="BY241" s="237">
        <v>0</v>
      </c>
      <c r="BZ241" s="237">
        <v>0</v>
      </c>
      <c r="CA241" s="237">
        <v>0</v>
      </c>
      <c r="CB241" s="237">
        <v>0</v>
      </c>
      <c r="CC241" s="237">
        <v>0</v>
      </c>
      <c r="CD241" s="237">
        <v>0</v>
      </c>
      <c r="CE241" s="237">
        <v>0</v>
      </c>
      <c r="CF241" s="237">
        <v>0</v>
      </c>
      <c r="CG241" s="237">
        <v>0</v>
      </c>
      <c r="CH241" s="30">
        <v>0</v>
      </c>
      <c r="CI241" s="30">
        <v>0</v>
      </c>
      <c r="CJ241" s="30" t="e">
        <f t="array" aca="1" ref="CJ241" ca="1">_xludf.XLOOKUP(C241,'PL TOTAL D0'!H:H,'PL TOTAL D0'!I:I,"")</f>
        <v>#NAME?</v>
      </c>
    </row>
    <row r="242" spans="1:88" ht="15.75" customHeight="1">
      <c r="A242" s="36" t="s">
        <v>2921</v>
      </c>
      <c r="B242" s="3" t="s">
        <v>3334</v>
      </c>
      <c r="C242" s="9">
        <v>441280</v>
      </c>
      <c r="D242" s="9" t="s">
        <v>19</v>
      </c>
      <c r="E242" s="9" t="s">
        <v>34</v>
      </c>
      <c r="F242" s="6" t="s">
        <v>2971</v>
      </c>
      <c r="G242" s="7" t="e">
        <f t="shared" ca="1" si="0"/>
        <v>#NAME?</v>
      </c>
      <c r="H242" s="8" t="s">
        <v>143</v>
      </c>
      <c r="I242" s="24" t="s">
        <v>25</v>
      </c>
      <c r="J242" s="9" t="str">
        <f t="shared" si="3"/>
        <v>Não</v>
      </c>
      <c r="K242" s="107">
        <v>44279</v>
      </c>
      <c r="L242" s="25">
        <v>44473</v>
      </c>
      <c r="M242" s="6" t="s">
        <v>345</v>
      </c>
      <c r="N242" s="10">
        <v>0.02</v>
      </c>
      <c r="O242" s="9" t="s">
        <v>37</v>
      </c>
      <c r="P242" s="234">
        <v>0.2</v>
      </c>
      <c r="Q242" s="108"/>
      <c r="R242" s="108"/>
      <c r="S242" s="7" t="s">
        <v>145</v>
      </c>
      <c r="T242" s="6" t="s">
        <v>3335</v>
      </c>
      <c r="U242" s="6" t="s">
        <v>39</v>
      </c>
      <c r="V242" s="24" t="e">
        <f t="shared" ca="1" si="2"/>
        <v>#NAME?</v>
      </c>
      <c r="W242" s="24"/>
      <c r="X242" s="24"/>
      <c r="Y242" s="6"/>
      <c r="Z242" s="6"/>
      <c r="AA242" s="6"/>
      <c r="AB242" s="6"/>
      <c r="AC242" s="240"/>
      <c r="AD242" s="240"/>
      <c r="AE242" s="240"/>
      <c r="AF242" s="240"/>
      <c r="AG242" s="240"/>
      <c r="AH242" s="240"/>
      <c r="AI242" s="240"/>
      <c r="AJ242" s="240"/>
      <c r="AK242" s="240"/>
      <c r="AL242" s="240"/>
      <c r="AM242" s="240"/>
      <c r="AN242" s="240"/>
      <c r="AO242" s="240"/>
      <c r="AP242" s="110"/>
      <c r="AQ242" s="110"/>
      <c r="AR242" s="110">
        <v>255831.81</v>
      </c>
      <c r="AS242" s="110"/>
      <c r="AT242" s="110">
        <v>284899.14</v>
      </c>
      <c r="AU242" s="110">
        <v>267778.18</v>
      </c>
      <c r="AV242" s="110">
        <v>265811.13</v>
      </c>
      <c r="AW242" s="110">
        <v>261252.15</v>
      </c>
      <c r="AX242" s="110">
        <v>253344.82</v>
      </c>
      <c r="AY242" s="110">
        <v>237009.79</v>
      </c>
      <c r="AZ242" s="110"/>
      <c r="BA242" s="110"/>
      <c r="BB242" s="110"/>
      <c r="BC242" s="110"/>
      <c r="BD242" s="110">
        <v>0</v>
      </c>
      <c r="BE242" s="110">
        <v>0</v>
      </c>
      <c r="BF242" s="110">
        <v>0</v>
      </c>
      <c r="BG242" s="110" t="s">
        <v>2932</v>
      </c>
      <c r="BH242" s="110">
        <v>0</v>
      </c>
      <c r="BI242" s="110" t="s">
        <v>2932</v>
      </c>
      <c r="BJ242" s="110">
        <v>0</v>
      </c>
      <c r="BK242" s="237">
        <v>0</v>
      </c>
      <c r="BL242" s="237">
        <v>0</v>
      </c>
      <c r="BM242" s="237">
        <v>0</v>
      </c>
      <c r="BN242" s="237">
        <v>0</v>
      </c>
      <c r="BO242" s="237">
        <v>0</v>
      </c>
      <c r="BP242" s="237">
        <v>0</v>
      </c>
      <c r="BQ242" s="237">
        <v>0</v>
      </c>
      <c r="BR242" s="237">
        <v>0</v>
      </c>
      <c r="BS242" s="237">
        <v>0</v>
      </c>
      <c r="BT242" s="237">
        <v>0</v>
      </c>
      <c r="BU242" s="237">
        <v>0</v>
      </c>
      <c r="BV242" s="237">
        <v>0</v>
      </c>
      <c r="BW242" s="237">
        <v>0</v>
      </c>
      <c r="BX242" s="237">
        <v>0</v>
      </c>
      <c r="BY242" s="237">
        <v>0</v>
      </c>
      <c r="BZ242" s="237">
        <v>0</v>
      </c>
      <c r="CA242" s="237">
        <v>0</v>
      </c>
      <c r="CB242" s="237">
        <v>0</v>
      </c>
      <c r="CC242" s="237">
        <v>0</v>
      </c>
      <c r="CD242" s="237">
        <v>0</v>
      </c>
      <c r="CE242" s="237">
        <v>0</v>
      </c>
      <c r="CF242" s="237">
        <v>0</v>
      </c>
      <c r="CG242" s="237">
        <v>0</v>
      </c>
      <c r="CH242" s="30">
        <v>0</v>
      </c>
      <c r="CI242" s="30">
        <v>0</v>
      </c>
      <c r="CJ242" s="30" t="e">
        <f t="array" aca="1" ref="CJ242" ca="1">_xludf.XLOOKUP(C242,'PL TOTAL D0'!H:H,'PL TOTAL D0'!I:I,"")</f>
        <v>#NAME?</v>
      </c>
    </row>
    <row r="243" spans="1:88" ht="15.75" customHeight="1">
      <c r="A243" s="36" t="s">
        <v>2921</v>
      </c>
      <c r="B243" s="3" t="s">
        <v>3336</v>
      </c>
      <c r="C243" s="9">
        <v>355808</v>
      </c>
      <c r="D243" s="9" t="s">
        <v>19</v>
      </c>
      <c r="E243" s="9" t="s">
        <v>20</v>
      </c>
      <c r="F243" s="9" t="s">
        <v>3337</v>
      </c>
      <c r="G243" s="7" t="e">
        <f t="shared" ca="1" si="0"/>
        <v>#NAME?</v>
      </c>
      <c r="H243" s="8" t="s">
        <v>161</v>
      </c>
      <c r="I243" s="24" t="s">
        <v>162</v>
      </c>
      <c r="J243" s="9" t="str">
        <f t="shared" si="3"/>
        <v>Não</v>
      </c>
      <c r="K243" s="232"/>
      <c r="L243" s="7"/>
      <c r="M243" s="6" t="s">
        <v>42</v>
      </c>
      <c r="N243" s="26">
        <v>7.0000000000000001E-3</v>
      </c>
      <c r="O243" s="9" t="s">
        <v>25</v>
      </c>
      <c r="P243" s="234">
        <v>0</v>
      </c>
      <c r="Q243" s="28"/>
      <c r="R243" s="28"/>
      <c r="S243" s="7" t="s">
        <v>145</v>
      </c>
      <c r="T243" s="6" t="s">
        <v>3338</v>
      </c>
      <c r="U243" s="6" t="s">
        <v>20</v>
      </c>
      <c r="V243" s="24" t="e">
        <f t="shared" ca="1" si="2"/>
        <v>#NAME?</v>
      </c>
      <c r="W243" s="24"/>
      <c r="X243" s="24"/>
      <c r="Y243" s="6" t="s">
        <v>253</v>
      </c>
      <c r="Z243" s="6"/>
      <c r="AA243" s="6"/>
      <c r="AB243" s="6"/>
      <c r="AC243" s="132"/>
      <c r="AD243" s="132"/>
      <c r="AE243" s="132"/>
      <c r="AF243" s="132"/>
      <c r="AG243" s="132"/>
      <c r="AH243" s="132"/>
      <c r="AI243" s="132"/>
      <c r="AJ243" s="132"/>
      <c r="AK243" s="132"/>
      <c r="AL243" s="132"/>
      <c r="AM243" s="132"/>
      <c r="AN243" s="132"/>
      <c r="AO243" s="132"/>
      <c r="AP243" s="110"/>
      <c r="AQ243" s="110"/>
      <c r="AR243" s="110"/>
      <c r="AS243" s="110"/>
      <c r="AT243" s="110"/>
      <c r="AU243" s="110"/>
      <c r="AV243" s="110"/>
      <c r="AW243" s="110"/>
      <c r="AX243" s="110"/>
      <c r="AY243" s="110"/>
      <c r="AZ243" s="110"/>
      <c r="BA243" s="110"/>
      <c r="BB243" s="110"/>
      <c r="BC243" s="110"/>
      <c r="BD243" s="110"/>
      <c r="BE243" s="110"/>
      <c r="BF243" s="110"/>
      <c r="BG243" s="237"/>
      <c r="BH243" s="237"/>
      <c r="BI243" s="237"/>
      <c r="BJ243" s="237">
        <v>0</v>
      </c>
      <c r="BK243" s="237">
        <v>0</v>
      </c>
      <c r="BL243" s="237">
        <v>0</v>
      </c>
      <c r="BM243" s="237">
        <v>0</v>
      </c>
      <c r="BN243" s="237">
        <v>0</v>
      </c>
      <c r="BO243" s="237">
        <v>0</v>
      </c>
      <c r="BP243" s="237">
        <v>0</v>
      </c>
      <c r="BQ243" s="237">
        <v>0</v>
      </c>
      <c r="BR243" s="237">
        <v>0</v>
      </c>
      <c r="BS243" s="237">
        <v>0</v>
      </c>
      <c r="BT243" s="237">
        <v>0</v>
      </c>
      <c r="BU243" s="237">
        <v>0</v>
      </c>
      <c r="BV243" s="237">
        <v>0</v>
      </c>
      <c r="BW243" s="237">
        <v>0</v>
      </c>
      <c r="BX243" s="237">
        <v>0</v>
      </c>
      <c r="BY243" s="237">
        <v>0</v>
      </c>
      <c r="BZ243" s="237">
        <v>0</v>
      </c>
      <c r="CA243" s="237">
        <v>0</v>
      </c>
      <c r="CB243" s="237">
        <v>0</v>
      </c>
      <c r="CC243" s="237">
        <v>0</v>
      </c>
      <c r="CD243" s="237">
        <v>0</v>
      </c>
      <c r="CE243" s="237">
        <v>0</v>
      </c>
      <c r="CF243" s="237">
        <v>0</v>
      </c>
      <c r="CG243" s="237">
        <v>0</v>
      </c>
      <c r="CH243" s="30">
        <v>0</v>
      </c>
      <c r="CI243" s="30">
        <v>0</v>
      </c>
      <c r="CJ243" s="30" t="e">
        <f t="array" aca="1" ref="CJ243" ca="1">_xludf.XLOOKUP(C243,'PL TOTAL D0'!H:H,'PL TOTAL D0'!I:I,"")</f>
        <v>#NAME?</v>
      </c>
    </row>
    <row r="244" spans="1:88" ht="20.25" customHeight="1">
      <c r="A244" s="36" t="s">
        <v>2921</v>
      </c>
      <c r="B244" s="3" t="s">
        <v>3339</v>
      </c>
      <c r="C244" s="9">
        <v>466367</v>
      </c>
      <c r="D244" s="9" t="s">
        <v>19</v>
      </c>
      <c r="E244" s="9" t="s">
        <v>34</v>
      </c>
      <c r="F244" s="9" t="s">
        <v>35</v>
      </c>
      <c r="G244" s="7" t="e">
        <f t="shared" ca="1" si="0"/>
        <v>#NAME?</v>
      </c>
      <c r="H244" s="8" t="s">
        <v>161</v>
      </c>
      <c r="I244" s="24" t="s">
        <v>162</v>
      </c>
      <c r="J244" s="9" t="str">
        <f t="shared" si="3"/>
        <v>Não</v>
      </c>
      <c r="K244" s="232">
        <v>44323</v>
      </c>
      <c r="L244" s="7"/>
      <c r="M244" s="6" t="s">
        <v>257</v>
      </c>
      <c r="N244" s="26">
        <v>8.0000000000000002E-3</v>
      </c>
      <c r="O244" s="9" t="s">
        <v>25</v>
      </c>
      <c r="P244" s="234">
        <v>0</v>
      </c>
      <c r="Q244" s="36"/>
      <c r="R244" s="28"/>
      <c r="S244" s="7" t="s">
        <v>187</v>
      </c>
      <c r="T244" s="6" t="s">
        <v>3340</v>
      </c>
      <c r="U244" s="6" t="s">
        <v>39</v>
      </c>
      <c r="V244" s="24" t="e">
        <f t="shared" ca="1" si="2"/>
        <v>#NAME?</v>
      </c>
      <c r="W244" s="24"/>
      <c r="X244" s="24"/>
      <c r="Y244" s="6" t="s">
        <v>253</v>
      </c>
      <c r="Z244" s="6"/>
      <c r="AA244" s="107">
        <v>44323</v>
      </c>
      <c r="AB244" s="6">
        <v>49075100005885</v>
      </c>
      <c r="AC244" s="132"/>
      <c r="AD244" s="132"/>
      <c r="AE244" s="132"/>
      <c r="AF244" s="132"/>
      <c r="AG244" s="132"/>
      <c r="AH244" s="132"/>
      <c r="AI244" s="132"/>
      <c r="AJ244" s="132"/>
      <c r="AK244" s="132"/>
      <c r="AL244" s="132"/>
      <c r="AM244" s="132"/>
      <c r="AN244" s="132"/>
      <c r="AO244" s="132"/>
      <c r="AP244" s="110"/>
      <c r="AQ244" s="110"/>
      <c r="AR244" s="110"/>
      <c r="AS244" s="110"/>
      <c r="AT244" s="110"/>
      <c r="AU244" s="110">
        <v>255422.59</v>
      </c>
      <c r="AV244" s="110">
        <v>248460.75</v>
      </c>
      <c r="AW244" s="110">
        <v>398120.62</v>
      </c>
      <c r="AX244" s="110">
        <v>510683.39</v>
      </c>
      <c r="AY244" s="110">
        <v>502475.43</v>
      </c>
      <c r="AZ244" s="110">
        <v>529489.31999999995</v>
      </c>
      <c r="BA244" s="110">
        <v>487003.11</v>
      </c>
      <c r="BB244" s="110">
        <v>474720.69</v>
      </c>
      <c r="BC244" s="110">
        <v>519255.38</v>
      </c>
      <c r="BD244" s="110">
        <v>515992.42</v>
      </c>
      <c r="BE244" s="110">
        <v>527785.77</v>
      </c>
      <c r="BF244" s="110">
        <v>506868.64</v>
      </c>
      <c r="BG244" s="237">
        <v>390932.78</v>
      </c>
      <c r="BH244" s="237">
        <v>389265.08</v>
      </c>
      <c r="BI244" s="237">
        <v>328636.76</v>
      </c>
      <c r="BJ244" s="237">
        <v>200280.58</v>
      </c>
      <c r="BK244" s="237">
        <v>172425.66</v>
      </c>
      <c r="BL244" s="237">
        <v>153929.75</v>
      </c>
      <c r="BM244" s="237">
        <v>137279.66</v>
      </c>
      <c r="BN244" s="237">
        <v>126738.78</v>
      </c>
      <c r="BO244" s="237">
        <v>110621.26</v>
      </c>
      <c r="BP244" s="237">
        <v>83969.65</v>
      </c>
      <c r="BQ244" s="237">
        <v>61532.7</v>
      </c>
      <c r="BR244" s="237">
        <v>44771.45</v>
      </c>
      <c r="BS244" s="237">
        <v>25187.24</v>
      </c>
      <c r="BT244" s="237">
        <v>0</v>
      </c>
      <c r="BU244" s="237">
        <v>0</v>
      </c>
      <c r="BV244" s="237">
        <v>0</v>
      </c>
      <c r="BW244" s="237">
        <v>0</v>
      </c>
      <c r="BX244" s="237">
        <v>0</v>
      </c>
      <c r="BY244" s="237">
        <v>0</v>
      </c>
      <c r="BZ244" s="237">
        <v>0</v>
      </c>
      <c r="CA244" s="237">
        <v>0</v>
      </c>
      <c r="CB244" s="237">
        <v>0</v>
      </c>
      <c r="CC244" s="237">
        <v>0</v>
      </c>
      <c r="CD244" s="237">
        <v>0</v>
      </c>
      <c r="CE244" s="237">
        <v>0</v>
      </c>
      <c r="CF244" s="237">
        <v>0</v>
      </c>
      <c r="CG244" s="237">
        <v>0</v>
      </c>
      <c r="CH244" s="30">
        <v>0</v>
      </c>
      <c r="CI244" s="30">
        <v>0</v>
      </c>
      <c r="CJ244" s="30" t="e">
        <f t="array" aca="1" ref="CJ244" ca="1">_xludf.XLOOKUP(C244,'PL TOTAL D0'!H:H,'PL TOTAL D0'!I:I,"")</f>
        <v>#NAME?</v>
      </c>
    </row>
    <row r="245" spans="1:88" ht="15.75" customHeight="1">
      <c r="A245" s="36" t="s">
        <v>2921</v>
      </c>
      <c r="B245" s="37" t="s">
        <v>3341</v>
      </c>
      <c r="C245" s="9">
        <v>78771</v>
      </c>
      <c r="D245" s="9" t="s">
        <v>2923</v>
      </c>
      <c r="E245" s="9" t="s">
        <v>20</v>
      </c>
      <c r="F245" s="6" t="s">
        <v>2930</v>
      </c>
      <c r="G245" s="7" t="e">
        <f t="shared" ca="1" si="0"/>
        <v>#NAME?</v>
      </c>
      <c r="H245" s="8" t="s">
        <v>143</v>
      </c>
      <c r="I245" s="24" t="s">
        <v>25</v>
      </c>
      <c r="J245" s="9" t="str">
        <f t="shared" si="3"/>
        <v>Não</v>
      </c>
      <c r="K245" s="107">
        <v>43570</v>
      </c>
      <c r="L245" s="107">
        <v>45007</v>
      </c>
      <c r="M245" s="6" t="s">
        <v>58</v>
      </c>
      <c r="N245" s="10">
        <v>5.0000000000000001E-3</v>
      </c>
      <c r="O245" s="9" t="s">
        <v>25</v>
      </c>
      <c r="P245" s="234">
        <v>0</v>
      </c>
      <c r="Q245" s="108"/>
      <c r="R245" s="108"/>
      <c r="S245" s="7" t="s">
        <v>145</v>
      </c>
      <c r="T245" s="6" t="s">
        <v>3342</v>
      </c>
      <c r="U245" s="6" t="s">
        <v>20</v>
      </c>
      <c r="V245" s="24" t="e">
        <f t="shared" ca="1" si="2"/>
        <v>#NAME?</v>
      </c>
      <c r="W245" s="24"/>
      <c r="X245" s="24"/>
      <c r="Y245" s="6"/>
      <c r="Z245" s="6"/>
      <c r="AA245" s="6"/>
      <c r="AB245" s="6"/>
      <c r="AC245" s="110">
        <v>430100.49</v>
      </c>
      <c r="AD245" s="110">
        <v>431114.2</v>
      </c>
      <c r="AE245" s="110">
        <v>432304.18</v>
      </c>
      <c r="AF245" s="110">
        <v>432992.58</v>
      </c>
      <c r="AG245" s="110">
        <v>431768.37</v>
      </c>
      <c r="AH245" s="110">
        <v>432531.58</v>
      </c>
      <c r="AI245" s="110">
        <v>433208.01</v>
      </c>
      <c r="AJ245" s="110">
        <v>389174.43</v>
      </c>
      <c r="AK245" s="240"/>
      <c r="AL245" s="110">
        <v>198892.19</v>
      </c>
      <c r="AM245" s="110">
        <v>206063.63</v>
      </c>
      <c r="AN245" s="110">
        <v>207706.03</v>
      </c>
      <c r="AO245" s="110">
        <v>205976.13</v>
      </c>
      <c r="AP245" s="110">
        <v>43.67</v>
      </c>
      <c r="AQ245" s="110">
        <v>43.67</v>
      </c>
      <c r="AR245" s="110">
        <v>43.67</v>
      </c>
      <c r="AS245" s="110">
        <v>43.67</v>
      </c>
      <c r="AT245" s="110">
        <v>43.67</v>
      </c>
      <c r="AU245" s="110"/>
      <c r="AV245" s="240"/>
      <c r="AW245" s="240"/>
      <c r="AX245" s="240"/>
      <c r="AY245" s="110"/>
      <c r="AZ245" s="110"/>
      <c r="BA245" s="110"/>
      <c r="BB245" s="110"/>
      <c r="BC245" s="110"/>
      <c r="BD245" s="110">
        <v>0</v>
      </c>
      <c r="BE245" s="110">
        <v>0</v>
      </c>
      <c r="BF245" s="110">
        <v>0</v>
      </c>
      <c r="BG245" s="110" t="s">
        <v>2932</v>
      </c>
      <c r="BH245" s="110">
        <v>0</v>
      </c>
      <c r="BI245" s="110" t="s">
        <v>2932</v>
      </c>
      <c r="BJ245" s="110">
        <v>0</v>
      </c>
      <c r="BK245" s="237">
        <v>0</v>
      </c>
      <c r="BL245" s="237">
        <v>0</v>
      </c>
      <c r="BM245" s="237">
        <v>0</v>
      </c>
      <c r="BN245" s="237">
        <v>0</v>
      </c>
      <c r="BO245" s="237">
        <v>0</v>
      </c>
      <c r="BP245" s="237">
        <v>0</v>
      </c>
      <c r="BQ245" s="237">
        <v>0</v>
      </c>
      <c r="BR245" s="237">
        <v>0</v>
      </c>
      <c r="BS245" s="237">
        <v>0</v>
      </c>
      <c r="BT245" s="237">
        <v>0</v>
      </c>
      <c r="BU245" s="237">
        <v>0</v>
      </c>
      <c r="BV245" s="237">
        <v>0</v>
      </c>
      <c r="BW245" s="237">
        <v>0</v>
      </c>
      <c r="BX245" s="237">
        <v>0</v>
      </c>
      <c r="BY245" s="237">
        <v>0</v>
      </c>
      <c r="BZ245" s="237">
        <v>0</v>
      </c>
      <c r="CA245" s="237">
        <v>0</v>
      </c>
      <c r="CB245" s="237">
        <v>0</v>
      </c>
      <c r="CC245" s="237">
        <v>0</v>
      </c>
      <c r="CD245" s="237">
        <v>0</v>
      </c>
      <c r="CE245" s="237">
        <v>0</v>
      </c>
      <c r="CF245" s="237">
        <v>0</v>
      </c>
      <c r="CG245" s="237">
        <v>0</v>
      </c>
      <c r="CH245" s="30">
        <v>0</v>
      </c>
      <c r="CI245" s="30">
        <v>0</v>
      </c>
      <c r="CJ245" s="30" t="e">
        <f t="array" aca="1" ref="CJ245" ca="1">_xludf.XLOOKUP(C245,'PL TOTAL D0'!H:H,'PL TOTAL D0'!I:I,"")</f>
        <v>#NAME?</v>
      </c>
    </row>
    <row r="246" spans="1:88" ht="15.75" customHeight="1">
      <c r="A246" s="36" t="s">
        <v>2921</v>
      </c>
      <c r="B246" s="36" t="s">
        <v>3341</v>
      </c>
      <c r="C246" s="9">
        <v>298641</v>
      </c>
      <c r="D246" s="9" t="s">
        <v>2923</v>
      </c>
      <c r="E246" s="9" t="s">
        <v>20</v>
      </c>
      <c r="F246" s="9" t="s">
        <v>2930</v>
      </c>
      <c r="G246" s="7" t="e">
        <f t="shared" ca="1" si="0"/>
        <v>#NAME?</v>
      </c>
      <c r="H246" s="8" t="s">
        <v>143</v>
      </c>
      <c r="I246" s="24" t="s">
        <v>25</v>
      </c>
      <c r="J246" s="9" t="str">
        <f t="shared" si="3"/>
        <v>Não</v>
      </c>
      <c r="K246" s="232">
        <v>43570</v>
      </c>
      <c r="L246" s="107">
        <v>44972</v>
      </c>
      <c r="M246" s="6" t="s">
        <v>200</v>
      </c>
      <c r="N246" s="10">
        <v>1.4999999999999999E-2</v>
      </c>
      <c r="O246" s="9" t="s">
        <v>37</v>
      </c>
      <c r="P246" s="234">
        <v>0.1</v>
      </c>
      <c r="Q246" s="108"/>
      <c r="R246" s="108"/>
      <c r="S246" s="7" t="s">
        <v>145</v>
      </c>
      <c r="T246" s="9" t="s">
        <v>3342</v>
      </c>
      <c r="U246" s="6" t="s">
        <v>20</v>
      </c>
      <c r="V246" s="24" t="e">
        <f t="shared" ca="1" si="2"/>
        <v>#NAME?</v>
      </c>
      <c r="W246" s="24"/>
      <c r="X246" s="24"/>
      <c r="Y246" s="6" t="s">
        <v>253</v>
      </c>
      <c r="Z246" s="6"/>
      <c r="AA246" s="6"/>
      <c r="AB246" s="6"/>
      <c r="AC246" s="110">
        <v>326311.45</v>
      </c>
      <c r="AD246" s="110">
        <v>319083.71999999997</v>
      </c>
      <c r="AE246" s="110">
        <v>305578</v>
      </c>
      <c r="AF246" s="110">
        <v>307960.90000000002</v>
      </c>
      <c r="AG246" s="110">
        <v>312075.74</v>
      </c>
      <c r="AH246" s="110">
        <v>315741.07</v>
      </c>
      <c r="AI246" s="110">
        <v>320125.15999999997</v>
      </c>
      <c r="AJ246" s="110">
        <v>359446.13</v>
      </c>
      <c r="AK246" s="110">
        <v>740526.36</v>
      </c>
      <c r="AL246" s="240"/>
      <c r="AM246" s="240"/>
      <c r="AN246" s="240"/>
      <c r="AO246" s="240"/>
      <c r="AP246" s="110">
        <v>745612.12</v>
      </c>
      <c r="AQ246" s="236">
        <v>738991.7</v>
      </c>
      <c r="AR246" s="236">
        <v>762298</v>
      </c>
      <c r="AS246" s="236">
        <v>765437.97</v>
      </c>
      <c r="AT246" s="236">
        <v>768429.57</v>
      </c>
      <c r="AU246" s="236">
        <v>784983.14</v>
      </c>
      <c r="AV246" s="110">
        <v>785087.26</v>
      </c>
      <c r="AW246" s="110">
        <v>776994.57</v>
      </c>
      <c r="AX246" s="110">
        <v>761139.32</v>
      </c>
      <c r="AY246" s="110">
        <v>748549.32</v>
      </c>
      <c r="AZ246" s="110">
        <v>730050.23</v>
      </c>
      <c r="BA246" s="110">
        <v>719015.13</v>
      </c>
      <c r="BB246" s="110">
        <v>725038.65</v>
      </c>
      <c r="BC246" s="110">
        <v>747621.13</v>
      </c>
      <c r="BD246" s="110">
        <v>748326.94</v>
      </c>
      <c r="BE246" s="110">
        <v>772900.59</v>
      </c>
      <c r="BF246" s="110">
        <v>760764.35</v>
      </c>
      <c r="BG246" s="237">
        <v>758930.66</v>
      </c>
      <c r="BH246" s="237">
        <v>751640.04</v>
      </c>
      <c r="BI246" s="237">
        <v>766674.6</v>
      </c>
      <c r="BJ246" s="237">
        <v>774108.29</v>
      </c>
      <c r="BK246" s="237">
        <v>780411.56</v>
      </c>
      <c r="BL246" s="237">
        <v>808356.32</v>
      </c>
      <c r="BM246" s="237">
        <v>804159.39</v>
      </c>
      <c r="BN246" s="237">
        <v>810356.55</v>
      </c>
      <c r="BO246" s="237">
        <v>819409.9</v>
      </c>
      <c r="BP246" s="237">
        <v>468944.56</v>
      </c>
      <c r="BQ246" s="237">
        <v>0</v>
      </c>
      <c r="BR246" s="237">
        <v>0</v>
      </c>
      <c r="BS246" s="237">
        <v>0</v>
      </c>
      <c r="BT246" s="237">
        <v>0</v>
      </c>
      <c r="BU246" s="237">
        <v>0</v>
      </c>
      <c r="BV246" s="237">
        <v>0</v>
      </c>
      <c r="BW246" s="237">
        <v>0</v>
      </c>
      <c r="BX246" s="237">
        <v>0</v>
      </c>
      <c r="BY246" s="237">
        <v>0</v>
      </c>
      <c r="BZ246" s="237">
        <v>0</v>
      </c>
      <c r="CA246" s="237">
        <v>0</v>
      </c>
      <c r="CB246" s="237">
        <v>0</v>
      </c>
      <c r="CC246" s="237">
        <v>0</v>
      </c>
      <c r="CD246" s="237">
        <v>0</v>
      </c>
      <c r="CE246" s="237">
        <v>0</v>
      </c>
      <c r="CF246" s="237">
        <v>0</v>
      </c>
      <c r="CG246" s="237">
        <v>0</v>
      </c>
      <c r="CH246" s="30">
        <v>0</v>
      </c>
      <c r="CI246" s="30">
        <v>0</v>
      </c>
      <c r="CJ246" s="30" t="e">
        <f t="array" aca="1" ref="CJ246" ca="1">_xludf.XLOOKUP(C246,'PL TOTAL D0'!H:H,'PL TOTAL D0'!I:I,"")</f>
        <v>#NAME?</v>
      </c>
    </row>
    <row r="247" spans="1:88" ht="15.75" customHeight="1">
      <c r="A247" s="36" t="s">
        <v>2921</v>
      </c>
      <c r="B247" s="37" t="s">
        <v>3341</v>
      </c>
      <c r="C247" s="9">
        <v>298684</v>
      </c>
      <c r="D247" s="9" t="s">
        <v>2923</v>
      </c>
      <c r="E247" s="9" t="s">
        <v>20</v>
      </c>
      <c r="F247" s="6" t="s">
        <v>2930</v>
      </c>
      <c r="G247" s="7" t="e">
        <f t="shared" ca="1" si="0"/>
        <v>#NAME?</v>
      </c>
      <c r="H247" s="8" t="s">
        <v>143</v>
      </c>
      <c r="I247" s="24" t="s">
        <v>25</v>
      </c>
      <c r="J247" s="9" t="str">
        <f t="shared" si="3"/>
        <v>Não</v>
      </c>
      <c r="K247" s="107">
        <v>43570</v>
      </c>
      <c r="L247" s="107">
        <v>45007</v>
      </c>
      <c r="M247" s="6" t="s">
        <v>87</v>
      </c>
      <c r="N247" s="10">
        <v>0.02</v>
      </c>
      <c r="O247" s="9" t="s">
        <v>183</v>
      </c>
      <c r="P247" s="234">
        <v>0.2</v>
      </c>
      <c r="Q247" s="108"/>
      <c r="R247" s="108"/>
      <c r="S247" s="7" t="s">
        <v>145</v>
      </c>
      <c r="T247" s="6" t="s">
        <v>3342</v>
      </c>
      <c r="U247" s="6" t="s">
        <v>20</v>
      </c>
      <c r="V247" s="24" t="e">
        <f t="shared" ca="1" si="2"/>
        <v>#NAME?</v>
      </c>
      <c r="W247" s="24"/>
      <c r="X247" s="24"/>
      <c r="Y247" s="6"/>
      <c r="Z247" s="6"/>
      <c r="AA247" s="6"/>
      <c r="AB247" s="6"/>
      <c r="AC247" s="110">
        <v>0</v>
      </c>
      <c r="AD247" s="110">
        <v>0</v>
      </c>
      <c r="AE247" s="110">
        <v>0</v>
      </c>
      <c r="AF247" s="110">
        <v>0</v>
      </c>
      <c r="AG247" s="110">
        <v>0</v>
      </c>
      <c r="AH247" s="110">
        <v>0</v>
      </c>
      <c r="AI247" s="110">
        <v>0</v>
      </c>
      <c r="AJ247" s="110"/>
      <c r="AK247" s="110"/>
      <c r="AL247" s="110">
        <v>733421.83</v>
      </c>
      <c r="AM247" s="110">
        <v>76932.08</v>
      </c>
      <c r="AN247" s="110">
        <v>779671.58</v>
      </c>
      <c r="AO247" s="110">
        <v>764648.77</v>
      </c>
      <c r="AP247" s="110"/>
      <c r="AQ247" s="110"/>
      <c r="AR247" s="110"/>
      <c r="AS247" s="110"/>
      <c r="AT247" s="110"/>
      <c r="AU247" s="110"/>
      <c r="AV247" s="240"/>
      <c r="AW247" s="240"/>
      <c r="AX247" s="240"/>
      <c r="AY247" s="110"/>
      <c r="AZ247" s="110"/>
      <c r="BA247" s="110"/>
      <c r="BB247" s="110"/>
      <c r="BC247" s="110"/>
      <c r="BD247" s="110">
        <v>0</v>
      </c>
      <c r="BE247" s="110">
        <v>0</v>
      </c>
      <c r="BF247" s="110">
        <v>0</v>
      </c>
      <c r="BG247" s="110" t="s">
        <v>2932</v>
      </c>
      <c r="BH247" s="110">
        <v>0</v>
      </c>
      <c r="BI247" s="110" t="s">
        <v>2932</v>
      </c>
      <c r="BJ247" s="110">
        <v>0</v>
      </c>
      <c r="BK247" s="237">
        <v>0</v>
      </c>
      <c r="BL247" s="237">
        <v>0</v>
      </c>
      <c r="BM247" s="237">
        <v>0</v>
      </c>
      <c r="BN247" s="237">
        <v>0</v>
      </c>
      <c r="BO247" s="237">
        <v>0</v>
      </c>
      <c r="BP247" s="237">
        <v>0</v>
      </c>
      <c r="BQ247" s="237">
        <v>0</v>
      </c>
      <c r="BR247" s="237">
        <v>0</v>
      </c>
      <c r="BS247" s="237">
        <v>0</v>
      </c>
      <c r="BT247" s="237">
        <v>0</v>
      </c>
      <c r="BU247" s="237">
        <v>0</v>
      </c>
      <c r="BV247" s="237">
        <v>0</v>
      </c>
      <c r="BW247" s="237">
        <v>0</v>
      </c>
      <c r="BX247" s="237">
        <v>0</v>
      </c>
      <c r="BY247" s="237">
        <v>0</v>
      </c>
      <c r="BZ247" s="237">
        <v>0</v>
      </c>
      <c r="CA247" s="237">
        <v>0</v>
      </c>
      <c r="CB247" s="237">
        <v>0</v>
      </c>
      <c r="CC247" s="237">
        <v>0</v>
      </c>
      <c r="CD247" s="237">
        <v>0</v>
      </c>
      <c r="CE247" s="237">
        <v>0</v>
      </c>
      <c r="CF247" s="237">
        <v>0</v>
      </c>
      <c r="CG247" s="237">
        <v>0</v>
      </c>
      <c r="CH247" s="30">
        <v>0</v>
      </c>
      <c r="CI247" s="30">
        <v>0</v>
      </c>
      <c r="CJ247" s="30" t="e">
        <f t="array" aca="1" ref="CJ247" ca="1">_xludf.XLOOKUP(C247,'PL TOTAL D0'!H:H,'PL TOTAL D0'!I:I,"")</f>
        <v>#NAME?</v>
      </c>
    </row>
    <row r="248" spans="1:88" ht="15.75" customHeight="1">
      <c r="A248" s="36" t="s">
        <v>2921</v>
      </c>
      <c r="B248" s="3" t="s">
        <v>1853</v>
      </c>
      <c r="C248" s="9">
        <v>32191</v>
      </c>
      <c r="D248" s="9" t="s">
        <v>19</v>
      </c>
      <c r="E248" s="9" t="s">
        <v>34</v>
      </c>
      <c r="F248" s="9" t="s">
        <v>262</v>
      </c>
      <c r="G248" s="7" t="e">
        <f t="shared" ca="1" si="0"/>
        <v>#NAME?</v>
      </c>
      <c r="H248" s="8" t="s">
        <v>143</v>
      </c>
      <c r="I248" s="24" t="s">
        <v>25</v>
      </c>
      <c r="J248" s="9" t="str">
        <f t="shared" si="3"/>
        <v>Não</v>
      </c>
      <c r="K248" s="25">
        <v>44382</v>
      </c>
      <c r="L248" s="25">
        <v>44705</v>
      </c>
      <c r="M248" s="6" t="s">
        <v>345</v>
      </c>
      <c r="N248" s="233">
        <v>0.02</v>
      </c>
      <c r="O248" s="9" t="s">
        <v>37</v>
      </c>
      <c r="P248" s="234">
        <v>0.2</v>
      </c>
      <c r="Q248" s="36"/>
      <c r="R248" s="28"/>
      <c r="S248" s="7" t="s">
        <v>145</v>
      </c>
      <c r="T248" s="6" t="s">
        <v>1856</v>
      </c>
      <c r="U248" s="6" t="s">
        <v>39</v>
      </c>
      <c r="V248" s="24" t="e">
        <f t="shared" ca="1" si="2"/>
        <v>#NAME?</v>
      </c>
      <c r="W248" s="24"/>
      <c r="X248" s="24"/>
      <c r="Y248" s="6" t="s">
        <v>253</v>
      </c>
      <c r="Z248" s="6"/>
      <c r="AA248" s="6"/>
      <c r="AB248" s="6"/>
      <c r="AC248" s="132"/>
      <c r="AD248" s="132"/>
      <c r="AE248" s="132"/>
      <c r="AF248" s="132"/>
      <c r="AG248" s="132"/>
      <c r="AH248" s="132"/>
      <c r="AI248" s="132"/>
      <c r="AJ248" s="132"/>
      <c r="AK248" s="132"/>
      <c r="AL248" s="132"/>
      <c r="AM248" s="132"/>
      <c r="AN248" s="132"/>
      <c r="AO248" s="110"/>
      <c r="AP248" s="110"/>
      <c r="AQ248" s="110"/>
      <c r="AR248" s="110"/>
      <c r="AS248" s="110"/>
      <c r="AT248" s="110"/>
      <c r="AU248" s="132"/>
      <c r="AV248" s="110">
        <v>120892.91</v>
      </c>
      <c r="AW248" s="110">
        <v>54763.040000000001</v>
      </c>
      <c r="AX248" s="110">
        <v>53126.97</v>
      </c>
      <c r="AY248" s="110">
        <v>51666.16</v>
      </c>
      <c r="AZ248" s="110">
        <v>49508.4</v>
      </c>
      <c r="BA248" s="110">
        <v>48536.71</v>
      </c>
      <c r="BB248" s="110">
        <v>48926.720000000001</v>
      </c>
      <c r="BC248" s="110">
        <v>50088.33</v>
      </c>
      <c r="BD248" s="110">
        <v>50962.87</v>
      </c>
      <c r="BE248" s="110">
        <v>53112.37</v>
      </c>
      <c r="BF248" s="110">
        <v>20904.68</v>
      </c>
      <c r="BG248" s="237">
        <v>5307.78</v>
      </c>
      <c r="BH248" s="237">
        <v>5382.57</v>
      </c>
      <c r="BI248" s="237">
        <v>5483.71</v>
      </c>
      <c r="BJ248" s="237">
        <v>5561.96</v>
      </c>
      <c r="BK248" s="237">
        <v>5596.13</v>
      </c>
      <c r="BL248" s="237">
        <v>5628.94</v>
      </c>
      <c r="BM248" s="237">
        <v>5662.15</v>
      </c>
      <c r="BN248" s="237">
        <v>5695.29</v>
      </c>
      <c r="BO248" s="237">
        <v>91.65</v>
      </c>
      <c r="BP248" s="237">
        <v>91.65</v>
      </c>
      <c r="BQ248" s="237">
        <v>0</v>
      </c>
      <c r="BR248" s="237">
        <v>0</v>
      </c>
      <c r="BS248" s="237">
        <v>0</v>
      </c>
      <c r="BT248" s="237">
        <v>0</v>
      </c>
      <c r="BU248" s="237">
        <v>0</v>
      </c>
      <c r="BV248" s="237">
        <v>0</v>
      </c>
      <c r="BW248" s="237">
        <v>0</v>
      </c>
      <c r="BX248" s="237">
        <v>0</v>
      </c>
      <c r="BY248" s="237">
        <v>0</v>
      </c>
      <c r="BZ248" s="237">
        <v>0</v>
      </c>
      <c r="CA248" s="237">
        <v>0</v>
      </c>
      <c r="CB248" s="237">
        <v>0</v>
      </c>
      <c r="CC248" s="237">
        <v>0</v>
      </c>
      <c r="CD248" s="237">
        <v>0</v>
      </c>
      <c r="CE248" s="237">
        <v>0</v>
      </c>
      <c r="CF248" s="237">
        <v>0</v>
      </c>
      <c r="CG248" s="237">
        <v>0</v>
      </c>
      <c r="CH248" s="30">
        <v>0</v>
      </c>
      <c r="CI248" s="30">
        <v>0</v>
      </c>
      <c r="CJ248" s="30" t="e">
        <f t="array" aca="1" ref="CJ248" ca="1">_xludf.XLOOKUP(C248,'PL TOTAL D0'!H:H,'PL TOTAL D0'!I:I,"")</f>
        <v>#NAME?</v>
      </c>
    </row>
    <row r="249" spans="1:88" ht="15.75" customHeight="1">
      <c r="A249" s="36" t="s">
        <v>2921</v>
      </c>
      <c r="B249" s="37" t="s">
        <v>3343</v>
      </c>
      <c r="C249" s="9">
        <v>450847</v>
      </c>
      <c r="D249" s="9" t="s">
        <v>19</v>
      </c>
      <c r="E249" s="9" t="s">
        <v>20</v>
      </c>
      <c r="F249" s="6" t="s">
        <v>3072</v>
      </c>
      <c r="G249" s="7" t="e">
        <f t="shared" ca="1" si="0"/>
        <v>#NAME?</v>
      </c>
      <c r="H249" s="8" t="s">
        <v>143</v>
      </c>
      <c r="I249" s="24" t="s">
        <v>25</v>
      </c>
      <c r="J249" s="9" t="str">
        <f t="shared" si="3"/>
        <v>Não</v>
      </c>
      <c r="K249" s="107">
        <v>43990</v>
      </c>
      <c r="L249" s="107">
        <v>44309</v>
      </c>
      <c r="M249" s="6" t="s">
        <v>200</v>
      </c>
      <c r="N249" s="10">
        <v>1.4999999999999999E-2</v>
      </c>
      <c r="O249" s="9" t="s">
        <v>37</v>
      </c>
      <c r="P249" s="234">
        <v>0.1</v>
      </c>
      <c r="Q249" s="108"/>
      <c r="R249" s="108"/>
      <c r="S249" s="7" t="s">
        <v>145</v>
      </c>
      <c r="T249" s="6" t="s">
        <v>3344</v>
      </c>
      <c r="U249" s="6" t="s">
        <v>20</v>
      </c>
      <c r="V249" s="24" t="e">
        <f t="shared" ca="1" si="2"/>
        <v>#NAME?</v>
      </c>
      <c r="W249" s="24"/>
      <c r="X249" s="24"/>
      <c r="Y249" s="6"/>
      <c r="Z249" s="6"/>
      <c r="AA249" s="6"/>
      <c r="AB249" s="6"/>
      <c r="AC249" s="110">
        <v>0</v>
      </c>
      <c r="AD249" s="110">
        <v>0</v>
      </c>
      <c r="AE249" s="110">
        <v>0</v>
      </c>
      <c r="AF249" s="110">
        <v>0</v>
      </c>
      <c r="AG249" s="110">
        <v>0</v>
      </c>
      <c r="AH249" s="110">
        <v>67714.78</v>
      </c>
      <c r="AI249" s="110">
        <v>71790.67</v>
      </c>
      <c r="AJ249" s="110">
        <v>67278.12</v>
      </c>
      <c r="AK249" s="110">
        <v>63186.8</v>
      </c>
      <c r="AL249" s="110"/>
      <c r="AM249" s="110"/>
      <c r="AN249" s="110"/>
      <c r="AO249" s="110"/>
      <c r="AP249" s="110"/>
      <c r="AQ249" s="110"/>
      <c r="AR249" s="110"/>
      <c r="AS249" s="110"/>
      <c r="AT249" s="110"/>
      <c r="AU249" s="110"/>
      <c r="AV249" s="240"/>
      <c r="AW249" s="240"/>
      <c r="AX249" s="240"/>
      <c r="AY249" s="110"/>
      <c r="AZ249" s="110"/>
      <c r="BA249" s="110"/>
      <c r="BB249" s="110"/>
      <c r="BC249" s="110"/>
      <c r="BD249" s="110">
        <v>0</v>
      </c>
      <c r="BE249" s="110">
        <v>0</v>
      </c>
      <c r="BF249" s="110">
        <v>0</v>
      </c>
      <c r="BG249" s="110" t="s">
        <v>2932</v>
      </c>
      <c r="BH249" s="110">
        <v>0</v>
      </c>
      <c r="BI249" s="110" t="s">
        <v>2932</v>
      </c>
      <c r="BJ249" s="110">
        <v>0</v>
      </c>
      <c r="BK249" s="237">
        <v>0</v>
      </c>
      <c r="BL249" s="237">
        <v>0</v>
      </c>
      <c r="BM249" s="237">
        <v>0</v>
      </c>
      <c r="BN249" s="237">
        <v>0</v>
      </c>
      <c r="BO249" s="237">
        <v>0</v>
      </c>
      <c r="BP249" s="237">
        <v>0</v>
      </c>
      <c r="BQ249" s="237">
        <v>0</v>
      </c>
      <c r="BR249" s="237">
        <v>0</v>
      </c>
      <c r="BS249" s="237">
        <v>0</v>
      </c>
      <c r="BT249" s="237">
        <v>0</v>
      </c>
      <c r="BU249" s="237">
        <v>0</v>
      </c>
      <c r="BV249" s="237">
        <v>0</v>
      </c>
      <c r="BW249" s="237">
        <v>0</v>
      </c>
      <c r="BX249" s="237">
        <v>0</v>
      </c>
      <c r="BY249" s="237">
        <v>0</v>
      </c>
      <c r="BZ249" s="237">
        <v>0</v>
      </c>
      <c r="CA249" s="237">
        <v>0</v>
      </c>
      <c r="CB249" s="237">
        <v>0</v>
      </c>
      <c r="CC249" s="237">
        <v>0</v>
      </c>
      <c r="CD249" s="237">
        <v>0</v>
      </c>
      <c r="CE249" s="237">
        <v>0</v>
      </c>
      <c r="CF249" s="237">
        <v>0</v>
      </c>
      <c r="CG249" s="237">
        <v>0</v>
      </c>
      <c r="CH249" s="30">
        <v>0</v>
      </c>
      <c r="CI249" s="30">
        <v>0</v>
      </c>
      <c r="CJ249" s="30" t="e">
        <f t="array" aca="1" ref="CJ249" ca="1">_xludf.XLOOKUP(C249,'PL TOTAL D0'!H:H,'PL TOTAL D0'!I:I,"")</f>
        <v>#NAME?</v>
      </c>
    </row>
    <row r="250" spans="1:88" ht="15.75" customHeight="1">
      <c r="A250" s="36" t="s">
        <v>2921</v>
      </c>
      <c r="B250" s="3" t="s">
        <v>1857</v>
      </c>
      <c r="C250" s="9">
        <v>75774</v>
      </c>
      <c r="D250" s="9" t="s">
        <v>19</v>
      </c>
      <c r="E250" s="9" t="s">
        <v>34</v>
      </c>
      <c r="F250" s="9" t="s">
        <v>262</v>
      </c>
      <c r="G250" s="7" t="e">
        <f t="shared" ca="1" si="0"/>
        <v>#NAME?</v>
      </c>
      <c r="H250" s="8" t="s">
        <v>152</v>
      </c>
      <c r="I250" s="24" t="s">
        <v>25</v>
      </c>
      <c r="J250" s="9" t="str">
        <f t="shared" si="3"/>
        <v>Não</v>
      </c>
      <c r="K250" s="232">
        <v>44328</v>
      </c>
      <c r="L250" s="6"/>
      <c r="M250" s="6" t="s">
        <v>200</v>
      </c>
      <c r="N250" s="10">
        <v>1.4999999999999999E-2</v>
      </c>
      <c r="O250" s="9" t="s">
        <v>37</v>
      </c>
      <c r="P250" s="234">
        <v>0.1</v>
      </c>
      <c r="Q250" s="28"/>
      <c r="R250" s="28"/>
      <c r="S250" s="7" t="s">
        <v>145</v>
      </c>
      <c r="T250" s="6" t="s">
        <v>1859</v>
      </c>
      <c r="U250" s="6" t="s">
        <v>39</v>
      </c>
      <c r="V250" s="24" t="e">
        <f t="shared" ca="1" si="2"/>
        <v>#NAME?</v>
      </c>
      <c r="W250" s="24"/>
      <c r="X250" s="24"/>
      <c r="Y250" s="6" t="s">
        <v>253</v>
      </c>
      <c r="Z250" s="6"/>
      <c r="AA250" s="107">
        <v>44328</v>
      </c>
      <c r="AB250" s="6">
        <v>49075100004307</v>
      </c>
      <c r="AC250" s="132"/>
      <c r="AD250" s="132"/>
      <c r="AE250" s="132"/>
      <c r="AF250" s="132"/>
      <c r="AG250" s="132"/>
      <c r="AH250" s="132"/>
      <c r="AI250" s="132"/>
      <c r="AJ250" s="132"/>
      <c r="AK250" s="132"/>
      <c r="AL250" s="132"/>
      <c r="AM250" s="132"/>
      <c r="AN250" s="132"/>
      <c r="AO250" s="132"/>
      <c r="AP250" s="132"/>
      <c r="AQ250" s="236"/>
      <c r="AR250" s="236"/>
      <c r="AS250" s="236"/>
      <c r="AT250" s="236"/>
      <c r="AU250" s="236">
        <v>270279.46999999997</v>
      </c>
      <c r="AV250" s="110">
        <v>271998.37</v>
      </c>
      <c r="AW250" s="110">
        <v>270765.53000000003</v>
      </c>
      <c r="AX250" s="110">
        <v>266487</v>
      </c>
      <c r="AY250" s="110">
        <v>240309.55</v>
      </c>
      <c r="AZ250" s="110">
        <v>255423.86</v>
      </c>
      <c r="BA250" s="110">
        <v>253066.95</v>
      </c>
      <c r="BB250" s="110">
        <v>254007.65</v>
      </c>
      <c r="BC250" s="110">
        <v>260697.1</v>
      </c>
      <c r="BD250" s="110">
        <v>262266.95</v>
      </c>
      <c r="BE250" s="110">
        <v>272589.71000000002</v>
      </c>
      <c r="BF250" s="110">
        <v>268336.15999999997</v>
      </c>
      <c r="BG250" s="237">
        <v>267977.02</v>
      </c>
      <c r="BH250" s="237">
        <v>265467.34999999998</v>
      </c>
      <c r="BI250" s="237">
        <v>270262.53000000003</v>
      </c>
      <c r="BJ250" s="237">
        <v>273871.78999999998</v>
      </c>
      <c r="BK250" s="237">
        <v>276538.18</v>
      </c>
      <c r="BL250" s="237">
        <v>286248.94</v>
      </c>
      <c r="BM250" s="237">
        <v>284588.90999999997</v>
      </c>
      <c r="BN250" s="237">
        <v>273626.39</v>
      </c>
      <c r="BO250" s="237">
        <v>290304.99</v>
      </c>
      <c r="BP250" s="237">
        <v>292153.94</v>
      </c>
      <c r="BQ250" s="237">
        <v>295072.51</v>
      </c>
      <c r="BR250" s="237">
        <v>295798.57</v>
      </c>
      <c r="BS250" s="237">
        <v>303358.40999999997</v>
      </c>
      <c r="BT250" s="237">
        <v>307484.26</v>
      </c>
      <c r="BU250" s="237">
        <v>217477.12</v>
      </c>
      <c r="BV250" s="237">
        <v>308786.71000000002</v>
      </c>
      <c r="BW250" s="237">
        <v>306272.96000000002</v>
      </c>
      <c r="BX250" s="237">
        <v>307788.43</v>
      </c>
      <c r="BY250" s="237">
        <v>314015.86</v>
      </c>
      <c r="BZ250" s="237">
        <v>311385.65000000002</v>
      </c>
      <c r="CA250" s="237">
        <v>273058.07</v>
      </c>
      <c r="CB250" s="237">
        <v>316707.28999999998</v>
      </c>
      <c r="CC250" s="237">
        <v>319215.57</v>
      </c>
      <c r="CD250" s="237">
        <v>312818.2</v>
      </c>
      <c r="CE250" s="237">
        <v>304231.09999999998</v>
      </c>
      <c r="CF250" s="237">
        <v>314253.33</v>
      </c>
      <c r="CG250" s="237">
        <v>316642.26</v>
      </c>
      <c r="CH250" s="30">
        <v>321240.34000000003</v>
      </c>
      <c r="CI250" s="30">
        <v>34748.080000000002</v>
      </c>
      <c r="CJ250" s="30" t="e">
        <f t="array" aca="1" ref="CJ250" ca="1">_xludf.XLOOKUP(C250,'PL TOTAL D0'!H:H,'PL TOTAL D0'!I:I,"")</f>
        <v>#NAME?</v>
      </c>
    </row>
    <row r="251" spans="1:88" ht="15.75" customHeight="1">
      <c r="A251" s="36" t="s">
        <v>2921</v>
      </c>
      <c r="B251" s="3" t="s">
        <v>3345</v>
      </c>
      <c r="C251" s="9">
        <v>451049</v>
      </c>
      <c r="D251" s="9" t="s">
        <v>2923</v>
      </c>
      <c r="E251" s="9" t="s">
        <v>20</v>
      </c>
      <c r="F251" s="6" t="s">
        <v>2923</v>
      </c>
      <c r="G251" s="7" t="e">
        <f t="shared" ca="1" si="0"/>
        <v>#NAME?</v>
      </c>
      <c r="H251" s="8" t="s">
        <v>143</v>
      </c>
      <c r="I251" s="24" t="s">
        <v>25</v>
      </c>
      <c r="J251" s="9" t="str">
        <f t="shared" si="3"/>
        <v>Não</v>
      </c>
      <c r="K251" s="107">
        <v>44036</v>
      </c>
      <c r="L251" s="239">
        <v>44484</v>
      </c>
      <c r="M251" s="6" t="s">
        <v>58</v>
      </c>
      <c r="N251" s="10">
        <v>1.2E-2</v>
      </c>
      <c r="O251" s="9" t="s">
        <v>25</v>
      </c>
      <c r="P251" s="234">
        <v>0</v>
      </c>
      <c r="Q251" s="108"/>
      <c r="R251" s="108"/>
      <c r="S251" s="7" t="s">
        <v>145</v>
      </c>
      <c r="T251" s="6" t="s">
        <v>3346</v>
      </c>
      <c r="U251" s="6" t="s">
        <v>20</v>
      </c>
      <c r="V251" s="24" t="e">
        <f t="shared" ca="1" si="2"/>
        <v>#NAME?</v>
      </c>
      <c r="W251" s="24"/>
      <c r="X251" s="24"/>
      <c r="Y251" s="6"/>
      <c r="Z251" s="6"/>
      <c r="AA251" s="6"/>
      <c r="AB251" s="6"/>
      <c r="AC251" s="110">
        <v>0</v>
      </c>
      <c r="AD251" s="110">
        <v>0</v>
      </c>
      <c r="AE251" s="110">
        <v>0</v>
      </c>
      <c r="AF251" s="110">
        <v>0</v>
      </c>
      <c r="AG251" s="110">
        <v>0</v>
      </c>
      <c r="AH251" s="110">
        <v>0</v>
      </c>
      <c r="AI251" s="110">
        <v>30461.16</v>
      </c>
      <c r="AJ251" s="110">
        <v>30245.47</v>
      </c>
      <c r="AK251" s="110">
        <v>29907.87</v>
      </c>
      <c r="AL251" s="110">
        <v>62946.48</v>
      </c>
      <c r="AM251" s="110">
        <v>71454.95</v>
      </c>
      <c r="AN251" s="110">
        <v>0</v>
      </c>
      <c r="AO251" s="240"/>
      <c r="AP251" s="110">
        <v>30803.16</v>
      </c>
      <c r="AQ251" s="110">
        <v>30681.75</v>
      </c>
      <c r="AR251" s="110">
        <v>31106.87</v>
      </c>
      <c r="AS251" s="110">
        <v>31180.94</v>
      </c>
      <c r="AT251" s="110">
        <v>31078.54</v>
      </c>
      <c r="AU251" s="110">
        <v>31306.959999999999</v>
      </c>
      <c r="AV251" s="110">
        <v>0.83</v>
      </c>
      <c r="AW251" s="240"/>
      <c r="AX251" s="240">
        <v>0.22</v>
      </c>
      <c r="AY251" s="110">
        <v>0.22</v>
      </c>
      <c r="AZ251" s="110"/>
      <c r="BA251" s="110"/>
      <c r="BB251" s="110"/>
      <c r="BC251" s="110"/>
      <c r="BD251" s="110">
        <v>0</v>
      </c>
      <c r="BE251" s="110">
        <v>0</v>
      </c>
      <c r="BF251" s="110">
        <v>0</v>
      </c>
      <c r="BG251" s="110" t="s">
        <v>2932</v>
      </c>
      <c r="BH251" s="110">
        <v>0</v>
      </c>
      <c r="BI251" s="110" t="s">
        <v>2932</v>
      </c>
      <c r="BJ251" s="110">
        <v>0</v>
      </c>
      <c r="BK251" s="237">
        <v>0</v>
      </c>
      <c r="BL251" s="237">
        <v>0</v>
      </c>
      <c r="BM251" s="237">
        <v>0</v>
      </c>
      <c r="BN251" s="237">
        <v>0</v>
      </c>
      <c r="BO251" s="237">
        <v>0</v>
      </c>
      <c r="BP251" s="237">
        <v>0</v>
      </c>
      <c r="BQ251" s="237">
        <v>0</v>
      </c>
      <c r="BR251" s="237">
        <v>0</v>
      </c>
      <c r="BS251" s="237">
        <v>0</v>
      </c>
      <c r="BT251" s="237">
        <v>0</v>
      </c>
      <c r="BU251" s="237">
        <v>0</v>
      </c>
      <c r="BV251" s="237">
        <v>0</v>
      </c>
      <c r="BW251" s="237">
        <v>0</v>
      </c>
      <c r="BX251" s="237">
        <v>0</v>
      </c>
      <c r="BY251" s="237">
        <v>0</v>
      </c>
      <c r="BZ251" s="237">
        <v>0</v>
      </c>
      <c r="CA251" s="237">
        <v>0</v>
      </c>
      <c r="CB251" s="237">
        <v>0</v>
      </c>
      <c r="CC251" s="237">
        <v>0</v>
      </c>
      <c r="CD251" s="237">
        <v>0</v>
      </c>
      <c r="CE251" s="237">
        <v>0</v>
      </c>
      <c r="CF251" s="237">
        <v>0</v>
      </c>
      <c r="CG251" s="237">
        <v>0</v>
      </c>
      <c r="CH251" s="30">
        <v>0</v>
      </c>
      <c r="CI251" s="30">
        <v>0</v>
      </c>
      <c r="CJ251" s="30" t="e">
        <f t="array" aca="1" ref="CJ251" ca="1">_xludf.XLOOKUP(C251,'PL TOTAL D0'!H:H,'PL TOTAL D0'!I:I,"")</f>
        <v>#NAME?</v>
      </c>
    </row>
    <row r="252" spans="1:88" ht="15.75" customHeight="1">
      <c r="A252" s="36" t="s">
        <v>2921</v>
      </c>
      <c r="B252" s="106" t="s">
        <v>3347</v>
      </c>
      <c r="C252" s="9">
        <v>386951</v>
      </c>
      <c r="D252" s="9" t="s">
        <v>19</v>
      </c>
      <c r="E252" s="9" t="s">
        <v>20</v>
      </c>
      <c r="F252" s="6" t="s">
        <v>199</v>
      </c>
      <c r="G252" s="7" t="e">
        <f t="shared" ca="1" si="0"/>
        <v>#NAME?</v>
      </c>
      <c r="H252" s="8" t="s">
        <v>152</v>
      </c>
      <c r="I252" s="24" t="s">
        <v>25</v>
      </c>
      <c r="J252" s="9" t="str">
        <f t="shared" si="3"/>
        <v>Não</v>
      </c>
      <c r="K252" s="107">
        <v>45163</v>
      </c>
      <c r="L252" s="239"/>
      <c r="M252" s="6" t="s">
        <v>42</v>
      </c>
      <c r="N252" s="10">
        <v>0.01</v>
      </c>
      <c r="O252" s="9" t="s">
        <v>25</v>
      </c>
      <c r="P252" s="234">
        <v>0</v>
      </c>
      <c r="Q252" s="108"/>
      <c r="R252" s="108"/>
      <c r="S252" s="7" t="s">
        <v>145</v>
      </c>
      <c r="T252" s="9" t="s">
        <v>3348</v>
      </c>
      <c r="U252" s="6" t="s">
        <v>2051</v>
      </c>
      <c r="V252" s="24" t="e">
        <f t="shared" ca="1" si="2"/>
        <v>#NAME?</v>
      </c>
      <c r="W252" s="24"/>
      <c r="X252" s="24"/>
      <c r="Y252" s="6" t="s">
        <v>253</v>
      </c>
      <c r="Z252" s="6"/>
      <c r="AA252" s="107">
        <v>45163</v>
      </c>
      <c r="AB252" s="6">
        <v>49075100010791</v>
      </c>
      <c r="AC252" s="110"/>
      <c r="AD252" s="110"/>
      <c r="AE252" s="110"/>
      <c r="AF252" s="110"/>
      <c r="AG252" s="110"/>
      <c r="AH252" s="110"/>
      <c r="AI252" s="110"/>
      <c r="AJ252" s="110"/>
      <c r="AK252" s="110"/>
      <c r="AL252" s="110"/>
      <c r="AM252" s="110"/>
      <c r="AN252" s="110"/>
      <c r="AO252" s="240"/>
      <c r="AP252" s="110"/>
      <c r="AQ252" s="110"/>
      <c r="AR252" s="110"/>
      <c r="AS252" s="110"/>
      <c r="AT252" s="110"/>
      <c r="AU252" s="110"/>
      <c r="AV252" s="110"/>
      <c r="AW252" s="240"/>
      <c r="AX252" s="240"/>
      <c r="AY252" s="110"/>
      <c r="AZ252" s="110"/>
      <c r="BA252" s="110"/>
      <c r="BB252" s="110"/>
      <c r="BC252" s="110"/>
      <c r="BD252" s="110"/>
      <c r="BE252" s="110"/>
      <c r="BF252" s="110"/>
      <c r="BG252" s="110"/>
      <c r="BH252" s="110"/>
      <c r="BI252" s="110"/>
      <c r="BJ252" s="110"/>
      <c r="BK252" s="237"/>
      <c r="BL252" s="237"/>
      <c r="BM252" s="237"/>
      <c r="BN252" s="237"/>
      <c r="BO252" s="237"/>
      <c r="BP252" s="237"/>
      <c r="BQ252" s="237"/>
      <c r="BR252" s="237"/>
      <c r="BS252" s="237"/>
      <c r="BT252" s="237"/>
      <c r="BU252" s="237"/>
      <c r="BV252" s="237">
        <v>0</v>
      </c>
      <c r="BW252" s="237">
        <v>100598.01</v>
      </c>
      <c r="BX252" s="237">
        <v>101991.77</v>
      </c>
      <c r="BY252" s="237">
        <v>101922.06</v>
      </c>
      <c r="BZ252" s="237">
        <v>102763.64</v>
      </c>
      <c r="CA252" s="237">
        <v>103840.42</v>
      </c>
      <c r="CB252" s="237">
        <v>104120.55</v>
      </c>
      <c r="CC252" s="237">
        <v>102186.7</v>
      </c>
      <c r="CD252" s="237">
        <v>106095.58</v>
      </c>
      <c r="CE252" s="237">
        <v>107056.23</v>
      </c>
      <c r="CF252" s="237">
        <v>107992.47</v>
      </c>
      <c r="CG252" s="237">
        <v>109002.66</v>
      </c>
      <c r="CH252" s="30">
        <v>109305</v>
      </c>
      <c r="CI252" s="30">
        <v>109097.27</v>
      </c>
      <c r="CJ252" s="30" t="e">
        <f t="array" aca="1" ref="CJ252" ca="1">_xludf.XLOOKUP(C252,'PL TOTAL D0'!H:H,'PL TOTAL D0'!I:I,"")</f>
        <v>#NAME?</v>
      </c>
    </row>
    <row r="253" spans="1:88" ht="15.75" customHeight="1">
      <c r="A253" s="36" t="s">
        <v>2921</v>
      </c>
      <c r="B253" s="37" t="s">
        <v>3349</v>
      </c>
      <c r="C253" s="9">
        <v>273822</v>
      </c>
      <c r="D253" s="9" t="s">
        <v>2923</v>
      </c>
      <c r="E253" s="9" t="s">
        <v>20</v>
      </c>
      <c r="F253" s="6" t="s">
        <v>2924</v>
      </c>
      <c r="G253" s="7" t="e">
        <f t="shared" ca="1" si="0"/>
        <v>#NAME?</v>
      </c>
      <c r="H253" s="8" t="s">
        <v>143</v>
      </c>
      <c r="I253" s="24" t="s">
        <v>25</v>
      </c>
      <c r="J253" s="9" t="str">
        <f t="shared" si="3"/>
        <v>Não</v>
      </c>
      <c r="K253" s="107">
        <v>43564</v>
      </c>
      <c r="L253" s="107">
        <v>43899</v>
      </c>
      <c r="M253" s="6" t="s">
        <v>87</v>
      </c>
      <c r="N253" s="10">
        <v>0.02</v>
      </c>
      <c r="O253" s="9" t="s">
        <v>183</v>
      </c>
      <c r="P253" s="234">
        <v>0.2</v>
      </c>
      <c r="Q253" s="108"/>
      <c r="R253" s="108"/>
      <c r="S253" s="7" t="s">
        <v>145</v>
      </c>
      <c r="T253" s="6" t="s">
        <v>3350</v>
      </c>
      <c r="U253" s="6" t="s">
        <v>20</v>
      </c>
      <c r="V253" s="24" t="e">
        <f t="shared" ca="1" si="2"/>
        <v>#NAME?</v>
      </c>
      <c r="W253" s="24"/>
      <c r="X253" s="24"/>
      <c r="Y253" s="6"/>
      <c r="Z253" s="6"/>
      <c r="AA253" s="6"/>
      <c r="AB253" s="6"/>
      <c r="AC253" s="110">
        <v>8761.69</v>
      </c>
      <c r="AD253" s="110">
        <v>8857.1</v>
      </c>
      <c r="AE253" s="110">
        <v>0</v>
      </c>
      <c r="AF253" s="110">
        <v>0</v>
      </c>
      <c r="AG253" s="110">
        <v>0</v>
      </c>
      <c r="AH253" s="110">
        <v>0</v>
      </c>
      <c r="AI253" s="110">
        <v>0</v>
      </c>
      <c r="AJ253" s="240"/>
      <c r="AK253" s="240"/>
      <c r="AL253" s="110">
        <v>29929.01</v>
      </c>
      <c r="AM253" s="110">
        <v>30932.65</v>
      </c>
      <c r="AN253" s="110">
        <v>31502.25</v>
      </c>
      <c r="AO253" s="110">
        <v>31216.78</v>
      </c>
      <c r="AP253" s="110"/>
      <c r="AQ253" s="110"/>
      <c r="AR253" s="110"/>
      <c r="AS253" s="110"/>
      <c r="AT253" s="110"/>
      <c r="AU253" s="110">
        <v>26052.28</v>
      </c>
      <c r="AV253" s="110">
        <v>26052.28</v>
      </c>
      <c r="AW253" s="110">
        <v>26052.28</v>
      </c>
      <c r="AX253" s="110">
        <v>26052.28</v>
      </c>
      <c r="AY253" s="110"/>
      <c r="AZ253" s="110"/>
      <c r="BA253" s="110"/>
      <c r="BB253" s="110"/>
      <c r="BC253" s="110"/>
      <c r="BD253" s="110">
        <v>0</v>
      </c>
      <c r="BE253" s="110">
        <v>0</v>
      </c>
      <c r="BF253" s="110">
        <v>0</v>
      </c>
      <c r="BG253" s="110" t="s">
        <v>2932</v>
      </c>
      <c r="BH253" s="110">
        <v>0</v>
      </c>
      <c r="BI253" s="110" t="s">
        <v>2932</v>
      </c>
      <c r="BJ253" s="110">
        <v>0</v>
      </c>
      <c r="BK253" s="237">
        <v>0</v>
      </c>
      <c r="BL253" s="237">
        <v>0</v>
      </c>
      <c r="BM253" s="237">
        <v>0</v>
      </c>
      <c r="BN253" s="237">
        <v>0</v>
      </c>
      <c r="BO253" s="237">
        <v>0</v>
      </c>
      <c r="BP253" s="237">
        <v>0</v>
      </c>
      <c r="BQ253" s="237">
        <v>0</v>
      </c>
      <c r="BR253" s="237">
        <v>0</v>
      </c>
      <c r="BS253" s="237">
        <v>0</v>
      </c>
      <c r="BT253" s="237">
        <v>0</v>
      </c>
      <c r="BU253" s="237">
        <v>0</v>
      </c>
      <c r="BV253" s="237">
        <v>0</v>
      </c>
      <c r="BW253" s="237">
        <v>0</v>
      </c>
      <c r="BX253" s="237">
        <v>0</v>
      </c>
      <c r="BY253" s="237">
        <v>0</v>
      </c>
      <c r="BZ253" s="237">
        <v>0</v>
      </c>
      <c r="CA253" s="237">
        <v>0</v>
      </c>
      <c r="CB253" s="237">
        <v>0</v>
      </c>
      <c r="CC253" s="237">
        <v>0</v>
      </c>
      <c r="CD253" s="237">
        <v>0</v>
      </c>
      <c r="CE253" s="237">
        <v>0</v>
      </c>
      <c r="CF253" s="237">
        <v>0</v>
      </c>
      <c r="CG253" s="237">
        <v>0</v>
      </c>
      <c r="CH253" s="30">
        <v>0</v>
      </c>
      <c r="CI253" s="30">
        <v>0</v>
      </c>
      <c r="CJ253" s="30" t="e">
        <f t="array" aca="1" ref="CJ253" ca="1">_xludf.XLOOKUP(C253,'PL TOTAL D0'!H:H,'PL TOTAL D0'!I:I,"")</f>
        <v>#NAME?</v>
      </c>
    </row>
    <row r="254" spans="1:88" ht="15.75" customHeight="1">
      <c r="A254" s="36" t="s">
        <v>2921</v>
      </c>
      <c r="B254" s="3" t="s">
        <v>3349</v>
      </c>
      <c r="C254" s="9">
        <v>38503</v>
      </c>
      <c r="D254" s="9" t="s">
        <v>19</v>
      </c>
      <c r="E254" s="9" t="s">
        <v>20</v>
      </c>
      <c r="F254" s="9" t="s">
        <v>372</v>
      </c>
      <c r="G254" s="7" t="e">
        <f t="shared" ca="1" si="0"/>
        <v>#NAME?</v>
      </c>
      <c r="H254" s="8" t="s">
        <v>161</v>
      </c>
      <c r="I254" s="24" t="s">
        <v>162</v>
      </c>
      <c r="J254" s="9" t="str">
        <f t="shared" si="3"/>
        <v>Sim</v>
      </c>
      <c r="K254" s="238">
        <v>43811</v>
      </c>
      <c r="L254" s="6"/>
      <c r="M254" s="6" t="s">
        <v>58</v>
      </c>
      <c r="N254" s="10">
        <v>1.2E-2</v>
      </c>
      <c r="O254" s="9" t="s">
        <v>25</v>
      </c>
      <c r="P254" s="234">
        <v>0</v>
      </c>
      <c r="Q254" s="108" t="s">
        <v>3351</v>
      </c>
      <c r="R254" s="108" t="s">
        <v>3229</v>
      </c>
      <c r="S254" s="7" t="s">
        <v>145</v>
      </c>
      <c r="T254" s="6" t="s">
        <v>3350</v>
      </c>
      <c r="U254" s="9" t="s">
        <v>20</v>
      </c>
      <c r="V254" s="24" t="e">
        <f t="shared" ca="1" si="2"/>
        <v>#NAME?</v>
      </c>
      <c r="W254" s="24"/>
      <c r="X254" s="24"/>
      <c r="Y254" s="6" t="s">
        <v>147</v>
      </c>
      <c r="Z254" s="6"/>
      <c r="AA254" s="239">
        <v>43811</v>
      </c>
      <c r="AB254" s="6">
        <v>49075100004315</v>
      </c>
      <c r="AC254" s="110">
        <v>1002347.14</v>
      </c>
      <c r="AD254" s="110">
        <v>991543.44</v>
      </c>
      <c r="AE254" s="110">
        <v>951304.34</v>
      </c>
      <c r="AF254" s="110">
        <v>963372.96</v>
      </c>
      <c r="AG254" s="110">
        <v>973781.19</v>
      </c>
      <c r="AH254" s="110">
        <v>1164927.06</v>
      </c>
      <c r="AI254" s="110">
        <v>1185978.42</v>
      </c>
      <c r="AJ254" s="110">
        <v>1495938.39</v>
      </c>
      <c r="AK254" s="110">
        <v>1396288.53</v>
      </c>
      <c r="AL254" s="240"/>
      <c r="AM254" s="240"/>
      <c r="AN254" s="240"/>
      <c r="AO254" s="240"/>
      <c r="AP254" s="110">
        <v>1491246.94</v>
      </c>
      <c r="AQ254" s="236">
        <v>1486176.76</v>
      </c>
      <c r="AR254" s="236">
        <v>1499038.26</v>
      </c>
      <c r="AS254" s="236">
        <v>1508344.53</v>
      </c>
      <c r="AT254" s="236">
        <v>1507934.1</v>
      </c>
      <c r="AU254" s="236">
        <v>1503686.52</v>
      </c>
      <c r="AV254" s="110">
        <v>1370848.85</v>
      </c>
      <c r="AW254" s="110">
        <v>1320234.6299999999</v>
      </c>
      <c r="AX254" s="110">
        <v>1307388.1299999999</v>
      </c>
      <c r="AY254" s="110">
        <v>1214684.8400000001</v>
      </c>
      <c r="AZ254" s="110">
        <v>1229403.82</v>
      </c>
      <c r="BA254" s="110">
        <v>1221835.8600000001</v>
      </c>
      <c r="BB254" s="110">
        <v>1234230.05</v>
      </c>
      <c r="BC254" s="110">
        <v>1175679.42</v>
      </c>
      <c r="BD254" s="110">
        <v>1225859.3600000001</v>
      </c>
      <c r="BE254" s="110">
        <v>1201452.19</v>
      </c>
      <c r="BF254" s="110">
        <v>1130350.1299999999</v>
      </c>
      <c r="BG254" s="237">
        <v>1078059.46</v>
      </c>
      <c r="BH254" s="237">
        <v>1075359.33</v>
      </c>
      <c r="BI254" s="237">
        <v>928435.43</v>
      </c>
      <c r="BJ254" s="237">
        <v>793290.58</v>
      </c>
      <c r="BK254" s="237">
        <v>762316.69</v>
      </c>
      <c r="BL254" s="237">
        <v>750718.91</v>
      </c>
      <c r="BM254" s="237">
        <v>715352.16</v>
      </c>
      <c r="BN254" s="237">
        <v>720572.64</v>
      </c>
      <c r="BO254" s="237">
        <v>727786.9</v>
      </c>
      <c r="BP254" s="237">
        <v>732159.36</v>
      </c>
      <c r="BQ254" s="237">
        <v>737893.19</v>
      </c>
      <c r="BR254" s="237">
        <v>598111.79</v>
      </c>
      <c r="BS254" s="237">
        <v>603129.52</v>
      </c>
      <c r="BT254" s="237">
        <v>424056.29</v>
      </c>
      <c r="BU254" s="237">
        <v>356473.76</v>
      </c>
      <c r="BV254" s="237">
        <v>359449.51</v>
      </c>
      <c r="BW254" s="237">
        <v>285765.52</v>
      </c>
      <c r="BX254" s="237">
        <v>200449.68</v>
      </c>
      <c r="BY254" s="237">
        <v>201822.44</v>
      </c>
      <c r="BZ254" s="237">
        <v>149750.71</v>
      </c>
      <c r="CA254" s="237">
        <v>115457.58</v>
      </c>
      <c r="CB254" s="237">
        <v>115353.52</v>
      </c>
      <c r="CC254" s="237">
        <v>19413.46</v>
      </c>
      <c r="CD254" s="237">
        <v>19479.810000000001</v>
      </c>
      <c r="CE254" s="237">
        <v>19533.060000000001</v>
      </c>
      <c r="CF254" s="237">
        <v>19582.62</v>
      </c>
      <c r="CG254" s="237">
        <v>57</v>
      </c>
      <c r="CH254" s="30">
        <v>57</v>
      </c>
      <c r="CI254" s="30">
        <v>57</v>
      </c>
      <c r="CJ254" s="30" t="e">
        <f t="array" aca="1" ref="CJ254" ca="1">_xludf.XLOOKUP(C254,'PL TOTAL D0'!H:H,'PL TOTAL D0'!I:I,"")</f>
        <v>#NAME?</v>
      </c>
    </row>
    <row r="255" spans="1:88" ht="15.75" customHeight="1">
      <c r="A255" s="36" t="s">
        <v>2921</v>
      </c>
      <c r="B255" s="37" t="s">
        <v>1880</v>
      </c>
      <c r="C255" s="9">
        <v>34479</v>
      </c>
      <c r="D255" s="9" t="s">
        <v>19</v>
      </c>
      <c r="E255" s="9" t="s">
        <v>34</v>
      </c>
      <c r="F255" s="6" t="s">
        <v>2971</v>
      </c>
      <c r="G255" s="7" t="e">
        <f t="shared" ca="1" si="0"/>
        <v>#NAME?</v>
      </c>
      <c r="H255" s="8" t="s">
        <v>161</v>
      </c>
      <c r="I255" s="24" t="s">
        <v>162</v>
      </c>
      <c r="J255" s="9" t="str">
        <f t="shared" si="3"/>
        <v>Sim</v>
      </c>
      <c r="K255" s="107">
        <v>44761</v>
      </c>
      <c r="L255" s="107"/>
      <c r="M255" s="6" t="s">
        <v>42</v>
      </c>
      <c r="N255" s="10">
        <v>7.0000000000000001E-3</v>
      </c>
      <c r="O255" s="9" t="s">
        <v>25</v>
      </c>
      <c r="P255" s="234">
        <v>0</v>
      </c>
      <c r="Q255" s="108" t="s">
        <v>3352</v>
      </c>
      <c r="R255" s="108"/>
      <c r="S255" s="7" t="s">
        <v>145</v>
      </c>
      <c r="T255" s="6" t="s">
        <v>1883</v>
      </c>
      <c r="U255" s="6" t="s">
        <v>39</v>
      </c>
      <c r="V255" s="24" t="e">
        <f t="shared" ca="1" si="2"/>
        <v>#NAME?</v>
      </c>
      <c r="W255" s="24"/>
      <c r="X255" s="24"/>
      <c r="Y255" s="6" t="s">
        <v>253</v>
      </c>
      <c r="Z255" s="6"/>
      <c r="AA255" s="107">
        <v>44761</v>
      </c>
      <c r="AB255" s="6">
        <v>49075100010803</v>
      </c>
      <c r="AC255" s="110"/>
      <c r="AD255" s="110"/>
      <c r="AE255" s="110"/>
      <c r="AF255" s="110"/>
      <c r="AG255" s="110"/>
      <c r="AH255" s="110"/>
      <c r="AI255" s="110"/>
      <c r="AJ255" s="110"/>
      <c r="AK255" s="110"/>
      <c r="AL255" s="110"/>
      <c r="AM255" s="110"/>
      <c r="AN255" s="110"/>
      <c r="AO255" s="110"/>
      <c r="AP255" s="110"/>
      <c r="AQ255" s="110"/>
      <c r="AR255" s="110"/>
      <c r="AS255" s="110"/>
      <c r="AT255" s="110"/>
      <c r="AU255" s="110"/>
      <c r="AV255" s="240"/>
      <c r="AW255" s="240"/>
      <c r="AX255" s="240"/>
      <c r="AY255" s="110"/>
      <c r="AZ255" s="110"/>
      <c r="BA255" s="110"/>
      <c r="BB255" s="110"/>
      <c r="BC255" s="110"/>
      <c r="BD255" s="110"/>
      <c r="BE255" s="110"/>
      <c r="BF255" s="110"/>
      <c r="BG255" s="110"/>
      <c r="BH255" s="110"/>
      <c r="BI255" s="110">
        <v>865468.97</v>
      </c>
      <c r="BJ255" s="237">
        <v>885173.82</v>
      </c>
      <c r="BK255" s="237">
        <v>370380.64</v>
      </c>
      <c r="BL255" s="237">
        <v>373768.11</v>
      </c>
      <c r="BM255" s="237">
        <v>377155.03</v>
      </c>
      <c r="BN255" s="237">
        <v>380562.07</v>
      </c>
      <c r="BO255" s="237">
        <v>384710.38</v>
      </c>
      <c r="BP255" s="237">
        <v>387776.6</v>
      </c>
      <c r="BQ255" s="237">
        <v>391232.67</v>
      </c>
      <c r="BR255" s="237">
        <v>394024.03</v>
      </c>
      <c r="BS255" s="237">
        <v>0</v>
      </c>
      <c r="BT255" s="237">
        <v>0</v>
      </c>
      <c r="BU255" s="237">
        <v>0</v>
      </c>
      <c r="BV255" s="237">
        <v>0</v>
      </c>
      <c r="BW255" s="237">
        <v>0</v>
      </c>
      <c r="BX255" s="237">
        <v>0</v>
      </c>
      <c r="BY255" s="237">
        <v>0</v>
      </c>
      <c r="BZ255" s="237">
        <v>0</v>
      </c>
      <c r="CA255" s="237">
        <v>0</v>
      </c>
      <c r="CB255" s="237">
        <v>0</v>
      </c>
      <c r="CC255" s="237">
        <v>0</v>
      </c>
      <c r="CD255" s="237">
        <v>0</v>
      </c>
      <c r="CE255" s="237">
        <v>0</v>
      </c>
      <c r="CF255" s="237">
        <v>0</v>
      </c>
      <c r="CG255" s="237">
        <v>0</v>
      </c>
      <c r="CH255" s="30">
        <v>0</v>
      </c>
      <c r="CI255" s="30">
        <v>0</v>
      </c>
      <c r="CJ255" s="30" t="e">
        <f t="array" aca="1" ref="CJ255" ca="1">_xludf.XLOOKUP(C255,'PL TOTAL D0'!H:H,'PL TOTAL D0'!I:I,"")</f>
        <v>#NAME?</v>
      </c>
    </row>
    <row r="256" spans="1:88" ht="15.75" customHeight="1">
      <c r="A256" s="36" t="s">
        <v>2921</v>
      </c>
      <c r="B256" s="37" t="s">
        <v>3353</v>
      </c>
      <c r="C256" s="9">
        <v>297020</v>
      </c>
      <c r="D256" s="9" t="s">
        <v>19</v>
      </c>
      <c r="E256" s="9" t="s">
        <v>20</v>
      </c>
      <c r="F256" s="6" t="s">
        <v>199</v>
      </c>
      <c r="G256" s="7" t="e">
        <f t="shared" ca="1" si="0"/>
        <v>#NAME?</v>
      </c>
      <c r="H256" s="8" t="s">
        <v>143</v>
      </c>
      <c r="I256" s="24" t="s">
        <v>25</v>
      </c>
      <c r="J256" s="9" t="str">
        <f t="shared" si="3"/>
        <v>Não</v>
      </c>
      <c r="K256" s="107">
        <v>43475</v>
      </c>
      <c r="L256" s="107">
        <v>44309</v>
      </c>
      <c r="M256" s="6" t="s">
        <v>345</v>
      </c>
      <c r="N256" s="10">
        <v>1.4999999999999999E-2</v>
      </c>
      <c r="O256" s="9" t="s">
        <v>37</v>
      </c>
      <c r="P256" s="234">
        <v>0.2</v>
      </c>
      <c r="Q256" s="258"/>
      <c r="R256" s="258"/>
      <c r="S256" s="7" t="s">
        <v>145</v>
      </c>
      <c r="T256" s="6" t="s">
        <v>3354</v>
      </c>
      <c r="U256" s="6" t="s">
        <v>20</v>
      </c>
      <c r="V256" s="24" t="e">
        <f t="shared" ca="1" si="2"/>
        <v>#NAME?</v>
      </c>
      <c r="W256" s="24"/>
      <c r="X256" s="24"/>
      <c r="Y256" s="6"/>
      <c r="Z256" s="6"/>
      <c r="AA256" s="6"/>
      <c r="AB256" s="6"/>
      <c r="AC256" s="110">
        <v>110797.11</v>
      </c>
      <c r="AD256" s="110">
        <v>107308.33</v>
      </c>
      <c r="AE256" s="110">
        <v>97522.68</v>
      </c>
      <c r="AF256" s="110">
        <v>99909.68</v>
      </c>
      <c r="AG256" s="110">
        <v>101363.87</v>
      </c>
      <c r="AH256" s="110">
        <v>103410.41</v>
      </c>
      <c r="AI256" s="110">
        <v>105146.28</v>
      </c>
      <c r="AJ256" s="110">
        <v>102279.88</v>
      </c>
      <c r="AK256" s="110">
        <v>100101.96</v>
      </c>
      <c r="AL256" s="110">
        <v>1379673.24</v>
      </c>
      <c r="AM256" s="110">
        <v>1568661.45</v>
      </c>
      <c r="AN256" s="110">
        <v>1539323.24</v>
      </c>
      <c r="AO256" s="110">
        <v>1507367.72</v>
      </c>
      <c r="AP256" s="110">
        <v>26077.54</v>
      </c>
      <c r="AQ256" s="110"/>
      <c r="AR256" s="110"/>
      <c r="AS256" s="110"/>
      <c r="AT256" s="110"/>
      <c r="AU256" s="110"/>
      <c r="AV256" s="240"/>
      <c r="AW256" s="240"/>
      <c r="AX256" s="240"/>
      <c r="AY256" s="110"/>
      <c r="AZ256" s="110"/>
      <c r="BA256" s="110"/>
      <c r="BB256" s="110"/>
      <c r="BC256" s="110"/>
      <c r="BD256" s="110">
        <v>0</v>
      </c>
      <c r="BE256" s="110">
        <v>0</v>
      </c>
      <c r="BF256" s="110">
        <v>0</v>
      </c>
      <c r="BG256" s="110" t="s">
        <v>2932</v>
      </c>
      <c r="BH256" s="110">
        <v>0</v>
      </c>
      <c r="BI256" s="110" t="s">
        <v>2932</v>
      </c>
      <c r="BJ256" s="110">
        <v>0</v>
      </c>
      <c r="BK256" s="237">
        <v>0</v>
      </c>
      <c r="BL256" s="237">
        <v>0</v>
      </c>
      <c r="BM256" s="237">
        <v>0</v>
      </c>
      <c r="BN256" s="237">
        <v>0</v>
      </c>
      <c r="BO256" s="237">
        <v>0</v>
      </c>
      <c r="BP256" s="237">
        <v>0</v>
      </c>
      <c r="BQ256" s="237">
        <v>0</v>
      </c>
      <c r="BR256" s="237">
        <v>0</v>
      </c>
      <c r="BS256" s="237">
        <v>0</v>
      </c>
      <c r="BT256" s="237">
        <v>0</v>
      </c>
      <c r="BU256" s="237">
        <v>0</v>
      </c>
      <c r="BV256" s="237">
        <v>0</v>
      </c>
      <c r="BW256" s="237">
        <v>0</v>
      </c>
      <c r="BX256" s="237">
        <v>0</v>
      </c>
      <c r="BY256" s="237">
        <v>0</v>
      </c>
      <c r="BZ256" s="237">
        <v>0</v>
      </c>
      <c r="CA256" s="237">
        <v>0</v>
      </c>
      <c r="CB256" s="237">
        <v>0</v>
      </c>
      <c r="CC256" s="237">
        <v>0</v>
      </c>
      <c r="CD256" s="237">
        <v>0</v>
      </c>
      <c r="CE256" s="237">
        <v>0</v>
      </c>
      <c r="CF256" s="237">
        <v>0</v>
      </c>
      <c r="CG256" s="237">
        <v>0</v>
      </c>
      <c r="CH256" s="30">
        <v>0</v>
      </c>
      <c r="CI256" s="30">
        <v>0</v>
      </c>
      <c r="CJ256" s="30" t="e">
        <f t="array" aca="1" ref="CJ256" ca="1">_xludf.XLOOKUP(C256,'PL TOTAL D0'!H:H,'PL TOTAL D0'!I:I,"")</f>
        <v>#NAME?</v>
      </c>
    </row>
    <row r="257" spans="1:88" ht="15.75" customHeight="1">
      <c r="A257" s="36" t="s">
        <v>2921</v>
      </c>
      <c r="B257" s="3" t="s">
        <v>3355</v>
      </c>
      <c r="C257" s="9">
        <v>32633</v>
      </c>
      <c r="D257" s="9" t="s">
        <v>19</v>
      </c>
      <c r="E257" s="9" t="s">
        <v>34</v>
      </c>
      <c r="F257" s="9" t="s">
        <v>35</v>
      </c>
      <c r="G257" s="7" t="e">
        <f t="shared" ca="1" si="0"/>
        <v>#NAME?</v>
      </c>
      <c r="H257" s="8" t="s">
        <v>143</v>
      </c>
      <c r="I257" s="24" t="s">
        <v>25</v>
      </c>
      <c r="J257" s="9" t="str">
        <f t="shared" si="3"/>
        <v>Não</v>
      </c>
      <c r="K257" s="232">
        <v>44371</v>
      </c>
      <c r="L257" s="25">
        <v>45000</v>
      </c>
      <c r="M257" s="6" t="s">
        <v>87</v>
      </c>
      <c r="N257" s="10">
        <v>2.5000000000000001E-2</v>
      </c>
      <c r="O257" s="9" t="s">
        <v>183</v>
      </c>
      <c r="P257" s="234">
        <v>0.2</v>
      </c>
      <c r="Q257" s="23"/>
      <c r="R257" s="28"/>
      <c r="S257" s="7" t="s">
        <v>145</v>
      </c>
      <c r="T257" s="6" t="s">
        <v>3356</v>
      </c>
      <c r="U257" s="6" t="s">
        <v>39</v>
      </c>
      <c r="V257" s="24" t="e">
        <f t="shared" ca="1" si="2"/>
        <v>#NAME?</v>
      </c>
      <c r="W257" s="24"/>
      <c r="X257" s="24"/>
      <c r="Y257" s="6" t="s">
        <v>253</v>
      </c>
      <c r="Z257" s="6"/>
      <c r="AA257" s="6"/>
      <c r="AB257" s="6"/>
      <c r="AC257" s="132"/>
      <c r="AD257" s="132"/>
      <c r="AE257" s="132"/>
      <c r="AF257" s="132"/>
      <c r="AG257" s="132"/>
      <c r="AH257" s="132"/>
      <c r="AI257" s="132"/>
      <c r="AJ257" s="132"/>
      <c r="AK257" s="132"/>
      <c r="AL257" s="132"/>
      <c r="AM257" s="132"/>
      <c r="AN257" s="132"/>
      <c r="AO257" s="110"/>
      <c r="AP257" s="236"/>
      <c r="AQ257" s="236"/>
      <c r="AR257" s="236"/>
      <c r="AS257" s="236"/>
      <c r="AT257" s="236"/>
      <c r="AU257" s="132"/>
      <c r="AV257" s="110">
        <v>416203.28</v>
      </c>
      <c r="AW257" s="110">
        <v>407926.14</v>
      </c>
      <c r="AX257" s="110">
        <v>395484.42</v>
      </c>
      <c r="AY257" s="110">
        <v>384252.56</v>
      </c>
      <c r="AZ257" s="110">
        <v>365813.88</v>
      </c>
      <c r="BA257" s="110">
        <v>357575.17</v>
      </c>
      <c r="BB257" s="110">
        <v>358987.34</v>
      </c>
      <c r="BC257" s="110">
        <v>376590.94</v>
      </c>
      <c r="BD257" s="110">
        <v>379223.79</v>
      </c>
      <c r="BE257" s="110">
        <v>402090.91</v>
      </c>
      <c r="BF257" s="110">
        <v>388804.83</v>
      </c>
      <c r="BG257" s="237">
        <v>385257.74</v>
      </c>
      <c r="BH257" s="237">
        <v>361667.71</v>
      </c>
      <c r="BI257" s="237">
        <v>377893.21</v>
      </c>
      <c r="BJ257" s="237">
        <v>382979.59</v>
      </c>
      <c r="BK257" s="237">
        <v>1571.96</v>
      </c>
      <c r="BL257" s="237">
        <v>1101.3800000000001</v>
      </c>
      <c r="BM257" s="237">
        <v>1110.3699999999999</v>
      </c>
      <c r="BN257" s="237">
        <v>1117.7</v>
      </c>
      <c r="BO257" s="237">
        <v>1352.41</v>
      </c>
      <c r="BP257" s="237">
        <v>1358.84</v>
      </c>
      <c r="BQ257" s="237">
        <v>0</v>
      </c>
      <c r="BR257" s="237">
        <v>0</v>
      </c>
      <c r="BS257" s="237">
        <v>0</v>
      </c>
      <c r="BT257" s="237">
        <v>0</v>
      </c>
      <c r="BU257" s="237">
        <v>0</v>
      </c>
      <c r="BV257" s="237">
        <v>0</v>
      </c>
      <c r="BW257" s="237">
        <v>0</v>
      </c>
      <c r="BX257" s="237">
        <v>0</v>
      </c>
      <c r="BY257" s="237">
        <v>0</v>
      </c>
      <c r="BZ257" s="237">
        <v>0</v>
      </c>
      <c r="CA257" s="237">
        <v>0</v>
      </c>
      <c r="CB257" s="237">
        <v>0</v>
      </c>
      <c r="CC257" s="237">
        <v>0</v>
      </c>
      <c r="CD257" s="237">
        <v>0</v>
      </c>
      <c r="CE257" s="237">
        <v>0</v>
      </c>
      <c r="CF257" s="237">
        <v>0</v>
      </c>
      <c r="CG257" s="237">
        <v>0</v>
      </c>
      <c r="CH257" s="30">
        <v>0</v>
      </c>
      <c r="CI257" s="30">
        <v>0</v>
      </c>
      <c r="CJ257" s="30" t="e">
        <f t="array" aca="1" ref="CJ257" ca="1">_xludf.XLOOKUP(C257,'PL TOTAL D0'!H:H,'PL TOTAL D0'!I:I,"")</f>
        <v>#NAME?</v>
      </c>
    </row>
    <row r="258" spans="1:88" ht="15.75" customHeight="1">
      <c r="A258" s="36" t="s">
        <v>2921</v>
      </c>
      <c r="B258" s="3" t="s">
        <v>3357</v>
      </c>
      <c r="C258" s="9">
        <v>454037</v>
      </c>
      <c r="D258" s="9" t="s">
        <v>19</v>
      </c>
      <c r="E258" s="9" t="s">
        <v>49</v>
      </c>
      <c r="F258" s="9" t="s">
        <v>277</v>
      </c>
      <c r="G258" s="7" t="e">
        <f t="shared" ref="G258:G395" ca="1" si="4">_xludf.IFS($CJ$3:$CJ$678&lt;=200000,"Breno",$CJ$3:$CJ$678&lt;=20000000000,"Bruno",$CJ$3:$CJ$678="","")</f>
        <v>#NAME?</v>
      </c>
      <c r="H258" s="8" t="s">
        <v>161</v>
      </c>
      <c r="I258" s="24" t="s">
        <v>162</v>
      </c>
      <c r="J258" s="9" t="str">
        <f t="shared" si="3"/>
        <v>Não</v>
      </c>
      <c r="K258" s="232">
        <v>44818</v>
      </c>
      <c r="L258" s="6"/>
      <c r="M258" s="6" t="s">
        <v>58</v>
      </c>
      <c r="N258" s="10">
        <v>1.2E-2</v>
      </c>
      <c r="O258" s="9" t="s">
        <v>25</v>
      </c>
      <c r="P258" s="234">
        <v>0</v>
      </c>
      <c r="Q258" s="108"/>
      <c r="R258" s="108"/>
      <c r="S258" s="7" t="s">
        <v>145</v>
      </c>
      <c r="T258" s="6" t="s">
        <v>1914</v>
      </c>
      <c r="U258" s="6" t="s">
        <v>49</v>
      </c>
      <c r="V258" s="24" t="e">
        <f t="shared" ref="V258:V395" ca="1" si="5">_xludf.IFS(H:H="Encerrado","Encerrado",COUNTBLANK(BV258:CG258)&gt;0,"Ativo",SUM(BV258:CG258)=0,"Inativo",SUM(BV258:CG258)&gt;0,"Ativo")</f>
        <v>#NAME?</v>
      </c>
      <c r="W258" s="24"/>
      <c r="X258" s="24"/>
      <c r="Y258" s="6" t="s">
        <v>147</v>
      </c>
      <c r="Z258" s="6"/>
      <c r="AA258" s="107">
        <v>44818</v>
      </c>
      <c r="AB258" s="6">
        <v>49075100005362</v>
      </c>
      <c r="AC258" s="240"/>
      <c r="AD258" s="240"/>
      <c r="AE258" s="240"/>
      <c r="AF258" s="240"/>
      <c r="AG258" s="240"/>
      <c r="AH258" s="240"/>
      <c r="AI258" s="240"/>
      <c r="AJ258" s="240"/>
      <c r="AK258" s="240"/>
      <c r="AL258" s="240"/>
      <c r="AM258" s="240"/>
      <c r="AN258" s="240"/>
      <c r="AO258" s="240"/>
      <c r="AP258" s="110"/>
      <c r="AQ258" s="236"/>
      <c r="AR258" s="236"/>
      <c r="AS258" s="236"/>
      <c r="AT258" s="236"/>
      <c r="AU258" s="236"/>
      <c r="AV258" s="110"/>
      <c r="AW258" s="110"/>
      <c r="AX258" s="110"/>
      <c r="AY258" s="110"/>
      <c r="AZ258" s="110"/>
      <c r="BA258" s="110"/>
      <c r="BB258" s="110"/>
      <c r="BC258" s="110"/>
      <c r="BD258" s="110"/>
      <c r="BE258" s="110"/>
      <c r="BF258" s="110"/>
      <c r="BG258" s="237"/>
      <c r="BH258" s="237"/>
      <c r="BI258" s="237"/>
      <c r="BJ258" s="237">
        <v>74925.33</v>
      </c>
      <c r="BK258" s="237">
        <v>273928.52</v>
      </c>
      <c r="BL258" s="237">
        <v>275859.38</v>
      </c>
      <c r="BM258" s="237">
        <v>277935.74</v>
      </c>
      <c r="BN258" s="237">
        <v>280398.58</v>
      </c>
      <c r="BO258" s="237">
        <v>283498.21999999997</v>
      </c>
      <c r="BP258" s="237">
        <v>283692.06</v>
      </c>
      <c r="BQ258" s="237">
        <v>285504.15000000002</v>
      </c>
      <c r="BR258" s="237">
        <v>0</v>
      </c>
      <c r="BS258" s="237">
        <v>44.17</v>
      </c>
      <c r="BT258" s="237">
        <v>0</v>
      </c>
      <c r="BU258" s="237">
        <v>0</v>
      </c>
      <c r="BV258" s="237">
        <v>0</v>
      </c>
      <c r="BW258" s="237">
        <v>0</v>
      </c>
      <c r="BX258" s="237">
        <v>0</v>
      </c>
      <c r="BY258" s="237">
        <v>0</v>
      </c>
      <c r="BZ258" s="237">
        <v>0</v>
      </c>
      <c r="CA258" s="237">
        <v>0</v>
      </c>
      <c r="CB258" s="237">
        <v>0</v>
      </c>
      <c r="CC258" s="237">
        <v>0</v>
      </c>
      <c r="CD258" s="237">
        <v>0</v>
      </c>
      <c r="CE258" s="237">
        <v>0</v>
      </c>
      <c r="CF258" s="237">
        <v>0</v>
      </c>
      <c r="CG258" s="237">
        <v>0</v>
      </c>
      <c r="CH258" s="30">
        <v>0</v>
      </c>
      <c r="CI258" s="30">
        <v>0</v>
      </c>
      <c r="CJ258" s="30" t="e">
        <f t="array" aca="1" ref="CJ258" ca="1">_xludf.XLOOKUP(C258,'PL TOTAL D0'!H:H,'PL TOTAL D0'!I:I,"")</f>
        <v>#NAME?</v>
      </c>
    </row>
    <row r="259" spans="1:88" ht="15.75" customHeight="1">
      <c r="A259" s="36" t="s">
        <v>2921</v>
      </c>
      <c r="B259" s="3" t="s">
        <v>1919</v>
      </c>
      <c r="C259" s="9">
        <v>448825</v>
      </c>
      <c r="D259" s="9" t="s">
        <v>19</v>
      </c>
      <c r="E259" s="9" t="s">
        <v>34</v>
      </c>
      <c r="F259" s="9" t="s">
        <v>262</v>
      </c>
      <c r="G259" s="7" t="e">
        <f t="shared" ca="1" si="4"/>
        <v>#NAME?</v>
      </c>
      <c r="H259" s="8" t="s">
        <v>161</v>
      </c>
      <c r="I259" s="24" t="s">
        <v>162</v>
      </c>
      <c r="J259" s="9" t="str">
        <f t="shared" si="3"/>
        <v>Não</v>
      </c>
      <c r="K259" s="232">
        <v>44287</v>
      </c>
      <c r="L259" s="6"/>
      <c r="M259" s="6" t="s">
        <v>58</v>
      </c>
      <c r="N259" s="10">
        <v>1.2E-2</v>
      </c>
      <c r="O259" s="9" t="s">
        <v>25</v>
      </c>
      <c r="P259" s="234">
        <v>0</v>
      </c>
      <c r="Q259" s="23"/>
      <c r="R259" s="108"/>
      <c r="S259" s="7" t="s">
        <v>145</v>
      </c>
      <c r="T259" s="6" t="s">
        <v>1921</v>
      </c>
      <c r="U259" s="6" t="s">
        <v>60</v>
      </c>
      <c r="V259" s="24" t="e">
        <f t="shared" ca="1" si="5"/>
        <v>#NAME?</v>
      </c>
      <c r="W259" s="24"/>
      <c r="X259" s="24"/>
      <c r="Y259" s="6" t="s">
        <v>147</v>
      </c>
      <c r="Z259" s="6"/>
      <c r="AA259" s="107">
        <v>44287</v>
      </c>
      <c r="AB259" s="6">
        <v>49075100006271</v>
      </c>
      <c r="AC259" s="240"/>
      <c r="AD259" s="240"/>
      <c r="AE259" s="240"/>
      <c r="AF259" s="240"/>
      <c r="AG259" s="240"/>
      <c r="AH259" s="240"/>
      <c r="AI259" s="240"/>
      <c r="AJ259" s="240"/>
      <c r="AK259" s="240"/>
      <c r="AL259" s="240"/>
      <c r="AM259" s="240"/>
      <c r="AN259" s="240"/>
      <c r="AO259" s="240"/>
      <c r="AP259" s="110"/>
      <c r="AQ259" s="236"/>
      <c r="AR259" s="236">
        <v>1957861.95</v>
      </c>
      <c r="AS259" s="236"/>
      <c r="AT259" s="236">
        <v>1401234.77</v>
      </c>
      <c r="AU259" s="236">
        <v>1433438.01</v>
      </c>
      <c r="AV259" s="110">
        <v>1414252.62</v>
      </c>
      <c r="AW259" s="110">
        <v>1400043.41</v>
      </c>
      <c r="AX259" s="110">
        <v>1372773.44</v>
      </c>
      <c r="AY259" s="110">
        <v>1353082.99</v>
      </c>
      <c r="AZ259" s="110">
        <v>1319317.77</v>
      </c>
      <c r="BA259" s="110">
        <v>1306605.2</v>
      </c>
      <c r="BB259" s="110">
        <v>1317837.94</v>
      </c>
      <c r="BC259" s="110">
        <v>1345959.33</v>
      </c>
      <c r="BD259" s="110">
        <v>1355026.7</v>
      </c>
      <c r="BE259" s="110">
        <v>1246146.4099999999</v>
      </c>
      <c r="BF259" s="110">
        <v>1225716.3899999999</v>
      </c>
      <c r="BG259" s="237">
        <v>1095815.96</v>
      </c>
      <c r="BH259" s="237">
        <v>1221019.51</v>
      </c>
      <c r="BI259" s="237">
        <v>1233765.8799999999</v>
      </c>
      <c r="BJ259" s="237">
        <v>1249741.3999999999</v>
      </c>
      <c r="BK259" s="237">
        <v>1186171.8600000001</v>
      </c>
      <c r="BL259" s="237">
        <v>1286893.05</v>
      </c>
      <c r="BM259" s="237">
        <v>1282517.94</v>
      </c>
      <c r="BN259" s="237">
        <v>1293508.3799999999</v>
      </c>
      <c r="BO259" s="237">
        <v>1307184.8400000001</v>
      </c>
      <c r="BP259" s="237">
        <v>1316487.6599999999</v>
      </c>
      <c r="BQ259" s="237">
        <v>1104722.57</v>
      </c>
      <c r="BR259" s="237">
        <v>397517.88</v>
      </c>
      <c r="BS259" s="237">
        <v>274801.03999999998</v>
      </c>
      <c r="BT259" s="237">
        <v>279852.14</v>
      </c>
      <c r="BU259" s="237">
        <v>283211.13</v>
      </c>
      <c r="BV259" s="237">
        <v>286606.01</v>
      </c>
      <c r="BW259" s="237">
        <v>220.64</v>
      </c>
      <c r="BX259" s="237">
        <v>453.89</v>
      </c>
      <c r="BY259" s="237">
        <v>93.04</v>
      </c>
      <c r="BZ259" s="237">
        <v>0</v>
      </c>
      <c r="CA259" s="237">
        <v>0</v>
      </c>
      <c r="CB259" s="237">
        <v>0</v>
      </c>
      <c r="CC259" s="237">
        <v>0</v>
      </c>
      <c r="CD259" s="237">
        <v>0</v>
      </c>
      <c r="CE259" s="237">
        <v>0</v>
      </c>
      <c r="CF259" s="237">
        <v>0</v>
      </c>
      <c r="CG259" s="237">
        <v>0</v>
      </c>
      <c r="CH259" s="30">
        <v>0</v>
      </c>
      <c r="CI259" s="30">
        <v>0</v>
      </c>
      <c r="CJ259" s="30" t="e">
        <f t="array" aca="1" ref="CJ259" ca="1">_xludf.XLOOKUP(C259,'PL TOTAL D0'!H:H,'PL TOTAL D0'!I:I,"")</f>
        <v>#NAME?</v>
      </c>
    </row>
    <row r="260" spans="1:88" ht="15.75" customHeight="1">
      <c r="A260" s="36" t="s">
        <v>2921</v>
      </c>
      <c r="B260" s="3" t="s">
        <v>3358</v>
      </c>
      <c r="C260" s="9">
        <v>86056</v>
      </c>
      <c r="D260" s="9" t="s">
        <v>19</v>
      </c>
      <c r="E260" s="9" t="s">
        <v>34</v>
      </c>
      <c r="F260" s="9" t="s">
        <v>262</v>
      </c>
      <c r="G260" s="7" t="e">
        <f t="shared" ca="1" si="4"/>
        <v>#NAME?</v>
      </c>
      <c r="H260" s="8" t="s">
        <v>161</v>
      </c>
      <c r="I260" s="24" t="s">
        <v>162</v>
      </c>
      <c r="J260" s="9" t="str">
        <f t="shared" si="3"/>
        <v>Não</v>
      </c>
      <c r="K260" s="232">
        <v>44321</v>
      </c>
      <c r="L260" s="6"/>
      <c r="M260" s="6" t="s">
        <v>42</v>
      </c>
      <c r="N260" s="10">
        <v>1.4999999999999999E-2</v>
      </c>
      <c r="O260" s="9" t="s">
        <v>25</v>
      </c>
      <c r="P260" s="234">
        <v>0</v>
      </c>
      <c r="Q260" s="23"/>
      <c r="R260" s="28"/>
      <c r="S260" s="7" t="s">
        <v>145</v>
      </c>
      <c r="T260" s="6" t="s">
        <v>3359</v>
      </c>
      <c r="U260" s="6" t="s">
        <v>39</v>
      </c>
      <c r="V260" s="24" t="e">
        <f t="shared" ca="1" si="5"/>
        <v>#NAME?</v>
      </c>
      <c r="W260" s="24"/>
      <c r="X260" s="24"/>
      <c r="Y260" s="6" t="s">
        <v>253</v>
      </c>
      <c r="Z260" s="6"/>
      <c r="AA260" s="107">
        <v>44321</v>
      </c>
      <c r="AB260" s="6">
        <v>49075100003637</v>
      </c>
      <c r="AC260" s="132"/>
      <c r="AD260" s="132"/>
      <c r="AE260" s="132"/>
      <c r="AF260" s="132"/>
      <c r="AG260" s="132"/>
      <c r="AH260" s="132"/>
      <c r="AI260" s="132"/>
      <c r="AJ260" s="132"/>
      <c r="AK260" s="132"/>
      <c r="AL260" s="132"/>
      <c r="AM260" s="132"/>
      <c r="AN260" s="132"/>
      <c r="AO260" s="132"/>
      <c r="AP260" s="110"/>
      <c r="AQ260" s="236"/>
      <c r="AR260" s="236"/>
      <c r="AS260" s="236"/>
      <c r="AT260" s="236"/>
      <c r="AU260" s="236">
        <v>1226086.0900000001</v>
      </c>
      <c r="AV260" s="110">
        <v>1226802.6399999999</v>
      </c>
      <c r="AW260" s="110">
        <v>1123524.3899999999</v>
      </c>
      <c r="AX260" s="110">
        <v>1113409.0900000001</v>
      </c>
      <c r="AY260" s="110">
        <v>1097597.8899999999</v>
      </c>
      <c r="AZ260" s="110">
        <v>1067162.57</v>
      </c>
      <c r="BA260" s="110">
        <v>1059987.03</v>
      </c>
      <c r="BB260" s="110">
        <v>1061677.6399999999</v>
      </c>
      <c r="BC260" s="110">
        <v>1089953.5900000001</v>
      </c>
      <c r="BD260" s="110">
        <v>1095314.6599999999</v>
      </c>
      <c r="BE260" s="110">
        <v>364087.61</v>
      </c>
      <c r="BF260" s="110">
        <v>359475.59</v>
      </c>
      <c r="BG260" s="237">
        <v>355950.56</v>
      </c>
      <c r="BH260" s="237">
        <v>358125.65</v>
      </c>
      <c r="BI260" s="237">
        <v>363464.66</v>
      </c>
      <c r="BJ260" s="237">
        <v>16598.849999999999</v>
      </c>
      <c r="BK260" s="237">
        <v>14923.6</v>
      </c>
      <c r="BL260" s="237">
        <v>14978.25</v>
      </c>
      <c r="BM260" s="237">
        <v>15073.31</v>
      </c>
      <c r="BN260" s="237">
        <v>15170.68</v>
      </c>
      <c r="BO260" s="237">
        <v>11268.46</v>
      </c>
      <c r="BP260" s="237">
        <v>92.5</v>
      </c>
      <c r="BQ260" s="237">
        <v>81.760000000000005</v>
      </c>
      <c r="BR260" s="237">
        <v>81.760000000000005</v>
      </c>
      <c r="BS260" s="237">
        <v>81.760000000000005</v>
      </c>
      <c r="BT260" s="237">
        <v>0</v>
      </c>
      <c r="BU260" s="237">
        <v>0</v>
      </c>
      <c r="BV260" s="237">
        <v>0</v>
      </c>
      <c r="BW260" s="237">
        <v>0</v>
      </c>
      <c r="BX260" s="237">
        <v>0</v>
      </c>
      <c r="BY260" s="237">
        <v>0</v>
      </c>
      <c r="BZ260" s="237">
        <v>0</v>
      </c>
      <c r="CA260" s="237">
        <v>0</v>
      </c>
      <c r="CB260" s="237">
        <v>0</v>
      </c>
      <c r="CC260" s="237">
        <v>0</v>
      </c>
      <c r="CD260" s="237">
        <v>0</v>
      </c>
      <c r="CE260" s="237">
        <v>0</v>
      </c>
      <c r="CF260" s="237">
        <v>0</v>
      </c>
      <c r="CG260" s="237">
        <v>0</v>
      </c>
      <c r="CH260" s="30">
        <v>0</v>
      </c>
      <c r="CI260" s="30">
        <v>0</v>
      </c>
      <c r="CJ260" s="30" t="e">
        <f t="array" aca="1" ref="CJ260" ca="1">_xludf.XLOOKUP(C260,'PL TOTAL D0'!H:H,'PL TOTAL D0'!I:I,"")</f>
        <v>#NAME?</v>
      </c>
    </row>
    <row r="261" spans="1:88" ht="15.75" customHeight="1">
      <c r="A261" s="36" t="s">
        <v>2921</v>
      </c>
      <c r="B261" s="3" t="s">
        <v>3360</v>
      </c>
      <c r="C261" s="9">
        <v>75471</v>
      </c>
      <c r="D261" s="9" t="s">
        <v>19</v>
      </c>
      <c r="E261" s="9" t="s">
        <v>34</v>
      </c>
      <c r="F261" s="9" t="s">
        <v>262</v>
      </c>
      <c r="G261" s="7" t="e">
        <f t="shared" ca="1" si="4"/>
        <v>#NAME?</v>
      </c>
      <c r="H261" s="8" t="s">
        <v>161</v>
      </c>
      <c r="I261" s="24" t="s">
        <v>162</v>
      </c>
      <c r="J261" s="9" t="str">
        <f t="shared" si="3"/>
        <v>Não</v>
      </c>
      <c r="K261" s="232">
        <v>44448</v>
      </c>
      <c r="L261" s="6"/>
      <c r="M261" s="6" t="s">
        <v>345</v>
      </c>
      <c r="N261" s="10">
        <v>0.02</v>
      </c>
      <c r="O261" s="9" t="s">
        <v>37</v>
      </c>
      <c r="P261" s="234">
        <v>0.2</v>
      </c>
      <c r="Q261" s="28"/>
      <c r="R261" s="28"/>
      <c r="S261" s="7" t="s">
        <v>145</v>
      </c>
      <c r="T261" s="6" t="s">
        <v>3361</v>
      </c>
      <c r="U261" s="6" t="s">
        <v>39</v>
      </c>
      <c r="V261" s="24" t="e">
        <f t="shared" ca="1" si="5"/>
        <v>#NAME?</v>
      </c>
      <c r="W261" s="24"/>
      <c r="X261" s="24"/>
      <c r="Y261" s="6" t="s">
        <v>253</v>
      </c>
      <c r="Z261" s="6"/>
      <c r="AA261" s="107">
        <v>44448</v>
      </c>
      <c r="AB261" s="6">
        <v>49075100010821</v>
      </c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110"/>
      <c r="AO261" s="110"/>
      <c r="AP261" s="236"/>
      <c r="AQ261" s="236"/>
      <c r="AR261" s="236"/>
      <c r="AS261" s="236"/>
      <c r="AT261" s="236"/>
      <c r="AU261" s="110"/>
      <c r="AV261" s="110"/>
      <c r="AW261" s="132"/>
      <c r="AX261" s="132"/>
      <c r="AY261" s="110">
        <v>290862.39</v>
      </c>
      <c r="AZ261" s="110">
        <v>278140.32</v>
      </c>
      <c r="BA261" s="110">
        <v>273886.68</v>
      </c>
      <c r="BB261" s="110">
        <v>275540.89</v>
      </c>
      <c r="BC261" s="110">
        <v>283598.63</v>
      </c>
      <c r="BD261" s="110">
        <v>223342.02</v>
      </c>
      <c r="BE261" s="110">
        <v>82079.490000000005</v>
      </c>
      <c r="BF261" s="110">
        <v>82240.09</v>
      </c>
      <c r="BG261" s="237">
        <v>83343.66</v>
      </c>
      <c r="BH261" s="237">
        <v>0</v>
      </c>
      <c r="BI261" s="237">
        <v>85182.38</v>
      </c>
      <c r="BJ261" s="237">
        <v>86247.69</v>
      </c>
      <c r="BK261" s="237">
        <v>0</v>
      </c>
      <c r="BL261" s="237">
        <v>0</v>
      </c>
      <c r="BM261" s="237">
        <v>0</v>
      </c>
      <c r="BN261" s="237">
        <v>0</v>
      </c>
      <c r="BO261" s="237">
        <v>0</v>
      </c>
      <c r="BP261" s="237">
        <v>0</v>
      </c>
      <c r="BQ261" s="237">
        <v>0</v>
      </c>
      <c r="BR261" s="237">
        <v>0</v>
      </c>
      <c r="BS261" s="237">
        <v>0</v>
      </c>
      <c r="BT261" s="237">
        <v>0</v>
      </c>
      <c r="BU261" s="237">
        <v>0</v>
      </c>
      <c r="BV261" s="237">
        <v>0</v>
      </c>
      <c r="BW261" s="237">
        <v>0</v>
      </c>
      <c r="BX261" s="237">
        <v>0</v>
      </c>
      <c r="BY261" s="237">
        <v>0</v>
      </c>
      <c r="BZ261" s="237">
        <v>0</v>
      </c>
      <c r="CA261" s="237">
        <v>0</v>
      </c>
      <c r="CB261" s="237">
        <v>0</v>
      </c>
      <c r="CC261" s="237">
        <v>0</v>
      </c>
      <c r="CD261" s="237">
        <v>0</v>
      </c>
      <c r="CE261" s="237">
        <v>0</v>
      </c>
      <c r="CF261" s="237">
        <v>0</v>
      </c>
      <c r="CG261" s="237">
        <v>0</v>
      </c>
      <c r="CH261" s="30">
        <v>0</v>
      </c>
      <c r="CI261" s="30">
        <v>0</v>
      </c>
      <c r="CJ261" s="30" t="e">
        <f t="array" aca="1" ref="CJ261" ca="1">_xludf.XLOOKUP(C261,'PL TOTAL D0'!H:H,'PL TOTAL D0'!I:I,"")</f>
        <v>#NAME?</v>
      </c>
    </row>
    <row r="262" spans="1:88" ht="15.75" customHeight="1">
      <c r="A262" s="36" t="s">
        <v>2921</v>
      </c>
      <c r="B262" s="3" t="s">
        <v>3362</v>
      </c>
      <c r="C262" s="9">
        <v>447893</v>
      </c>
      <c r="D262" s="9" t="s">
        <v>2923</v>
      </c>
      <c r="E262" s="9" t="s">
        <v>20</v>
      </c>
      <c r="F262" s="6" t="s">
        <v>2924</v>
      </c>
      <c r="G262" s="7" t="e">
        <f t="shared" ca="1" si="4"/>
        <v>#NAME?</v>
      </c>
      <c r="H262" s="8" t="s">
        <v>143</v>
      </c>
      <c r="I262" s="24" t="s">
        <v>25</v>
      </c>
      <c r="J262" s="9" t="str">
        <f t="shared" si="3"/>
        <v>Não</v>
      </c>
      <c r="K262" s="107">
        <v>43873</v>
      </c>
      <c r="L262" s="107">
        <v>44473</v>
      </c>
      <c r="M262" s="6" t="s">
        <v>200</v>
      </c>
      <c r="N262" s="10">
        <v>1.4999999999999999E-2</v>
      </c>
      <c r="O262" s="9" t="s">
        <v>37</v>
      </c>
      <c r="P262" s="234">
        <v>0.1</v>
      </c>
      <c r="Q262" s="108"/>
      <c r="R262" s="108"/>
      <c r="S262" s="7" t="s">
        <v>145</v>
      </c>
      <c r="T262" s="6" t="s">
        <v>3363</v>
      </c>
      <c r="U262" s="6" t="s">
        <v>20</v>
      </c>
      <c r="V262" s="24" t="e">
        <f t="shared" ca="1" si="5"/>
        <v>#NAME?</v>
      </c>
      <c r="W262" s="24"/>
      <c r="X262" s="24"/>
      <c r="Y262" s="6"/>
      <c r="Z262" s="6"/>
      <c r="AA262" s="6"/>
      <c r="AB262" s="6"/>
      <c r="AC262" s="110">
        <v>0</v>
      </c>
      <c r="AD262" s="110">
        <v>216412.44</v>
      </c>
      <c r="AE262" s="110">
        <v>206795.83</v>
      </c>
      <c r="AF262" s="110">
        <v>210045.72</v>
      </c>
      <c r="AG262" s="110">
        <v>212079.09</v>
      </c>
      <c r="AH262" s="110">
        <v>212436.21</v>
      </c>
      <c r="AI262" s="110">
        <v>215690.26</v>
      </c>
      <c r="AJ262" s="110">
        <v>212835.72</v>
      </c>
      <c r="AK262" s="110">
        <v>210208.9</v>
      </c>
      <c r="AL262" s="110">
        <v>99861.65</v>
      </c>
      <c r="AM262" s="110">
        <v>105502.05</v>
      </c>
      <c r="AN262" s="110">
        <v>107696.34</v>
      </c>
      <c r="AO262" s="110">
        <v>104909.32</v>
      </c>
      <c r="AP262" s="110">
        <v>203112.06</v>
      </c>
      <c r="AQ262" s="110">
        <v>192018.42</v>
      </c>
      <c r="AR262" s="110">
        <v>194944.78</v>
      </c>
      <c r="AS262" s="110">
        <v>194270.59</v>
      </c>
      <c r="AT262" s="110">
        <v>194622.83</v>
      </c>
      <c r="AU262" s="110">
        <v>193378.88</v>
      </c>
      <c r="AV262" s="110">
        <v>192384.99</v>
      </c>
      <c r="AW262" s="110">
        <v>183434.52</v>
      </c>
      <c r="AX262" s="110">
        <v>179990.94</v>
      </c>
      <c r="AY262" s="110">
        <v>154589.26999999999</v>
      </c>
      <c r="AZ262" s="110">
        <v>172179.44</v>
      </c>
      <c r="BA262" s="110"/>
      <c r="BB262" s="110"/>
      <c r="BC262" s="110"/>
      <c r="BD262" s="110">
        <v>0</v>
      </c>
      <c r="BE262" s="110">
        <v>0</v>
      </c>
      <c r="BF262" s="110">
        <v>0</v>
      </c>
      <c r="BG262" s="110" t="s">
        <v>2932</v>
      </c>
      <c r="BH262" s="110">
        <v>0</v>
      </c>
      <c r="BI262" s="110" t="s">
        <v>2932</v>
      </c>
      <c r="BJ262" s="110">
        <v>0</v>
      </c>
      <c r="BK262" s="237">
        <v>0</v>
      </c>
      <c r="BL262" s="237">
        <v>0</v>
      </c>
      <c r="BM262" s="237">
        <v>0</v>
      </c>
      <c r="BN262" s="237">
        <v>0</v>
      </c>
      <c r="BO262" s="237">
        <v>0</v>
      </c>
      <c r="BP262" s="237">
        <v>0</v>
      </c>
      <c r="BQ262" s="237">
        <v>0</v>
      </c>
      <c r="BR262" s="237">
        <v>0</v>
      </c>
      <c r="BS262" s="237">
        <v>0</v>
      </c>
      <c r="BT262" s="237">
        <v>0</v>
      </c>
      <c r="BU262" s="237">
        <v>0</v>
      </c>
      <c r="BV262" s="237">
        <v>0</v>
      </c>
      <c r="BW262" s="237">
        <v>0</v>
      </c>
      <c r="BX262" s="237">
        <v>0</v>
      </c>
      <c r="BY262" s="237">
        <v>0</v>
      </c>
      <c r="BZ262" s="237">
        <v>0</v>
      </c>
      <c r="CA262" s="237">
        <v>0</v>
      </c>
      <c r="CB262" s="237">
        <v>0</v>
      </c>
      <c r="CC262" s="237">
        <v>0</v>
      </c>
      <c r="CD262" s="237">
        <v>0</v>
      </c>
      <c r="CE262" s="237">
        <v>0</v>
      </c>
      <c r="CF262" s="237">
        <v>0</v>
      </c>
      <c r="CG262" s="237">
        <v>0</v>
      </c>
      <c r="CH262" s="30">
        <v>0</v>
      </c>
      <c r="CI262" s="30">
        <v>0</v>
      </c>
      <c r="CJ262" s="30" t="e">
        <f t="array" aca="1" ref="CJ262" ca="1">_xludf.XLOOKUP(C262,'PL TOTAL D0'!H:H,'PL TOTAL D0'!I:I,"")</f>
        <v>#NAME?</v>
      </c>
    </row>
    <row r="263" spans="1:88" ht="15.75" customHeight="1">
      <c r="A263" s="36" t="s">
        <v>2921</v>
      </c>
      <c r="B263" s="3" t="s">
        <v>3364</v>
      </c>
      <c r="C263" s="9">
        <v>76397</v>
      </c>
      <c r="D263" s="9" t="s">
        <v>19</v>
      </c>
      <c r="E263" s="9" t="s">
        <v>34</v>
      </c>
      <c r="F263" s="9" t="s">
        <v>262</v>
      </c>
      <c r="G263" s="7" t="e">
        <f t="shared" ca="1" si="4"/>
        <v>#NAME?</v>
      </c>
      <c r="H263" s="8" t="s">
        <v>161</v>
      </c>
      <c r="I263" s="24" t="s">
        <v>162</v>
      </c>
      <c r="J263" s="9" t="str">
        <f t="shared" si="3"/>
        <v>Não</v>
      </c>
      <c r="K263" s="107">
        <v>44789</v>
      </c>
      <c r="L263" s="239"/>
      <c r="M263" s="6" t="s">
        <v>42</v>
      </c>
      <c r="N263" s="10">
        <v>7.0000000000000001E-3</v>
      </c>
      <c r="O263" s="9" t="s">
        <v>25</v>
      </c>
      <c r="P263" s="234">
        <v>0</v>
      </c>
      <c r="Q263" s="108"/>
      <c r="R263" s="108"/>
      <c r="S263" s="7" t="s">
        <v>145</v>
      </c>
      <c r="T263" s="6" t="s">
        <v>3365</v>
      </c>
      <c r="U263" s="6" t="s">
        <v>39</v>
      </c>
      <c r="V263" s="24" t="e">
        <f t="shared" ca="1" si="5"/>
        <v>#NAME?</v>
      </c>
      <c r="W263" s="24"/>
      <c r="X263" s="24"/>
      <c r="Y263" s="6" t="s">
        <v>253</v>
      </c>
      <c r="Z263" s="6"/>
      <c r="AA263" s="107">
        <v>44789</v>
      </c>
      <c r="AB263" s="6">
        <v>49075100010838</v>
      </c>
      <c r="AC263" s="132"/>
      <c r="AD263" s="132"/>
      <c r="AE263" s="132"/>
      <c r="AF263" s="132"/>
      <c r="AG263" s="132"/>
      <c r="AH263" s="132"/>
      <c r="AI263" s="132"/>
      <c r="AJ263" s="132"/>
      <c r="AK263" s="132"/>
      <c r="AL263" s="132"/>
      <c r="AM263" s="132"/>
      <c r="AN263" s="132"/>
      <c r="AO263" s="132"/>
      <c r="AP263" s="110"/>
      <c r="AQ263" s="110"/>
      <c r="AR263" s="110"/>
      <c r="AS263" s="110"/>
      <c r="AT263" s="110"/>
      <c r="AU263" s="110"/>
      <c r="AV263" s="110"/>
      <c r="AW263" s="110"/>
      <c r="AX263" s="110"/>
      <c r="AY263" s="110"/>
      <c r="AZ263" s="110"/>
      <c r="BA263" s="110"/>
      <c r="BB263" s="110"/>
      <c r="BC263" s="110"/>
      <c r="BD263" s="110"/>
      <c r="BE263" s="110"/>
      <c r="BF263" s="110"/>
      <c r="BG263" s="241"/>
      <c r="BH263" s="110"/>
      <c r="BI263" s="110">
        <v>344898.36</v>
      </c>
      <c r="BJ263" s="237">
        <v>346462.84</v>
      </c>
      <c r="BK263" s="237">
        <v>349902.09</v>
      </c>
      <c r="BL263" s="237">
        <v>352830.99</v>
      </c>
      <c r="BM263" s="237">
        <v>354252.18</v>
      </c>
      <c r="BN263" s="237">
        <v>357934.94</v>
      </c>
      <c r="BO263" s="237">
        <v>361918.42</v>
      </c>
      <c r="BP263" s="237">
        <v>364833.84</v>
      </c>
      <c r="BQ263" s="237">
        <v>369303.26</v>
      </c>
      <c r="BR263" s="237">
        <v>372101.53</v>
      </c>
      <c r="BS263" s="237">
        <v>172687.96</v>
      </c>
      <c r="BT263" s="237">
        <v>173873.22</v>
      </c>
      <c r="BU263" s="237">
        <v>174860.79999999999</v>
      </c>
      <c r="BV263" s="237">
        <v>122547.27</v>
      </c>
      <c r="BW263" s="237">
        <v>102376.17</v>
      </c>
      <c r="BX263" s="237">
        <v>104389.94</v>
      </c>
      <c r="BY263" s="237">
        <v>0</v>
      </c>
      <c r="BZ263" s="237">
        <v>0</v>
      </c>
      <c r="CA263" s="237">
        <v>0</v>
      </c>
      <c r="CB263" s="237">
        <v>0</v>
      </c>
      <c r="CC263" s="237">
        <v>0</v>
      </c>
      <c r="CD263" s="237">
        <v>0</v>
      </c>
      <c r="CE263" s="237">
        <v>0</v>
      </c>
      <c r="CF263" s="237">
        <v>0</v>
      </c>
      <c r="CG263" s="237">
        <v>0</v>
      </c>
      <c r="CH263" s="30">
        <v>0</v>
      </c>
      <c r="CI263" s="30">
        <v>0</v>
      </c>
      <c r="CJ263" s="30" t="e">
        <f t="array" aca="1" ref="CJ263" ca="1">_xludf.XLOOKUP(C263,'PL TOTAL D0'!H:H,'PL TOTAL D0'!I:I,"")</f>
        <v>#NAME?</v>
      </c>
    </row>
    <row r="264" spans="1:88" ht="15.75" customHeight="1">
      <c r="A264" s="36" t="s">
        <v>2921</v>
      </c>
      <c r="B264" s="3" t="s">
        <v>1935</v>
      </c>
      <c r="C264" s="9" t="s">
        <v>3366</v>
      </c>
      <c r="D264" s="9" t="s">
        <v>19</v>
      </c>
      <c r="E264" s="9" t="s">
        <v>34</v>
      </c>
      <c r="F264" s="6" t="s">
        <v>35</v>
      </c>
      <c r="G264" s="7" t="e">
        <f t="shared" ca="1" si="4"/>
        <v>#NAME?</v>
      </c>
      <c r="H264" s="8" t="s">
        <v>143</v>
      </c>
      <c r="I264" s="24" t="s">
        <v>25</v>
      </c>
      <c r="J264" s="9" t="str">
        <f t="shared" si="3"/>
        <v>Não</v>
      </c>
      <c r="K264" s="107">
        <v>44322</v>
      </c>
      <c r="L264" s="239">
        <v>44512</v>
      </c>
      <c r="M264" s="6" t="s">
        <v>200</v>
      </c>
      <c r="N264" s="10">
        <v>1.4999999999999999E-2</v>
      </c>
      <c r="O264" s="9" t="s">
        <v>37</v>
      </c>
      <c r="P264" s="234">
        <v>0.1</v>
      </c>
      <c r="Q264" s="108"/>
      <c r="R264" s="108"/>
      <c r="S264" s="7" t="s">
        <v>145</v>
      </c>
      <c r="T264" s="6" t="s">
        <v>1937</v>
      </c>
      <c r="U264" s="6" t="s">
        <v>39</v>
      </c>
      <c r="V264" s="24" t="e">
        <f t="shared" ca="1" si="5"/>
        <v>#NAME?</v>
      </c>
      <c r="W264" s="24"/>
      <c r="X264" s="24"/>
      <c r="Y264" s="6"/>
      <c r="Z264" s="6"/>
      <c r="AA264" s="6"/>
      <c r="AB264" s="6"/>
      <c r="AC264" s="132"/>
      <c r="AD264" s="132"/>
      <c r="AE264" s="132"/>
      <c r="AF264" s="132"/>
      <c r="AG264" s="132"/>
      <c r="AH264" s="132"/>
      <c r="AI264" s="132"/>
      <c r="AJ264" s="132"/>
      <c r="AK264" s="132"/>
      <c r="AL264" s="132"/>
      <c r="AM264" s="132"/>
      <c r="AN264" s="132"/>
      <c r="AO264" s="132"/>
      <c r="AP264" s="110"/>
      <c r="AQ264" s="110"/>
      <c r="AR264" s="110"/>
      <c r="AS264" s="110"/>
      <c r="AT264" s="110"/>
      <c r="AU264" s="110">
        <v>368440.03</v>
      </c>
      <c r="AV264" s="110">
        <v>178008.89</v>
      </c>
      <c r="AW264" s="110">
        <v>52436.91</v>
      </c>
      <c r="AX264" s="110">
        <v>52270.46</v>
      </c>
      <c r="AY264" s="110">
        <v>52424.75</v>
      </c>
      <c r="AZ264" s="110">
        <v>52519.83</v>
      </c>
      <c r="BA264" s="110">
        <v>-61.98</v>
      </c>
      <c r="BB264" s="110"/>
      <c r="BC264" s="110"/>
      <c r="BD264" s="110">
        <v>0</v>
      </c>
      <c r="BE264" s="110">
        <v>0</v>
      </c>
      <c r="BF264" s="110">
        <v>0</v>
      </c>
      <c r="BG264" s="241" t="s">
        <v>2932</v>
      </c>
      <c r="BH264" s="110">
        <v>0</v>
      </c>
      <c r="BI264" s="110" t="s">
        <v>2932</v>
      </c>
      <c r="BJ264" s="110">
        <v>0</v>
      </c>
      <c r="BK264" s="237">
        <v>0</v>
      </c>
      <c r="BL264" s="237">
        <v>0</v>
      </c>
      <c r="BM264" s="237">
        <v>167644.45000000001</v>
      </c>
      <c r="BN264" s="237">
        <v>169171.14</v>
      </c>
      <c r="BO264" s="237">
        <v>0</v>
      </c>
      <c r="BP264" s="237">
        <v>172097.62</v>
      </c>
      <c r="BQ264" s="237">
        <v>173809.87</v>
      </c>
      <c r="BR264" s="237">
        <v>0</v>
      </c>
      <c r="BS264" s="237">
        <v>0</v>
      </c>
      <c r="BT264" s="237">
        <v>0</v>
      </c>
      <c r="BU264" s="237">
        <v>0</v>
      </c>
      <c r="BV264" s="237">
        <v>0</v>
      </c>
      <c r="BW264" s="237">
        <v>0</v>
      </c>
      <c r="BX264" s="237">
        <v>0</v>
      </c>
      <c r="BY264" s="237">
        <v>0</v>
      </c>
      <c r="BZ264" s="237">
        <v>0</v>
      </c>
      <c r="CA264" s="237">
        <v>0</v>
      </c>
      <c r="CB264" s="237">
        <v>0</v>
      </c>
      <c r="CC264" s="237">
        <v>0</v>
      </c>
      <c r="CD264" s="237">
        <v>0</v>
      </c>
      <c r="CE264" s="237">
        <v>0</v>
      </c>
      <c r="CF264" s="237">
        <v>0</v>
      </c>
      <c r="CG264" s="237">
        <v>0</v>
      </c>
      <c r="CH264" s="30">
        <v>0</v>
      </c>
      <c r="CI264" s="30">
        <v>0</v>
      </c>
      <c r="CJ264" s="30" t="e">
        <f t="array" aca="1" ref="CJ264" ca="1">_xludf.XLOOKUP(C264,'PL TOTAL D0'!H:H,'PL TOTAL D0'!I:I,"")</f>
        <v>#NAME?</v>
      </c>
    </row>
    <row r="265" spans="1:88" ht="15.75" customHeight="1">
      <c r="A265" s="36" t="s">
        <v>2921</v>
      </c>
      <c r="B265" s="36" t="s">
        <v>1935</v>
      </c>
      <c r="C265" s="9">
        <v>78937</v>
      </c>
      <c r="D265" s="9" t="s">
        <v>19</v>
      </c>
      <c r="E265" s="9" t="s">
        <v>34</v>
      </c>
      <c r="F265" s="9" t="s">
        <v>35</v>
      </c>
      <c r="G265" s="7" t="e">
        <f t="shared" ca="1" si="4"/>
        <v>#NAME?</v>
      </c>
      <c r="H265" s="8" t="s">
        <v>161</v>
      </c>
      <c r="I265" s="24" t="s">
        <v>162</v>
      </c>
      <c r="J265" s="9" t="str">
        <f t="shared" si="3"/>
        <v>Sim</v>
      </c>
      <c r="K265" s="232">
        <v>44715</v>
      </c>
      <c r="L265" s="6"/>
      <c r="M265" s="6" t="s">
        <v>42</v>
      </c>
      <c r="N265" s="233">
        <v>7.0000000000000001E-3</v>
      </c>
      <c r="O265" s="9" t="s">
        <v>25</v>
      </c>
      <c r="P265" s="234">
        <v>0</v>
      </c>
      <c r="Q265" s="108" t="s">
        <v>3367</v>
      </c>
      <c r="R265" s="108"/>
      <c r="S265" s="7" t="s">
        <v>145</v>
      </c>
      <c r="T265" s="9" t="s">
        <v>1937</v>
      </c>
      <c r="U265" s="6" t="s">
        <v>39</v>
      </c>
      <c r="V265" s="24" t="e">
        <f t="shared" ca="1" si="5"/>
        <v>#NAME?</v>
      </c>
      <c r="W265" s="24"/>
      <c r="X265" s="24"/>
      <c r="Y265" s="6" t="s">
        <v>253</v>
      </c>
      <c r="Z265" s="6"/>
      <c r="AA265" s="107">
        <v>44715</v>
      </c>
      <c r="AB265" s="6">
        <v>49075100010846</v>
      </c>
      <c r="AC265" s="110"/>
      <c r="AD265" s="110"/>
      <c r="AE265" s="110"/>
      <c r="AF265" s="110"/>
      <c r="AG265" s="110"/>
      <c r="AH265" s="110"/>
      <c r="AI265" s="110"/>
      <c r="AJ265" s="110"/>
      <c r="AK265" s="110"/>
      <c r="AL265" s="110"/>
      <c r="AM265" s="110"/>
      <c r="AN265" s="110"/>
      <c r="AO265" s="110"/>
      <c r="AP265" s="110"/>
      <c r="AQ265" s="236"/>
      <c r="AR265" s="236"/>
      <c r="AS265" s="236"/>
      <c r="AT265" s="236"/>
      <c r="AU265" s="236"/>
      <c r="AV265" s="110"/>
      <c r="AW265" s="110"/>
      <c r="AX265" s="110"/>
      <c r="AY265" s="110"/>
      <c r="AZ265" s="110"/>
      <c r="BA265" s="110"/>
      <c r="BB265" s="110"/>
      <c r="BC265" s="110"/>
      <c r="BD265" s="110">
        <v>0</v>
      </c>
      <c r="BE265" s="110">
        <v>0</v>
      </c>
      <c r="BF265" s="110"/>
      <c r="BG265" s="237">
        <v>-61.93</v>
      </c>
      <c r="BH265" s="237">
        <v>568718.87</v>
      </c>
      <c r="BI265" s="237">
        <v>516505.18</v>
      </c>
      <c r="BJ265" s="237">
        <v>299472.56</v>
      </c>
      <c r="BK265" s="237">
        <v>261041.53</v>
      </c>
      <c r="BL265" s="237">
        <v>263036.64</v>
      </c>
      <c r="BM265" s="237">
        <v>167644.45000000001</v>
      </c>
      <c r="BN265" s="237">
        <v>169171.14</v>
      </c>
      <c r="BO265" s="237">
        <v>170751.73</v>
      </c>
      <c r="BP265" s="237">
        <v>172097.62</v>
      </c>
      <c r="BQ265" s="237">
        <v>173809.87</v>
      </c>
      <c r="BR265" s="237">
        <v>174985.34</v>
      </c>
      <c r="BS265" s="237">
        <v>177075.25</v>
      </c>
      <c r="BT265" s="237">
        <v>0</v>
      </c>
      <c r="BU265" s="237">
        <v>0</v>
      </c>
      <c r="BV265" s="237">
        <v>0</v>
      </c>
      <c r="BW265" s="237">
        <v>0</v>
      </c>
      <c r="BX265" s="237">
        <v>0</v>
      </c>
      <c r="BY265" s="237">
        <v>0</v>
      </c>
      <c r="BZ265" s="237">
        <v>0</v>
      </c>
      <c r="CA265" s="237">
        <v>0</v>
      </c>
      <c r="CB265" s="237">
        <v>0</v>
      </c>
      <c r="CC265" s="237">
        <v>0</v>
      </c>
      <c r="CD265" s="237">
        <v>0</v>
      </c>
      <c r="CE265" s="237">
        <v>0</v>
      </c>
      <c r="CF265" s="237">
        <v>0</v>
      </c>
      <c r="CG265" s="237">
        <v>0</v>
      </c>
      <c r="CH265" s="30">
        <v>0</v>
      </c>
      <c r="CI265" s="30">
        <v>0</v>
      </c>
      <c r="CJ265" s="30" t="e">
        <f t="array" aca="1" ref="CJ265" ca="1">_xludf.XLOOKUP(C265,'PL TOTAL D0'!H:H,'PL TOTAL D0'!I:I,"")</f>
        <v>#NAME?</v>
      </c>
    </row>
    <row r="266" spans="1:88" ht="15.75" customHeight="1">
      <c r="A266" s="36" t="s">
        <v>2921</v>
      </c>
      <c r="B266" s="36" t="s">
        <v>3368</v>
      </c>
      <c r="C266" s="9">
        <v>338433</v>
      </c>
      <c r="D266" s="9" t="s">
        <v>19</v>
      </c>
      <c r="E266" s="9" t="s">
        <v>20</v>
      </c>
      <c r="F266" s="9" t="s">
        <v>21</v>
      </c>
      <c r="G266" s="7" t="e">
        <f t="shared" ca="1" si="4"/>
        <v>#NAME?</v>
      </c>
      <c r="H266" s="8" t="s">
        <v>161</v>
      </c>
      <c r="I266" s="24" t="s">
        <v>162</v>
      </c>
      <c r="J266" s="9" t="str">
        <f t="shared" si="3"/>
        <v>Não</v>
      </c>
      <c r="K266" s="232">
        <v>43647</v>
      </c>
      <c r="L266" s="6"/>
      <c r="M266" s="6" t="s">
        <v>58</v>
      </c>
      <c r="N266" s="233">
        <v>5.0000000000000001E-3</v>
      </c>
      <c r="O266" s="9" t="s">
        <v>25</v>
      </c>
      <c r="P266" s="234">
        <v>0</v>
      </c>
      <c r="Q266" s="108"/>
      <c r="R266" s="108" t="s">
        <v>3369</v>
      </c>
      <c r="S266" s="7" t="s">
        <v>145</v>
      </c>
      <c r="T266" s="9" t="s">
        <v>3370</v>
      </c>
      <c r="U266" s="9" t="s">
        <v>20</v>
      </c>
      <c r="V266" s="24" t="e">
        <f t="shared" ca="1" si="5"/>
        <v>#NAME?</v>
      </c>
      <c r="W266" s="24"/>
      <c r="X266" s="24"/>
      <c r="Y266" s="6" t="s">
        <v>253</v>
      </c>
      <c r="Z266" s="6"/>
      <c r="AA266" s="107">
        <v>43647</v>
      </c>
      <c r="AB266" s="6">
        <v>49075100010196</v>
      </c>
      <c r="AC266" s="110">
        <v>93498.7</v>
      </c>
      <c r="AD266" s="110">
        <v>93666.51</v>
      </c>
      <c r="AE266" s="110">
        <v>93088.27</v>
      </c>
      <c r="AF266" s="110">
        <v>92907.39</v>
      </c>
      <c r="AG266" s="110">
        <v>93048.31</v>
      </c>
      <c r="AH266" s="110">
        <v>93069.52</v>
      </c>
      <c r="AI266" s="110">
        <v>93297.93</v>
      </c>
      <c r="AJ266" s="110">
        <v>93470.01</v>
      </c>
      <c r="AK266" s="110">
        <v>93533.86</v>
      </c>
      <c r="AL266" s="110">
        <v>93533.55</v>
      </c>
      <c r="AM266" s="110">
        <v>93124.62</v>
      </c>
      <c r="AN266" s="110">
        <v>93601.73</v>
      </c>
      <c r="AO266" s="110">
        <v>93847.03</v>
      </c>
      <c r="AP266" s="110">
        <v>93441.919999999998</v>
      </c>
      <c r="AQ266" s="236">
        <v>94232.51</v>
      </c>
      <c r="AR266" s="236">
        <v>93697.33</v>
      </c>
      <c r="AS266" s="236">
        <v>93646.32</v>
      </c>
      <c r="AT266" s="236">
        <v>93562.51</v>
      </c>
      <c r="AU266" s="236">
        <v>93817.38</v>
      </c>
      <c r="AV266" s="110">
        <v>94046.91</v>
      </c>
      <c r="AW266" s="110">
        <v>93762.44</v>
      </c>
      <c r="AX266" s="110">
        <v>93140.09</v>
      </c>
      <c r="AY266" s="110">
        <v>92675.78</v>
      </c>
      <c r="AZ266" s="110">
        <v>91915.4</v>
      </c>
      <c r="BA266" s="110">
        <v>91820.89</v>
      </c>
      <c r="BB266" s="110">
        <v>92025.84</v>
      </c>
      <c r="BC266" s="110">
        <v>93448.07</v>
      </c>
      <c r="BD266" s="110">
        <v>94095.72</v>
      </c>
      <c r="BE266" s="110">
        <v>95874.83</v>
      </c>
      <c r="BF266" s="110">
        <v>95867.56</v>
      </c>
      <c r="BG266" s="237">
        <v>96333.2</v>
      </c>
      <c r="BH266" s="237">
        <v>96673.54</v>
      </c>
      <c r="BI266" s="237">
        <v>97768.43</v>
      </c>
      <c r="BJ266" s="237">
        <v>98661.01</v>
      </c>
      <c r="BK266" s="237">
        <v>99513.18</v>
      </c>
      <c r="BL266" s="237">
        <v>101047.17</v>
      </c>
      <c r="BM266" s="237">
        <v>101454.74</v>
      </c>
      <c r="BN266" s="237">
        <v>102228.41</v>
      </c>
      <c r="BO266" s="237">
        <v>103276.75</v>
      </c>
      <c r="BP266" s="237">
        <v>103997.73</v>
      </c>
      <c r="BQ266" s="237">
        <v>105008.07</v>
      </c>
      <c r="BR266" s="237">
        <v>105709.31</v>
      </c>
      <c r="BS266" s="237">
        <v>106714.79</v>
      </c>
      <c r="BT266" s="237">
        <v>107954.47</v>
      </c>
      <c r="BU266" s="237">
        <v>108587.6</v>
      </c>
      <c r="BV266" s="237">
        <v>110275.84</v>
      </c>
      <c r="BW266" s="237">
        <v>110129.75</v>
      </c>
      <c r="BX266" s="237">
        <v>95513.58</v>
      </c>
      <c r="BY266" s="237">
        <v>68410.39</v>
      </c>
      <c r="BZ266" s="237">
        <v>58401.39</v>
      </c>
      <c r="CA266" s="237">
        <v>52641.69</v>
      </c>
      <c r="CB266" s="237">
        <v>52056.44</v>
      </c>
      <c r="CC266" s="237">
        <v>52553.05</v>
      </c>
      <c r="CD266" s="237">
        <v>53465.279999999999</v>
      </c>
      <c r="CE266" s="237">
        <v>40007.980000000003</v>
      </c>
      <c r="CF266" s="237">
        <v>18.579999999999998</v>
      </c>
      <c r="CG266" s="237">
        <v>18.579999999999998</v>
      </c>
      <c r="CH266" s="30">
        <v>0</v>
      </c>
      <c r="CI266" s="30">
        <v>15.28</v>
      </c>
      <c r="CJ266" s="30" t="e">
        <f t="array" aca="1" ref="CJ266" ca="1">_xludf.XLOOKUP(C266,'PL TOTAL D0'!H:H,'PL TOTAL D0'!I:I,"")</f>
        <v>#NAME?</v>
      </c>
    </row>
    <row r="267" spans="1:88" ht="15.75" customHeight="1">
      <c r="A267" s="36" t="s">
        <v>2921</v>
      </c>
      <c r="B267" s="3" t="s">
        <v>3371</v>
      </c>
      <c r="C267" s="9">
        <v>449558</v>
      </c>
      <c r="D267" s="9" t="s">
        <v>19</v>
      </c>
      <c r="E267" s="9" t="s">
        <v>34</v>
      </c>
      <c r="F267" s="6" t="s">
        <v>262</v>
      </c>
      <c r="G267" s="7" t="e">
        <f t="shared" ca="1" si="4"/>
        <v>#NAME?</v>
      </c>
      <c r="H267" s="8" t="s">
        <v>143</v>
      </c>
      <c r="I267" s="24" t="s">
        <v>25</v>
      </c>
      <c r="J267" s="9" t="str">
        <f t="shared" si="3"/>
        <v>Não</v>
      </c>
      <c r="K267" s="107">
        <v>44280</v>
      </c>
      <c r="L267" s="79">
        <v>44482</v>
      </c>
      <c r="M267" s="6" t="s">
        <v>345</v>
      </c>
      <c r="N267" s="10">
        <v>0.02</v>
      </c>
      <c r="O267" s="9" t="s">
        <v>37</v>
      </c>
      <c r="P267" s="234">
        <v>0.2</v>
      </c>
      <c r="Q267" s="108"/>
      <c r="R267" s="108"/>
      <c r="S267" s="7" t="s">
        <v>145</v>
      </c>
      <c r="T267" s="6" t="s">
        <v>3372</v>
      </c>
      <c r="U267" s="6" t="s">
        <v>39</v>
      </c>
      <c r="V267" s="24" t="e">
        <f t="shared" ca="1" si="5"/>
        <v>#NAME?</v>
      </c>
      <c r="W267" s="24"/>
      <c r="X267" s="24"/>
      <c r="Y267" s="6"/>
      <c r="Z267" s="6"/>
      <c r="AA267" s="6"/>
      <c r="AB267" s="6"/>
      <c r="AC267" s="240"/>
      <c r="AD267" s="240"/>
      <c r="AE267" s="240"/>
      <c r="AF267" s="240"/>
      <c r="AG267" s="240"/>
      <c r="AH267" s="240"/>
      <c r="AI267" s="240"/>
      <c r="AJ267" s="240"/>
      <c r="AK267" s="240"/>
      <c r="AL267" s="240"/>
      <c r="AM267" s="240"/>
      <c r="AN267" s="240"/>
      <c r="AO267" s="240"/>
      <c r="AP267" s="110"/>
      <c r="AQ267" s="110"/>
      <c r="AR267" s="110">
        <v>566741.96</v>
      </c>
      <c r="AS267" s="110"/>
      <c r="AT267" s="110">
        <v>536198.31999999995</v>
      </c>
      <c r="AU267" s="110">
        <v>549190.35</v>
      </c>
      <c r="AV267" s="110">
        <v>546073.05000000005</v>
      </c>
      <c r="AW267" s="110">
        <v>537062.23</v>
      </c>
      <c r="AX267" s="110">
        <v>520603.53</v>
      </c>
      <c r="AY267" s="110">
        <v>489398.81</v>
      </c>
      <c r="AZ267" s="110"/>
      <c r="BA267" s="110"/>
      <c r="BB267" s="110"/>
      <c r="BC267" s="110"/>
      <c r="BD267" s="110">
        <v>0</v>
      </c>
      <c r="BE267" s="110">
        <v>0</v>
      </c>
      <c r="BF267" s="110">
        <v>0</v>
      </c>
      <c r="BG267" s="110" t="s">
        <v>2932</v>
      </c>
      <c r="BH267" s="110">
        <v>0</v>
      </c>
      <c r="BI267" s="110" t="s">
        <v>2932</v>
      </c>
      <c r="BJ267" s="110">
        <v>0</v>
      </c>
      <c r="BK267" s="237">
        <v>0</v>
      </c>
      <c r="BL267" s="237">
        <v>0</v>
      </c>
      <c r="BM267" s="237">
        <v>0</v>
      </c>
      <c r="BN267" s="237">
        <v>0</v>
      </c>
      <c r="BO267" s="237">
        <v>0</v>
      </c>
      <c r="BP267" s="237">
        <v>0</v>
      </c>
      <c r="BQ267" s="237">
        <v>0</v>
      </c>
      <c r="BR267" s="237">
        <v>0</v>
      </c>
      <c r="BS267" s="237">
        <v>0</v>
      </c>
      <c r="BT267" s="237">
        <v>0</v>
      </c>
      <c r="BU267" s="237">
        <v>0</v>
      </c>
      <c r="BV267" s="237">
        <v>0</v>
      </c>
      <c r="BW267" s="237">
        <v>0</v>
      </c>
      <c r="BX267" s="237">
        <v>0</v>
      </c>
      <c r="BY267" s="237">
        <v>0</v>
      </c>
      <c r="BZ267" s="237">
        <v>0</v>
      </c>
      <c r="CA267" s="237">
        <v>0</v>
      </c>
      <c r="CB267" s="237">
        <v>0</v>
      </c>
      <c r="CC267" s="237">
        <v>0</v>
      </c>
      <c r="CD267" s="237">
        <v>0</v>
      </c>
      <c r="CE267" s="237">
        <v>0</v>
      </c>
      <c r="CF267" s="237">
        <v>0</v>
      </c>
      <c r="CG267" s="237">
        <v>0</v>
      </c>
      <c r="CH267" s="30">
        <v>0</v>
      </c>
      <c r="CI267" s="30">
        <v>0</v>
      </c>
      <c r="CJ267" s="30" t="e">
        <f t="array" aca="1" ref="CJ267" ca="1">_xludf.XLOOKUP(C267,'PL TOTAL D0'!H:H,'PL TOTAL D0'!I:I,"")</f>
        <v>#NAME?</v>
      </c>
    </row>
    <row r="268" spans="1:88" ht="15.75" customHeight="1">
      <c r="A268" s="36" t="s">
        <v>2921</v>
      </c>
      <c r="B268" s="37" t="s">
        <v>3373</v>
      </c>
      <c r="C268" s="9">
        <v>267262</v>
      </c>
      <c r="D268" s="9" t="s">
        <v>2923</v>
      </c>
      <c r="E268" s="9" t="s">
        <v>20</v>
      </c>
      <c r="F268" s="6" t="s">
        <v>2930</v>
      </c>
      <c r="G268" s="7" t="e">
        <f t="shared" ca="1" si="4"/>
        <v>#NAME?</v>
      </c>
      <c r="H268" s="8" t="s">
        <v>143</v>
      </c>
      <c r="I268" s="24" t="s">
        <v>25</v>
      </c>
      <c r="J268" s="9" t="str">
        <f t="shared" si="3"/>
        <v>Não</v>
      </c>
      <c r="K268" s="107">
        <v>43622</v>
      </c>
      <c r="L268" s="239">
        <v>44484</v>
      </c>
      <c r="M268" s="6" t="s">
        <v>58</v>
      </c>
      <c r="N268" s="10">
        <v>1.2E-2</v>
      </c>
      <c r="O268" s="9" t="s">
        <v>25</v>
      </c>
      <c r="P268" s="234">
        <v>0</v>
      </c>
      <c r="Q268" s="108"/>
      <c r="R268" s="108"/>
      <c r="S268" s="7" t="s">
        <v>145</v>
      </c>
      <c r="T268" s="6" t="s">
        <v>3374</v>
      </c>
      <c r="U268" s="6" t="s">
        <v>20</v>
      </c>
      <c r="V268" s="24" t="e">
        <f t="shared" ca="1" si="5"/>
        <v>#NAME?</v>
      </c>
      <c r="W268" s="24"/>
      <c r="X268" s="24"/>
      <c r="Y268" s="6"/>
      <c r="Z268" s="6"/>
      <c r="AA268" s="6"/>
      <c r="AB268" s="6"/>
      <c r="AC268" s="110">
        <v>259438.82</v>
      </c>
      <c r="AD268" s="110">
        <v>256333.59</v>
      </c>
      <c r="AE268" s="110">
        <v>249315.18</v>
      </c>
      <c r="AF268" s="110">
        <v>252843.39</v>
      </c>
      <c r="AG268" s="110">
        <v>254869.5</v>
      </c>
      <c r="AH268" s="110">
        <v>255203.14</v>
      </c>
      <c r="AI268" s="110">
        <v>259402.03</v>
      </c>
      <c r="AJ268" s="110">
        <v>256304.86</v>
      </c>
      <c r="AK268" s="110">
        <v>250733.41</v>
      </c>
      <c r="AL268" s="110">
        <v>230776.06</v>
      </c>
      <c r="AM268" s="110">
        <v>206003.1</v>
      </c>
      <c r="AN268" s="110">
        <v>208643.11</v>
      </c>
      <c r="AO268" s="110">
        <v>206961.63</v>
      </c>
      <c r="AP268" s="110">
        <v>203251.26</v>
      </c>
      <c r="AQ268" s="110">
        <v>203283.37</v>
      </c>
      <c r="AR268" s="110">
        <v>203869.45</v>
      </c>
      <c r="AS268" s="110">
        <v>205565.71</v>
      </c>
      <c r="AT268" s="110">
        <v>191.96</v>
      </c>
      <c r="AU268" s="110"/>
      <c r="AV268" s="110">
        <v>55.54</v>
      </c>
      <c r="AW268" s="240"/>
      <c r="AX268" s="240">
        <v>2.93</v>
      </c>
      <c r="AY268" s="110">
        <v>2.93</v>
      </c>
      <c r="AZ268" s="110"/>
      <c r="BA268" s="110"/>
      <c r="BB268" s="110"/>
      <c r="BC268" s="110"/>
      <c r="BD268" s="110">
        <v>0</v>
      </c>
      <c r="BE268" s="110">
        <v>0</v>
      </c>
      <c r="BF268" s="110">
        <v>0</v>
      </c>
      <c r="BG268" s="110" t="s">
        <v>2932</v>
      </c>
      <c r="BH268" s="110">
        <v>0</v>
      </c>
      <c r="BI268" s="110" t="s">
        <v>2932</v>
      </c>
      <c r="BJ268" s="110">
        <v>0</v>
      </c>
      <c r="BK268" s="237">
        <v>0</v>
      </c>
      <c r="BL268" s="237">
        <v>0</v>
      </c>
      <c r="BM268" s="237">
        <v>0</v>
      </c>
      <c r="BN268" s="237">
        <v>0</v>
      </c>
      <c r="BO268" s="237">
        <v>0</v>
      </c>
      <c r="BP268" s="237">
        <v>0</v>
      </c>
      <c r="BQ268" s="237">
        <v>0</v>
      </c>
      <c r="BR268" s="237">
        <v>0</v>
      </c>
      <c r="BS268" s="237">
        <v>0</v>
      </c>
      <c r="BT268" s="237">
        <v>0</v>
      </c>
      <c r="BU268" s="237">
        <v>0</v>
      </c>
      <c r="BV268" s="237">
        <v>0</v>
      </c>
      <c r="BW268" s="237">
        <v>0</v>
      </c>
      <c r="BX268" s="237">
        <v>0</v>
      </c>
      <c r="BY268" s="237">
        <v>0</v>
      </c>
      <c r="BZ268" s="237">
        <v>0</v>
      </c>
      <c r="CA268" s="237">
        <v>0</v>
      </c>
      <c r="CB268" s="237">
        <v>0</v>
      </c>
      <c r="CC268" s="237">
        <v>0</v>
      </c>
      <c r="CD268" s="237">
        <v>0</v>
      </c>
      <c r="CE268" s="237">
        <v>0</v>
      </c>
      <c r="CF268" s="237">
        <v>0</v>
      </c>
      <c r="CG268" s="237">
        <v>0</v>
      </c>
      <c r="CH268" s="30">
        <v>0</v>
      </c>
      <c r="CI268" s="30">
        <v>0</v>
      </c>
      <c r="CJ268" s="30" t="e">
        <f t="array" aca="1" ref="CJ268" ca="1">_xludf.XLOOKUP(C268,'PL TOTAL D0'!H:H,'PL TOTAL D0'!I:I,"")</f>
        <v>#NAME?</v>
      </c>
    </row>
    <row r="269" spans="1:88" ht="15.75" customHeight="1">
      <c r="A269" s="36" t="s">
        <v>2921</v>
      </c>
      <c r="B269" s="37" t="s">
        <v>3373</v>
      </c>
      <c r="C269" s="9">
        <v>421828</v>
      </c>
      <c r="D269" s="9" t="s">
        <v>2923</v>
      </c>
      <c r="E269" s="9" t="s">
        <v>20</v>
      </c>
      <c r="F269" s="6" t="s">
        <v>2930</v>
      </c>
      <c r="G269" s="7" t="e">
        <f t="shared" ca="1" si="4"/>
        <v>#NAME?</v>
      </c>
      <c r="H269" s="8" t="s">
        <v>143</v>
      </c>
      <c r="I269" s="24" t="s">
        <v>25</v>
      </c>
      <c r="J269" s="9" t="str">
        <f t="shared" si="3"/>
        <v>Não</v>
      </c>
      <c r="K269" s="107">
        <v>43622</v>
      </c>
      <c r="L269" s="239">
        <v>44484</v>
      </c>
      <c r="M269" s="6" t="s">
        <v>200</v>
      </c>
      <c r="N269" s="10">
        <v>0.01</v>
      </c>
      <c r="O269" s="9" t="s">
        <v>37</v>
      </c>
      <c r="P269" s="234">
        <v>0.1</v>
      </c>
      <c r="Q269" s="108"/>
      <c r="R269" s="108"/>
      <c r="S269" s="7" t="s">
        <v>145</v>
      </c>
      <c r="T269" s="6" t="s">
        <v>3374</v>
      </c>
      <c r="U269" s="6" t="s">
        <v>20</v>
      </c>
      <c r="V269" s="24" t="e">
        <f t="shared" ca="1" si="5"/>
        <v>#NAME?</v>
      </c>
      <c r="W269" s="24"/>
      <c r="X269" s="24"/>
      <c r="Y269" s="6"/>
      <c r="Z269" s="6"/>
      <c r="AA269" s="6"/>
      <c r="AB269" s="6"/>
      <c r="AC269" s="110">
        <v>0</v>
      </c>
      <c r="AD269" s="110">
        <v>0</v>
      </c>
      <c r="AE269" s="110">
        <v>0</v>
      </c>
      <c r="AF269" s="110">
        <v>0</v>
      </c>
      <c r="AG269" s="110">
        <v>0</v>
      </c>
      <c r="AH269" s="110">
        <v>0</v>
      </c>
      <c r="AI269" s="110">
        <v>0</v>
      </c>
      <c r="AJ269" s="110"/>
      <c r="AK269" s="110"/>
      <c r="AL269" s="110"/>
      <c r="AM269" s="110"/>
      <c r="AN269" s="110"/>
      <c r="AO269" s="110"/>
      <c r="AP269" s="110"/>
      <c r="AQ269" s="110"/>
      <c r="AR269" s="110"/>
      <c r="AS269" s="110"/>
      <c r="AT269" s="110"/>
      <c r="AU269" s="110"/>
      <c r="AV269" s="240"/>
      <c r="AW269" s="240"/>
      <c r="AX269" s="240"/>
      <c r="AY269" s="110"/>
      <c r="AZ269" s="110"/>
      <c r="BA269" s="110"/>
      <c r="BB269" s="110"/>
      <c r="BC269" s="110"/>
      <c r="BD269" s="110">
        <v>0</v>
      </c>
      <c r="BE269" s="110">
        <v>0</v>
      </c>
      <c r="BF269" s="110">
        <v>0</v>
      </c>
      <c r="BG269" s="110" t="s">
        <v>2932</v>
      </c>
      <c r="BH269" s="110">
        <v>0</v>
      </c>
      <c r="BI269" s="110" t="s">
        <v>2932</v>
      </c>
      <c r="BJ269" s="110">
        <v>0</v>
      </c>
      <c r="BK269" s="237">
        <v>0</v>
      </c>
      <c r="BL269" s="237">
        <v>0</v>
      </c>
      <c r="BM269" s="237">
        <v>0</v>
      </c>
      <c r="BN269" s="237">
        <v>0</v>
      </c>
      <c r="BO269" s="237">
        <v>0</v>
      </c>
      <c r="BP269" s="237">
        <v>0</v>
      </c>
      <c r="BQ269" s="237">
        <v>0</v>
      </c>
      <c r="BR269" s="237">
        <v>0</v>
      </c>
      <c r="BS269" s="237">
        <v>0</v>
      </c>
      <c r="BT269" s="237">
        <v>0</v>
      </c>
      <c r="BU269" s="237">
        <v>0</v>
      </c>
      <c r="BV269" s="237">
        <v>0</v>
      </c>
      <c r="BW269" s="237">
        <v>0</v>
      </c>
      <c r="BX269" s="237">
        <v>0</v>
      </c>
      <c r="BY269" s="237">
        <v>0</v>
      </c>
      <c r="BZ269" s="237">
        <v>0</v>
      </c>
      <c r="CA269" s="237">
        <v>0</v>
      </c>
      <c r="CB269" s="237">
        <v>0</v>
      </c>
      <c r="CC269" s="237">
        <v>0</v>
      </c>
      <c r="CD269" s="237">
        <v>0</v>
      </c>
      <c r="CE269" s="237">
        <v>0</v>
      </c>
      <c r="CF269" s="237">
        <v>0</v>
      </c>
      <c r="CG269" s="237">
        <v>0</v>
      </c>
      <c r="CH269" s="30">
        <v>0</v>
      </c>
      <c r="CI269" s="30">
        <v>0</v>
      </c>
      <c r="CJ269" s="30" t="e">
        <f t="array" aca="1" ref="CJ269" ca="1">_xludf.XLOOKUP(C269,'PL TOTAL D0'!H:H,'PL TOTAL D0'!I:I,"")</f>
        <v>#NAME?</v>
      </c>
    </row>
    <row r="270" spans="1:88" ht="15.75" customHeight="1">
      <c r="A270" s="36" t="s">
        <v>2921</v>
      </c>
      <c r="B270" s="3" t="s">
        <v>3375</v>
      </c>
      <c r="C270" s="9">
        <v>452835</v>
      </c>
      <c r="D270" s="9" t="s">
        <v>2923</v>
      </c>
      <c r="E270" s="9" t="s">
        <v>20</v>
      </c>
      <c r="F270" s="9" t="s">
        <v>2924</v>
      </c>
      <c r="G270" s="7" t="e">
        <f t="shared" ca="1" si="4"/>
        <v>#NAME?</v>
      </c>
      <c r="H270" s="8" t="s">
        <v>161</v>
      </c>
      <c r="I270" s="24" t="s">
        <v>25</v>
      </c>
      <c r="J270" s="9" t="str">
        <f t="shared" si="3"/>
        <v>Não</v>
      </c>
      <c r="K270" s="232">
        <v>43922</v>
      </c>
      <c r="L270" s="6"/>
      <c r="M270" s="6" t="s">
        <v>58</v>
      </c>
      <c r="N270" s="10">
        <v>1.2E-2</v>
      </c>
      <c r="O270" s="9" t="s">
        <v>25</v>
      </c>
      <c r="P270" s="234">
        <v>0</v>
      </c>
      <c r="Q270" s="235"/>
      <c r="R270" s="235"/>
      <c r="S270" s="7" t="s">
        <v>145</v>
      </c>
      <c r="T270" s="6" t="s">
        <v>3376</v>
      </c>
      <c r="U270" s="9" t="s">
        <v>20</v>
      </c>
      <c r="V270" s="24" t="e">
        <f t="shared" ca="1" si="5"/>
        <v>#NAME?</v>
      </c>
      <c r="W270" s="24"/>
      <c r="X270" s="24"/>
      <c r="Y270" s="6" t="s">
        <v>253</v>
      </c>
      <c r="Z270" s="6"/>
      <c r="AA270" s="107">
        <v>43922</v>
      </c>
      <c r="AB270" s="6">
        <v>49075100003831</v>
      </c>
      <c r="AC270" s="110">
        <v>0</v>
      </c>
      <c r="AD270" s="110">
        <v>0</v>
      </c>
      <c r="AE270" s="110">
        <v>0</v>
      </c>
      <c r="AF270" s="110">
        <v>547813.77</v>
      </c>
      <c r="AG270" s="110">
        <v>551812.01</v>
      </c>
      <c r="AH270" s="110">
        <v>555612.77</v>
      </c>
      <c r="AI270" s="110">
        <v>557828.68999999994</v>
      </c>
      <c r="AJ270" s="110">
        <v>555099.85</v>
      </c>
      <c r="AK270" s="110">
        <v>548203.22</v>
      </c>
      <c r="AL270" s="110">
        <v>549263.37</v>
      </c>
      <c r="AM270" s="110">
        <v>564638.39</v>
      </c>
      <c r="AN270" s="110">
        <v>1780.49</v>
      </c>
      <c r="AO270" s="110">
        <v>1845.37</v>
      </c>
      <c r="AP270" s="110">
        <v>1680.88</v>
      </c>
      <c r="AQ270" s="236">
        <v>1590.01</v>
      </c>
      <c r="AR270" s="236">
        <v>1589.75</v>
      </c>
      <c r="AS270" s="236">
        <v>1497.17</v>
      </c>
      <c r="AT270" s="236">
        <v>1404.86</v>
      </c>
      <c r="AU270" s="236">
        <v>1409.28</v>
      </c>
      <c r="AV270" s="110">
        <v>1541.6</v>
      </c>
      <c r="AW270" s="110">
        <v>1747.9</v>
      </c>
      <c r="AX270" s="110">
        <v>1752.47</v>
      </c>
      <c r="AY270" s="110">
        <v>1757.33</v>
      </c>
      <c r="AZ270" s="110">
        <v>1761.58</v>
      </c>
      <c r="BA270" s="110">
        <v>1768.08</v>
      </c>
      <c r="BB270" s="110">
        <v>1775.43</v>
      </c>
      <c r="BC270" s="110">
        <v>1782.42</v>
      </c>
      <c r="BD270" s="110">
        <v>1791.34</v>
      </c>
      <c r="BE270" s="110">
        <v>1801.27</v>
      </c>
      <c r="BF270" s="110">
        <v>1807.38</v>
      </c>
      <c r="BG270" s="237">
        <v>1818.71</v>
      </c>
      <c r="BH270" s="237">
        <v>0</v>
      </c>
      <c r="BI270" s="237">
        <v>1841.29</v>
      </c>
      <c r="BJ270" s="237">
        <v>1854.31</v>
      </c>
      <c r="BK270" s="237">
        <v>1866.57</v>
      </c>
      <c r="BL270" s="237">
        <v>1878.33</v>
      </c>
      <c r="BM270" s="237">
        <v>1889.74</v>
      </c>
      <c r="BN270" s="237">
        <v>1901.47</v>
      </c>
      <c r="BO270" s="237">
        <v>1915.64</v>
      </c>
      <c r="BP270" s="237">
        <v>1926.2</v>
      </c>
      <c r="BQ270" s="237">
        <v>1940.01</v>
      </c>
      <c r="BR270" s="237">
        <v>1949.69</v>
      </c>
      <c r="BS270" s="237">
        <v>1963.78</v>
      </c>
      <c r="BT270" s="237">
        <v>0</v>
      </c>
      <c r="BU270" s="237">
        <v>0</v>
      </c>
      <c r="BV270" s="237">
        <v>0</v>
      </c>
      <c r="BW270" s="237">
        <v>0</v>
      </c>
      <c r="BX270" s="237">
        <v>0</v>
      </c>
      <c r="BY270" s="237">
        <v>0</v>
      </c>
      <c r="BZ270" s="237">
        <v>0</v>
      </c>
      <c r="CA270" s="237">
        <v>0</v>
      </c>
      <c r="CB270" s="237">
        <v>0</v>
      </c>
      <c r="CC270" s="237">
        <v>1317.88</v>
      </c>
      <c r="CD270" s="237">
        <v>1329.56</v>
      </c>
      <c r="CE270" s="237">
        <v>1340.57</v>
      </c>
      <c r="CF270" s="237">
        <v>1351.3</v>
      </c>
      <c r="CG270" s="237">
        <v>1363.54</v>
      </c>
      <c r="CH270" s="30">
        <v>1375.64</v>
      </c>
      <c r="CI270" s="30">
        <v>1386.82</v>
      </c>
      <c r="CJ270" s="30" t="e">
        <f t="array" aca="1" ref="CJ270" ca="1">_xludf.XLOOKUP(C270,'PL TOTAL D0'!H:H,'PL TOTAL D0'!I:I,"")</f>
        <v>#NAME?</v>
      </c>
    </row>
    <row r="271" spans="1:88" ht="15.75" customHeight="1">
      <c r="A271" s="36" t="s">
        <v>2921</v>
      </c>
      <c r="B271" s="3" t="s">
        <v>3377</v>
      </c>
      <c r="C271" s="9">
        <v>444263</v>
      </c>
      <c r="D271" s="9" t="s">
        <v>19</v>
      </c>
      <c r="E271" s="9" t="s">
        <v>34</v>
      </c>
      <c r="F271" s="6" t="s">
        <v>2971</v>
      </c>
      <c r="G271" s="7" t="e">
        <f t="shared" ca="1" si="4"/>
        <v>#NAME?</v>
      </c>
      <c r="H271" s="8" t="s">
        <v>143</v>
      </c>
      <c r="I271" s="24" t="s">
        <v>25</v>
      </c>
      <c r="J271" s="9" t="str">
        <f t="shared" si="3"/>
        <v>Não</v>
      </c>
      <c r="K271" s="107">
        <v>44280</v>
      </c>
      <c r="L271" s="107">
        <v>44281</v>
      </c>
      <c r="M271" s="6" t="s">
        <v>58</v>
      </c>
      <c r="N271" s="10">
        <v>1.2E-2</v>
      </c>
      <c r="O271" s="9" t="s">
        <v>25</v>
      </c>
      <c r="P271" s="234">
        <v>0</v>
      </c>
      <c r="Q271" s="108"/>
      <c r="R271" s="108"/>
      <c r="S271" s="7" t="s">
        <v>145</v>
      </c>
      <c r="T271" s="6" t="s">
        <v>3378</v>
      </c>
      <c r="U271" s="6" t="s">
        <v>39</v>
      </c>
      <c r="V271" s="24" t="e">
        <f t="shared" ca="1" si="5"/>
        <v>#NAME?</v>
      </c>
      <c r="W271" s="24"/>
      <c r="X271" s="24"/>
      <c r="Y271" s="6"/>
      <c r="Z271" s="6"/>
      <c r="AA271" s="6"/>
      <c r="AB271" s="6"/>
      <c r="AC271" s="240"/>
      <c r="AD271" s="240"/>
      <c r="AE271" s="240"/>
      <c r="AF271" s="240"/>
      <c r="AG271" s="240"/>
      <c r="AH271" s="240"/>
      <c r="AI271" s="240"/>
      <c r="AJ271" s="240"/>
      <c r="AK271" s="240"/>
      <c r="AL271" s="240"/>
      <c r="AM271" s="240"/>
      <c r="AN271" s="240"/>
      <c r="AO271" s="240"/>
      <c r="AP271" s="110"/>
      <c r="AQ271" s="110"/>
      <c r="AR271" s="110">
        <v>201360.54</v>
      </c>
      <c r="AS271" s="110"/>
      <c r="AT271" s="110"/>
      <c r="AU271" s="110"/>
      <c r="AV271" s="240"/>
      <c r="AW271" s="240"/>
      <c r="AX271" s="240"/>
      <c r="AY271" s="110"/>
      <c r="AZ271" s="110"/>
      <c r="BA271" s="110"/>
      <c r="BB271" s="110"/>
      <c r="BC271" s="110"/>
      <c r="BD271" s="110">
        <v>0</v>
      </c>
      <c r="BE271" s="110">
        <v>0</v>
      </c>
      <c r="BF271" s="110">
        <v>0</v>
      </c>
      <c r="BG271" s="110" t="s">
        <v>2932</v>
      </c>
      <c r="BH271" s="110">
        <v>0</v>
      </c>
      <c r="BI271" s="110" t="s">
        <v>2932</v>
      </c>
      <c r="BJ271" s="110">
        <v>0</v>
      </c>
      <c r="BK271" s="237">
        <v>0</v>
      </c>
      <c r="BL271" s="237">
        <v>0</v>
      </c>
      <c r="BM271" s="237">
        <v>0</v>
      </c>
      <c r="BN271" s="237">
        <v>0</v>
      </c>
      <c r="BO271" s="237">
        <v>0</v>
      </c>
      <c r="BP271" s="237">
        <v>0</v>
      </c>
      <c r="BQ271" s="237">
        <v>0</v>
      </c>
      <c r="BR271" s="237">
        <v>0</v>
      </c>
      <c r="BS271" s="237">
        <v>0</v>
      </c>
      <c r="BT271" s="237">
        <v>0</v>
      </c>
      <c r="BU271" s="237">
        <v>0</v>
      </c>
      <c r="BV271" s="237">
        <v>0</v>
      </c>
      <c r="BW271" s="237">
        <v>0</v>
      </c>
      <c r="BX271" s="237">
        <v>0</v>
      </c>
      <c r="BY271" s="237">
        <v>0</v>
      </c>
      <c r="BZ271" s="237">
        <v>0</v>
      </c>
      <c r="CA271" s="237">
        <v>0</v>
      </c>
      <c r="CB271" s="237">
        <v>0</v>
      </c>
      <c r="CC271" s="237">
        <v>0</v>
      </c>
      <c r="CD271" s="237">
        <v>0</v>
      </c>
      <c r="CE271" s="237">
        <v>0</v>
      </c>
      <c r="CF271" s="237">
        <v>0</v>
      </c>
      <c r="CG271" s="237">
        <v>0</v>
      </c>
      <c r="CH271" s="30">
        <v>0</v>
      </c>
      <c r="CI271" s="30">
        <v>0</v>
      </c>
      <c r="CJ271" s="30" t="e">
        <f t="array" aca="1" ref="CJ271" ca="1">_xludf.XLOOKUP(C271,'PL TOTAL D0'!H:H,'PL TOTAL D0'!I:I,"")</f>
        <v>#NAME?</v>
      </c>
    </row>
    <row r="272" spans="1:88" ht="15.75" customHeight="1">
      <c r="A272" s="36" t="s">
        <v>2921</v>
      </c>
      <c r="B272" s="3" t="s">
        <v>1980</v>
      </c>
      <c r="C272" s="9">
        <v>287545</v>
      </c>
      <c r="D272" s="9" t="s">
        <v>19</v>
      </c>
      <c r="E272" s="9" t="s">
        <v>34</v>
      </c>
      <c r="F272" s="9" t="s">
        <v>262</v>
      </c>
      <c r="G272" s="7" t="e">
        <f t="shared" ca="1" si="4"/>
        <v>#NAME?</v>
      </c>
      <c r="H272" s="8" t="s">
        <v>161</v>
      </c>
      <c r="I272" s="24" t="s">
        <v>162</v>
      </c>
      <c r="J272" s="9" t="str">
        <f t="shared" si="3"/>
        <v>Não</v>
      </c>
      <c r="K272" s="232">
        <v>44679</v>
      </c>
      <c r="L272" s="7"/>
      <c r="M272" s="6" t="s">
        <v>58</v>
      </c>
      <c r="N272" s="26">
        <v>1.2E-2</v>
      </c>
      <c r="O272" s="9" t="s">
        <v>25</v>
      </c>
      <c r="P272" s="234">
        <v>0</v>
      </c>
      <c r="Q272" s="28"/>
      <c r="R272" s="28"/>
      <c r="S272" s="7" t="s">
        <v>145</v>
      </c>
      <c r="T272" s="6" t="s">
        <v>1982</v>
      </c>
      <c r="U272" s="6" t="s">
        <v>39</v>
      </c>
      <c r="V272" s="24" t="e">
        <f t="shared" ca="1" si="5"/>
        <v>#NAME?</v>
      </c>
      <c r="W272" s="24"/>
      <c r="X272" s="24"/>
      <c r="Y272" s="6" t="s">
        <v>253</v>
      </c>
      <c r="Z272" s="6"/>
      <c r="AA272" s="107">
        <v>44679</v>
      </c>
      <c r="AB272" s="6">
        <v>49075100010854</v>
      </c>
      <c r="AC272" s="132"/>
      <c r="AD272" s="132"/>
      <c r="AE272" s="132"/>
      <c r="AF272" s="132"/>
      <c r="AG272" s="132"/>
      <c r="AH272" s="132"/>
      <c r="AI272" s="132"/>
      <c r="AJ272" s="132"/>
      <c r="AK272" s="132"/>
      <c r="AL272" s="132"/>
      <c r="AM272" s="132"/>
      <c r="AN272" s="132"/>
      <c r="AO272" s="132"/>
      <c r="AP272" s="110"/>
      <c r="AQ272" s="110"/>
      <c r="AR272" s="110"/>
      <c r="AS272" s="110"/>
      <c r="AT272" s="110"/>
      <c r="AU272" s="110"/>
      <c r="AV272" s="110"/>
      <c r="AW272" s="110"/>
      <c r="AX272" s="110"/>
      <c r="AY272" s="110"/>
      <c r="AZ272" s="110"/>
      <c r="BA272" s="110"/>
      <c r="BB272" s="110"/>
      <c r="BC272" s="110"/>
      <c r="BD272" s="110"/>
      <c r="BE272" s="110"/>
      <c r="BF272" s="110">
        <v>460250.11</v>
      </c>
      <c r="BG272" s="237">
        <v>357007.29</v>
      </c>
      <c r="BH272" s="237">
        <v>350453.01</v>
      </c>
      <c r="BI272" s="237">
        <v>350166.93</v>
      </c>
      <c r="BJ272" s="237">
        <v>349838.61</v>
      </c>
      <c r="BK272" s="237">
        <v>349457.43</v>
      </c>
      <c r="BL272" s="237">
        <v>349109.79</v>
      </c>
      <c r="BM272" s="237">
        <v>348779.13</v>
      </c>
      <c r="BN272" s="237">
        <v>318448.65999999997</v>
      </c>
      <c r="BO272" s="237">
        <v>228448.66</v>
      </c>
      <c r="BP272" s="237">
        <v>228448.66</v>
      </c>
      <c r="BQ272" s="237">
        <v>228448.66</v>
      </c>
      <c r="BR272" s="237">
        <v>228448.66</v>
      </c>
      <c r="BS272" s="237">
        <v>0</v>
      </c>
      <c r="BT272" s="237">
        <v>0</v>
      </c>
      <c r="BU272" s="237">
        <v>0</v>
      </c>
      <c r="BV272" s="237">
        <v>0</v>
      </c>
      <c r="BW272" s="237">
        <v>0</v>
      </c>
      <c r="BX272" s="237">
        <v>0</v>
      </c>
      <c r="BY272" s="237">
        <v>0</v>
      </c>
      <c r="BZ272" s="237">
        <v>0</v>
      </c>
      <c r="CA272" s="237">
        <v>0</v>
      </c>
      <c r="CB272" s="237">
        <v>0</v>
      </c>
      <c r="CC272" s="237">
        <v>0</v>
      </c>
      <c r="CD272" s="237">
        <v>0</v>
      </c>
      <c r="CE272" s="237">
        <v>0</v>
      </c>
      <c r="CF272" s="237">
        <v>0</v>
      </c>
      <c r="CG272" s="237">
        <v>0</v>
      </c>
      <c r="CH272" s="30">
        <v>0</v>
      </c>
      <c r="CI272" s="30">
        <v>0</v>
      </c>
      <c r="CJ272" s="30" t="e">
        <f t="array" aca="1" ref="CJ272" ca="1">_xludf.XLOOKUP(C272,'PL TOTAL D0'!H:H,'PL TOTAL D0'!I:I,"")</f>
        <v>#NAME?</v>
      </c>
    </row>
    <row r="273" spans="1:88" ht="15.75" customHeight="1">
      <c r="A273" s="36" t="s">
        <v>2921</v>
      </c>
      <c r="B273" s="3" t="s">
        <v>3379</v>
      </c>
      <c r="C273" s="9">
        <v>269865</v>
      </c>
      <c r="D273" s="9" t="s">
        <v>2923</v>
      </c>
      <c r="E273" s="9" t="s">
        <v>20</v>
      </c>
      <c r="F273" s="6" t="s">
        <v>2930</v>
      </c>
      <c r="G273" s="7" t="e">
        <f t="shared" ca="1" si="4"/>
        <v>#NAME?</v>
      </c>
      <c r="H273" s="8" t="s">
        <v>143</v>
      </c>
      <c r="I273" s="24" t="s">
        <v>25</v>
      </c>
      <c r="J273" s="9" t="str">
        <f t="shared" si="3"/>
        <v>Não</v>
      </c>
      <c r="K273" s="239">
        <v>43795</v>
      </c>
      <c r="L273" s="107">
        <v>44342</v>
      </c>
      <c r="M273" s="6" t="s">
        <v>58</v>
      </c>
      <c r="N273" s="10">
        <v>0.01</v>
      </c>
      <c r="O273" s="9" t="s">
        <v>25</v>
      </c>
      <c r="P273" s="234">
        <v>0</v>
      </c>
      <c r="Q273" s="108"/>
      <c r="R273" s="108"/>
      <c r="S273" s="7" t="s">
        <v>145</v>
      </c>
      <c r="T273" s="6" t="s">
        <v>3380</v>
      </c>
      <c r="U273" s="6" t="s">
        <v>20</v>
      </c>
      <c r="V273" s="24" t="e">
        <f t="shared" ca="1" si="5"/>
        <v>#NAME?</v>
      </c>
      <c r="W273" s="24"/>
      <c r="X273" s="24"/>
      <c r="Y273" s="6"/>
      <c r="Z273" s="6"/>
      <c r="AA273" s="6"/>
      <c r="AB273" s="6"/>
      <c r="AC273" s="110">
        <v>271054.96999999997</v>
      </c>
      <c r="AD273" s="110">
        <v>268708.90000000002</v>
      </c>
      <c r="AE273" s="110">
        <v>262284.11</v>
      </c>
      <c r="AF273" s="110">
        <v>265887.65000000002</v>
      </c>
      <c r="AG273" s="110">
        <v>268246.34000000003</v>
      </c>
      <c r="AH273" s="110">
        <v>271557.62</v>
      </c>
      <c r="AI273" s="110">
        <v>272973.56</v>
      </c>
      <c r="AJ273" s="110">
        <v>273688.90999999997</v>
      </c>
      <c r="AK273" s="110">
        <v>271167.58</v>
      </c>
      <c r="AL273" s="110">
        <v>270986.69</v>
      </c>
      <c r="AM273" s="110">
        <v>270133.59999999998</v>
      </c>
      <c r="AN273" s="110">
        <v>271260.25</v>
      </c>
      <c r="AO273" s="110">
        <v>69133.59</v>
      </c>
      <c r="AP273" s="110">
        <v>1090.9000000000001</v>
      </c>
      <c r="AQ273" s="110">
        <v>871.12</v>
      </c>
      <c r="AR273" s="110">
        <v>871.12</v>
      </c>
      <c r="AS273" s="110">
        <v>659.74</v>
      </c>
      <c r="AT273" s="110">
        <v>351.96</v>
      </c>
      <c r="AU273" s="110"/>
      <c r="AV273" s="240"/>
      <c r="AW273" s="240"/>
      <c r="AX273" s="240"/>
      <c r="AY273" s="110"/>
      <c r="AZ273" s="110"/>
      <c r="BA273" s="110"/>
      <c r="BB273" s="110"/>
      <c r="BC273" s="110"/>
      <c r="BD273" s="110">
        <v>0</v>
      </c>
      <c r="BE273" s="110">
        <v>0</v>
      </c>
      <c r="BF273" s="110">
        <v>0</v>
      </c>
      <c r="BG273" s="110" t="s">
        <v>2932</v>
      </c>
      <c r="BH273" s="110">
        <v>0</v>
      </c>
      <c r="BI273" s="110" t="s">
        <v>2932</v>
      </c>
      <c r="BJ273" s="110">
        <v>0</v>
      </c>
      <c r="BK273" s="237">
        <v>0</v>
      </c>
      <c r="BL273" s="237">
        <v>0</v>
      </c>
      <c r="BM273" s="237">
        <v>0</v>
      </c>
      <c r="BN273" s="237">
        <v>0</v>
      </c>
      <c r="BO273" s="237">
        <v>0</v>
      </c>
      <c r="BP273" s="237">
        <v>0</v>
      </c>
      <c r="BQ273" s="237">
        <v>0</v>
      </c>
      <c r="BR273" s="237">
        <v>0</v>
      </c>
      <c r="BS273" s="237">
        <v>0</v>
      </c>
      <c r="BT273" s="237">
        <v>0</v>
      </c>
      <c r="BU273" s="237">
        <v>0</v>
      </c>
      <c r="BV273" s="237">
        <v>0</v>
      </c>
      <c r="BW273" s="237">
        <v>0</v>
      </c>
      <c r="BX273" s="237">
        <v>0</v>
      </c>
      <c r="BY273" s="237">
        <v>0</v>
      </c>
      <c r="BZ273" s="237">
        <v>0</v>
      </c>
      <c r="CA273" s="237">
        <v>0</v>
      </c>
      <c r="CB273" s="237">
        <v>0</v>
      </c>
      <c r="CC273" s="237">
        <v>0</v>
      </c>
      <c r="CD273" s="237">
        <v>0</v>
      </c>
      <c r="CE273" s="237">
        <v>0</v>
      </c>
      <c r="CF273" s="237">
        <v>0</v>
      </c>
      <c r="CG273" s="237">
        <v>0</v>
      </c>
      <c r="CH273" s="30">
        <v>0</v>
      </c>
      <c r="CI273" s="30">
        <v>0</v>
      </c>
      <c r="CJ273" s="30" t="e">
        <f t="array" aca="1" ref="CJ273" ca="1">_xludf.XLOOKUP(C273,'PL TOTAL D0'!H:H,'PL TOTAL D0'!I:I,"")</f>
        <v>#NAME?</v>
      </c>
    </row>
    <row r="274" spans="1:88" ht="15.75" customHeight="1">
      <c r="A274" s="36" t="s">
        <v>2921</v>
      </c>
      <c r="B274" s="37" t="s">
        <v>2015</v>
      </c>
      <c r="C274" s="9">
        <v>559567</v>
      </c>
      <c r="D274" s="9" t="s">
        <v>19</v>
      </c>
      <c r="E274" s="9" t="s">
        <v>34</v>
      </c>
      <c r="F274" s="6" t="s">
        <v>35</v>
      </c>
      <c r="G274" s="7" t="e">
        <f t="shared" ca="1" si="4"/>
        <v>#NAME?</v>
      </c>
      <c r="H274" s="8" t="s">
        <v>143</v>
      </c>
      <c r="I274" s="24" t="s">
        <v>25</v>
      </c>
      <c r="J274" s="9" t="str">
        <f t="shared" si="3"/>
        <v>Não</v>
      </c>
      <c r="K274" s="107">
        <v>44627</v>
      </c>
      <c r="L274" s="25">
        <v>44637</v>
      </c>
      <c r="M274" s="6" t="s">
        <v>42</v>
      </c>
      <c r="N274" s="10">
        <v>7.0000000000000001E-3</v>
      </c>
      <c r="O274" s="9" t="s">
        <v>25</v>
      </c>
      <c r="P274" s="234">
        <v>0</v>
      </c>
      <c r="Q274" s="28"/>
      <c r="R274" s="28"/>
      <c r="S274" s="7" t="s">
        <v>145</v>
      </c>
      <c r="T274" s="6" t="s">
        <v>2017</v>
      </c>
      <c r="U274" s="6" t="s">
        <v>60</v>
      </c>
      <c r="V274" s="24" t="e">
        <f t="shared" ca="1" si="5"/>
        <v>#NAME?</v>
      </c>
      <c r="W274" s="24"/>
      <c r="X274" s="24"/>
      <c r="Y274" s="6" t="s">
        <v>253</v>
      </c>
      <c r="Z274" s="6"/>
      <c r="AA274" s="6"/>
      <c r="AB274" s="6"/>
      <c r="AC274" s="132"/>
      <c r="AD274" s="132"/>
      <c r="AE274" s="132"/>
      <c r="AF274" s="132"/>
      <c r="AG274" s="132"/>
      <c r="AH274" s="132"/>
      <c r="AI274" s="132"/>
      <c r="AJ274" s="132"/>
      <c r="AK274" s="132"/>
      <c r="AL274" s="132"/>
      <c r="AM274" s="132"/>
      <c r="AN274" s="132"/>
      <c r="AO274" s="132"/>
      <c r="AP274" s="110"/>
      <c r="AQ274" s="110"/>
      <c r="AR274" s="110"/>
      <c r="AS274" s="110"/>
      <c r="AT274" s="110"/>
      <c r="AU274" s="110"/>
      <c r="AV274" s="110"/>
      <c r="AW274" s="110"/>
      <c r="AX274" s="110"/>
      <c r="AY274" s="110"/>
      <c r="AZ274" s="110"/>
      <c r="BA274" s="110"/>
      <c r="BB274" s="110"/>
      <c r="BC274" s="110"/>
      <c r="BD274" s="110">
        <v>0</v>
      </c>
      <c r="BE274" s="110">
        <v>256144.67</v>
      </c>
      <c r="BF274" s="110">
        <v>16144.93</v>
      </c>
      <c r="BG274" s="241" t="s">
        <v>2932</v>
      </c>
      <c r="BH274" s="110">
        <v>0</v>
      </c>
      <c r="BI274" s="110">
        <v>0</v>
      </c>
      <c r="BJ274" s="110">
        <v>0</v>
      </c>
      <c r="BK274" s="237">
        <v>0</v>
      </c>
      <c r="BL274" s="237">
        <v>0</v>
      </c>
      <c r="BM274" s="237">
        <v>0</v>
      </c>
      <c r="BN274" s="237">
        <v>0</v>
      </c>
      <c r="BO274" s="237">
        <v>0</v>
      </c>
      <c r="BP274" s="237">
        <v>0</v>
      </c>
      <c r="BQ274" s="237">
        <v>17798.82</v>
      </c>
      <c r="BR274" s="237">
        <v>0</v>
      </c>
      <c r="BS274" s="237">
        <v>18087.62</v>
      </c>
      <c r="BT274" s="237">
        <v>0</v>
      </c>
      <c r="BU274" s="237">
        <v>0</v>
      </c>
      <c r="BV274" s="237">
        <v>0</v>
      </c>
      <c r="BW274" s="237">
        <v>0</v>
      </c>
      <c r="BX274" s="237">
        <v>0</v>
      </c>
      <c r="BY274" s="237">
        <v>0</v>
      </c>
      <c r="BZ274" s="237">
        <v>0</v>
      </c>
      <c r="CA274" s="237">
        <v>0</v>
      </c>
      <c r="CB274" s="237">
        <v>0</v>
      </c>
      <c r="CC274" s="237">
        <v>0</v>
      </c>
      <c r="CD274" s="237">
        <v>0</v>
      </c>
      <c r="CE274" s="237">
        <v>0</v>
      </c>
      <c r="CF274" s="237">
        <v>0</v>
      </c>
      <c r="CG274" s="237">
        <v>0</v>
      </c>
      <c r="CH274" s="30">
        <v>0</v>
      </c>
      <c r="CI274" s="30">
        <v>0</v>
      </c>
      <c r="CJ274" s="30" t="e">
        <f t="array" aca="1" ref="CJ274" ca="1">_xludf.XLOOKUP(C274,'PL TOTAL D0'!H:H,'PL TOTAL D0'!I:I,"")</f>
        <v>#NAME?</v>
      </c>
    </row>
    <row r="275" spans="1:88" ht="15.75" customHeight="1">
      <c r="A275" s="36" t="s">
        <v>2921</v>
      </c>
      <c r="B275" s="37" t="s">
        <v>2015</v>
      </c>
      <c r="C275" s="9">
        <v>559581</v>
      </c>
      <c r="D275" s="9" t="s">
        <v>19</v>
      </c>
      <c r="E275" s="9" t="s">
        <v>34</v>
      </c>
      <c r="F275" s="6" t="s">
        <v>35</v>
      </c>
      <c r="G275" s="7" t="e">
        <f t="shared" ca="1" si="4"/>
        <v>#NAME?</v>
      </c>
      <c r="H275" s="8" t="s">
        <v>143</v>
      </c>
      <c r="I275" s="24" t="s">
        <v>25</v>
      </c>
      <c r="J275" s="9" t="str">
        <f t="shared" si="3"/>
        <v>Não</v>
      </c>
      <c r="K275" s="6"/>
      <c r="L275" s="25">
        <v>44637</v>
      </c>
      <c r="M275" s="7" t="s">
        <v>3148</v>
      </c>
      <c r="N275" s="10">
        <v>0.01</v>
      </c>
      <c r="O275" s="9" t="s">
        <v>25</v>
      </c>
      <c r="P275" s="234">
        <v>0</v>
      </c>
      <c r="Q275" s="28"/>
      <c r="R275" s="28"/>
      <c r="S275" s="7" t="s">
        <v>145</v>
      </c>
      <c r="T275" s="6" t="s">
        <v>2017</v>
      </c>
      <c r="U275" s="6" t="s">
        <v>60</v>
      </c>
      <c r="V275" s="24" t="e">
        <f t="shared" ca="1" si="5"/>
        <v>#NAME?</v>
      </c>
      <c r="W275" s="24"/>
      <c r="X275" s="24"/>
      <c r="Y275" s="6"/>
      <c r="Z275" s="6"/>
      <c r="AA275" s="6"/>
      <c r="AB275" s="6"/>
      <c r="AC275" s="132"/>
      <c r="AD275" s="132"/>
      <c r="AE275" s="132"/>
      <c r="AF275" s="132"/>
      <c r="AG275" s="132"/>
      <c r="AH275" s="132"/>
      <c r="AI275" s="132"/>
      <c r="AJ275" s="132"/>
      <c r="AK275" s="132"/>
      <c r="AL275" s="132"/>
      <c r="AM275" s="132"/>
      <c r="AN275" s="132"/>
      <c r="AO275" s="132"/>
      <c r="AP275" s="110"/>
      <c r="AQ275" s="110"/>
      <c r="AR275" s="110"/>
      <c r="AS275" s="110"/>
      <c r="AT275" s="110"/>
      <c r="AU275" s="110"/>
      <c r="AV275" s="110"/>
      <c r="AW275" s="110"/>
      <c r="AX275" s="110"/>
      <c r="AY275" s="110"/>
      <c r="AZ275" s="110"/>
      <c r="BA275" s="110"/>
      <c r="BB275" s="110"/>
      <c r="BC275" s="110"/>
      <c r="BD275" s="110">
        <v>0</v>
      </c>
      <c r="BE275" s="110">
        <v>0</v>
      </c>
      <c r="BF275" s="110">
        <v>0</v>
      </c>
      <c r="BG275" s="110" t="s">
        <v>2932</v>
      </c>
      <c r="BH275" s="110">
        <v>0</v>
      </c>
      <c r="BI275" s="110" t="s">
        <v>2932</v>
      </c>
      <c r="BJ275" s="110">
        <v>0</v>
      </c>
      <c r="BK275" s="237">
        <v>0</v>
      </c>
      <c r="BL275" s="237">
        <v>0</v>
      </c>
      <c r="BM275" s="237">
        <v>0</v>
      </c>
      <c r="BN275" s="237">
        <v>0</v>
      </c>
      <c r="BO275" s="237">
        <v>0</v>
      </c>
      <c r="BP275" s="237">
        <v>0</v>
      </c>
      <c r="BQ275" s="237">
        <v>0</v>
      </c>
      <c r="BR275" s="237">
        <v>0</v>
      </c>
      <c r="BS275" s="237">
        <v>0</v>
      </c>
      <c r="BT275" s="237">
        <v>0</v>
      </c>
      <c r="BU275" s="237">
        <v>0</v>
      </c>
      <c r="BV275" s="237">
        <v>0</v>
      </c>
      <c r="BW275" s="237">
        <v>0</v>
      </c>
      <c r="BX275" s="237">
        <v>0</v>
      </c>
      <c r="BY275" s="237">
        <v>0</v>
      </c>
      <c r="BZ275" s="237">
        <v>0</v>
      </c>
      <c r="CA275" s="237">
        <v>0</v>
      </c>
      <c r="CB275" s="237">
        <v>0</v>
      </c>
      <c r="CC275" s="237">
        <v>0</v>
      </c>
      <c r="CD275" s="237">
        <v>0</v>
      </c>
      <c r="CE275" s="237">
        <v>0</v>
      </c>
      <c r="CF275" s="237">
        <v>0</v>
      </c>
      <c r="CG275" s="237">
        <v>0</v>
      </c>
      <c r="CH275" s="30">
        <v>0</v>
      </c>
      <c r="CI275" s="30">
        <v>0</v>
      </c>
      <c r="CJ275" s="30" t="e">
        <f t="array" aca="1" ref="CJ275" ca="1">_xludf.XLOOKUP(C275,'PL TOTAL D0'!H:H,'PL TOTAL D0'!I:I,"")</f>
        <v>#NAME?</v>
      </c>
    </row>
    <row r="276" spans="1:88" ht="15.75" customHeight="1">
      <c r="A276" s="36" t="s">
        <v>2921</v>
      </c>
      <c r="B276" s="37" t="s">
        <v>2015</v>
      </c>
      <c r="C276" s="9">
        <v>33838</v>
      </c>
      <c r="D276" s="9" t="s">
        <v>19</v>
      </c>
      <c r="E276" s="9" t="s">
        <v>34</v>
      </c>
      <c r="F276" s="9" t="s">
        <v>616</v>
      </c>
      <c r="G276" s="7" t="e">
        <f t="shared" ca="1" si="4"/>
        <v>#NAME?</v>
      </c>
      <c r="H276" s="8" t="s">
        <v>152</v>
      </c>
      <c r="I276" s="24" t="s">
        <v>25</v>
      </c>
      <c r="J276" s="9" t="str">
        <f t="shared" si="3"/>
        <v>Não</v>
      </c>
      <c r="K276" s="232">
        <v>44649</v>
      </c>
      <c r="L276" s="6"/>
      <c r="M276" s="6" t="s">
        <v>42</v>
      </c>
      <c r="N276" s="10">
        <v>7.0000000000000001E-3</v>
      </c>
      <c r="O276" s="9" t="s">
        <v>25</v>
      </c>
      <c r="P276" s="234">
        <v>0</v>
      </c>
      <c r="Q276" s="28"/>
      <c r="R276" s="28"/>
      <c r="S276" s="7" t="s">
        <v>145</v>
      </c>
      <c r="T276" s="6" t="s">
        <v>2017</v>
      </c>
      <c r="U276" s="6" t="s">
        <v>60</v>
      </c>
      <c r="V276" s="24" t="e">
        <f t="shared" ca="1" si="5"/>
        <v>#NAME?</v>
      </c>
      <c r="W276" s="24"/>
      <c r="X276" s="24"/>
      <c r="Y276" s="6" t="s">
        <v>147</v>
      </c>
      <c r="Z276" s="6"/>
      <c r="AA276" s="107">
        <v>44649</v>
      </c>
      <c r="AB276" s="6">
        <v>49075100004404</v>
      </c>
      <c r="AC276" s="132"/>
      <c r="AD276" s="132"/>
      <c r="AE276" s="132"/>
      <c r="AF276" s="132"/>
      <c r="AG276" s="132"/>
      <c r="AH276" s="132"/>
      <c r="AI276" s="132"/>
      <c r="AJ276" s="132"/>
      <c r="AK276" s="132"/>
      <c r="AL276" s="132"/>
      <c r="AM276" s="132"/>
      <c r="AN276" s="132"/>
      <c r="AO276" s="132"/>
      <c r="AP276" s="110"/>
      <c r="AQ276" s="110"/>
      <c r="AR276" s="110"/>
      <c r="AS276" s="110"/>
      <c r="AT276" s="110"/>
      <c r="AU276" s="110"/>
      <c r="AV276" s="110"/>
      <c r="AW276" s="110"/>
      <c r="AX276" s="110"/>
      <c r="AY276" s="110"/>
      <c r="AZ276" s="110"/>
      <c r="BA276" s="110"/>
      <c r="BB276" s="110"/>
      <c r="BC276" s="110"/>
      <c r="BD276" s="110"/>
      <c r="BE276" s="110"/>
      <c r="BF276" s="110">
        <v>1303628.46</v>
      </c>
      <c r="BG276" s="237">
        <v>1395200.14</v>
      </c>
      <c r="BH276" s="237">
        <v>1483401.81</v>
      </c>
      <c r="BI276" s="237">
        <v>1490779.29</v>
      </c>
      <c r="BJ276" s="237">
        <v>1507855.96</v>
      </c>
      <c r="BK276" s="237">
        <v>1519134.05</v>
      </c>
      <c r="BL276" s="237">
        <v>1531709.2</v>
      </c>
      <c r="BM276" s="237">
        <v>1449378.27</v>
      </c>
      <c r="BN276" s="237">
        <v>1549973.25</v>
      </c>
      <c r="BO276" s="237">
        <v>1567488.39</v>
      </c>
      <c r="BP276" s="237">
        <v>1582661.98</v>
      </c>
      <c r="BQ276" s="237">
        <v>1775572.06</v>
      </c>
      <c r="BR276" s="237">
        <v>1790385.21</v>
      </c>
      <c r="BS276" s="237">
        <v>1810957.29</v>
      </c>
      <c r="BT276" s="237">
        <v>1828714.57</v>
      </c>
      <c r="BU276" s="237">
        <v>1842791.37</v>
      </c>
      <c r="BV276" s="237">
        <v>1868070.54</v>
      </c>
      <c r="BW276" s="237">
        <v>1879290.08</v>
      </c>
      <c r="BX276" s="237">
        <v>1894402.14</v>
      </c>
      <c r="BY276" s="237">
        <v>1911147.65</v>
      </c>
      <c r="BZ276" s="237">
        <v>1876189.71</v>
      </c>
      <c r="CA276" s="237">
        <v>1944667.63</v>
      </c>
      <c r="CB276" s="237">
        <v>1945352.85</v>
      </c>
      <c r="CC276" s="237">
        <v>1826222.76</v>
      </c>
      <c r="CD276" s="237">
        <v>1963347.75</v>
      </c>
      <c r="CE276" s="237">
        <v>1978726.3999999999</v>
      </c>
      <c r="CF276" s="237">
        <v>1995548.61</v>
      </c>
      <c r="CG276" s="237">
        <v>2010262.85</v>
      </c>
      <c r="CH276" s="30">
        <v>1976445.96</v>
      </c>
      <c r="CI276" s="30">
        <v>2034328.27</v>
      </c>
      <c r="CJ276" s="30" t="e">
        <f t="array" aca="1" ref="CJ276" ca="1">_xludf.XLOOKUP(C276,'PL TOTAL D0'!H:H,'PL TOTAL D0'!I:I,"")</f>
        <v>#NAME?</v>
      </c>
    </row>
    <row r="277" spans="1:88" ht="15.75" customHeight="1">
      <c r="A277" s="36" t="s">
        <v>2921</v>
      </c>
      <c r="B277" s="37" t="s">
        <v>3381</v>
      </c>
      <c r="C277" s="9">
        <v>35627</v>
      </c>
      <c r="D277" s="9" t="s">
        <v>19</v>
      </c>
      <c r="E277" s="9" t="s">
        <v>34</v>
      </c>
      <c r="F277" s="9" t="s">
        <v>35</v>
      </c>
      <c r="G277" s="7" t="e">
        <f t="shared" ca="1" si="4"/>
        <v>#NAME?</v>
      </c>
      <c r="H277" s="8" t="s">
        <v>143</v>
      </c>
      <c r="I277" s="24" t="s">
        <v>25</v>
      </c>
      <c r="J277" s="9" t="str">
        <f t="shared" si="3"/>
        <v>Não</v>
      </c>
      <c r="K277" s="232">
        <v>44319</v>
      </c>
      <c r="L277" s="107">
        <v>44965</v>
      </c>
      <c r="M277" s="6" t="s">
        <v>200</v>
      </c>
      <c r="N277" s="10">
        <v>1.4999999999999999E-2</v>
      </c>
      <c r="O277" s="9" t="s">
        <v>37</v>
      </c>
      <c r="P277" s="234">
        <v>0.1</v>
      </c>
      <c r="Q277" s="28"/>
      <c r="R277" s="28"/>
      <c r="S277" s="7" t="s">
        <v>145</v>
      </c>
      <c r="T277" s="6" t="s">
        <v>3382</v>
      </c>
      <c r="U277" s="6" t="s">
        <v>39</v>
      </c>
      <c r="V277" s="24" t="e">
        <f t="shared" ca="1" si="5"/>
        <v>#NAME?</v>
      </c>
      <c r="W277" s="24"/>
      <c r="X277" s="24"/>
      <c r="Y277" s="6" t="s">
        <v>253</v>
      </c>
      <c r="Z277" s="6"/>
      <c r="AA277" s="6"/>
      <c r="AB277" s="6"/>
      <c r="AC277" s="132"/>
      <c r="AD277" s="132"/>
      <c r="AE277" s="132"/>
      <c r="AF277" s="132"/>
      <c r="AG277" s="132"/>
      <c r="AH277" s="132"/>
      <c r="AI277" s="132"/>
      <c r="AJ277" s="132"/>
      <c r="AK277" s="132"/>
      <c r="AL277" s="132"/>
      <c r="AM277" s="132"/>
      <c r="AN277" s="132"/>
      <c r="AO277" s="132"/>
      <c r="AP277" s="110"/>
      <c r="AQ277" s="110"/>
      <c r="AR277" s="110"/>
      <c r="AS277" s="110"/>
      <c r="AT277" s="110"/>
      <c r="AU277" s="110">
        <v>394740.74</v>
      </c>
      <c r="AV277" s="110">
        <v>392893.77</v>
      </c>
      <c r="AW277" s="110">
        <v>329400.90000000002</v>
      </c>
      <c r="AX277" s="110">
        <v>322534.5</v>
      </c>
      <c r="AY277" s="110">
        <v>184400.83</v>
      </c>
      <c r="AZ277" s="110">
        <v>189743.67</v>
      </c>
      <c r="BA277" s="110">
        <v>188761.23</v>
      </c>
      <c r="BB277" s="110">
        <v>187270.01</v>
      </c>
      <c r="BC277" s="110">
        <v>191319.05</v>
      </c>
      <c r="BD277" s="110">
        <v>192803.87</v>
      </c>
      <c r="BE277" s="110">
        <v>201063.36</v>
      </c>
      <c r="BF277" s="110">
        <v>197756.92</v>
      </c>
      <c r="BG277" s="237">
        <v>197449.79</v>
      </c>
      <c r="BH277" s="237">
        <v>196033.51</v>
      </c>
      <c r="BI277" s="237">
        <v>198211.63</v>
      </c>
      <c r="BJ277" s="237">
        <v>200795.65</v>
      </c>
      <c r="BK277" s="237">
        <v>202497.47</v>
      </c>
      <c r="BL277" s="237">
        <v>208503.8</v>
      </c>
      <c r="BM277" s="237">
        <v>55124.33</v>
      </c>
      <c r="BN277" s="237">
        <v>55250.45</v>
      </c>
      <c r="BO277" s="237">
        <v>56164.56</v>
      </c>
      <c r="BP277" s="237">
        <v>48.64</v>
      </c>
      <c r="BQ277" s="237">
        <v>0.45</v>
      </c>
      <c r="BR277" s="237">
        <v>0.46</v>
      </c>
      <c r="BS277" s="237">
        <v>0.46</v>
      </c>
      <c r="BT277" s="237">
        <v>0</v>
      </c>
      <c r="BU277" s="237">
        <v>0</v>
      </c>
      <c r="BV277" s="237">
        <v>0</v>
      </c>
      <c r="BW277" s="237">
        <v>0</v>
      </c>
      <c r="BX277" s="237">
        <v>0</v>
      </c>
      <c r="BY277" s="237">
        <v>0</v>
      </c>
      <c r="BZ277" s="237">
        <v>0</v>
      </c>
      <c r="CA277" s="237">
        <v>0</v>
      </c>
      <c r="CB277" s="237">
        <v>0</v>
      </c>
      <c r="CC277" s="237">
        <v>0</v>
      </c>
      <c r="CD277" s="237">
        <v>0</v>
      </c>
      <c r="CE277" s="237">
        <v>0</v>
      </c>
      <c r="CF277" s="237">
        <v>0</v>
      </c>
      <c r="CG277" s="237">
        <v>0</v>
      </c>
      <c r="CH277" s="30">
        <v>0</v>
      </c>
      <c r="CI277" s="30">
        <v>0</v>
      </c>
      <c r="CJ277" s="30" t="e">
        <f t="array" aca="1" ref="CJ277" ca="1">_xludf.XLOOKUP(C277,'PL TOTAL D0'!H:H,'PL TOTAL D0'!I:I,"")</f>
        <v>#NAME?</v>
      </c>
    </row>
    <row r="278" spans="1:88" ht="15.75" customHeight="1">
      <c r="A278" s="36" t="s">
        <v>2921</v>
      </c>
      <c r="B278" s="3" t="s">
        <v>3383</v>
      </c>
      <c r="C278" s="9">
        <v>32684</v>
      </c>
      <c r="D278" s="9" t="s">
        <v>19</v>
      </c>
      <c r="E278" s="9" t="s">
        <v>34</v>
      </c>
      <c r="F278" s="9" t="s">
        <v>262</v>
      </c>
      <c r="G278" s="7" t="e">
        <f t="shared" ca="1" si="4"/>
        <v>#NAME?</v>
      </c>
      <c r="H278" s="8" t="s">
        <v>161</v>
      </c>
      <c r="I278" s="24" t="s">
        <v>162</v>
      </c>
      <c r="J278" s="9" t="str">
        <f t="shared" si="3"/>
        <v>Não</v>
      </c>
      <c r="K278" s="232">
        <v>44585</v>
      </c>
      <c r="L278" s="7"/>
      <c r="M278" s="6" t="s">
        <v>42</v>
      </c>
      <c r="N278" s="10">
        <v>7.0000000000000001E-3</v>
      </c>
      <c r="O278" s="9" t="s">
        <v>25</v>
      </c>
      <c r="P278" s="234">
        <v>0</v>
      </c>
      <c r="Q278" s="28"/>
      <c r="R278" s="28"/>
      <c r="S278" s="7" t="s">
        <v>145</v>
      </c>
      <c r="T278" s="6" t="s">
        <v>3384</v>
      </c>
      <c r="U278" s="6" t="s">
        <v>39</v>
      </c>
      <c r="V278" s="24" t="e">
        <f t="shared" ca="1" si="5"/>
        <v>#NAME?</v>
      </c>
      <c r="W278" s="24"/>
      <c r="X278" s="24"/>
      <c r="Y278" s="6" t="s">
        <v>253</v>
      </c>
      <c r="Z278" s="6"/>
      <c r="AA278" s="107">
        <v>44585</v>
      </c>
      <c r="AB278" s="6">
        <v>49075100010862</v>
      </c>
      <c r="AC278" s="23"/>
      <c r="AD278" s="23"/>
      <c r="AE278" s="23"/>
      <c r="AF278" s="23"/>
      <c r="AG278" s="23"/>
      <c r="AH278" s="23"/>
      <c r="AI278" s="23"/>
      <c r="AJ278" s="23"/>
      <c r="AK278" s="23"/>
      <c r="AL278" s="23"/>
      <c r="AM278" s="23"/>
      <c r="AN278" s="23"/>
      <c r="AO278" s="23"/>
      <c r="AP278" s="236"/>
      <c r="AQ278" s="236"/>
      <c r="AR278" s="236"/>
      <c r="AS278" s="236"/>
      <c r="AT278" s="236"/>
      <c r="AU278" s="110"/>
      <c r="AV278" s="110"/>
      <c r="AW278" s="110"/>
      <c r="AX278" s="110"/>
      <c r="AY278" s="110"/>
      <c r="AZ278" s="110"/>
      <c r="BA278" s="110"/>
      <c r="BB278" s="23"/>
      <c r="BC278" s="110">
        <v>112330.84</v>
      </c>
      <c r="BD278" s="110">
        <v>112976.58</v>
      </c>
      <c r="BE278" s="110">
        <v>115087.08</v>
      </c>
      <c r="BF278" s="110">
        <v>115659.28</v>
      </c>
      <c r="BG278" s="237">
        <v>116714.66</v>
      </c>
      <c r="BH278" s="237">
        <v>117280.27</v>
      </c>
      <c r="BI278" s="237">
        <v>117312.89</v>
      </c>
      <c r="BJ278" s="237">
        <v>118627.63</v>
      </c>
      <c r="BK278" s="237">
        <v>119204.71</v>
      </c>
      <c r="BL278" s="237">
        <v>120228.33</v>
      </c>
      <c r="BM278" s="237">
        <v>120053.87</v>
      </c>
      <c r="BN278" s="237">
        <v>121158.18</v>
      </c>
      <c r="BO278" s="237">
        <v>122497.36</v>
      </c>
      <c r="BP278" s="237">
        <v>123733.1</v>
      </c>
      <c r="BQ278" s="237">
        <v>125361.68</v>
      </c>
      <c r="BR278" s="237">
        <v>126407.12</v>
      </c>
      <c r="BS278" s="237">
        <v>127889.26</v>
      </c>
      <c r="BT278" s="237">
        <v>129356.05</v>
      </c>
      <c r="BU278" s="237">
        <v>130457.65</v>
      </c>
      <c r="BV278" s="237">
        <v>100</v>
      </c>
      <c r="BW278" s="237">
        <v>0</v>
      </c>
      <c r="BX278" s="237">
        <v>100.06</v>
      </c>
      <c r="BY278" s="237">
        <v>0</v>
      </c>
      <c r="BZ278" s="237">
        <v>0</v>
      </c>
      <c r="CA278" s="237">
        <v>0</v>
      </c>
      <c r="CB278" s="237">
        <v>0</v>
      </c>
      <c r="CC278" s="237">
        <v>0</v>
      </c>
      <c r="CD278" s="237">
        <v>0</v>
      </c>
      <c r="CE278" s="237">
        <v>0</v>
      </c>
      <c r="CF278" s="237">
        <v>0</v>
      </c>
      <c r="CG278" s="237">
        <v>0</v>
      </c>
      <c r="CH278" s="30">
        <v>0</v>
      </c>
      <c r="CI278" s="30">
        <v>0</v>
      </c>
      <c r="CJ278" s="30" t="e">
        <f t="array" aca="1" ref="CJ278" ca="1">_xludf.XLOOKUP(C278,'PL TOTAL D0'!H:H,'PL TOTAL D0'!I:I,"")</f>
        <v>#NAME?</v>
      </c>
    </row>
    <row r="279" spans="1:88" ht="15.75" customHeight="1">
      <c r="A279" s="36" t="s">
        <v>2921</v>
      </c>
      <c r="B279" s="36" t="s">
        <v>3385</v>
      </c>
      <c r="C279" s="9">
        <v>85707</v>
      </c>
      <c r="D279" s="9" t="s">
        <v>2989</v>
      </c>
      <c r="E279" s="9" t="s">
        <v>20</v>
      </c>
      <c r="F279" s="9" t="s">
        <v>2989</v>
      </c>
      <c r="G279" s="7" t="e">
        <f t="shared" ca="1" si="4"/>
        <v>#NAME?</v>
      </c>
      <c r="H279" s="8" t="s">
        <v>152</v>
      </c>
      <c r="I279" s="24" t="s">
        <v>25</v>
      </c>
      <c r="J279" s="9" t="str">
        <f t="shared" si="3"/>
        <v>Não</v>
      </c>
      <c r="K279" s="232">
        <v>43441</v>
      </c>
      <c r="L279" s="6"/>
      <c r="M279" s="6" t="s">
        <v>87</v>
      </c>
      <c r="N279" s="233">
        <v>0.01</v>
      </c>
      <c r="O279" s="9" t="s">
        <v>25</v>
      </c>
      <c r="P279" s="234">
        <v>0</v>
      </c>
      <c r="Q279" s="108"/>
      <c r="R279" s="108"/>
      <c r="S279" s="7" t="s">
        <v>145</v>
      </c>
      <c r="T279" s="9" t="s">
        <v>3386</v>
      </c>
      <c r="U279" s="9" t="s">
        <v>20</v>
      </c>
      <c r="V279" s="24" t="e">
        <f t="shared" ca="1" si="5"/>
        <v>#NAME?</v>
      </c>
      <c r="W279" s="24"/>
      <c r="X279" s="24"/>
      <c r="Y279" s="6" t="s">
        <v>253</v>
      </c>
      <c r="Z279" s="6"/>
      <c r="AA279" s="107">
        <v>43441</v>
      </c>
      <c r="AB279" s="6">
        <v>49075100004137</v>
      </c>
      <c r="AC279" s="110">
        <v>205777.82</v>
      </c>
      <c r="AD279" s="110">
        <v>195981.48</v>
      </c>
      <c r="AE279" s="110">
        <v>179946</v>
      </c>
      <c r="AF279" s="110">
        <v>193349.48</v>
      </c>
      <c r="AG279" s="110">
        <v>202050.55</v>
      </c>
      <c r="AH279" s="110">
        <v>215767.48</v>
      </c>
      <c r="AI279" s="110">
        <v>231635.89</v>
      </c>
      <c r="AJ279" s="110">
        <v>217983.46</v>
      </c>
      <c r="AK279" s="110">
        <v>206251.29</v>
      </c>
      <c r="AL279" s="110">
        <v>212164.79</v>
      </c>
      <c r="AM279" s="110">
        <v>240942.9</v>
      </c>
      <c r="AN279" s="110">
        <v>248442.23999999999</v>
      </c>
      <c r="AO279" s="110">
        <v>237182.59</v>
      </c>
      <c r="AP279" s="110">
        <v>224060.83</v>
      </c>
      <c r="AQ279" s="236">
        <v>217192.37</v>
      </c>
      <c r="AR279" s="236">
        <v>226705.43</v>
      </c>
      <c r="AS279" s="236">
        <v>235728.45</v>
      </c>
      <c r="AT279" s="236">
        <v>236597.59</v>
      </c>
      <c r="AU279" s="236">
        <v>247151.73</v>
      </c>
      <c r="AV279" s="110">
        <v>243383.57</v>
      </c>
      <c r="AW279" s="110">
        <v>236473.77</v>
      </c>
      <c r="AX279" s="110">
        <v>225981.12</v>
      </c>
      <c r="AY279" s="110">
        <v>214760.5</v>
      </c>
      <c r="AZ279" s="110">
        <v>201840.63</v>
      </c>
      <c r="BA279" s="110">
        <v>197186.32</v>
      </c>
      <c r="BB279" s="110">
        <v>198810.42</v>
      </c>
      <c r="BC279" s="110">
        <v>215656.32000000001</v>
      </c>
      <c r="BD279" s="110">
        <v>224467.79</v>
      </c>
      <c r="BE279" s="110">
        <v>237534.45</v>
      </c>
      <c r="BF279" s="110">
        <v>217154.15</v>
      </c>
      <c r="BG279" s="237">
        <v>217441.8</v>
      </c>
      <c r="BH279" s="237">
        <v>202260.2</v>
      </c>
      <c r="BI279" s="237">
        <v>212263.51</v>
      </c>
      <c r="BJ279" s="237">
        <v>215371.85</v>
      </c>
      <c r="BK279" s="237">
        <v>216890.59</v>
      </c>
      <c r="BL279" s="237">
        <v>233147.41</v>
      </c>
      <c r="BM279" s="237">
        <v>228941.98</v>
      </c>
      <c r="BN279" s="237">
        <v>228059.64</v>
      </c>
      <c r="BO279" s="237">
        <v>234860.58</v>
      </c>
      <c r="BP279" s="237">
        <v>226888.88</v>
      </c>
      <c r="BQ279" s="237">
        <v>226094</v>
      </c>
      <c r="BR279" s="237">
        <v>221104.79</v>
      </c>
      <c r="BS279" s="237">
        <v>231832.99</v>
      </c>
      <c r="BT279" s="237">
        <v>250915.55</v>
      </c>
      <c r="BU279" s="237">
        <v>263761.99</v>
      </c>
      <c r="BV279" s="237">
        <v>260913.4</v>
      </c>
      <c r="BW279" s="237">
        <v>251870.75</v>
      </c>
      <c r="BX279" s="237">
        <v>238990.35</v>
      </c>
      <c r="BY279" s="237">
        <v>258038.94</v>
      </c>
      <c r="BZ279" s="237">
        <v>269291.93</v>
      </c>
      <c r="CA279" s="237">
        <v>251338.61</v>
      </c>
      <c r="CB279" s="237">
        <v>256616.02</v>
      </c>
      <c r="CC279" s="237">
        <v>250288.14</v>
      </c>
      <c r="CD279" s="237">
        <v>212580.41</v>
      </c>
      <c r="CE279" s="237">
        <v>226476.34</v>
      </c>
      <c r="CF279" s="237">
        <v>243891.76</v>
      </c>
      <c r="CG279" s="237">
        <v>234990.66</v>
      </c>
      <c r="CH279" s="30">
        <v>254378.84</v>
      </c>
      <c r="CI279" s="30">
        <v>249129.09</v>
      </c>
      <c r="CJ279" s="30" t="e">
        <f t="array" aca="1" ref="CJ279" ca="1">_xludf.XLOOKUP(C279,'PL TOTAL D0'!H:H,'PL TOTAL D0'!I:I,"")</f>
        <v>#NAME?</v>
      </c>
    </row>
    <row r="280" spans="1:88" ht="15.75" customHeight="1">
      <c r="A280" s="36" t="s">
        <v>2921</v>
      </c>
      <c r="B280" s="3" t="s">
        <v>3387</v>
      </c>
      <c r="C280" s="9">
        <v>378146</v>
      </c>
      <c r="D280" s="9" t="s">
        <v>19</v>
      </c>
      <c r="E280" s="9" t="s">
        <v>20</v>
      </c>
      <c r="F280" s="6" t="s">
        <v>199</v>
      </c>
      <c r="G280" s="7" t="e">
        <f t="shared" ca="1" si="4"/>
        <v>#NAME?</v>
      </c>
      <c r="H280" s="8" t="s">
        <v>152</v>
      </c>
      <c r="I280" s="24" t="s">
        <v>25</v>
      </c>
      <c r="J280" s="9" t="str">
        <f t="shared" si="3"/>
        <v>Não</v>
      </c>
      <c r="K280" s="107">
        <v>45013</v>
      </c>
      <c r="L280" s="259"/>
      <c r="M280" s="6" t="s">
        <v>42</v>
      </c>
      <c r="N280" s="233">
        <v>0.01</v>
      </c>
      <c r="O280" s="9" t="s">
        <v>25</v>
      </c>
      <c r="P280" s="234">
        <v>0</v>
      </c>
      <c r="Q280" s="108"/>
      <c r="R280" s="108"/>
      <c r="S280" s="7" t="s">
        <v>145</v>
      </c>
      <c r="T280" s="6" t="s">
        <v>2050</v>
      </c>
      <c r="U280" s="6" t="s">
        <v>2051</v>
      </c>
      <c r="V280" s="24" t="e">
        <f t="shared" ca="1" si="5"/>
        <v>#NAME?</v>
      </c>
      <c r="W280" s="24"/>
      <c r="X280" s="24"/>
      <c r="Y280" s="6" t="s">
        <v>253</v>
      </c>
      <c r="Z280" s="6"/>
      <c r="AA280" s="107">
        <v>45013</v>
      </c>
      <c r="AB280" s="6">
        <v>49075100007081</v>
      </c>
      <c r="AC280" s="110"/>
      <c r="AD280" s="110"/>
      <c r="AE280" s="110"/>
      <c r="AF280" s="110"/>
      <c r="AG280" s="110"/>
      <c r="AH280" s="110"/>
      <c r="AI280" s="110"/>
      <c r="AJ280" s="240"/>
      <c r="AK280" s="240"/>
      <c r="AL280" s="240"/>
      <c r="AM280" s="110"/>
      <c r="AN280" s="110"/>
      <c r="AO280" s="110"/>
      <c r="AP280" s="110"/>
      <c r="AQ280" s="110"/>
      <c r="AR280" s="110"/>
      <c r="AS280" s="110"/>
      <c r="AT280" s="110"/>
      <c r="AU280" s="110"/>
      <c r="AV280" s="110"/>
      <c r="AW280" s="110"/>
      <c r="AX280" s="110"/>
      <c r="AY280" s="110"/>
      <c r="AZ280" s="110"/>
      <c r="BA280" s="110"/>
      <c r="BB280" s="110"/>
      <c r="BC280" s="110"/>
      <c r="BD280" s="110"/>
      <c r="BE280" s="110"/>
      <c r="BF280" s="110"/>
      <c r="BG280" s="110"/>
      <c r="BH280" s="110"/>
      <c r="BI280" s="110"/>
      <c r="BJ280" s="110"/>
      <c r="BK280" s="237"/>
      <c r="BL280" s="237"/>
      <c r="BM280" s="237"/>
      <c r="BN280" s="237"/>
      <c r="BO280" s="237"/>
      <c r="BP280" s="237"/>
      <c r="BQ280" s="237">
        <v>51682.21</v>
      </c>
      <c r="BR280" s="237">
        <v>344524.38</v>
      </c>
      <c r="BS280" s="237">
        <v>378462.91</v>
      </c>
      <c r="BT280" s="237">
        <v>383407.32</v>
      </c>
      <c r="BU280" s="237">
        <v>385972.51</v>
      </c>
      <c r="BV280" s="237">
        <v>390781.11</v>
      </c>
      <c r="BW280" s="237">
        <v>394057.15</v>
      </c>
      <c r="BX280" s="237">
        <v>384238.82</v>
      </c>
      <c r="BY280" s="237">
        <v>392815.39</v>
      </c>
      <c r="BZ280" s="237">
        <v>389826.47</v>
      </c>
      <c r="CA280" s="237">
        <v>394362.25</v>
      </c>
      <c r="CB280" s="237">
        <v>384746.66</v>
      </c>
      <c r="CC280" s="237">
        <v>353873.37</v>
      </c>
      <c r="CD280" s="237">
        <v>367130.99</v>
      </c>
      <c r="CE280" s="237">
        <v>370512.66</v>
      </c>
      <c r="CF280" s="237">
        <v>373717.25</v>
      </c>
      <c r="CG280" s="237">
        <v>375070.94</v>
      </c>
      <c r="CH280" s="30">
        <v>378504.02</v>
      </c>
      <c r="CI280" s="30">
        <v>380812.51</v>
      </c>
      <c r="CJ280" s="30" t="e">
        <f t="array" aca="1" ref="CJ280" ca="1">_xludf.XLOOKUP(C280,'PL TOTAL D0'!H:H,'PL TOTAL D0'!I:I,"")</f>
        <v>#NAME?</v>
      </c>
    </row>
    <row r="281" spans="1:88" ht="15.75" customHeight="1">
      <c r="A281" s="36" t="s">
        <v>2921</v>
      </c>
      <c r="B281" s="3" t="s">
        <v>3388</v>
      </c>
      <c r="C281" s="9">
        <v>583149</v>
      </c>
      <c r="D281" s="9" t="s">
        <v>2923</v>
      </c>
      <c r="E281" s="9" t="s">
        <v>20</v>
      </c>
      <c r="F281" s="6" t="s">
        <v>2923</v>
      </c>
      <c r="G281" s="7" t="e">
        <f t="shared" ca="1" si="4"/>
        <v>#NAME?</v>
      </c>
      <c r="H281" s="8" t="s">
        <v>143</v>
      </c>
      <c r="I281" s="24" t="s">
        <v>25</v>
      </c>
      <c r="J281" s="9" t="str">
        <f t="shared" si="3"/>
        <v>Não</v>
      </c>
      <c r="K281" s="10"/>
      <c r="L281" s="259">
        <v>44044</v>
      </c>
      <c r="M281" s="6" t="s">
        <v>3389</v>
      </c>
      <c r="N281" s="10">
        <v>0.02</v>
      </c>
      <c r="O281" s="9" t="s">
        <v>183</v>
      </c>
      <c r="P281" s="234">
        <v>0.2</v>
      </c>
      <c r="Q281" s="108"/>
      <c r="R281" s="108"/>
      <c r="S281" s="7" t="s">
        <v>145</v>
      </c>
      <c r="T281" s="6" t="s">
        <v>3390</v>
      </c>
      <c r="U281" s="6" t="s">
        <v>20</v>
      </c>
      <c r="V281" s="24" t="e">
        <f t="shared" ca="1" si="5"/>
        <v>#NAME?</v>
      </c>
      <c r="W281" s="24"/>
      <c r="X281" s="24"/>
      <c r="Y281" s="6"/>
      <c r="Z281" s="6"/>
      <c r="AA281" s="6"/>
      <c r="AB281" s="6"/>
      <c r="AC281" s="110"/>
      <c r="AD281" s="110"/>
      <c r="AE281" s="110"/>
      <c r="AF281" s="110"/>
      <c r="AG281" s="110"/>
      <c r="AH281" s="110"/>
      <c r="AI281" s="110" t="s">
        <v>3391</v>
      </c>
      <c r="AJ281" s="240" t="s">
        <v>3391</v>
      </c>
      <c r="AK281" s="240" t="s">
        <v>3391</v>
      </c>
      <c r="AL281" s="240" t="s">
        <v>3391</v>
      </c>
      <c r="AM281" s="110" t="s">
        <v>3391</v>
      </c>
      <c r="AN281" s="110"/>
      <c r="AO281" s="110"/>
      <c r="AP281" s="110"/>
      <c r="AQ281" s="110"/>
      <c r="AR281" s="110"/>
      <c r="AS281" s="110"/>
      <c r="AT281" s="110"/>
      <c r="AU281" s="110"/>
      <c r="AV281" s="110"/>
      <c r="AW281" s="110"/>
      <c r="AX281" s="110"/>
      <c r="AY281" s="110"/>
      <c r="AZ281" s="110"/>
      <c r="BA281" s="110"/>
      <c r="BB281" s="110"/>
      <c r="BC281" s="110"/>
      <c r="BD281" s="110"/>
      <c r="BE281" s="110"/>
      <c r="BF281" s="110"/>
      <c r="BG281" s="110"/>
      <c r="BH281" s="110"/>
      <c r="BI281" s="110">
        <v>28.04</v>
      </c>
      <c r="BJ281" s="110">
        <v>28.04</v>
      </c>
      <c r="BK281" s="237">
        <v>28.04</v>
      </c>
      <c r="BL281" s="237">
        <v>0</v>
      </c>
      <c r="BM281" s="237">
        <v>0</v>
      </c>
      <c r="BN281" s="237">
        <v>0</v>
      </c>
      <c r="BO281" s="237">
        <v>0</v>
      </c>
      <c r="BP281" s="237">
        <v>0</v>
      </c>
      <c r="BQ281" s="237">
        <v>0</v>
      </c>
      <c r="BR281" s="237">
        <v>0</v>
      </c>
      <c r="BS281" s="237">
        <v>0</v>
      </c>
      <c r="BT281" s="237">
        <v>0</v>
      </c>
      <c r="BU281" s="237">
        <v>0</v>
      </c>
      <c r="BV281" s="237">
        <v>0</v>
      </c>
      <c r="BW281" s="237">
        <v>0</v>
      </c>
      <c r="BX281" s="237">
        <v>0</v>
      </c>
      <c r="BY281" s="237">
        <v>0</v>
      </c>
      <c r="BZ281" s="237">
        <v>0</v>
      </c>
      <c r="CA281" s="237">
        <v>0</v>
      </c>
      <c r="CB281" s="237">
        <v>0</v>
      </c>
      <c r="CC281" s="237">
        <v>0</v>
      </c>
      <c r="CD281" s="237">
        <v>0</v>
      </c>
      <c r="CE281" s="237">
        <v>0</v>
      </c>
      <c r="CF281" s="237">
        <v>0</v>
      </c>
      <c r="CG281" s="237">
        <v>0</v>
      </c>
      <c r="CH281" s="30">
        <v>0</v>
      </c>
      <c r="CI281" s="30">
        <v>0</v>
      </c>
      <c r="CJ281" s="30" t="e">
        <f t="array" aca="1" ref="CJ281" ca="1">_xludf.XLOOKUP(C281,'PL TOTAL D0'!H:H,'PL TOTAL D0'!I:I,"")</f>
        <v>#NAME?</v>
      </c>
    </row>
    <row r="282" spans="1:88" ht="15.75" customHeight="1">
      <c r="A282" s="36" t="s">
        <v>2921</v>
      </c>
      <c r="B282" s="3" t="s">
        <v>3392</v>
      </c>
      <c r="C282" s="9">
        <v>80477</v>
      </c>
      <c r="D282" s="9" t="s">
        <v>2989</v>
      </c>
      <c r="E282" s="9" t="s">
        <v>20</v>
      </c>
      <c r="F282" s="9" t="s">
        <v>2989</v>
      </c>
      <c r="G282" s="7" t="e">
        <f t="shared" ca="1" si="4"/>
        <v>#NAME?</v>
      </c>
      <c r="H282" s="8" t="s">
        <v>161</v>
      </c>
      <c r="I282" s="24" t="s">
        <v>162</v>
      </c>
      <c r="J282" s="9" t="str">
        <f t="shared" si="3"/>
        <v>Não</v>
      </c>
      <c r="K282" s="232">
        <v>43441</v>
      </c>
      <c r="L282" s="6"/>
      <c r="M282" s="6" t="s">
        <v>87</v>
      </c>
      <c r="N282" s="233">
        <v>0.01</v>
      </c>
      <c r="O282" s="9" t="s">
        <v>183</v>
      </c>
      <c r="P282" s="234">
        <v>0.2</v>
      </c>
      <c r="Q282" s="108"/>
      <c r="R282" s="108"/>
      <c r="S282" s="7" t="s">
        <v>145</v>
      </c>
      <c r="T282" s="6" t="s">
        <v>3393</v>
      </c>
      <c r="U282" s="6" t="s">
        <v>20</v>
      </c>
      <c r="V282" s="24" t="e">
        <f t="shared" ca="1" si="5"/>
        <v>#NAME?</v>
      </c>
      <c r="W282" s="24"/>
      <c r="X282" s="24"/>
      <c r="Y282" s="6" t="s">
        <v>253</v>
      </c>
      <c r="Z282" s="6"/>
      <c r="AA282" s="107">
        <v>43441</v>
      </c>
      <c r="AB282" s="6">
        <v>49075100010870</v>
      </c>
      <c r="AC282" s="110">
        <v>305570.03999999998</v>
      </c>
      <c r="AD282" s="110">
        <v>288075.28000000003</v>
      </c>
      <c r="AE282" s="110">
        <v>220604.95</v>
      </c>
      <c r="AF282" s="110">
        <v>237071.95</v>
      </c>
      <c r="AG282" s="110">
        <v>245439.49</v>
      </c>
      <c r="AH282" s="110">
        <v>46758.86</v>
      </c>
      <c r="AI282" s="110">
        <v>50833.279999999999</v>
      </c>
      <c r="AJ282" s="240"/>
      <c r="AK282" s="240"/>
      <c r="AL282" s="240"/>
      <c r="AM282" s="110">
        <v>626.76</v>
      </c>
      <c r="AN282" s="110">
        <v>104158.52</v>
      </c>
      <c r="AO282" s="110">
        <v>99737.89</v>
      </c>
      <c r="AP282" s="110">
        <v>93923.17</v>
      </c>
      <c r="AQ282" s="236">
        <v>90290.05</v>
      </c>
      <c r="AR282" s="236">
        <v>93440.94</v>
      </c>
      <c r="AS282" s="236">
        <v>97001.54</v>
      </c>
      <c r="AT282" s="236">
        <v>97298.25</v>
      </c>
      <c r="AU282" s="236">
        <v>101144.33</v>
      </c>
      <c r="AV282" s="110">
        <v>99219.9</v>
      </c>
      <c r="AW282" s="110">
        <v>96705.02</v>
      </c>
      <c r="AX282" s="110">
        <v>92541.01</v>
      </c>
      <c r="AY282" s="110">
        <v>87768.14</v>
      </c>
      <c r="AZ282" s="110">
        <v>82843.34</v>
      </c>
      <c r="BA282" s="110">
        <v>80487.740000000005</v>
      </c>
      <c r="BB282" s="110">
        <v>80202.19</v>
      </c>
      <c r="BC282" s="110">
        <v>84499.97</v>
      </c>
      <c r="BD282" s="110">
        <v>85657.17</v>
      </c>
      <c r="BE282" s="110">
        <v>499.7</v>
      </c>
      <c r="BF282" s="110">
        <v>388.61</v>
      </c>
      <c r="BG282" s="237">
        <v>170.37</v>
      </c>
      <c r="BH282" s="237">
        <v>170.37</v>
      </c>
      <c r="BI282" s="237">
        <v>240.93</v>
      </c>
      <c r="BJ282" s="237">
        <v>240.93</v>
      </c>
      <c r="BK282" s="237">
        <v>240.93</v>
      </c>
      <c r="BL282" s="237">
        <v>240.93</v>
      </c>
      <c r="BM282" s="237">
        <v>240.93</v>
      </c>
      <c r="BN282" s="237">
        <v>240.93</v>
      </c>
      <c r="BO282" s="237">
        <v>240.93</v>
      </c>
      <c r="BP282" s="237">
        <v>240.93</v>
      </c>
      <c r="BQ282" s="237">
        <v>240.93</v>
      </c>
      <c r="BR282" s="237">
        <v>240.93</v>
      </c>
      <c r="BS282" s="237">
        <v>0</v>
      </c>
      <c r="BT282" s="237">
        <v>0</v>
      </c>
      <c r="BU282" s="237">
        <v>0</v>
      </c>
      <c r="BV282" s="237">
        <v>0</v>
      </c>
      <c r="BW282" s="237">
        <v>0</v>
      </c>
      <c r="BX282" s="237">
        <v>0</v>
      </c>
      <c r="BY282" s="237">
        <v>0</v>
      </c>
      <c r="BZ282" s="237">
        <v>0</v>
      </c>
      <c r="CA282" s="237">
        <v>0</v>
      </c>
      <c r="CB282" s="237">
        <v>0</v>
      </c>
      <c r="CC282" s="237">
        <v>0</v>
      </c>
      <c r="CD282" s="237">
        <v>0</v>
      </c>
      <c r="CE282" s="237">
        <v>0</v>
      </c>
      <c r="CF282" s="237">
        <v>0</v>
      </c>
      <c r="CG282" s="237">
        <v>0</v>
      </c>
      <c r="CH282" s="30">
        <v>0</v>
      </c>
      <c r="CI282" s="30">
        <v>0</v>
      </c>
      <c r="CJ282" s="30" t="e">
        <f t="array" aca="1" ref="CJ282" ca="1">_xludf.XLOOKUP(C282,'PL TOTAL D0'!H:H,'PL TOTAL D0'!I:I,"")</f>
        <v>#NAME?</v>
      </c>
    </row>
    <row r="283" spans="1:88" ht="15.75" customHeight="1">
      <c r="A283" s="36" t="s">
        <v>2921</v>
      </c>
      <c r="B283" s="3" t="s">
        <v>3394</v>
      </c>
      <c r="C283" s="9">
        <v>36945</v>
      </c>
      <c r="D283" s="9" t="s">
        <v>19</v>
      </c>
      <c r="E283" s="9" t="s">
        <v>34</v>
      </c>
      <c r="F283" s="9" t="s">
        <v>262</v>
      </c>
      <c r="G283" s="7" t="e">
        <f t="shared" ca="1" si="4"/>
        <v>#NAME?</v>
      </c>
      <c r="H283" s="8" t="s">
        <v>161</v>
      </c>
      <c r="I283" s="24" t="s">
        <v>162</v>
      </c>
      <c r="J283" s="9" t="str">
        <f t="shared" si="3"/>
        <v>Não</v>
      </c>
      <c r="K283" s="232">
        <v>44280</v>
      </c>
      <c r="L283" s="6"/>
      <c r="M283" s="6" t="s">
        <v>200</v>
      </c>
      <c r="N283" s="233">
        <v>1.4999999999999999E-2</v>
      </c>
      <c r="O283" s="9" t="s">
        <v>37</v>
      </c>
      <c r="P283" s="234">
        <v>0.1</v>
      </c>
      <c r="Q283" s="108"/>
      <c r="R283" s="108"/>
      <c r="S283" s="7" t="s">
        <v>145</v>
      </c>
      <c r="T283" s="6" t="s">
        <v>3395</v>
      </c>
      <c r="U283" s="6" t="s">
        <v>39</v>
      </c>
      <c r="V283" s="24" t="e">
        <f t="shared" ca="1" si="5"/>
        <v>#NAME?</v>
      </c>
      <c r="W283" s="24"/>
      <c r="X283" s="24"/>
      <c r="Y283" s="6" t="s">
        <v>253</v>
      </c>
      <c r="Z283" s="6"/>
      <c r="AA283" s="107">
        <v>44280</v>
      </c>
      <c r="AB283" s="6">
        <v>49075100004447</v>
      </c>
      <c r="AC283" s="240"/>
      <c r="AD283" s="240"/>
      <c r="AE283" s="240"/>
      <c r="AF283" s="240"/>
      <c r="AG283" s="240"/>
      <c r="AH283" s="240"/>
      <c r="AI283" s="240"/>
      <c r="AJ283" s="240"/>
      <c r="AK283" s="240"/>
      <c r="AL283" s="240"/>
      <c r="AM283" s="240"/>
      <c r="AN283" s="240"/>
      <c r="AO283" s="240"/>
      <c r="AP283" s="110"/>
      <c r="AQ283" s="236"/>
      <c r="AR283" s="236">
        <v>480858.15</v>
      </c>
      <c r="AS283" s="236"/>
      <c r="AT283" s="236">
        <v>484671.71</v>
      </c>
      <c r="AU283" s="236">
        <v>493301.42</v>
      </c>
      <c r="AV283" s="110">
        <v>490086.75</v>
      </c>
      <c r="AW283" s="110">
        <v>484945.51</v>
      </c>
      <c r="AX283" s="110">
        <v>476222.42</v>
      </c>
      <c r="AY283" s="110">
        <v>469259.58</v>
      </c>
      <c r="AZ283" s="110">
        <v>458689.26</v>
      </c>
      <c r="BA283" s="110">
        <v>999289.46</v>
      </c>
      <c r="BB283" s="110">
        <v>491945.79</v>
      </c>
      <c r="BC283" s="110">
        <v>505061.25</v>
      </c>
      <c r="BD283" s="110">
        <v>507962.96</v>
      </c>
      <c r="BE283" s="110">
        <v>529358.68999999994</v>
      </c>
      <c r="BF283" s="110">
        <v>648595.03</v>
      </c>
      <c r="BG283" s="237">
        <v>197289.1</v>
      </c>
      <c r="BH283" s="237">
        <v>198544.45</v>
      </c>
      <c r="BI283" s="237">
        <v>200095.99</v>
      </c>
      <c r="BJ283" s="237">
        <v>201881.08</v>
      </c>
      <c r="BK283" s="237">
        <v>203072.68</v>
      </c>
      <c r="BL283" s="237">
        <v>204408.23</v>
      </c>
      <c r="BM283" s="237">
        <v>191877.14</v>
      </c>
      <c r="BN283" s="237">
        <v>142029.22</v>
      </c>
      <c r="BO283" s="237">
        <v>144572.07999999999</v>
      </c>
      <c r="BP283" s="237">
        <v>145639.54</v>
      </c>
      <c r="BQ283" s="237">
        <v>147118.21</v>
      </c>
      <c r="BR283" s="237">
        <v>111409.51</v>
      </c>
      <c r="BS283" s="237">
        <v>112504.22</v>
      </c>
      <c r="BT283" s="237">
        <v>0</v>
      </c>
      <c r="BU283" s="237">
        <v>0</v>
      </c>
      <c r="BV283" s="237">
        <v>0</v>
      </c>
      <c r="BW283" s="237">
        <v>116918.27</v>
      </c>
      <c r="BX283" s="237">
        <v>119396.23</v>
      </c>
      <c r="BY283" s="237">
        <v>35.4</v>
      </c>
      <c r="BZ283" s="237">
        <v>35.4</v>
      </c>
      <c r="CA283" s="237">
        <v>35.4</v>
      </c>
      <c r="CB283" s="237">
        <v>35.4</v>
      </c>
      <c r="CC283" s="237">
        <v>35.4</v>
      </c>
      <c r="CD283" s="237">
        <v>35.4</v>
      </c>
      <c r="CE283" s="237">
        <v>0</v>
      </c>
      <c r="CF283" s="237">
        <v>0</v>
      </c>
      <c r="CG283" s="237">
        <v>0</v>
      </c>
      <c r="CH283" s="30">
        <v>0</v>
      </c>
      <c r="CI283" s="30">
        <v>0</v>
      </c>
      <c r="CJ283" s="30" t="e">
        <f t="array" aca="1" ref="CJ283" ca="1">_xludf.XLOOKUP(C283,'PL TOTAL D0'!H:H,'PL TOTAL D0'!I:I,"")</f>
        <v>#NAME?</v>
      </c>
    </row>
    <row r="284" spans="1:88" ht="15.75" customHeight="1">
      <c r="A284" s="36" t="s">
        <v>2921</v>
      </c>
      <c r="B284" s="3" t="s">
        <v>3396</v>
      </c>
      <c r="C284" s="9">
        <v>89180</v>
      </c>
      <c r="D284" s="9" t="s">
        <v>19</v>
      </c>
      <c r="E284" s="9" t="s">
        <v>34</v>
      </c>
      <c r="F284" s="6" t="s">
        <v>262</v>
      </c>
      <c r="G284" s="7" t="e">
        <f t="shared" ca="1" si="4"/>
        <v>#NAME?</v>
      </c>
      <c r="H284" s="8" t="s">
        <v>143</v>
      </c>
      <c r="I284" s="24" t="s">
        <v>25</v>
      </c>
      <c r="J284" s="9" t="str">
        <f t="shared" si="3"/>
        <v>Não</v>
      </c>
      <c r="K284" s="25">
        <v>44391</v>
      </c>
      <c r="L284" s="107">
        <v>44701</v>
      </c>
      <c r="M284" s="6" t="s">
        <v>200</v>
      </c>
      <c r="N284" s="10">
        <v>1.4999999999999999E-2</v>
      </c>
      <c r="O284" s="9" t="s">
        <v>37</v>
      </c>
      <c r="P284" s="234">
        <v>0.1</v>
      </c>
      <c r="Q284" s="28"/>
      <c r="R284" s="28"/>
      <c r="S284" s="7" t="s">
        <v>187</v>
      </c>
      <c r="T284" s="6" t="s">
        <v>3397</v>
      </c>
      <c r="U284" s="6" t="s">
        <v>39</v>
      </c>
      <c r="V284" s="24" t="e">
        <f t="shared" ca="1" si="5"/>
        <v>#NAME?</v>
      </c>
      <c r="W284" s="24"/>
      <c r="X284" s="24"/>
      <c r="Y284" s="6" t="s">
        <v>253</v>
      </c>
      <c r="Z284" s="6"/>
      <c r="AA284" s="6"/>
      <c r="AB284" s="6"/>
      <c r="AC284" s="132"/>
      <c r="AD284" s="132"/>
      <c r="AE284" s="132"/>
      <c r="AF284" s="132"/>
      <c r="AG284" s="132"/>
      <c r="AH284" s="132"/>
      <c r="AI284" s="132"/>
      <c r="AJ284" s="132"/>
      <c r="AK284" s="132"/>
      <c r="AL284" s="132"/>
      <c r="AM284" s="132"/>
      <c r="AN284" s="132"/>
      <c r="AO284" s="110"/>
      <c r="AP284" s="110"/>
      <c r="AQ284" s="110"/>
      <c r="AR284" s="110"/>
      <c r="AS284" s="110"/>
      <c r="AT284" s="110"/>
      <c r="AU284" s="240"/>
      <c r="AV284" s="132"/>
      <c r="AW284" s="240"/>
      <c r="AX284" s="240">
        <v>407555.13</v>
      </c>
      <c r="AY284" s="110">
        <v>401685.42</v>
      </c>
      <c r="AZ284" s="110">
        <v>137224.22</v>
      </c>
      <c r="BA284" s="110">
        <v>133426.15</v>
      </c>
      <c r="BB284" s="110">
        <v>120432.23</v>
      </c>
      <c r="BC284" s="110">
        <v>128476.03</v>
      </c>
      <c r="BD284" s="110">
        <v>126039.57</v>
      </c>
      <c r="BE284" s="110">
        <v>133436.28</v>
      </c>
      <c r="BF284" s="110">
        <v>120846.22</v>
      </c>
      <c r="BG284" s="241" t="s">
        <v>2932</v>
      </c>
      <c r="BH284" s="110">
        <v>0</v>
      </c>
      <c r="BI284" s="110" t="s">
        <v>2932</v>
      </c>
      <c r="BJ284" s="110">
        <v>0</v>
      </c>
      <c r="BK284" s="237">
        <v>0</v>
      </c>
      <c r="BL284" s="237">
        <v>0</v>
      </c>
      <c r="BM284" s="237">
        <v>0</v>
      </c>
      <c r="BN284" s="237">
        <v>0</v>
      </c>
      <c r="BO284" s="237">
        <v>0</v>
      </c>
      <c r="BP284" s="237">
        <v>0</v>
      </c>
      <c r="BQ284" s="237">
        <v>0</v>
      </c>
      <c r="BR284" s="237">
        <v>0</v>
      </c>
      <c r="BS284" s="237">
        <v>0</v>
      </c>
      <c r="BT284" s="237">
        <v>0</v>
      </c>
      <c r="BU284" s="237">
        <v>0</v>
      </c>
      <c r="BV284" s="237">
        <v>0</v>
      </c>
      <c r="BW284" s="237">
        <v>0</v>
      </c>
      <c r="BX284" s="237">
        <v>0</v>
      </c>
      <c r="BY284" s="237">
        <v>0</v>
      </c>
      <c r="BZ284" s="237">
        <v>0</v>
      </c>
      <c r="CA284" s="237">
        <v>0</v>
      </c>
      <c r="CB284" s="237">
        <v>0</v>
      </c>
      <c r="CC284" s="237">
        <v>0</v>
      </c>
      <c r="CD284" s="237">
        <v>0</v>
      </c>
      <c r="CE284" s="237">
        <v>0</v>
      </c>
      <c r="CF284" s="237">
        <v>0</v>
      </c>
      <c r="CG284" s="237">
        <v>0</v>
      </c>
      <c r="CH284" s="30">
        <v>0</v>
      </c>
      <c r="CI284" s="30">
        <v>0</v>
      </c>
      <c r="CJ284" s="30" t="e">
        <f t="array" aca="1" ref="CJ284" ca="1">_xludf.XLOOKUP(C284,'PL TOTAL D0'!H:H,'PL TOTAL D0'!I:I,"")</f>
        <v>#NAME?</v>
      </c>
    </row>
    <row r="285" spans="1:88" ht="15.75" customHeight="1">
      <c r="A285" s="36" t="s">
        <v>2921</v>
      </c>
      <c r="B285" s="3" t="s">
        <v>3398</v>
      </c>
      <c r="C285" s="9">
        <v>434339</v>
      </c>
      <c r="D285" s="9" t="s">
        <v>2923</v>
      </c>
      <c r="E285" s="9" t="s">
        <v>20</v>
      </c>
      <c r="F285" s="6" t="s">
        <v>2924</v>
      </c>
      <c r="G285" s="7" t="e">
        <f t="shared" ca="1" si="4"/>
        <v>#NAME?</v>
      </c>
      <c r="H285" s="8" t="s">
        <v>143</v>
      </c>
      <c r="I285" s="24" t="s">
        <v>25</v>
      </c>
      <c r="J285" s="9" t="str">
        <f t="shared" si="3"/>
        <v>Não</v>
      </c>
      <c r="K285" s="107">
        <v>43710</v>
      </c>
      <c r="L285" s="107">
        <v>44327</v>
      </c>
      <c r="M285" s="6" t="s">
        <v>200</v>
      </c>
      <c r="N285" s="10">
        <v>0.01</v>
      </c>
      <c r="O285" s="9" t="s">
        <v>37</v>
      </c>
      <c r="P285" s="234">
        <v>0.1</v>
      </c>
      <c r="Q285" s="235"/>
      <c r="R285" s="235"/>
      <c r="S285" s="7" t="s">
        <v>145</v>
      </c>
      <c r="T285" s="6" t="s">
        <v>3399</v>
      </c>
      <c r="U285" s="6" t="s">
        <v>20</v>
      </c>
      <c r="V285" s="24" t="e">
        <f t="shared" ca="1" si="5"/>
        <v>#NAME?</v>
      </c>
      <c r="W285" s="24"/>
      <c r="X285" s="24"/>
      <c r="Y285" s="6"/>
      <c r="Z285" s="6"/>
      <c r="AA285" s="6"/>
      <c r="AB285" s="6"/>
      <c r="AC285" s="110">
        <v>210513.97</v>
      </c>
      <c r="AD285" s="110">
        <v>207396.41</v>
      </c>
      <c r="AE285" s="110">
        <v>196480.41</v>
      </c>
      <c r="AF285" s="110">
        <v>200182.94</v>
      </c>
      <c r="AG285" s="110">
        <v>201653.92</v>
      </c>
      <c r="AH285" s="110">
        <v>204800.96</v>
      </c>
      <c r="AI285" s="110">
        <v>210088.12</v>
      </c>
      <c r="AJ285" s="110">
        <v>207616.66</v>
      </c>
      <c r="AK285" s="110">
        <v>205421.73</v>
      </c>
      <c r="AL285" s="110">
        <v>208405.81</v>
      </c>
      <c r="AM285" s="110">
        <v>213665.96</v>
      </c>
      <c r="AN285" s="110">
        <v>494289.95</v>
      </c>
      <c r="AO285" s="110">
        <v>484624.7</v>
      </c>
      <c r="AP285" s="110">
        <v>145541.54999999999</v>
      </c>
      <c r="AQ285" s="110">
        <v>1130.6500000000001</v>
      </c>
      <c r="AR285" s="110">
        <v>1245.47</v>
      </c>
      <c r="AS285" s="110">
        <v>797.62</v>
      </c>
      <c r="AT285" s="110">
        <v>797.3</v>
      </c>
      <c r="AU285" s="110"/>
      <c r="AV285" s="240"/>
      <c r="AW285" s="240"/>
      <c r="AX285" s="240"/>
      <c r="AY285" s="110"/>
      <c r="AZ285" s="110"/>
      <c r="BA285" s="110"/>
      <c r="BB285" s="110"/>
      <c r="BC285" s="110"/>
      <c r="BD285" s="110">
        <v>0</v>
      </c>
      <c r="BE285" s="110">
        <v>0</v>
      </c>
      <c r="BF285" s="110">
        <v>0</v>
      </c>
      <c r="BG285" s="110" t="s">
        <v>2932</v>
      </c>
      <c r="BH285" s="110">
        <v>0</v>
      </c>
      <c r="BI285" s="110" t="s">
        <v>2932</v>
      </c>
      <c r="BJ285" s="110">
        <v>0</v>
      </c>
      <c r="BK285" s="237">
        <v>0</v>
      </c>
      <c r="BL285" s="237">
        <v>0</v>
      </c>
      <c r="BM285" s="237">
        <v>0</v>
      </c>
      <c r="BN285" s="237">
        <v>0</v>
      </c>
      <c r="BO285" s="237">
        <v>0</v>
      </c>
      <c r="BP285" s="237">
        <v>0</v>
      </c>
      <c r="BQ285" s="237">
        <v>0</v>
      </c>
      <c r="BR285" s="237">
        <v>0</v>
      </c>
      <c r="BS285" s="237">
        <v>0</v>
      </c>
      <c r="BT285" s="237">
        <v>0</v>
      </c>
      <c r="BU285" s="237">
        <v>0</v>
      </c>
      <c r="BV285" s="237">
        <v>0</v>
      </c>
      <c r="BW285" s="237">
        <v>0</v>
      </c>
      <c r="BX285" s="237">
        <v>0</v>
      </c>
      <c r="BY285" s="237">
        <v>0</v>
      </c>
      <c r="BZ285" s="237">
        <v>0</v>
      </c>
      <c r="CA285" s="237">
        <v>0</v>
      </c>
      <c r="CB285" s="237">
        <v>0</v>
      </c>
      <c r="CC285" s="237">
        <v>0</v>
      </c>
      <c r="CD285" s="237">
        <v>0</v>
      </c>
      <c r="CE285" s="237">
        <v>0</v>
      </c>
      <c r="CF285" s="237">
        <v>0</v>
      </c>
      <c r="CG285" s="237">
        <v>0</v>
      </c>
      <c r="CH285" s="30">
        <v>0</v>
      </c>
      <c r="CI285" s="30">
        <v>0</v>
      </c>
      <c r="CJ285" s="30" t="e">
        <f t="array" aca="1" ref="CJ285" ca="1">_xludf.XLOOKUP(C285,'PL TOTAL D0'!H:H,'PL TOTAL D0'!I:I,"")</f>
        <v>#NAME?</v>
      </c>
    </row>
    <row r="286" spans="1:88" ht="15.75" customHeight="1">
      <c r="A286" s="36" t="s">
        <v>2921</v>
      </c>
      <c r="B286" s="37" t="s">
        <v>2129</v>
      </c>
      <c r="C286" s="9">
        <v>32359</v>
      </c>
      <c r="D286" s="9" t="s">
        <v>19</v>
      </c>
      <c r="E286" s="9" t="s">
        <v>34</v>
      </c>
      <c r="F286" s="9" t="s">
        <v>35</v>
      </c>
      <c r="G286" s="7" t="e">
        <f t="shared" ca="1" si="4"/>
        <v>#NAME?</v>
      </c>
      <c r="H286" s="8" t="s">
        <v>161</v>
      </c>
      <c r="I286" s="24" t="s">
        <v>162</v>
      </c>
      <c r="J286" s="9" t="str">
        <f t="shared" si="3"/>
        <v>Não</v>
      </c>
      <c r="K286" s="25">
        <v>44477</v>
      </c>
      <c r="L286" s="7"/>
      <c r="M286" s="6" t="s">
        <v>42</v>
      </c>
      <c r="N286" s="233">
        <v>7.0000000000000001E-3</v>
      </c>
      <c r="O286" s="9" t="s">
        <v>25</v>
      </c>
      <c r="P286" s="234">
        <v>0</v>
      </c>
      <c r="Q286" s="28"/>
      <c r="R286" s="28"/>
      <c r="S286" s="7" t="s">
        <v>145</v>
      </c>
      <c r="T286" s="6" t="s">
        <v>2132</v>
      </c>
      <c r="U286" s="6" t="s">
        <v>39</v>
      </c>
      <c r="V286" s="24" t="e">
        <f t="shared" ca="1" si="5"/>
        <v>#NAME?</v>
      </c>
      <c r="W286" s="24"/>
      <c r="X286" s="24"/>
      <c r="Y286" s="6" t="s">
        <v>253</v>
      </c>
      <c r="Z286" s="6"/>
      <c r="AA286" s="107">
        <v>44477</v>
      </c>
      <c r="AB286" s="6">
        <v>49075100009465</v>
      </c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240"/>
      <c r="AN286" s="240"/>
      <c r="AO286" s="110"/>
      <c r="AP286" s="236"/>
      <c r="AQ286" s="236"/>
      <c r="AR286" s="236"/>
      <c r="AS286" s="236"/>
      <c r="AT286" s="236"/>
      <c r="AU286" s="110"/>
      <c r="AV286" s="110"/>
      <c r="AW286" s="110"/>
      <c r="AX286" s="110"/>
      <c r="AY286" s="110"/>
      <c r="AZ286" s="110">
        <v>401575.01</v>
      </c>
      <c r="BA286" s="110">
        <v>403494.73</v>
      </c>
      <c r="BB286" s="110">
        <v>406304.65</v>
      </c>
      <c r="BC286" s="110">
        <v>407846.27</v>
      </c>
      <c r="BD286" s="110">
        <v>410273.39</v>
      </c>
      <c r="BE286" s="110">
        <v>417743.69</v>
      </c>
      <c r="BF286" s="110">
        <v>419536.63</v>
      </c>
      <c r="BG286" s="237">
        <v>423282.34</v>
      </c>
      <c r="BH286" s="237">
        <v>425925.27</v>
      </c>
      <c r="BI286" s="237">
        <v>426005.93</v>
      </c>
      <c r="BJ286" s="237">
        <v>431291.86</v>
      </c>
      <c r="BK286" s="237">
        <v>434031.84</v>
      </c>
      <c r="BL286" s="237">
        <v>438118.24</v>
      </c>
      <c r="BM286" s="237">
        <v>437509.2</v>
      </c>
      <c r="BN286" s="237">
        <v>441649.86</v>
      </c>
      <c r="BO286" s="237">
        <v>446412.79999999999</v>
      </c>
      <c r="BP286" s="237">
        <v>449910.81</v>
      </c>
      <c r="BQ286" s="237">
        <v>455145.12</v>
      </c>
      <c r="BR286" s="237">
        <v>458728.77</v>
      </c>
      <c r="BS286" s="237">
        <v>463816.74</v>
      </c>
      <c r="BT286" s="237">
        <v>469833.05</v>
      </c>
      <c r="BU286" s="237">
        <v>470754.84</v>
      </c>
      <c r="BV286" s="237">
        <v>477439.99</v>
      </c>
      <c r="BW286" s="237">
        <v>480128.02</v>
      </c>
      <c r="BX286" s="237">
        <v>484250.32</v>
      </c>
      <c r="BY286" s="237">
        <v>488338.4</v>
      </c>
      <c r="BZ286" s="237">
        <v>0</v>
      </c>
      <c r="CA286" s="237">
        <v>0</v>
      </c>
      <c r="CB286" s="237">
        <v>0</v>
      </c>
      <c r="CC286" s="237">
        <v>0</v>
      </c>
      <c r="CD286" s="237">
        <v>0</v>
      </c>
      <c r="CE286" s="237">
        <v>0</v>
      </c>
      <c r="CF286" s="237">
        <v>0</v>
      </c>
      <c r="CG286" s="237">
        <v>0</v>
      </c>
      <c r="CH286" s="30">
        <v>0</v>
      </c>
      <c r="CI286" s="30">
        <v>0</v>
      </c>
      <c r="CJ286" s="30" t="e">
        <f t="array" aca="1" ref="CJ286" ca="1">_xludf.XLOOKUP(C286,'PL TOTAL D0'!H:H,'PL TOTAL D0'!I:I,"")</f>
        <v>#NAME?</v>
      </c>
    </row>
    <row r="287" spans="1:88" ht="15.75" customHeight="1">
      <c r="A287" s="36" t="s">
        <v>2921</v>
      </c>
      <c r="B287" s="106" t="s">
        <v>2133</v>
      </c>
      <c r="C287" s="9">
        <v>453188</v>
      </c>
      <c r="D287" s="9" t="s">
        <v>19</v>
      </c>
      <c r="E287" s="9" t="s">
        <v>34</v>
      </c>
      <c r="F287" s="9" t="s">
        <v>35</v>
      </c>
      <c r="G287" s="7" t="e">
        <f t="shared" ca="1" si="4"/>
        <v>#NAME?</v>
      </c>
      <c r="H287" s="8" t="s">
        <v>161</v>
      </c>
      <c r="I287" s="24" t="s">
        <v>162</v>
      </c>
      <c r="J287" s="9" t="str">
        <f t="shared" si="3"/>
        <v>Não</v>
      </c>
      <c r="K287" s="107">
        <v>44263</v>
      </c>
      <c r="L287" s="6"/>
      <c r="M287" s="6" t="s">
        <v>58</v>
      </c>
      <c r="N287" s="10">
        <v>2.5000000000000001E-2</v>
      </c>
      <c r="O287" s="9" t="s">
        <v>25</v>
      </c>
      <c r="P287" s="234">
        <v>0</v>
      </c>
      <c r="Q287" s="23"/>
      <c r="R287" s="108"/>
      <c r="S287" s="7" t="s">
        <v>145</v>
      </c>
      <c r="T287" s="9" t="s">
        <v>2135</v>
      </c>
      <c r="U287" s="6" t="s">
        <v>39</v>
      </c>
      <c r="V287" s="24" t="e">
        <f t="shared" ca="1" si="5"/>
        <v>#NAME?</v>
      </c>
      <c r="W287" s="24"/>
      <c r="X287" s="24"/>
      <c r="Y287" s="6" t="s">
        <v>253</v>
      </c>
      <c r="Z287" s="6"/>
      <c r="AA287" s="107">
        <v>44263</v>
      </c>
      <c r="AB287" s="6">
        <v>49075100003092</v>
      </c>
      <c r="AC287" s="240"/>
      <c r="AD287" s="240"/>
      <c r="AE287" s="240"/>
      <c r="AF287" s="240"/>
      <c r="AG287" s="240"/>
      <c r="AH287" s="240"/>
      <c r="AI287" s="240"/>
      <c r="AJ287" s="240"/>
      <c r="AK287" s="240"/>
      <c r="AL287" s="240"/>
      <c r="AM287" s="240"/>
      <c r="AN287" s="240"/>
      <c r="AO287" s="240"/>
      <c r="AP287" s="110"/>
      <c r="AQ287" s="236">
        <v>193821.6</v>
      </c>
      <c r="AR287" s="236">
        <v>200964.51</v>
      </c>
      <c r="AS287" s="236"/>
      <c r="AT287" s="236">
        <v>203500.2</v>
      </c>
      <c r="AU287" s="236">
        <v>207789.06</v>
      </c>
      <c r="AV287" s="110">
        <v>204452.37</v>
      </c>
      <c r="AW287" s="110">
        <v>203003.08</v>
      </c>
      <c r="AX287" s="110">
        <v>195418.38</v>
      </c>
      <c r="AY287" s="110">
        <v>189989</v>
      </c>
      <c r="AZ287" s="110">
        <v>182075.35</v>
      </c>
      <c r="BA287" s="110">
        <v>175117.15</v>
      </c>
      <c r="BB287" s="110">
        <v>177903.84</v>
      </c>
      <c r="BC287" s="110">
        <v>184365.58</v>
      </c>
      <c r="BD287" s="110">
        <v>184937.8</v>
      </c>
      <c r="BE287" s="110">
        <v>196571.39</v>
      </c>
      <c r="BF287" s="110">
        <v>188633.49</v>
      </c>
      <c r="BG287" s="237">
        <v>186826.6</v>
      </c>
      <c r="BH287" s="237">
        <v>184232.94</v>
      </c>
      <c r="BI287" s="237">
        <v>186997.71</v>
      </c>
      <c r="BJ287" s="237">
        <v>185075.52</v>
      </c>
      <c r="BK287" s="237">
        <v>186744.92</v>
      </c>
      <c r="BL287" s="237">
        <v>190708.2</v>
      </c>
      <c r="BM287" s="237">
        <v>190381.52</v>
      </c>
      <c r="BN287" s="237">
        <v>191907.49</v>
      </c>
      <c r="BO287" s="237">
        <v>172828.46</v>
      </c>
      <c r="BP287" s="237">
        <v>195806.07</v>
      </c>
      <c r="BQ287" s="237">
        <v>197935.07</v>
      </c>
      <c r="BR287" s="237">
        <v>22111.87</v>
      </c>
      <c r="BS287" s="237">
        <v>141.28</v>
      </c>
      <c r="BT287" s="237">
        <v>0</v>
      </c>
      <c r="BU287" s="237">
        <v>0</v>
      </c>
      <c r="BV287" s="237">
        <v>0</v>
      </c>
      <c r="BW287" s="237">
        <v>0</v>
      </c>
      <c r="BX287" s="237">
        <v>0</v>
      </c>
      <c r="BY287" s="237">
        <v>0</v>
      </c>
      <c r="BZ287" s="237">
        <v>0</v>
      </c>
      <c r="CA287" s="237">
        <v>0</v>
      </c>
      <c r="CB287" s="237">
        <v>0</v>
      </c>
      <c r="CC287" s="237">
        <v>0</v>
      </c>
      <c r="CD287" s="237">
        <v>0</v>
      </c>
      <c r="CE287" s="237">
        <v>0</v>
      </c>
      <c r="CF287" s="237">
        <v>0</v>
      </c>
      <c r="CG287" s="237">
        <v>0</v>
      </c>
      <c r="CH287" s="30">
        <v>0</v>
      </c>
      <c r="CI287" s="30">
        <v>0</v>
      </c>
      <c r="CJ287" s="30" t="e">
        <f t="array" aca="1" ref="CJ287" ca="1">_xludf.XLOOKUP(C287,'PL TOTAL D0'!H:H,'PL TOTAL D0'!I:I,"")</f>
        <v>#NAME?</v>
      </c>
    </row>
    <row r="288" spans="1:88" ht="15.75" customHeight="1">
      <c r="A288" s="36" t="s">
        <v>2921</v>
      </c>
      <c r="B288" s="37" t="s">
        <v>3400</v>
      </c>
      <c r="C288" s="9">
        <v>273075</v>
      </c>
      <c r="D288" s="9" t="s">
        <v>2923</v>
      </c>
      <c r="E288" s="9" t="s">
        <v>20</v>
      </c>
      <c r="F288" s="6" t="s">
        <v>2924</v>
      </c>
      <c r="G288" s="7" t="e">
        <f t="shared" ca="1" si="4"/>
        <v>#NAME?</v>
      </c>
      <c r="H288" s="8" t="s">
        <v>143</v>
      </c>
      <c r="I288" s="24" t="s">
        <v>25</v>
      </c>
      <c r="J288" s="9" t="str">
        <f t="shared" si="3"/>
        <v>Não</v>
      </c>
      <c r="K288" s="107">
        <v>43699</v>
      </c>
      <c r="L288" s="260">
        <v>44105</v>
      </c>
      <c r="M288" s="6" t="s">
        <v>200</v>
      </c>
      <c r="N288" s="10">
        <v>0.01</v>
      </c>
      <c r="O288" s="9" t="s">
        <v>37</v>
      </c>
      <c r="P288" s="234">
        <v>0.1</v>
      </c>
      <c r="Q288" s="258"/>
      <c r="R288" s="258"/>
      <c r="S288" s="7" t="s">
        <v>145</v>
      </c>
      <c r="T288" s="6" t="s">
        <v>3401</v>
      </c>
      <c r="U288" s="6" t="s">
        <v>20</v>
      </c>
      <c r="V288" s="24" t="e">
        <f t="shared" ca="1" si="5"/>
        <v>#NAME?</v>
      </c>
      <c r="W288" s="24"/>
      <c r="X288" s="24"/>
      <c r="Y288" s="6"/>
      <c r="Z288" s="6"/>
      <c r="AA288" s="6"/>
      <c r="AB288" s="6"/>
      <c r="AC288" s="110">
        <v>132529.14000000001</v>
      </c>
      <c r="AD288" s="110">
        <v>131435.46</v>
      </c>
      <c r="AE288" s="110">
        <v>130476.31</v>
      </c>
      <c r="AF288" s="110">
        <v>134831.01999999999</v>
      </c>
      <c r="AG288" s="110">
        <v>113663.5</v>
      </c>
      <c r="AH288" s="110">
        <v>78869.89</v>
      </c>
      <c r="AI288" s="110">
        <v>49553.760000000002</v>
      </c>
      <c r="AJ288" s="110">
        <v>38496.720000000001</v>
      </c>
      <c r="AK288" s="110">
        <v>17805.25</v>
      </c>
      <c r="AL288" s="110">
        <v>6507.68</v>
      </c>
      <c r="AM288" s="110">
        <v>1532.6</v>
      </c>
      <c r="AN288" s="110">
        <v>0</v>
      </c>
      <c r="AO288" s="240"/>
      <c r="AP288" s="110"/>
      <c r="AQ288" s="110"/>
      <c r="AR288" s="110"/>
      <c r="AS288" s="110"/>
      <c r="AT288" s="110"/>
      <c r="AU288" s="110"/>
      <c r="AV288" s="240"/>
      <c r="AW288" s="240"/>
      <c r="AX288" s="240"/>
      <c r="AY288" s="110"/>
      <c r="AZ288" s="110"/>
      <c r="BA288" s="110"/>
      <c r="BB288" s="110"/>
      <c r="BC288" s="110"/>
      <c r="BD288" s="110">
        <v>0</v>
      </c>
      <c r="BE288" s="110">
        <v>0</v>
      </c>
      <c r="BF288" s="110">
        <v>0</v>
      </c>
      <c r="BG288" s="110" t="s">
        <v>2932</v>
      </c>
      <c r="BH288" s="110">
        <v>0</v>
      </c>
      <c r="BI288" s="110" t="s">
        <v>2932</v>
      </c>
      <c r="BJ288" s="110">
        <v>0</v>
      </c>
      <c r="BK288" s="237">
        <v>0</v>
      </c>
      <c r="BL288" s="237">
        <v>0</v>
      </c>
      <c r="BM288" s="237">
        <v>0</v>
      </c>
      <c r="BN288" s="237">
        <v>0</v>
      </c>
      <c r="BO288" s="237">
        <v>0</v>
      </c>
      <c r="BP288" s="237">
        <v>0</v>
      </c>
      <c r="BQ288" s="237">
        <v>0</v>
      </c>
      <c r="BR288" s="237">
        <v>0</v>
      </c>
      <c r="BS288" s="237">
        <v>0</v>
      </c>
      <c r="BT288" s="237">
        <v>0</v>
      </c>
      <c r="BU288" s="237">
        <v>0</v>
      </c>
      <c r="BV288" s="237">
        <v>0</v>
      </c>
      <c r="BW288" s="237">
        <v>0</v>
      </c>
      <c r="BX288" s="237">
        <v>0</v>
      </c>
      <c r="BY288" s="237">
        <v>0</v>
      </c>
      <c r="BZ288" s="237">
        <v>0</v>
      </c>
      <c r="CA288" s="237">
        <v>0</v>
      </c>
      <c r="CB288" s="237">
        <v>0</v>
      </c>
      <c r="CC288" s="237">
        <v>0</v>
      </c>
      <c r="CD288" s="237">
        <v>0</v>
      </c>
      <c r="CE288" s="237">
        <v>0</v>
      </c>
      <c r="CF288" s="237">
        <v>0</v>
      </c>
      <c r="CG288" s="237">
        <v>0</v>
      </c>
      <c r="CH288" s="30">
        <v>0</v>
      </c>
      <c r="CI288" s="30">
        <v>0</v>
      </c>
      <c r="CJ288" s="30" t="e">
        <f t="array" aca="1" ref="CJ288" ca="1">_xludf.XLOOKUP(C288,'PL TOTAL D0'!H:H,'PL TOTAL D0'!I:I,"")</f>
        <v>#NAME?</v>
      </c>
    </row>
    <row r="289" spans="1:88" ht="15.75" customHeight="1">
      <c r="A289" s="36" t="s">
        <v>2921</v>
      </c>
      <c r="B289" s="106" t="s">
        <v>2153</v>
      </c>
      <c r="C289" s="9">
        <v>32067</v>
      </c>
      <c r="D289" s="9" t="s">
        <v>19</v>
      </c>
      <c r="E289" s="9" t="s">
        <v>34</v>
      </c>
      <c r="F289" s="9" t="s">
        <v>35</v>
      </c>
      <c r="G289" s="7" t="e">
        <f t="shared" ca="1" si="4"/>
        <v>#NAME?</v>
      </c>
      <c r="H289" s="8" t="s">
        <v>161</v>
      </c>
      <c r="I289" s="24" t="s">
        <v>162</v>
      </c>
      <c r="J289" s="9" t="str">
        <f t="shared" si="3"/>
        <v>Sim</v>
      </c>
      <c r="K289" s="232">
        <v>44263</v>
      </c>
      <c r="L289" s="7"/>
      <c r="M289" s="6" t="s">
        <v>200</v>
      </c>
      <c r="N289" s="10">
        <v>1.4999999999999999E-2</v>
      </c>
      <c r="O289" s="9" t="s">
        <v>37</v>
      </c>
      <c r="P289" s="234">
        <v>0.1</v>
      </c>
      <c r="Q289" s="108" t="s">
        <v>3402</v>
      </c>
      <c r="R289" s="108"/>
      <c r="S289" s="7" t="s">
        <v>145</v>
      </c>
      <c r="T289" s="9" t="s">
        <v>2156</v>
      </c>
      <c r="U289" s="6" t="s">
        <v>39</v>
      </c>
      <c r="V289" s="24" t="e">
        <f t="shared" ca="1" si="5"/>
        <v>#NAME?</v>
      </c>
      <c r="W289" s="24"/>
      <c r="X289" s="24"/>
      <c r="Y289" s="6" t="s">
        <v>253</v>
      </c>
      <c r="Z289" s="6"/>
      <c r="AA289" s="107">
        <v>44263</v>
      </c>
      <c r="AB289" s="6">
        <v>49075100003173</v>
      </c>
      <c r="AC289" s="240"/>
      <c r="AD289" s="240"/>
      <c r="AE289" s="240"/>
      <c r="AF289" s="240"/>
      <c r="AG289" s="240"/>
      <c r="AH289" s="240"/>
      <c r="AI289" s="240"/>
      <c r="AJ289" s="240"/>
      <c r="AK289" s="240"/>
      <c r="AL289" s="240"/>
      <c r="AM289" s="240"/>
      <c r="AN289" s="240"/>
      <c r="AO289" s="240"/>
      <c r="AP289" s="110"/>
      <c r="AQ289" s="236">
        <v>467334.86</v>
      </c>
      <c r="AR289" s="236">
        <v>470522.85</v>
      </c>
      <c r="AS289" s="236"/>
      <c r="AT289" s="236">
        <v>484010.89</v>
      </c>
      <c r="AU289" s="236">
        <v>494786.93</v>
      </c>
      <c r="AV289" s="110">
        <v>494082.93</v>
      </c>
      <c r="AW289" s="110">
        <v>487710.25</v>
      </c>
      <c r="AX289" s="110">
        <v>476896.46</v>
      </c>
      <c r="AY289" s="110">
        <v>485180.85</v>
      </c>
      <c r="AZ289" s="110">
        <v>469162.91</v>
      </c>
      <c r="BA289" s="110">
        <v>459227.68</v>
      </c>
      <c r="BB289" s="110">
        <v>459602.21</v>
      </c>
      <c r="BC289" s="110">
        <v>473529.53</v>
      </c>
      <c r="BD289" s="110">
        <v>477089.05</v>
      </c>
      <c r="BE289" s="110">
        <v>503851.52000000002</v>
      </c>
      <c r="BF289" s="110">
        <v>489806.92</v>
      </c>
      <c r="BG289" s="237">
        <v>489928.51</v>
      </c>
      <c r="BH289" s="237">
        <v>491376.01</v>
      </c>
      <c r="BI289" s="237">
        <v>499605.16</v>
      </c>
      <c r="BJ289" s="237">
        <v>505781</v>
      </c>
      <c r="BK289" s="237">
        <v>510766.42</v>
      </c>
      <c r="BL289" s="237">
        <v>529456.94999999995</v>
      </c>
      <c r="BM289" s="237">
        <v>521927.41</v>
      </c>
      <c r="BN289" s="237">
        <v>554236.77</v>
      </c>
      <c r="BO289" s="237">
        <v>556476.32999999996</v>
      </c>
      <c r="BP289" s="237">
        <v>563287.38</v>
      </c>
      <c r="BQ289" s="237">
        <v>568863.69999999995</v>
      </c>
      <c r="BR289" s="237">
        <v>569920.61</v>
      </c>
      <c r="BS289" s="237">
        <v>584370.47</v>
      </c>
      <c r="BT289" s="237">
        <v>590883.37</v>
      </c>
      <c r="BU289" s="237">
        <v>418517.49</v>
      </c>
      <c r="BV289" s="237">
        <v>593877.36</v>
      </c>
      <c r="BW289" s="237">
        <v>594970.5</v>
      </c>
      <c r="BX289" s="237">
        <v>594536.6</v>
      </c>
      <c r="BY289" s="237">
        <v>603849.43000000005</v>
      </c>
      <c r="BZ289" s="237">
        <v>13120.49</v>
      </c>
      <c r="CA289" s="237">
        <v>13248.69</v>
      </c>
      <c r="CB289" s="237">
        <v>13345.5</v>
      </c>
      <c r="CC289" s="237">
        <v>13458.75</v>
      </c>
      <c r="CD289" s="237">
        <v>186.77</v>
      </c>
      <c r="CE289" s="237">
        <v>153.03</v>
      </c>
      <c r="CF289" s="237">
        <v>153.03</v>
      </c>
      <c r="CG289" s="237">
        <v>153.03</v>
      </c>
      <c r="CH289" s="30">
        <v>153.03</v>
      </c>
      <c r="CI289" s="30">
        <v>125.83</v>
      </c>
      <c r="CJ289" s="30" t="e">
        <f t="array" aca="1" ref="CJ289" ca="1">_xludf.XLOOKUP(C289,'PL TOTAL D0'!H:H,'PL TOTAL D0'!I:I,"")</f>
        <v>#NAME?</v>
      </c>
    </row>
    <row r="290" spans="1:88" ht="15.75" customHeight="1">
      <c r="A290" s="36" t="s">
        <v>2921</v>
      </c>
      <c r="B290" s="37" t="s">
        <v>3403</v>
      </c>
      <c r="C290" s="9">
        <v>367566</v>
      </c>
      <c r="D290" s="9" t="s">
        <v>19</v>
      </c>
      <c r="E290" s="9" t="s">
        <v>34</v>
      </c>
      <c r="F290" s="9" t="s">
        <v>35</v>
      </c>
      <c r="G290" s="7" t="e">
        <f t="shared" ca="1" si="4"/>
        <v>#NAME?</v>
      </c>
      <c r="H290" s="8" t="s">
        <v>161</v>
      </c>
      <c r="I290" s="24" t="s">
        <v>162</v>
      </c>
      <c r="J290" s="9" t="str">
        <f t="shared" si="3"/>
        <v>Sim</v>
      </c>
      <c r="K290" s="107">
        <v>44781</v>
      </c>
      <c r="L290" s="107"/>
      <c r="M290" s="6" t="s">
        <v>42</v>
      </c>
      <c r="N290" s="10">
        <v>0.01</v>
      </c>
      <c r="O290" s="9" t="s">
        <v>25</v>
      </c>
      <c r="P290" s="234">
        <v>0</v>
      </c>
      <c r="Q290" s="108" t="s">
        <v>3402</v>
      </c>
      <c r="R290" s="108"/>
      <c r="S290" s="7" t="s">
        <v>145</v>
      </c>
      <c r="T290" s="6" t="s">
        <v>2156</v>
      </c>
      <c r="U290" s="6" t="s">
        <v>39</v>
      </c>
      <c r="V290" s="24" t="e">
        <f t="shared" ca="1" si="5"/>
        <v>#NAME?</v>
      </c>
      <c r="W290" s="24"/>
      <c r="X290" s="24"/>
      <c r="Y290" s="6" t="s">
        <v>253</v>
      </c>
      <c r="Z290" s="6"/>
      <c r="AA290" s="107">
        <v>44781</v>
      </c>
      <c r="AB290" s="6">
        <v>49075100005559</v>
      </c>
      <c r="AC290" s="110"/>
      <c r="AD290" s="110"/>
      <c r="AE290" s="110"/>
      <c r="AF290" s="110"/>
      <c r="AG290" s="110"/>
      <c r="AH290" s="110"/>
      <c r="AI290" s="110"/>
      <c r="AJ290" s="110"/>
      <c r="AK290" s="110"/>
      <c r="AL290" s="110"/>
      <c r="AM290" s="110"/>
      <c r="AN290" s="110"/>
      <c r="AO290" s="110"/>
      <c r="AP290" s="110"/>
      <c r="AQ290" s="110"/>
      <c r="AR290" s="110"/>
      <c r="AS290" s="110"/>
      <c r="AT290" s="110"/>
      <c r="AU290" s="110"/>
      <c r="AV290" s="110"/>
      <c r="AW290" s="110"/>
      <c r="AX290" s="110"/>
      <c r="AY290" s="110"/>
      <c r="AZ290" s="110"/>
      <c r="BA290" s="110"/>
      <c r="BB290" s="110"/>
      <c r="BC290" s="110"/>
      <c r="BD290" s="110"/>
      <c r="BE290" s="110"/>
      <c r="BF290" s="110"/>
      <c r="BG290" s="110"/>
      <c r="BH290" s="110"/>
      <c r="BI290" s="110"/>
      <c r="BJ290" s="110"/>
      <c r="BK290" s="237"/>
      <c r="BL290" s="237">
        <v>0</v>
      </c>
      <c r="BM290" s="237">
        <v>150871.07</v>
      </c>
      <c r="BN290" s="237">
        <v>152713.17000000001</v>
      </c>
      <c r="BO290" s="237">
        <v>153662.93</v>
      </c>
      <c r="BP290" s="237">
        <v>154758</v>
      </c>
      <c r="BQ290" s="237">
        <v>156237.43</v>
      </c>
      <c r="BR290" s="237">
        <v>157263.79999999999</v>
      </c>
      <c r="BS290" s="237">
        <v>158867.04</v>
      </c>
      <c r="BT290" s="237">
        <v>160378.45000000001</v>
      </c>
      <c r="BU290" s="237">
        <v>161504.41</v>
      </c>
      <c r="BV290" s="237">
        <v>163488.85999999999</v>
      </c>
      <c r="BW290" s="237">
        <v>164871.13</v>
      </c>
      <c r="BX290" s="237">
        <v>166436.41</v>
      </c>
      <c r="BY290" s="237">
        <v>166821.28</v>
      </c>
      <c r="BZ290" s="237">
        <v>55823.94</v>
      </c>
      <c r="CA290" s="237">
        <v>56377.26</v>
      </c>
      <c r="CB290" s="237">
        <v>56795.12</v>
      </c>
      <c r="CC290" s="237">
        <v>57283.92</v>
      </c>
      <c r="CD290" s="237">
        <v>57779.6</v>
      </c>
      <c r="CE290" s="237">
        <v>0</v>
      </c>
      <c r="CF290" s="237">
        <v>0</v>
      </c>
      <c r="CG290" s="237">
        <v>0</v>
      </c>
      <c r="CH290" s="30">
        <v>0</v>
      </c>
      <c r="CI290" s="30">
        <v>0</v>
      </c>
      <c r="CJ290" s="30" t="e">
        <f t="array" aca="1" ref="CJ290" ca="1">_xludf.XLOOKUP(C290,'PL TOTAL D0'!H:H,'PL TOTAL D0'!I:I,"")</f>
        <v>#NAME?</v>
      </c>
    </row>
    <row r="291" spans="1:88" ht="15.75" customHeight="1">
      <c r="A291" s="36" t="s">
        <v>2921</v>
      </c>
      <c r="B291" s="37" t="s">
        <v>3404</v>
      </c>
      <c r="C291" s="9">
        <v>338435</v>
      </c>
      <c r="D291" s="9" t="s">
        <v>2923</v>
      </c>
      <c r="E291" s="9" t="s">
        <v>20</v>
      </c>
      <c r="F291" s="6" t="s">
        <v>2930</v>
      </c>
      <c r="G291" s="7" t="e">
        <f t="shared" ca="1" si="4"/>
        <v>#NAME?</v>
      </c>
      <c r="H291" s="8" t="s">
        <v>143</v>
      </c>
      <c r="I291" s="24" t="s">
        <v>25</v>
      </c>
      <c r="J291" s="9" t="str">
        <f t="shared" si="3"/>
        <v>Não</v>
      </c>
      <c r="K291" s="107">
        <v>43531</v>
      </c>
      <c r="L291" s="107">
        <v>44287</v>
      </c>
      <c r="M291" s="6" t="s">
        <v>200</v>
      </c>
      <c r="N291" s="10">
        <v>0.01</v>
      </c>
      <c r="O291" s="9" t="s">
        <v>37</v>
      </c>
      <c r="P291" s="234">
        <v>0.1</v>
      </c>
      <c r="Q291" s="235"/>
      <c r="R291" s="235"/>
      <c r="S291" s="7" t="s">
        <v>145</v>
      </c>
      <c r="T291" s="6" t="s">
        <v>3405</v>
      </c>
      <c r="U291" s="6" t="s">
        <v>20</v>
      </c>
      <c r="V291" s="24" t="e">
        <f t="shared" ca="1" si="5"/>
        <v>#NAME?</v>
      </c>
      <c r="W291" s="24"/>
      <c r="X291" s="24"/>
      <c r="Y291" s="6"/>
      <c r="Z291" s="6"/>
      <c r="AA291" s="6"/>
      <c r="AB291" s="6"/>
      <c r="AC291" s="110">
        <v>447274.33</v>
      </c>
      <c r="AD291" s="110">
        <v>443334.97</v>
      </c>
      <c r="AE291" s="110">
        <v>420697.21</v>
      </c>
      <c r="AF291" s="110">
        <v>427991.86</v>
      </c>
      <c r="AG291" s="110">
        <v>432877.63</v>
      </c>
      <c r="AH291" s="110">
        <v>438810.44</v>
      </c>
      <c r="AI291" s="110">
        <v>443046.85</v>
      </c>
      <c r="AJ291" s="110">
        <v>443520.46</v>
      </c>
      <c r="AK291" s="110">
        <v>436370.76</v>
      </c>
      <c r="AL291" s="110">
        <v>436177.14</v>
      </c>
      <c r="AM291" s="110">
        <v>448669.71</v>
      </c>
      <c r="AN291" s="110">
        <v>452800.69</v>
      </c>
      <c r="AO291" s="110">
        <v>449091.71</v>
      </c>
      <c r="AP291" s="110">
        <v>442319.02</v>
      </c>
      <c r="AQ291" s="110">
        <v>441488.04</v>
      </c>
      <c r="AR291" s="110">
        <v>222801.29</v>
      </c>
      <c r="AS291" s="110">
        <v>177190.41</v>
      </c>
      <c r="AT291" s="110">
        <v>176843.09</v>
      </c>
      <c r="AU291" s="110">
        <v>177358.37</v>
      </c>
      <c r="AV291" s="110">
        <v>177867.21</v>
      </c>
      <c r="AW291" s="110">
        <v>31658.13</v>
      </c>
      <c r="AX291" s="110">
        <v>31787.86</v>
      </c>
      <c r="AY291" s="110">
        <v>31907.919999999998</v>
      </c>
      <c r="AZ291" s="110"/>
      <c r="BA291" s="110"/>
      <c r="BB291" s="110"/>
      <c r="BC291" s="110"/>
      <c r="BD291" s="110">
        <v>0</v>
      </c>
      <c r="BE291" s="110">
        <v>0</v>
      </c>
      <c r="BF291" s="110">
        <v>0</v>
      </c>
      <c r="BG291" s="110" t="s">
        <v>2932</v>
      </c>
      <c r="BH291" s="110">
        <v>0</v>
      </c>
      <c r="BI291" s="110" t="s">
        <v>2932</v>
      </c>
      <c r="BJ291" s="110">
        <v>0</v>
      </c>
      <c r="BK291" s="237">
        <v>0</v>
      </c>
      <c r="BL291" s="237">
        <v>0</v>
      </c>
      <c r="BM291" s="237">
        <v>0</v>
      </c>
      <c r="BN291" s="237">
        <v>0</v>
      </c>
      <c r="BO291" s="237">
        <v>0</v>
      </c>
      <c r="BP291" s="237">
        <v>0</v>
      </c>
      <c r="BQ291" s="237">
        <v>0</v>
      </c>
      <c r="BR291" s="237">
        <v>0</v>
      </c>
      <c r="BS291" s="237">
        <v>0</v>
      </c>
      <c r="BT291" s="237">
        <v>0</v>
      </c>
      <c r="BU291" s="237">
        <v>0</v>
      </c>
      <c r="BV291" s="237">
        <v>0</v>
      </c>
      <c r="BW291" s="237">
        <v>0</v>
      </c>
      <c r="BX291" s="237">
        <v>0</v>
      </c>
      <c r="BY291" s="237">
        <v>0</v>
      </c>
      <c r="BZ291" s="237">
        <v>0</v>
      </c>
      <c r="CA291" s="237">
        <v>0</v>
      </c>
      <c r="CB291" s="237">
        <v>0</v>
      </c>
      <c r="CC291" s="237">
        <v>0</v>
      </c>
      <c r="CD291" s="237">
        <v>0</v>
      </c>
      <c r="CE291" s="237">
        <v>0</v>
      </c>
      <c r="CF291" s="237">
        <v>0</v>
      </c>
      <c r="CG291" s="237">
        <v>0</v>
      </c>
      <c r="CH291" s="30">
        <v>0</v>
      </c>
      <c r="CI291" s="30">
        <v>0</v>
      </c>
      <c r="CJ291" s="30" t="e">
        <f t="array" aca="1" ref="CJ291" ca="1">_xludf.XLOOKUP(C291,'PL TOTAL D0'!H:H,'PL TOTAL D0'!I:I,"")</f>
        <v>#NAME?</v>
      </c>
    </row>
    <row r="292" spans="1:88" ht="15.75" customHeight="1">
      <c r="A292" s="36" t="s">
        <v>2921</v>
      </c>
      <c r="B292" s="37" t="s">
        <v>3404</v>
      </c>
      <c r="C292" s="9">
        <v>577330</v>
      </c>
      <c r="D292" s="9" t="s">
        <v>2923</v>
      </c>
      <c r="E292" s="9" t="s">
        <v>20</v>
      </c>
      <c r="F292" s="6" t="s">
        <v>2930</v>
      </c>
      <c r="G292" s="7" t="e">
        <f t="shared" ca="1" si="4"/>
        <v>#NAME?</v>
      </c>
      <c r="H292" s="8" t="s">
        <v>143</v>
      </c>
      <c r="I292" s="24" t="s">
        <v>25</v>
      </c>
      <c r="J292" s="9" t="str">
        <f t="shared" si="3"/>
        <v>Não</v>
      </c>
      <c r="K292" s="107">
        <v>43566</v>
      </c>
      <c r="L292" s="107">
        <v>44287</v>
      </c>
      <c r="M292" s="6" t="s">
        <v>58</v>
      </c>
      <c r="N292" s="10">
        <v>5.0000000000000001E-3</v>
      </c>
      <c r="O292" s="9" t="s">
        <v>25</v>
      </c>
      <c r="P292" s="234">
        <v>0</v>
      </c>
      <c r="Q292" s="108"/>
      <c r="R292" s="108"/>
      <c r="S292" s="7" t="s">
        <v>145</v>
      </c>
      <c r="T292" s="6" t="s">
        <v>3405</v>
      </c>
      <c r="U292" s="6" t="s">
        <v>20</v>
      </c>
      <c r="V292" s="24" t="e">
        <f t="shared" ca="1" si="5"/>
        <v>#NAME?</v>
      </c>
      <c r="W292" s="24"/>
      <c r="X292" s="24"/>
      <c r="Y292" s="6"/>
      <c r="Z292" s="6"/>
      <c r="AA292" s="6"/>
      <c r="AB292" s="6"/>
      <c r="AC292" s="110">
        <v>18441.73</v>
      </c>
      <c r="AD292" s="110">
        <v>0</v>
      </c>
      <c r="AE292" s="110">
        <v>0</v>
      </c>
      <c r="AF292" s="110">
        <v>0</v>
      </c>
      <c r="AG292" s="110">
        <v>0</v>
      </c>
      <c r="AH292" s="110">
        <v>0</v>
      </c>
      <c r="AI292" s="110">
        <v>0</v>
      </c>
      <c r="AJ292" s="240"/>
      <c r="AK292" s="240"/>
      <c r="AL292" s="240"/>
      <c r="AM292" s="240"/>
      <c r="AN292" s="240"/>
      <c r="AO292" s="240"/>
      <c r="AP292" s="110"/>
      <c r="AQ292" s="110"/>
      <c r="AR292" s="110"/>
      <c r="AS292" s="110"/>
      <c r="AT292" s="110"/>
      <c r="AU292" s="110"/>
      <c r="AV292" s="240"/>
      <c r="AW292" s="240"/>
      <c r="AX292" s="240"/>
      <c r="AY292" s="110"/>
      <c r="AZ292" s="110"/>
      <c r="BA292" s="110"/>
      <c r="BB292" s="110"/>
      <c r="BC292" s="110"/>
      <c r="BD292" s="110">
        <v>0</v>
      </c>
      <c r="BE292" s="110">
        <v>0</v>
      </c>
      <c r="BF292" s="110">
        <v>0</v>
      </c>
      <c r="BG292" s="110" t="s">
        <v>2932</v>
      </c>
      <c r="BH292" s="110">
        <v>0</v>
      </c>
      <c r="BI292" s="110" t="s">
        <v>2932</v>
      </c>
      <c r="BJ292" s="110">
        <v>0</v>
      </c>
      <c r="BK292" s="237">
        <v>0</v>
      </c>
      <c r="BL292" s="237">
        <v>0</v>
      </c>
      <c r="BM292" s="237">
        <v>0</v>
      </c>
      <c r="BN292" s="237">
        <v>0</v>
      </c>
      <c r="BO292" s="237">
        <v>0</v>
      </c>
      <c r="BP292" s="237">
        <v>0</v>
      </c>
      <c r="BQ292" s="237">
        <v>0</v>
      </c>
      <c r="BR292" s="237">
        <v>0</v>
      </c>
      <c r="BS292" s="237">
        <v>0</v>
      </c>
      <c r="BT292" s="237">
        <v>0</v>
      </c>
      <c r="BU292" s="237">
        <v>0</v>
      </c>
      <c r="BV292" s="237">
        <v>0</v>
      </c>
      <c r="BW292" s="237">
        <v>0</v>
      </c>
      <c r="BX292" s="237">
        <v>0</v>
      </c>
      <c r="BY292" s="237">
        <v>0</v>
      </c>
      <c r="BZ292" s="237">
        <v>0</v>
      </c>
      <c r="CA292" s="237">
        <v>0</v>
      </c>
      <c r="CB292" s="237">
        <v>0</v>
      </c>
      <c r="CC292" s="237">
        <v>0</v>
      </c>
      <c r="CD292" s="237">
        <v>0</v>
      </c>
      <c r="CE292" s="237">
        <v>0</v>
      </c>
      <c r="CF292" s="237">
        <v>0</v>
      </c>
      <c r="CG292" s="237">
        <v>0</v>
      </c>
      <c r="CH292" s="30">
        <v>0</v>
      </c>
      <c r="CI292" s="30">
        <v>0</v>
      </c>
      <c r="CJ292" s="30" t="e">
        <f t="array" aca="1" ref="CJ292" ca="1">_xludf.XLOOKUP(C292,'PL TOTAL D0'!H:H,'PL TOTAL D0'!I:I,"")</f>
        <v>#NAME?</v>
      </c>
    </row>
    <row r="293" spans="1:88" ht="15.75" customHeight="1">
      <c r="A293" s="36" t="s">
        <v>2921</v>
      </c>
      <c r="B293" s="3" t="s">
        <v>3406</v>
      </c>
      <c r="C293" s="9">
        <v>466334</v>
      </c>
      <c r="D293" s="9" t="s">
        <v>19</v>
      </c>
      <c r="E293" s="9" t="s">
        <v>34</v>
      </c>
      <c r="F293" s="6" t="s">
        <v>35</v>
      </c>
      <c r="G293" s="7" t="e">
        <f t="shared" ca="1" si="4"/>
        <v>#NAME?</v>
      </c>
      <c r="H293" s="8" t="s">
        <v>143</v>
      </c>
      <c r="I293" s="24" t="s">
        <v>25</v>
      </c>
      <c r="J293" s="9" t="str">
        <f t="shared" si="3"/>
        <v>Não</v>
      </c>
      <c r="K293" s="107">
        <v>44280</v>
      </c>
      <c r="L293" s="107">
        <v>44757</v>
      </c>
      <c r="M293" s="6" t="s">
        <v>87</v>
      </c>
      <c r="N293" s="10">
        <v>2.5000000000000001E-2</v>
      </c>
      <c r="O293" s="9" t="s">
        <v>183</v>
      </c>
      <c r="P293" s="234">
        <v>0.2</v>
      </c>
      <c r="Q293" s="108"/>
      <c r="R293" s="108"/>
      <c r="S293" s="7" t="s">
        <v>187</v>
      </c>
      <c r="T293" s="6" t="s">
        <v>3407</v>
      </c>
      <c r="U293" s="6" t="s">
        <v>39</v>
      </c>
      <c r="V293" s="24" t="e">
        <f t="shared" ca="1" si="5"/>
        <v>#NAME?</v>
      </c>
      <c r="W293" s="24"/>
      <c r="X293" s="24"/>
      <c r="Y293" s="6" t="s">
        <v>253</v>
      </c>
      <c r="Z293" s="6"/>
      <c r="AA293" s="6"/>
      <c r="AB293" s="6"/>
      <c r="AC293" s="240"/>
      <c r="AD293" s="240"/>
      <c r="AE293" s="240"/>
      <c r="AF293" s="240"/>
      <c r="AG293" s="240"/>
      <c r="AH293" s="240"/>
      <c r="AI293" s="240"/>
      <c r="AJ293" s="240"/>
      <c r="AK293" s="240"/>
      <c r="AL293" s="240"/>
      <c r="AM293" s="240"/>
      <c r="AN293" s="240"/>
      <c r="AO293" s="240"/>
      <c r="AP293" s="110"/>
      <c r="AQ293" s="110">
        <v>254446.37</v>
      </c>
      <c r="AR293" s="110">
        <v>268252.37</v>
      </c>
      <c r="AS293" s="110">
        <v>269830.89</v>
      </c>
      <c r="AT293" s="110">
        <v>272037</v>
      </c>
      <c r="AU293" s="110">
        <v>281307.71000000002</v>
      </c>
      <c r="AV293" s="110">
        <v>277952.15000000002</v>
      </c>
      <c r="AW293" s="110">
        <v>271102.90000000002</v>
      </c>
      <c r="AX293" s="110">
        <v>259110.43</v>
      </c>
      <c r="AY293" s="110">
        <v>248717.1</v>
      </c>
      <c r="AZ293" s="110">
        <v>235546.01</v>
      </c>
      <c r="BA293" s="110">
        <v>228493.8</v>
      </c>
      <c r="BB293" s="110">
        <v>226167.66</v>
      </c>
      <c r="BC293" s="110">
        <v>237755.25</v>
      </c>
      <c r="BD293" s="110">
        <v>239653.1</v>
      </c>
      <c r="BE293" s="110">
        <v>27704.29</v>
      </c>
      <c r="BF293" s="110">
        <v>27448.17</v>
      </c>
      <c r="BG293" s="110">
        <v>28156.92</v>
      </c>
      <c r="BH293" s="110">
        <v>0</v>
      </c>
      <c r="BI293" s="110" t="s">
        <v>2932</v>
      </c>
      <c r="BJ293" s="110">
        <v>0</v>
      </c>
      <c r="BK293" s="237">
        <v>0</v>
      </c>
      <c r="BL293" s="237">
        <v>0</v>
      </c>
      <c r="BM293" s="237">
        <v>0</v>
      </c>
      <c r="BN293" s="237">
        <v>0</v>
      </c>
      <c r="BO293" s="237">
        <v>0</v>
      </c>
      <c r="BP293" s="237">
        <v>0</v>
      </c>
      <c r="BQ293" s="237">
        <v>0</v>
      </c>
      <c r="BR293" s="237">
        <v>0</v>
      </c>
      <c r="BS293" s="237">
        <v>0</v>
      </c>
      <c r="BT293" s="237">
        <v>0</v>
      </c>
      <c r="BU293" s="237">
        <v>0</v>
      </c>
      <c r="BV293" s="237">
        <v>0</v>
      </c>
      <c r="BW293" s="237">
        <v>0</v>
      </c>
      <c r="BX293" s="237">
        <v>0</v>
      </c>
      <c r="BY293" s="237">
        <v>0</v>
      </c>
      <c r="BZ293" s="237">
        <v>0</v>
      </c>
      <c r="CA293" s="237">
        <v>0</v>
      </c>
      <c r="CB293" s="237">
        <v>0</v>
      </c>
      <c r="CC293" s="237">
        <v>0</v>
      </c>
      <c r="CD293" s="237">
        <v>0</v>
      </c>
      <c r="CE293" s="237">
        <v>0</v>
      </c>
      <c r="CF293" s="237">
        <v>0</v>
      </c>
      <c r="CG293" s="237">
        <v>0</v>
      </c>
      <c r="CH293" s="30">
        <v>0</v>
      </c>
      <c r="CI293" s="30">
        <v>0</v>
      </c>
      <c r="CJ293" s="30" t="e">
        <f t="array" aca="1" ref="CJ293" ca="1">_xludf.XLOOKUP(C293,'PL TOTAL D0'!H:H,'PL TOTAL D0'!I:I,"")</f>
        <v>#NAME?</v>
      </c>
    </row>
    <row r="294" spans="1:88" ht="15.75" customHeight="1">
      <c r="A294" s="36" t="s">
        <v>2921</v>
      </c>
      <c r="B294" s="106" t="s">
        <v>3408</v>
      </c>
      <c r="C294" s="9">
        <v>465880</v>
      </c>
      <c r="D294" s="9" t="s">
        <v>19</v>
      </c>
      <c r="E294" s="9" t="s">
        <v>34</v>
      </c>
      <c r="F294" s="9" t="s">
        <v>35</v>
      </c>
      <c r="G294" s="7" t="e">
        <f t="shared" ca="1" si="4"/>
        <v>#NAME?</v>
      </c>
      <c r="H294" s="8" t="s">
        <v>161</v>
      </c>
      <c r="I294" s="24" t="s">
        <v>162</v>
      </c>
      <c r="J294" s="9" t="str">
        <f t="shared" si="3"/>
        <v>Não</v>
      </c>
      <c r="K294" s="232">
        <v>44280</v>
      </c>
      <c r="L294" s="6"/>
      <c r="M294" s="6" t="s">
        <v>345</v>
      </c>
      <c r="N294" s="10">
        <v>0.02</v>
      </c>
      <c r="O294" s="9" t="s">
        <v>37</v>
      </c>
      <c r="P294" s="234">
        <v>0.2</v>
      </c>
      <c r="Q294" s="108"/>
      <c r="R294" s="108"/>
      <c r="S294" s="7" t="s">
        <v>145</v>
      </c>
      <c r="T294" s="9" t="s">
        <v>3409</v>
      </c>
      <c r="U294" s="6" t="s">
        <v>39</v>
      </c>
      <c r="V294" s="24" t="e">
        <f t="shared" ca="1" si="5"/>
        <v>#NAME?</v>
      </c>
      <c r="W294" s="24"/>
      <c r="X294" s="24"/>
      <c r="Y294" s="6" t="s">
        <v>253</v>
      </c>
      <c r="Z294" s="6"/>
      <c r="AA294" s="107">
        <v>44280</v>
      </c>
      <c r="AB294" s="6">
        <v>49075100010889</v>
      </c>
      <c r="AC294" s="240"/>
      <c r="AD294" s="240"/>
      <c r="AE294" s="240"/>
      <c r="AF294" s="240"/>
      <c r="AG294" s="240"/>
      <c r="AH294" s="240"/>
      <c r="AI294" s="240"/>
      <c r="AJ294" s="240"/>
      <c r="AK294" s="240"/>
      <c r="AL294" s="240"/>
      <c r="AM294" s="240"/>
      <c r="AN294" s="240"/>
      <c r="AO294" s="240"/>
      <c r="AP294" s="110"/>
      <c r="AQ294" s="110"/>
      <c r="AR294" s="110">
        <v>195567.07</v>
      </c>
      <c r="AS294" s="110"/>
      <c r="AT294" s="110">
        <v>198176.68</v>
      </c>
      <c r="AU294" s="110">
        <v>203988.77</v>
      </c>
      <c r="AV294" s="110">
        <v>202373.08</v>
      </c>
      <c r="AW294" s="110">
        <v>198809.45</v>
      </c>
      <c r="AX294" s="110">
        <v>192948.66</v>
      </c>
      <c r="AY294" s="110">
        <v>176115.71</v>
      </c>
      <c r="AZ294" s="110">
        <v>180422.69</v>
      </c>
      <c r="BA294" s="110">
        <v>177172.27</v>
      </c>
      <c r="BB294" s="110">
        <v>177996.07</v>
      </c>
      <c r="BC294" s="110">
        <v>184170.79</v>
      </c>
      <c r="BD294" s="110">
        <v>185578.22</v>
      </c>
      <c r="BE294" s="110">
        <v>37919.120000000003</v>
      </c>
      <c r="BF294" s="110">
        <v>37796.46</v>
      </c>
      <c r="BG294" s="237">
        <v>38354.31</v>
      </c>
      <c r="BH294" s="237">
        <v>0</v>
      </c>
      <c r="BI294" s="237">
        <v>38957.72</v>
      </c>
      <c r="BJ294" s="237">
        <v>39253.5</v>
      </c>
      <c r="BK294" s="237">
        <v>39535.800000000003</v>
      </c>
      <c r="BL294" s="237">
        <v>16362.24</v>
      </c>
      <c r="BM294" s="237">
        <v>16499.919999999998</v>
      </c>
      <c r="BN294" s="237">
        <v>16637.63</v>
      </c>
      <c r="BO294" s="237">
        <v>0</v>
      </c>
      <c r="BP294" s="237">
        <v>0</v>
      </c>
      <c r="BQ294" s="237">
        <v>0</v>
      </c>
      <c r="BR294" s="237">
        <v>0</v>
      </c>
      <c r="BS294" s="237">
        <v>0</v>
      </c>
      <c r="BT294" s="237">
        <v>0</v>
      </c>
      <c r="BU294" s="237">
        <v>0</v>
      </c>
      <c r="BV294" s="237">
        <v>0</v>
      </c>
      <c r="BW294" s="237">
        <v>0</v>
      </c>
      <c r="BX294" s="237">
        <v>0</v>
      </c>
      <c r="BY294" s="237">
        <v>0</v>
      </c>
      <c r="BZ294" s="237">
        <v>0</v>
      </c>
      <c r="CA294" s="237">
        <v>0</v>
      </c>
      <c r="CB294" s="237">
        <v>0</v>
      </c>
      <c r="CC294" s="237">
        <v>0</v>
      </c>
      <c r="CD294" s="237">
        <v>0</v>
      </c>
      <c r="CE294" s="237">
        <v>0</v>
      </c>
      <c r="CF294" s="237">
        <v>0</v>
      </c>
      <c r="CG294" s="237">
        <v>0</v>
      </c>
      <c r="CH294" s="30">
        <v>0</v>
      </c>
      <c r="CI294" s="30">
        <v>0</v>
      </c>
      <c r="CJ294" s="30" t="e">
        <f t="array" aca="1" ref="CJ294" ca="1">_xludf.XLOOKUP(C294,'PL TOTAL D0'!H:H,'PL TOTAL D0'!I:I,"")</f>
        <v>#NAME?</v>
      </c>
    </row>
    <row r="295" spans="1:88" ht="15.75" customHeight="1">
      <c r="A295" s="36" t="s">
        <v>2921</v>
      </c>
      <c r="B295" s="3" t="s">
        <v>2177</v>
      </c>
      <c r="C295" s="9">
        <v>74276</v>
      </c>
      <c r="D295" s="9" t="s">
        <v>19</v>
      </c>
      <c r="E295" s="9" t="s">
        <v>34</v>
      </c>
      <c r="F295" s="9" t="s">
        <v>262</v>
      </c>
      <c r="G295" s="7" t="e">
        <f t="shared" ca="1" si="4"/>
        <v>#NAME?</v>
      </c>
      <c r="H295" s="8" t="s">
        <v>161</v>
      </c>
      <c r="I295" s="24" t="s">
        <v>162</v>
      </c>
      <c r="J295" s="9" t="str">
        <f t="shared" si="3"/>
        <v>Não</v>
      </c>
      <c r="K295" s="25">
        <v>44362</v>
      </c>
      <c r="L295" s="7"/>
      <c r="M295" s="6" t="s">
        <v>200</v>
      </c>
      <c r="N295" s="233">
        <v>1.4999999999999999E-2</v>
      </c>
      <c r="O295" s="9" t="s">
        <v>37</v>
      </c>
      <c r="P295" s="234">
        <v>0.1</v>
      </c>
      <c r="Q295" s="108"/>
      <c r="R295" s="108"/>
      <c r="S295" s="7" t="s">
        <v>187</v>
      </c>
      <c r="T295" s="6" t="s">
        <v>2180</v>
      </c>
      <c r="U295" s="6" t="s">
        <v>39</v>
      </c>
      <c r="V295" s="24" t="e">
        <f t="shared" ca="1" si="5"/>
        <v>#NAME?</v>
      </c>
      <c r="W295" s="24"/>
      <c r="X295" s="24"/>
      <c r="Y295" s="6" t="s">
        <v>253</v>
      </c>
      <c r="Z295" s="6"/>
      <c r="AA295" s="107">
        <v>44362</v>
      </c>
      <c r="AB295" s="6">
        <v>49075100004471</v>
      </c>
      <c r="AC295" s="132"/>
      <c r="AD295" s="132"/>
      <c r="AE295" s="132"/>
      <c r="AF295" s="132"/>
      <c r="AG295" s="132"/>
      <c r="AH295" s="132"/>
      <c r="AI295" s="132"/>
      <c r="AJ295" s="132"/>
      <c r="AK295" s="132"/>
      <c r="AL295" s="132"/>
      <c r="AM295" s="132"/>
      <c r="AN295" s="132"/>
      <c r="AO295" s="132"/>
      <c r="AP295" s="132"/>
      <c r="AQ295" s="110"/>
      <c r="AR295" s="110"/>
      <c r="AS295" s="110"/>
      <c r="AT295" s="110"/>
      <c r="AU295" s="132"/>
      <c r="AV295" s="110">
        <v>148154.25</v>
      </c>
      <c r="AW295" s="110">
        <v>233157.65</v>
      </c>
      <c r="AX295" s="110">
        <v>228964.7</v>
      </c>
      <c r="AY295" s="110">
        <v>225420.02</v>
      </c>
      <c r="AZ295" s="110">
        <v>219686.33</v>
      </c>
      <c r="BA295" s="110">
        <v>217140.23</v>
      </c>
      <c r="BB295" s="110">
        <v>182364.75</v>
      </c>
      <c r="BC295" s="110">
        <v>222858.9</v>
      </c>
      <c r="BD295" s="110">
        <v>224347.9</v>
      </c>
      <c r="BE295" s="110">
        <v>232615.54</v>
      </c>
      <c r="BF295" s="110">
        <v>227989.83</v>
      </c>
      <c r="BG295" s="237">
        <v>226983.35</v>
      </c>
      <c r="BH295" s="237">
        <v>224724.52</v>
      </c>
      <c r="BI295" s="237">
        <v>229590.19</v>
      </c>
      <c r="BJ295" s="237">
        <v>232629.08</v>
      </c>
      <c r="BK295" s="237">
        <v>235331.69</v>
      </c>
      <c r="BL295" s="237">
        <v>243567.89</v>
      </c>
      <c r="BM295" s="237">
        <v>241714.52</v>
      </c>
      <c r="BN295" s="237">
        <v>243507.20000000001</v>
      </c>
      <c r="BO295" s="237">
        <v>246189.27</v>
      </c>
      <c r="BP295" s="237">
        <v>246783.22</v>
      </c>
      <c r="BQ295" s="237">
        <v>248682.04</v>
      </c>
      <c r="BR295" s="237">
        <v>249050.44</v>
      </c>
      <c r="BS295" s="237">
        <v>255036.82</v>
      </c>
      <c r="BT295" s="237">
        <v>259460.67</v>
      </c>
      <c r="BU295" s="237">
        <v>260710.43</v>
      </c>
      <c r="BV295" s="237">
        <v>263251.56</v>
      </c>
      <c r="BW295" s="237">
        <v>249879.1</v>
      </c>
      <c r="BX295" s="237">
        <v>265891.94</v>
      </c>
      <c r="BY295" s="237">
        <v>216558.11</v>
      </c>
      <c r="BZ295" s="237">
        <v>19.55</v>
      </c>
      <c r="CA295" s="237">
        <v>0</v>
      </c>
      <c r="CB295" s="237">
        <v>19.55</v>
      </c>
      <c r="CC295" s="237">
        <v>0</v>
      </c>
      <c r="CD295" s="237">
        <v>19.55</v>
      </c>
      <c r="CE295" s="237">
        <v>0</v>
      </c>
      <c r="CF295" s="237">
        <v>0</v>
      </c>
      <c r="CG295" s="237">
        <v>0</v>
      </c>
      <c r="CH295" s="30">
        <v>0</v>
      </c>
      <c r="CI295" s="30">
        <v>0</v>
      </c>
      <c r="CJ295" s="30" t="e">
        <f t="array" aca="1" ref="CJ295" ca="1">_xludf.XLOOKUP(C295,'PL TOTAL D0'!H:H,'PL TOTAL D0'!I:I,"")</f>
        <v>#NAME?</v>
      </c>
    </row>
    <row r="296" spans="1:88" ht="15.75" customHeight="1">
      <c r="A296" s="36" t="s">
        <v>2921</v>
      </c>
      <c r="B296" s="37" t="s">
        <v>3410</v>
      </c>
      <c r="C296" s="9">
        <v>84645</v>
      </c>
      <c r="D296" s="9" t="s">
        <v>2989</v>
      </c>
      <c r="E296" s="9" t="s">
        <v>20</v>
      </c>
      <c r="F296" s="6" t="s">
        <v>2989</v>
      </c>
      <c r="G296" s="7" t="e">
        <f t="shared" ca="1" si="4"/>
        <v>#NAME?</v>
      </c>
      <c r="H296" s="8" t="s">
        <v>143</v>
      </c>
      <c r="I296" s="24" t="s">
        <v>25</v>
      </c>
      <c r="J296" s="9" t="str">
        <f t="shared" si="3"/>
        <v>Não</v>
      </c>
      <c r="K296" s="239">
        <v>43426</v>
      </c>
      <c r="L296" s="107">
        <v>44109</v>
      </c>
      <c r="M296" s="6" t="s">
        <v>87</v>
      </c>
      <c r="N296" s="10">
        <v>8.0000000000000002E-3</v>
      </c>
      <c r="O296" s="9" t="s">
        <v>183</v>
      </c>
      <c r="P296" s="234">
        <v>0.2</v>
      </c>
      <c r="Q296" s="108"/>
      <c r="R296" s="108"/>
      <c r="S296" s="7" t="s">
        <v>187</v>
      </c>
      <c r="T296" s="6" t="s">
        <v>3411</v>
      </c>
      <c r="U296" s="6" t="s">
        <v>20</v>
      </c>
      <c r="V296" s="24" t="e">
        <f t="shared" ca="1" si="5"/>
        <v>#NAME?</v>
      </c>
      <c r="W296" s="24"/>
      <c r="X296" s="24"/>
      <c r="Y296" s="6"/>
      <c r="Z296" s="6"/>
      <c r="AA296" s="6"/>
      <c r="AB296" s="6"/>
      <c r="AC296" s="110">
        <v>458759.65</v>
      </c>
      <c r="AD296" s="110">
        <v>433884.46</v>
      </c>
      <c r="AE296" s="110">
        <v>325714.55</v>
      </c>
      <c r="AF296" s="110">
        <v>350705</v>
      </c>
      <c r="AG296" s="110">
        <v>366907.76</v>
      </c>
      <c r="AH296" s="110">
        <v>390325.99</v>
      </c>
      <c r="AI296" s="110">
        <v>418339.04</v>
      </c>
      <c r="AJ296" s="110">
        <v>398448.18</v>
      </c>
      <c r="AK296" s="110">
        <v>379116.63</v>
      </c>
      <c r="AL296" s="110">
        <v>2478.61</v>
      </c>
      <c r="AM296" s="110">
        <v>0</v>
      </c>
      <c r="AN296" s="110">
        <v>0</v>
      </c>
      <c r="AO296" s="240"/>
      <c r="AP296" s="110"/>
      <c r="AQ296" s="110"/>
      <c r="AR296" s="110"/>
      <c r="AS296" s="110"/>
      <c r="AT296" s="110"/>
      <c r="AU296" s="110"/>
      <c r="AV296" s="240"/>
      <c r="AW296" s="240"/>
      <c r="AX296" s="240"/>
      <c r="AY296" s="110"/>
      <c r="AZ296" s="110"/>
      <c r="BA296" s="110"/>
      <c r="BB296" s="110"/>
      <c r="BC296" s="110"/>
      <c r="BD296" s="110">
        <v>0</v>
      </c>
      <c r="BE296" s="110">
        <v>0</v>
      </c>
      <c r="BF296" s="110">
        <v>0</v>
      </c>
      <c r="BG296" s="110" t="s">
        <v>2932</v>
      </c>
      <c r="BH296" s="110">
        <v>0</v>
      </c>
      <c r="BI296" s="110" t="s">
        <v>2932</v>
      </c>
      <c r="BJ296" s="110">
        <v>0</v>
      </c>
      <c r="BK296" s="237">
        <v>0</v>
      </c>
      <c r="BL296" s="237">
        <v>0</v>
      </c>
      <c r="BM296" s="237">
        <v>0</v>
      </c>
      <c r="BN296" s="237">
        <v>0</v>
      </c>
      <c r="BO296" s="237">
        <v>0</v>
      </c>
      <c r="BP296" s="237">
        <v>0</v>
      </c>
      <c r="BQ296" s="237">
        <v>0</v>
      </c>
      <c r="BR296" s="237">
        <v>0</v>
      </c>
      <c r="BS296" s="237">
        <v>0</v>
      </c>
      <c r="BT296" s="237">
        <v>0</v>
      </c>
      <c r="BU296" s="237">
        <v>0</v>
      </c>
      <c r="BV296" s="237">
        <v>0</v>
      </c>
      <c r="BW296" s="237">
        <v>0</v>
      </c>
      <c r="BX296" s="237">
        <v>0</v>
      </c>
      <c r="BY296" s="237">
        <v>0</v>
      </c>
      <c r="BZ296" s="237">
        <v>0</v>
      </c>
      <c r="CA296" s="237">
        <v>0</v>
      </c>
      <c r="CB296" s="237">
        <v>0</v>
      </c>
      <c r="CC296" s="237">
        <v>0</v>
      </c>
      <c r="CD296" s="237">
        <v>0</v>
      </c>
      <c r="CE296" s="237">
        <v>0</v>
      </c>
      <c r="CF296" s="237">
        <v>0</v>
      </c>
      <c r="CG296" s="237">
        <v>0</v>
      </c>
      <c r="CH296" s="30">
        <v>0</v>
      </c>
      <c r="CI296" s="30">
        <v>0</v>
      </c>
      <c r="CJ296" s="30" t="e">
        <f t="array" aca="1" ref="CJ296" ca="1">_xludf.XLOOKUP(C296,'PL TOTAL D0'!H:H,'PL TOTAL D0'!I:I,"")</f>
        <v>#NAME?</v>
      </c>
    </row>
    <row r="297" spans="1:88" ht="15.75" customHeight="1">
      <c r="A297" s="36" t="s">
        <v>2921</v>
      </c>
      <c r="B297" s="3" t="s">
        <v>3412</v>
      </c>
      <c r="C297" s="9">
        <v>435785</v>
      </c>
      <c r="D297" s="9" t="s">
        <v>2923</v>
      </c>
      <c r="E297" s="9" t="s">
        <v>20</v>
      </c>
      <c r="F297" s="6" t="s">
        <v>2924</v>
      </c>
      <c r="G297" s="7" t="e">
        <f t="shared" ca="1" si="4"/>
        <v>#NAME?</v>
      </c>
      <c r="H297" s="8" t="s">
        <v>143</v>
      </c>
      <c r="I297" s="24" t="s">
        <v>25</v>
      </c>
      <c r="J297" s="9" t="str">
        <f t="shared" si="3"/>
        <v>Não</v>
      </c>
      <c r="K297" s="239">
        <v>43816</v>
      </c>
      <c r="L297" s="107">
        <v>43944</v>
      </c>
      <c r="M297" s="6" t="s">
        <v>58</v>
      </c>
      <c r="N297" s="10">
        <v>1.2E-2</v>
      </c>
      <c r="O297" s="9" t="s">
        <v>25</v>
      </c>
      <c r="P297" s="234">
        <v>0</v>
      </c>
      <c r="Q297" s="108"/>
      <c r="R297" s="108"/>
      <c r="S297" s="7" t="s">
        <v>145</v>
      </c>
      <c r="T297" s="6" t="s">
        <v>3413</v>
      </c>
      <c r="U297" s="6" t="s">
        <v>49</v>
      </c>
      <c r="V297" s="24" t="e">
        <f t="shared" ca="1" si="5"/>
        <v>#NAME?</v>
      </c>
      <c r="W297" s="24"/>
      <c r="X297" s="24"/>
      <c r="Y297" s="6"/>
      <c r="Z297" s="6"/>
      <c r="AA297" s="6"/>
      <c r="AB297" s="6"/>
      <c r="AC297" s="110">
        <v>82328.990000000005</v>
      </c>
      <c r="AD297" s="110">
        <v>83981</v>
      </c>
      <c r="AE297" s="110">
        <v>79578.570000000007</v>
      </c>
      <c r="AF297" s="110">
        <v>80989.06</v>
      </c>
      <c r="AG297" s="110">
        <v>81576.63</v>
      </c>
      <c r="AH297" s="110">
        <v>82263.11</v>
      </c>
      <c r="AI297" s="110">
        <v>88285.95</v>
      </c>
      <c r="AJ297" s="110">
        <v>92144.99</v>
      </c>
      <c r="AK297" s="110">
        <v>91052.35</v>
      </c>
      <c r="AL297" s="110">
        <v>90888.51</v>
      </c>
      <c r="AM297" s="110">
        <v>18596.25</v>
      </c>
      <c r="AN297" s="110">
        <v>18555.740000000002</v>
      </c>
      <c r="AO297" s="110">
        <v>18463.75</v>
      </c>
      <c r="AP297" s="110"/>
      <c r="AQ297" s="110"/>
      <c r="AR297" s="110"/>
      <c r="AS297" s="110"/>
      <c r="AT297" s="110"/>
      <c r="AU297" s="110"/>
      <c r="AV297" s="240"/>
      <c r="AW297" s="240"/>
      <c r="AX297" s="240"/>
      <c r="AY297" s="110"/>
      <c r="AZ297" s="110"/>
      <c r="BA297" s="110"/>
      <c r="BB297" s="110"/>
      <c r="BC297" s="110"/>
      <c r="BD297" s="110">
        <v>0</v>
      </c>
      <c r="BE297" s="110">
        <v>0</v>
      </c>
      <c r="BF297" s="110">
        <v>0</v>
      </c>
      <c r="BG297" s="110" t="s">
        <v>2932</v>
      </c>
      <c r="BH297" s="110">
        <v>0</v>
      </c>
      <c r="BI297" s="110" t="s">
        <v>2932</v>
      </c>
      <c r="BJ297" s="110">
        <v>0</v>
      </c>
      <c r="BK297" s="237">
        <v>0</v>
      </c>
      <c r="BL297" s="237">
        <v>0</v>
      </c>
      <c r="BM297" s="237">
        <v>0</v>
      </c>
      <c r="BN297" s="237">
        <v>0</v>
      </c>
      <c r="BO297" s="237">
        <v>0</v>
      </c>
      <c r="BP297" s="237">
        <v>0</v>
      </c>
      <c r="BQ297" s="237">
        <v>0</v>
      </c>
      <c r="BR297" s="237">
        <v>0</v>
      </c>
      <c r="BS297" s="237">
        <v>0</v>
      </c>
      <c r="BT297" s="237">
        <v>0</v>
      </c>
      <c r="BU297" s="237">
        <v>0</v>
      </c>
      <c r="BV297" s="237">
        <v>0</v>
      </c>
      <c r="BW297" s="237">
        <v>0</v>
      </c>
      <c r="BX297" s="237">
        <v>0</v>
      </c>
      <c r="BY297" s="237">
        <v>0</v>
      </c>
      <c r="BZ297" s="237">
        <v>0</v>
      </c>
      <c r="CA297" s="237">
        <v>0</v>
      </c>
      <c r="CB297" s="237">
        <v>0</v>
      </c>
      <c r="CC297" s="237">
        <v>0</v>
      </c>
      <c r="CD297" s="237">
        <v>0</v>
      </c>
      <c r="CE297" s="237">
        <v>0</v>
      </c>
      <c r="CF297" s="237">
        <v>0</v>
      </c>
      <c r="CG297" s="237">
        <v>0</v>
      </c>
      <c r="CH297" s="30">
        <v>0</v>
      </c>
      <c r="CI297" s="30">
        <v>0</v>
      </c>
      <c r="CJ297" s="30" t="e">
        <f t="array" aca="1" ref="CJ297" ca="1">_xludf.XLOOKUP(C297,'PL TOTAL D0'!H:H,'PL TOTAL D0'!I:I,"")</f>
        <v>#NAME?</v>
      </c>
    </row>
    <row r="298" spans="1:88" ht="15.75" customHeight="1">
      <c r="A298" s="36" t="s">
        <v>2921</v>
      </c>
      <c r="B298" s="37" t="s">
        <v>3414</v>
      </c>
      <c r="C298" s="9">
        <v>344424</v>
      </c>
      <c r="D298" s="9" t="s">
        <v>19</v>
      </c>
      <c r="E298" s="9" t="s">
        <v>20</v>
      </c>
      <c r="F298" s="6" t="s">
        <v>800</v>
      </c>
      <c r="G298" s="7" t="e">
        <f t="shared" ca="1" si="4"/>
        <v>#NAME?</v>
      </c>
      <c r="H298" s="8" t="s">
        <v>161</v>
      </c>
      <c r="I298" s="24" t="s">
        <v>162</v>
      </c>
      <c r="J298" s="9" t="str">
        <f t="shared" si="3"/>
        <v>Sim</v>
      </c>
      <c r="K298" s="107">
        <v>45019</v>
      </c>
      <c r="L298" s="107"/>
      <c r="M298" s="6" t="s">
        <v>345</v>
      </c>
      <c r="N298" s="10">
        <v>0.02</v>
      </c>
      <c r="O298" s="9" t="s">
        <v>37</v>
      </c>
      <c r="P298" s="234">
        <v>0.2</v>
      </c>
      <c r="Q298" s="108" t="s">
        <v>3415</v>
      </c>
      <c r="R298" s="108"/>
      <c r="S298" s="7" t="s">
        <v>145</v>
      </c>
      <c r="T298" s="6" t="s">
        <v>3416</v>
      </c>
      <c r="U298" s="6" t="s">
        <v>49</v>
      </c>
      <c r="V298" s="24" t="e">
        <f t="shared" ca="1" si="5"/>
        <v>#NAME?</v>
      </c>
      <c r="W298" s="24"/>
      <c r="X298" s="24"/>
      <c r="Y298" s="6" t="s">
        <v>253</v>
      </c>
      <c r="Z298" s="6"/>
      <c r="AA298" s="107">
        <v>45019</v>
      </c>
      <c r="AB298" s="6">
        <v>49075100010897</v>
      </c>
      <c r="AC298" s="110"/>
      <c r="AD298" s="110"/>
      <c r="AE298" s="110"/>
      <c r="AF298" s="110"/>
      <c r="AG298" s="110"/>
      <c r="AH298" s="110"/>
      <c r="AI298" s="110"/>
      <c r="AJ298" s="240"/>
      <c r="AK298" s="240"/>
      <c r="AL298" s="240"/>
      <c r="AM298" s="240"/>
      <c r="AN298" s="240"/>
      <c r="AO298" s="240"/>
      <c r="AP298" s="110"/>
      <c r="AQ298" s="110"/>
      <c r="AR298" s="110"/>
      <c r="AS298" s="110"/>
      <c r="AT298" s="110"/>
      <c r="AU298" s="110"/>
      <c r="AV298" s="240"/>
      <c r="AW298" s="240"/>
      <c r="AX298" s="240"/>
      <c r="AY298" s="110"/>
      <c r="AZ298" s="110"/>
      <c r="BA298" s="110"/>
      <c r="BB298" s="110"/>
      <c r="BC298" s="110"/>
      <c r="BD298" s="110"/>
      <c r="BE298" s="110"/>
      <c r="BF298" s="110"/>
      <c r="BG298" s="110"/>
      <c r="BH298" s="237">
        <v>0</v>
      </c>
      <c r="BI298" s="237" t="s">
        <v>2932</v>
      </c>
      <c r="BJ298" s="237">
        <v>0</v>
      </c>
      <c r="BK298" s="237">
        <v>0</v>
      </c>
      <c r="BL298" s="237">
        <v>0</v>
      </c>
      <c r="BM298" s="237">
        <v>0</v>
      </c>
      <c r="BN298" s="237">
        <v>0</v>
      </c>
      <c r="BO298" s="237">
        <v>0</v>
      </c>
      <c r="BP298" s="237">
        <v>0</v>
      </c>
      <c r="BQ298" s="237">
        <v>98197.72</v>
      </c>
      <c r="BR298" s="237">
        <v>5347.13</v>
      </c>
      <c r="BS298" s="237">
        <v>5538.02</v>
      </c>
      <c r="BT298" s="237">
        <v>0</v>
      </c>
      <c r="BU298" s="237">
        <v>0</v>
      </c>
      <c r="BV298" s="237">
        <v>0</v>
      </c>
      <c r="BW298" s="237">
        <v>0</v>
      </c>
      <c r="BX298" s="237">
        <v>0</v>
      </c>
      <c r="BY298" s="237">
        <v>0</v>
      </c>
      <c r="BZ298" s="237">
        <v>0</v>
      </c>
      <c r="CA298" s="237">
        <v>0</v>
      </c>
      <c r="CB298" s="237">
        <v>0</v>
      </c>
      <c r="CC298" s="237">
        <v>0</v>
      </c>
      <c r="CD298" s="237">
        <v>0</v>
      </c>
      <c r="CE298" s="237">
        <v>0</v>
      </c>
      <c r="CF298" s="237">
        <v>0</v>
      </c>
      <c r="CG298" s="237">
        <v>0</v>
      </c>
      <c r="CH298" s="30">
        <v>0</v>
      </c>
      <c r="CI298" s="30">
        <v>0</v>
      </c>
      <c r="CJ298" s="30" t="e">
        <f t="array" aca="1" ref="CJ298" ca="1">_xludf.XLOOKUP(C298,'PL TOTAL D0'!H:H,'PL TOTAL D0'!I:I,"")</f>
        <v>#NAME?</v>
      </c>
    </row>
    <row r="299" spans="1:88" ht="15.75" customHeight="1">
      <c r="A299" s="36" t="s">
        <v>2921</v>
      </c>
      <c r="B299" s="37" t="s">
        <v>3417</v>
      </c>
      <c r="C299" s="9">
        <v>259113</v>
      </c>
      <c r="D299" s="9" t="s">
        <v>2923</v>
      </c>
      <c r="E299" s="9" t="s">
        <v>20</v>
      </c>
      <c r="F299" s="6" t="s">
        <v>2924</v>
      </c>
      <c r="G299" s="7" t="e">
        <f t="shared" ca="1" si="4"/>
        <v>#NAME?</v>
      </c>
      <c r="H299" s="8" t="s">
        <v>143</v>
      </c>
      <c r="I299" s="24" t="s">
        <v>25</v>
      </c>
      <c r="J299" s="9" t="str">
        <f t="shared" si="3"/>
        <v>Não</v>
      </c>
      <c r="K299" s="107">
        <v>43563</v>
      </c>
      <c r="L299" s="107">
        <v>43922</v>
      </c>
      <c r="M299" s="6" t="s">
        <v>87</v>
      </c>
      <c r="N299" s="10">
        <v>0.02</v>
      </c>
      <c r="O299" s="9" t="s">
        <v>183</v>
      </c>
      <c r="P299" s="234">
        <v>0.2</v>
      </c>
      <c r="Q299" s="108"/>
      <c r="R299" s="108"/>
      <c r="S299" s="7" t="s">
        <v>187</v>
      </c>
      <c r="T299" s="6" t="s">
        <v>3418</v>
      </c>
      <c r="U299" s="6" t="s">
        <v>20</v>
      </c>
      <c r="V299" s="24" t="e">
        <f t="shared" ca="1" si="5"/>
        <v>#NAME?</v>
      </c>
      <c r="W299" s="24"/>
      <c r="X299" s="24"/>
      <c r="Y299" s="6"/>
      <c r="Z299" s="6"/>
      <c r="AA299" s="6"/>
      <c r="AB299" s="6"/>
      <c r="AC299" s="110">
        <v>121226.27</v>
      </c>
      <c r="AD299" s="110">
        <v>116836.13</v>
      </c>
      <c r="AE299" s="110">
        <v>95799.8</v>
      </c>
      <c r="AF299" s="110">
        <v>93529.71</v>
      </c>
      <c r="AG299" s="110">
        <v>1406.39</v>
      </c>
      <c r="AH299" s="110">
        <v>0</v>
      </c>
      <c r="AI299" s="110">
        <v>0</v>
      </c>
      <c r="AJ299" s="240"/>
      <c r="AK299" s="240"/>
      <c r="AL299" s="240"/>
      <c r="AM299" s="240"/>
      <c r="AN299" s="240"/>
      <c r="AO299" s="240"/>
      <c r="AP299" s="110">
        <v>487.29</v>
      </c>
      <c r="AQ299" s="110">
        <v>487.29</v>
      </c>
      <c r="AR299" s="110">
        <v>487.29</v>
      </c>
      <c r="AS299" s="110">
        <v>487.29</v>
      </c>
      <c r="AT299" s="110">
        <v>487.29</v>
      </c>
      <c r="AU299" s="110">
        <v>487.29</v>
      </c>
      <c r="AV299" s="240"/>
      <c r="AW299" s="240"/>
      <c r="AX299" s="240"/>
      <c r="AY299" s="110"/>
      <c r="AZ299" s="110"/>
      <c r="BA299" s="110"/>
      <c r="BB299" s="110"/>
      <c r="BC299" s="110"/>
      <c r="BD299" s="110">
        <v>0</v>
      </c>
      <c r="BE299" s="110">
        <v>0</v>
      </c>
      <c r="BF299" s="110">
        <v>0</v>
      </c>
      <c r="BG299" s="110" t="s">
        <v>2932</v>
      </c>
      <c r="BH299" s="110">
        <v>0</v>
      </c>
      <c r="BI299" s="110" t="s">
        <v>2932</v>
      </c>
      <c r="BJ299" s="110">
        <v>0</v>
      </c>
      <c r="BK299" s="237">
        <v>0</v>
      </c>
      <c r="BL299" s="237">
        <v>0</v>
      </c>
      <c r="BM299" s="237">
        <v>0</v>
      </c>
      <c r="BN299" s="237">
        <v>0</v>
      </c>
      <c r="BO299" s="237">
        <v>0</v>
      </c>
      <c r="BP299" s="237">
        <v>0</v>
      </c>
      <c r="BQ299" s="237">
        <v>0</v>
      </c>
      <c r="BR299" s="237">
        <v>0</v>
      </c>
      <c r="BS299" s="237">
        <v>0</v>
      </c>
      <c r="BT299" s="237">
        <v>0</v>
      </c>
      <c r="BU299" s="237">
        <v>0</v>
      </c>
      <c r="BV299" s="237">
        <v>0</v>
      </c>
      <c r="BW299" s="237">
        <v>0</v>
      </c>
      <c r="BX299" s="237">
        <v>0</v>
      </c>
      <c r="BY299" s="237">
        <v>0</v>
      </c>
      <c r="BZ299" s="237">
        <v>0</v>
      </c>
      <c r="CA299" s="237">
        <v>0</v>
      </c>
      <c r="CB299" s="237">
        <v>0</v>
      </c>
      <c r="CC299" s="237">
        <v>0</v>
      </c>
      <c r="CD299" s="237">
        <v>0</v>
      </c>
      <c r="CE299" s="237">
        <v>0</v>
      </c>
      <c r="CF299" s="237">
        <v>0</v>
      </c>
      <c r="CG299" s="237">
        <v>0</v>
      </c>
      <c r="CH299" s="30">
        <v>0</v>
      </c>
      <c r="CI299" s="30">
        <v>0</v>
      </c>
      <c r="CJ299" s="30" t="e">
        <f t="array" aca="1" ref="CJ299" ca="1">_xludf.XLOOKUP(C299,'PL TOTAL D0'!H:H,'PL TOTAL D0'!I:I,"")</f>
        <v>#NAME?</v>
      </c>
    </row>
    <row r="300" spans="1:88" ht="15.75" customHeight="1">
      <c r="A300" s="36" t="s">
        <v>2921</v>
      </c>
      <c r="B300" s="36" t="s">
        <v>3419</v>
      </c>
      <c r="C300" s="9">
        <v>319435</v>
      </c>
      <c r="D300" s="9" t="s">
        <v>19</v>
      </c>
      <c r="E300" s="9" t="s">
        <v>20</v>
      </c>
      <c r="F300" s="9" t="s">
        <v>199</v>
      </c>
      <c r="G300" s="7" t="e">
        <f t="shared" ca="1" si="4"/>
        <v>#NAME?</v>
      </c>
      <c r="H300" s="8" t="s">
        <v>161</v>
      </c>
      <c r="I300" s="24" t="s">
        <v>162</v>
      </c>
      <c r="J300" s="9" t="str">
        <f t="shared" si="3"/>
        <v>Sim</v>
      </c>
      <c r="K300" s="232">
        <v>43473</v>
      </c>
      <c r="L300" s="6"/>
      <c r="M300" s="6" t="s">
        <v>58</v>
      </c>
      <c r="N300" s="233">
        <v>5.0000000000000001E-3</v>
      </c>
      <c r="O300" s="9" t="s">
        <v>25</v>
      </c>
      <c r="P300" s="234">
        <v>0</v>
      </c>
      <c r="Q300" s="108" t="s">
        <v>3420</v>
      </c>
      <c r="R300" s="108"/>
      <c r="S300" s="7" t="s">
        <v>187</v>
      </c>
      <c r="T300" s="9" t="s">
        <v>3421</v>
      </c>
      <c r="U300" s="6" t="s">
        <v>20</v>
      </c>
      <c r="V300" s="24" t="e">
        <f t="shared" ca="1" si="5"/>
        <v>#NAME?</v>
      </c>
      <c r="W300" s="24"/>
      <c r="X300" s="24"/>
      <c r="Y300" s="6" t="s">
        <v>253</v>
      </c>
      <c r="Z300" s="6"/>
      <c r="AA300" s="107">
        <v>43473</v>
      </c>
      <c r="AB300" s="6">
        <v>49075100004013</v>
      </c>
      <c r="AC300" s="110">
        <v>757832.36</v>
      </c>
      <c r="AD300" s="110">
        <v>759796.89</v>
      </c>
      <c r="AE300" s="110">
        <v>761930.57</v>
      </c>
      <c r="AF300" s="110">
        <v>763792.19</v>
      </c>
      <c r="AG300" s="110">
        <v>765303.06</v>
      </c>
      <c r="AH300" s="110">
        <v>766555.58</v>
      </c>
      <c r="AI300" s="110">
        <v>767964.38</v>
      </c>
      <c r="AJ300" s="110">
        <v>769053.79</v>
      </c>
      <c r="AK300" s="110">
        <v>769690.88</v>
      </c>
      <c r="AL300" s="110">
        <v>770608.86</v>
      </c>
      <c r="AM300" s="110">
        <v>766934.27</v>
      </c>
      <c r="AN300" s="110">
        <v>771474.09</v>
      </c>
      <c r="AO300" s="110">
        <v>772549.88</v>
      </c>
      <c r="AP300" s="110">
        <v>769033.58</v>
      </c>
      <c r="AQ300" s="236">
        <v>772742.37</v>
      </c>
      <c r="AR300" s="236">
        <v>769962.53</v>
      </c>
      <c r="AS300" s="236">
        <v>770642.07</v>
      </c>
      <c r="AT300" s="236">
        <v>770548.84</v>
      </c>
      <c r="AU300" s="236">
        <v>771425.48</v>
      </c>
      <c r="AV300" s="110">
        <v>773093.36</v>
      </c>
      <c r="AW300" s="110">
        <v>775708.14</v>
      </c>
      <c r="AX300" s="110">
        <v>777983.5</v>
      </c>
      <c r="AY300" s="110">
        <v>730368.88</v>
      </c>
      <c r="AZ300" s="110">
        <v>722459.93</v>
      </c>
      <c r="BA300" s="110">
        <v>626088.4</v>
      </c>
      <c r="BB300" s="110">
        <v>630881.17000000004</v>
      </c>
      <c r="BC300" s="110">
        <v>573611.84</v>
      </c>
      <c r="BD300" s="110">
        <v>561713.31999999995</v>
      </c>
      <c r="BE300" s="110">
        <v>576563.35</v>
      </c>
      <c r="BF300" s="110">
        <v>574001.29</v>
      </c>
      <c r="BG300" s="237">
        <v>575656.88</v>
      </c>
      <c r="BH300" s="237">
        <v>555984.21</v>
      </c>
      <c r="BI300" s="237">
        <v>563740.12</v>
      </c>
      <c r="BJ300" s="237">
        <v>557043.07999999996</v>
      </c>
      <c r="BK300" s="237">
        <v>501874.55</v>
      </c>
      <c r="BL300" s="237">
        <v>426715.93</v>
      </c>
      <c r="BM300" s="237">
        <v>413515.5</v>
      </c>
      <c r="BN300" s="237">
        <v>317455.55</v>
      </c>
      <c r="BO300" s="237">
        <v>282804.71000000002</v>
      </c>
      <c r="BP300" s="237">
        <v>271732.7</v>
      </c>
      <c r="BQ300" s="237">
        <v>274484.56</v>
      </c>
      <c r="BR300" s="237">
        <v>276241.8</v>
      </c>
      <c r="BS300" s="237">
        <v>278295.7</v>
      </c>
      <c r="BT300" s="237">
        <v>285639.96000000002</v>
      </c>
      <c r="BU300" s="237">
        <v>286889.23</v>
      </c>
      <c r="BV300" s="237">
        <v>288459.5</v>
      </c>
      <c r="BW300" s="237">
        <v>273204.03000000003</v>
      </c>
      <c r="BX300" s="237">
        <v>98009.13</v>
      </c>
      <c r="BY300" s="237">
        <v>49.67</v>
      </c>
      <c r="BZ300" s="237">
        <v>49.67</v>
      </c>
      <c r="CA300" s="237">
        <v>49.67</v>
      </c>
      <c r="CB300" s="237">
        <v>49.67</v>
      </c>
      <c r="CC300" s="237">
        <v>49.67</v>
      </c>
      <c r="CD300" s="237">
        <v>0</v>
      </c>
      <c r="CE300" s="237">
        <v>0</v>
      </c>
      <c r="CF300" s="237">
        <v>0</v>
      </c>
      <c r="CG300" s="237">
        <v>0</v>
      </c>
      <c r="CH300" s="30">
        <v>0</v>
      </c>
      <c r="CI300" s="30">
        <v>40.81</v>
      </c>
      <c r="CJ300" s="30" t="e">
        <f t="array" aca="1" ref="CJ300" ca="1">_xludf.XLOOKUP(C300,'PL TOTAL D0'!H:H,'PL TOTAL D0'!I:I,"")</f>
        <v>#NAME?</v>
      </c>
    </row>
    <row r="301" spans="1:88" ht="15.75" customHeight="1">
      <c r="A301" s="36" t="s">
        <v>2921</v>
      </c>
      <c r="B301" s="36" t="s">
        <v>3419</v>
      </c>
      <c r="C301" s="9">
        <v>577357</v>
      </c>
      <c r="D301" s="9" t="s">
        <v>19</v>
      </c>
      <c r="E301" s="9" t="s">
        <v>20</v>
      </c>
      <c r="F301" s="9" t="s">
        <v>199</v>
      </c>
      <c r="G301" s="7" t="e">
        <f t="shared" ca="1" si="4"/>
        <v>#NAME?</v>
      </c>
      <c r="H301" s="8" t="s">
        <v>161</v>
      </c>
      <c r="I301" s="24" t="s">
        <v>162</v>
      </c>
      <c r="J301" s="9" t="str">
        <f t="shared" si="3"/>
        <v>Sim</v>
      </c>
      <c r="K301" s="232">
        <v>43545</v>
      </c>
      <c r="L301" s="6"/>
      <c r="M301" s="6" t="s">
        <v>87</v>
      </c>
      <c r="N301" s="233">
        <v>0.02</v>
      </c>
      <c r="O301" s="9" t="s">
        <v>183</v>
      </c>
      <c r="P301" s="234">
        <v>0.2</v>
      </c>
      <c r="Q301" s="108" t="s">
        <v>3420</v>
      </c>
      <c r="R301" s="108"/>
      <c r="S301" s="7" t="s">
        <v>187</v>
      </c>
      <c r="T301" s="9" t="s">
        <v>3421</v>
      </c>
      <c r="U301" s="6" t="s">
        <v>20</v>
      </c>
      <c r="V301" s="24" t="e">
        <f t="shared" ca="1" si="5"/>
        <v>#NAME?</v>
      </c>
      <c r="W301" s="24"/>
      <c r="X301" s="24"/>
      <c r="Y301" s="6" t="s">
        <v>253</v>
      </c>
      <c r="Z301" s="6"/>
      <c r="AA301" s="107">
        <v>43545</v>
      </c>
      <c r="AB301" s="6">
        <v>49075100004498</v>
      </c>
      <c r="AC301" s="110">
        <v>718039.46</v>
      </c>
      <c r="AD301" s="110">
        <v>690131.01</v>
      </c>
      <c r="AE301" s="110">
        <v>519726.24</v>
      </c>
      <c r="AF301" s="110">
        <v>555884.46</v>
      </c>
      <c r="AG301" s="110">
        <v>578786.88</v>
      </c>
      <c r="AH301" s="110">
        <v>613323.21</v>
      </c>
      <c r="AI301" s="110">
        <v>655184.16</v>
      </c>
      <c r="AJ301" s="110">
        <v>625374.16</v>
      </c>
      <c r="AK301" s="110">
        <v>596580.71</v>
      </c>
      <c r="AL301" s="110">
        <v>607623.89</v>
      </c>
      <c r="AM301" s="110">
        <v>681266.39</v>
      </c>
      <c r="AN301" s="110">
        <v>701671.01</v>
      </c>
      <c r="AO301" s="110">
        <v>671723.86</v>
      </c>
      <c r="AP301" s="110">
        <v>639796.21</v>
      </c>
      <c r="AQ301" s="236">
        <v>629878.38</v>
      </c>
      <c r="AR301" s="236">
        <v>682852.38</v>
      </c>
      <c r="AS301" s="236">
        <v>682501.2</v>
      </c>
      <c r="AT301" s="236">
        <v>687404.29</v>
      </c>
      <c r="AU301" s="236">
        <v>717970.57</v>
      </c>
      <c r="AV301" s="110">
        <v>707344.22</v>
      </c>
      <c r="AW301" s="110">
        <v>687437.57</v>
      </c>
      <c r="AX301" s="110">
        <v>653442.9</v>
      </c>
      <c r="AY301" s="110">
        <v>621583.76</v>
      </c>
      <c r="AZ301" s="110">
        <v>583232.36</v>
      </c>
      <c r="BA301" s="110">
        <v>566604.62</v>
      </c>
      <c r="BB301" s="110">
        <v>566153.72</v>
      </c>
      <c r="BC301" s="110">
        <v>548166.79</v>
      </c>
      <c r="BD301" s="110">
        <v>556084.61</v>
      </c>
      <c r="BE301" s="110">
        <v>603161.04</v>
      </c>
      <c r="BF301" s="110">
        <v>470881.06</v>
      </c>
      <c r="BG301" s="237">
        <v>460388.48</v>
      </c>
      <c r="BH301" s="237">
        <v>441900.77</v>
      </c>
      <c r="BI301" s="237">
        <v>464410.17</v>
      </c>
      <c r="BJ301" s="237">
        <v>457121.35</v>
      </c>
      <c r="BK301" s="237">
        <v>460293.65</v>
      </c>
      <c r="BL301" s="237">
        <v>494985.16</v>
      </c>
      <c r="BM301" s="237">
        <v>467420.67</v>
      </c>
      <c r="BN301" s="237">
        <v>364774.77</v>
      </c>
      <c r="BO301" s="237">
        <v>376161.37</v>
      </c>
      <c r="BP301" s="237">
        <v>361570.14</v>
      </c>
      <c r="BQ301" s="237">
        <v>360592.88</v>
      </c>
      <c r="BR301" s="237">
        <v>351118.95</v>
      </c>
      <c r="BS301" s="237">
        <v>366005.46</v>
      </c>
      <c r="BT301" s="237">
        <v>394950.09</v>
      </c>
      <c r="BU301" s="237">
        <v>408337.02</v>
      </c>
      <c r="BV301" s="237">
        <v>411051.08</v>
      </c>
      <c r="BW301" s="237">
        <v>397192.11</v>
      </c>
      <c r="BX301" s="237">
        <v>376449.56</v>
      </c>
      <c r="BY301" s="237">
        <v>2206.94</v>
      </c>
      <c r="BZ301" s="237">
        <v>1678.24</v>
      </c>
      <c r="CA301" s="237">
        <v>1678.24</v>
      </c>
      <c r="CB301" s="237">
        <v>1678.24</v>
      </c>
      <c r="CC301" s="237">
        <v>1630.44</v>
      </c>
      <c r="CD301" s="237">
        <v>1235.54</v>
      </c>
      <c r="CE301" s="237">
        <v>0</v>
      </c>
      <c r="CF301" s="237">
        <v>984.86</v>
      </c>
      <c r="CG301" s="237">
        <v>984.86</v>
      </c>
      <c r="CH301" s="30">
        <v>984.86</v>
      </c>
      <c r="CI301" s="30">
        <v>876.68</v>
      </c>
      <c r="CJ301" s="30" t="e">
        <f t="array" aca="1" ref="CJ301" ca="1">_xludf.XLOOKUP(C301,'PL TOTAL D0'!H:H,'PL TOTAL D0'!I:I,"")</f>
        <v>#NAME?</v>
      </c>
    </row>
    <row r="302" spans="1:88" ht="15.75" customHeight="1">
      <c r="A302" s="36" t="s">
        <v>2921</v>
      </c>
      <c r="B302" s="37" t="s">
        <v>3422</v>
      </c>
      <c r="C302" s="9">
        <v>379728</v>
      </c>
      <c r="D302" s="9" t="s">
        <v>19</v>
      </c>
      <c r="E302" s="9" t="s">
        <v>20</v>
      </c>
      <c r="F302" s="9" t="s">
        <v>3159</v>
      </c>
      <c r="G302" s="7" t="e">
        <f t="shared" ca="1" si="4"/>
        <v>#NAME?</v>
      </c>
      <c r="H302" s="8" t="s">
        <v>152</v>
      </c>
      <c r="I302" s="24" t="s">
        <v>25</v>
      </c>
      <c r="J302" s="9" t="str">
        <f t="shared" si="3"/>
        <v>Não</v>
      </c>
      <c r="K302" s="107">
        <v>45021</v>
      </c>
      <c r="L302" s="6"/>
      <c r="M302" s="6" t="s">
        <v>200</v>
      </c>
      <c r="N302" s="233">
        <v>1.4999999999999999E-2</v>
      </c>
      <c r="O302" s="9" t="s">
        <v>37</v>
      </c>
      <c r="P302" s="234">
        <v>0.1</v>
      </c>
      <c r="Q302" s="28"/>
      <c r="R302" s="28"/>
      <c r="S302" s="7" t="s">
        <v>145</v>
      </c>
      <c r="T302" s="6" t="s">
        <v>3423</v>
      </c>
      <c r="U302" s="6" t="s">
        <v>46</v>
      </c>
      <c r="V302" s="24" t="e">
        <f t="shared" ca="1" si="5"/>
        <v>#NAME?</v>
      </c>
      <c r="W302" s="24"/>
      <c r="X302" s="24"/>
      <c r="Y302" s="6" t="s">
        <v>253</v>
      </c>
      <c r="Z302" s="6"/>
      <c r="AA302" s="107">
        <v>45021</v>
      </c>
      <c r="AB302" s="6">
        <v>49075100009899</v>
      </c>
      <c r="AC302" s="132"/>
      <c r="AD302" s="132"/>
      <c r="AE302" s="132"/>
      <c r="AF302" s="132"/>
      <c r="AG302" s="132"/>
      <c r="AH302" s="132"/>
      <c r="AI302" s="132"/>
      <c r="AJ302" s="132"/>
      <c r="AK302" s="132"/>
      <c r="AL302" s="132"/>
      <c r="AM302" s="132"/>
      <c r="AN302" s="132"/>
      <c r="AO302" s="132"/>
      <c r="AP302" s="240"/>
      <c r="AQ302" s="110"/>
      <c r="AR302" s="110"/>
      <c r="AS302" s="110"/>
      <c r="AT302" s="110"/>
      <c r="AU302" s="110"/>
      <c r="AV302" s="110"/>
      <c r="AW302" s="110"/>
      <c r="AX302" s="110"/>
      <c r="AY302" s="110"/>
      <c r="AZ302" s="110"/>
      <c r="BA302" s="110"/>
      <c r="BB302" s="110"/>
      <c r="BC302" s="110"/>
      <c r="BD302" s="110"/>
      <c r="BE302" s="110"/>
      <c r="BF302" s="110"/>
      <c r="BG302" s="237"/>
      <c r="BH302" s="237"/>
      <c r="BI302" s="237"/>
      <c r="BJ302" s="237"/>
      <c r="BK302" s="237"/>
      <c r="BL302" s="237"/>
      <c r="BM302" s="237"/>
      <c r="BN302" s="237"/>
      <c r="BO302" s="237"/>
      <c r="BP302" s="237"/>
      <c r="BQ302" s="237">
        <v>0</v>
      </c>
      <c r="BR302" s="237">
        <v>401296.5</v>
      </c>
      <c r="BS302" s="237">
        <v>414286.85</v>
      </c>
      <c r="BT302" s="237">
        <v>419603.51</v>
      </c>
      <c r="BU302" s="237">
        <v>348634.83</v>
      </c>
      <c r="BV302" s="237">
        <v>444367.72</v>
      </c>
      <c r="BW302" s="237">
        <v>425731.2</v>
      </c>
      <c r="BX302" s="237">
        <v>425204.09</v>
      </c>
      <c r="BY302" s="237">
        <v>369608.48</v>
      </c>
      <c r="BZ302" s="237">
        <v>373045.59</v>
      </c>
      <c r="CA302" s="237">
        <v>372017.84</v>
      </c>
      <c r="CB302" s="237">
        <v>382281.91</v>
      </c>
      <c r="CC302" s="237">
        <v>388846.62</v>
      </c>
      <c r="CD302" s="237">
        <v>383089.21</v>
      </c>
      <c r="CE302" s="237">
        <v>388497.31</v>
      </c>
      <c r="CF302" s="237">
        <v>401086.97</v>
      </c>
      <c r="CG302" s="237">
        <v>403272.66</v>
      </c>
      <c r="CH302" s="30">
        <v>408613.6</v>
      </c>
      <c r="CI302" s="30">
        <v>406492.79</v>
      </c>
      <c r="CJ302" s="30" t="e">
        <f t="array" aca="1" ref="CJ302" ca="1">_xludf.XLOOKUP(C302,'PL TOTAL D0'!H:H,'PL TOTAL D0'!I:I,"")</f>
        <v>#NAME?</v>
      </c>
    </row>
    <row r="303" spans="1:88" ht="15.75" customHeight="1">
      <c r="A303" s="36" t="s">
        <v>2921</v>
      </c>
      <c r="B303" s="37" t="s">
        <v>3424</v>
      </c>
      <c r="C303" s="9">
        <v>270174</v>
      </c>
      <c r="D303" s="9" t="s">
        <v>2923</v>
      </c>
      <c r="E303" s="9" t="s">
        <v>20</v>
      </c>
      <c r="F303" s="6" t="s">
        <v>2924</v>
      </c>
      <c r="G303" s="7" t="e">
        <f t="shared" ca="1" si="4"/>
        <v>#NAME?</v>
      </c>
      <c r="H303" s="8" t="s">
        <v>143</v>
      </c>
      <c r="I303" s="24" t="s">
        <v>25</v>
      </c>
      <c r="J303" s="9" t="str">
        <f t="shared" si="3"/>
        <v>Não</v>
      </c>
      <c r="K303" s="107">
        <v>43700</v>
      </c>
      <c r="L303" s="107">
        <v>44061</v>
      </c>
      <c r="M303" s="6" t="s">
        <v>200</v>
      </c>
      <c r="N303" s="10">
        <v>0.01</v>
      </c>
      <c r="O303" s="9" t="s">
        <v>37</v>
      </c>
      <c r="P303" s="234">
        <v>0.1</v>
      </c>
      <c r="Q303" s="47"/>
      <c r="R303" s="47"/>
      <c r="S303" s="7" t="s">
        <v>145</v>
      </c>
      <c r="T303" s="6" t="s">
        <v>3425</v>
      </c>
      <c r="U303" s="6" t="s">
        <v>20</v>
      </c>
      <c r="V303" s="24" t="e">
        <f t="shared" ca="1" si="5"/>
        <v>#NAME?</v>
      </c>
      <c r="W303" s="24"/>
      <c r="X303" s="24"/>
      <c r="Y303" s="6"/>
      <c r="Z303" s="6"/>
      <c r="AA303" s="6"/>
      <c r="AB303" s="6"/>
      <c r="AC303" s="110">
        <v>426046.58</v>
      </c>
      <c r="AD303" s="110">
        <v>422601.07</v>
      </c>
      <c r="AE303" s="110">
        <v>372715.83</v>
      </c>
      <c r="AF303" s="110">
        <v>376701.14</v>
      </c>
      <c r="AG303" s="110">
        <v>380821.01</v>
      </c>
      <c r="AH303" s="110">
        <v>386982.85</v>
      </c>
      <c r="AI303" s="110">
        <v>394570.05</v>
      </c>
      <c r="AJ303" s="110">
        <v>0</v>
      </c>
      <c r="AK303" s="240"/>
      <c r="AL303" s="240"/>
      <c r="AM303" s="240"/>
      <c r="AN303" s="240"/>
      <c r="AO303" s="240"/>
      <c r="AP303" s="110"/>
      <c r="AQ303" s="110"/>
      <c r="AR303" s="110"/>
      <c r="AS303" s="110"/>
      <c r="AT303" s="110"/>
      <c r="AU303" s="110"/>
      <c r="AV303" s="240"/>
      <c r="AW303" s="240"/>
      <c r="AX303" s="240"/>
      <c r="AY303" s="110"/>
      <c r="AZ303" s="110"/>
      <c r="BA303" s="110"/>
      <c r="BB303" s="110"/>
      <c r="BC303" s="110"/>
      <c r="BD303" s="110">
        <v>0</v>
      </c>
      <c r="BE303" s="110">
        <v>0</v>
      </c>
      <c r="BF303" s="110">
        <v>0</v>
      </c>
      <c r="BG303" s="110" t="s">
        <v>2932</v>
      </c>
      <c r="BH303" s="110">
        <v>0</v>
      </c>
      <c r="BI303" s="110" t="s">
        <v>2932</v>
      </c>
      <c r="BJ303" s="110">
        <v>0</v>
      </c>
      <c r="BK303" s="237">
        <v>0</v>
      </c>
      <c r="BL303" s="237">
        <v>0</v>
      </c>
      <c r="BM303" s="237">
        <v>0</v>
      </c>
      <c r="BN303" s="237">
        <v>0</v>
      </c>
      <c r="BO303" s="237">
        <v>0</v>
      </c>
      <c r="BP303" s="237">
        <v>0</v>
      </c>
      <c r="BQ303" s="237">
        <v>0</v>
      </c>
      <c r="BR303" s="237">
        <v>0</v>
      </c>
      <c r="BS303" s="237">
        <v>0</v>
      </c>
      <c r="BT303" s="237">
        <v>0</v>
      </c>
      <c r="BU303" s="237">
        <v>0</v>
      </c>
      <c r="BV303" s="237">
        <v>0</v>
      </c>
      <c r="BW303" s="237">
        <v>0</v>
      </c>
      <c r="BX303" s="237">
        <v>0</v>
      </c>
      <c r="BY303" s="237">
        <v>0</v>
      </c>
      <c r="BZ303" s="237">
        <v>0</v>
      </c>
      <c r="CA303" s="237">
        <v>0</v>
      </c>
      <c r="CB303" s="237">
        <v>0</v>
      </c>
      <c r="CC303" s="237">
        <v>0</v>
      </c>
      <c r="CD303" s="237">
        <v>0</v>
      </c>
      <c r="CE303" s="237">
        <v>0</v>
      </c>
      <c r="CF303" s="237">
        <v>0</v>
      </c>
      <c r="CG303" s="237">
        <v>0</v>
      </c>
      <c r="CH303" s="30">
        <v>0</v>
      </c>
      <c r="CI303" s="30">
        <v>0</v>
      </c>
      <c r="CJ303" s="30" t="e">
        <f t="array" aca="1" ref="CJ303" ca="1">_xludf.XLOOKUP(C303,'PL TOTAL D0'!H:H,'PL TOTAL D0'!I:I,"")</f>
        <v>#NAME?</v>
      </c>
    </row>
    <row r="304" spans="1:88" ht="15.75" customHeight="1">
      <c r="A304" s="36" t="s">
        <v>2921</v>
      </c>
      <c r="B304" s="3" t="s">
        <v>2237</v>
      </c>
      <c r="C304" s="9">
        <v>31954</v>
      </c>
      <c r="D304" s="9" t="s">
        <v>19</v>
      </c>
      <c r="E304" s="9" t="s">
        <v>34</v>
      </c>
      <c r="F304" s="9" t="s">
        <v>35</v>
      </c>
      <c r="G304" s="7" t="e">
        <f t="shared" ca="1" si="4"/>
        <v>#NAME?</v>
      </c>
      <c r="H304" s="8" t="s">
        <v>161</v>
      </c>
      <c r="I304" s="24" t="s">
        <v>162</v>
      </c>
      <c r="J304" s="9" t="str">
        <f t="shared" si="3"/>
        <v>Não</v>
      </c>
      <c r="K304" s="232">
        <v>44266</v>
      </c>
      <c r="L304" s="7"/>
      <c r="M304" s="6" t="s">
        <v>58</v>
      </c>
      <c r="N304" s="10">
        <v>1.2E-2</v>
      </c>
      <c r="O304" s="9" t="s">
        <v>25</v>
      </c>
      <c r="P304" s="234">
        <v>0</v>
      </c>
      <c r="Q304" s="23"/>
      <c r="R304" s="108"/>
      <c r="S304" s="7" t="s">
        <v>145</v>
      </c>
      <c r="T304" s="6" t="s">
        <v>2240</v>
      </c>
      <c r="U304" s="6" t="s">
        <v>39</v>
      </c>
      <c r="V304" s="24" t="e">
        <f t="shared" ca="1" si="5"/>
        <v>#NAME?</v>
      </c>
      <c r="W304" s="24"/>
      <c r="X304" s="24"/>
      <c r="Y304" s="6" t="s">
        <v>253</v>
      </c>
      <c r="Z304" s="6"/>
      <c r="AA304" s="107">
        <v>44266</v>
      </c>
      <c r="AB304" s="6">
        <v>49075100003076</v>
      </c>
      <c r="AC304" s="240"/>
      <c r="AD304" s="240"/>
      <c r="AE304" s="240"/>
      <c r="AF304" s="240"/>
      <c r="AG304" s="240"/>
      <c r="AH304" s="240"/>
      <c r="AI304" s="240"/>
      <c r="AJ304" s="240"/>
      <c r="AK304" s="240"/>
      <c r="AL304" s="240"/>
      <c r="AM304" s="240"/>
      <c r="AN304" s="240"/>
      <c r="AO304" s="240"/>
      <c r="AP304" s="110"/>
      <c r="AQ304" s="236">
        <v>117864.18</v>
      </c>
      <c r="AR304" s="236">
        <v>118723.47</v>
      </c>
      <c r="AS304" s="236"/>
      <c r="AT304" s="236">
        <v>121277.75</v>
      </c>
      <c r="AU304" s="236">
        <v>123061.44</v>
      </c>
      <c r="AV304" s="110">
        <v>123076.76</v>
      </c>
      <c r="AW304" s="110">
        <v>122144.19</v>
      </c>
      <c r="AX304" s="110">
        <v>120302.02</v>
      </c>
      <c r="AY304" s="110">
        <v>119170.99</v>
      </c>
      <c r="AZ304" s="110">
        <v>115965.81</v>
      </c>
      <c r="BA304" s="110">
        <v>114453.3</v>
      </c>
      <c r="BB304" s="110">
        <v>114381.7</v>
      </c>
      <c r="BC304" s="110">
        <v>115974.54</v>
      </c>
      <c r="BD304" s="110">
        <v>116752.92</v>
      </c>
      <c r="BE304" s="110">
        <v>121432.71</v>
      </c>
      <c r="BF304" s="110">
        <v>119595.91</v>
      </c>
      <c r="BG304" s="237">
        <v>119314.43</v>
      </c>
      <c r="BH304" s="237">
        <v>119394.03</v>
      </c>
      <c r="BI304" s="237">
        <v>120517.26</v>
      </c>
      <c r="BJ304" s="237">
        <v>121891.78</v>
      </c>
      <c r="BK304" s="237">
        <v>122837.5</v>
      </c>
      <c r="BL304" s="237">
        <v>125422.04</v>
      </c>
      <c r="BM304" s="237">
        <v>124708.3</v>
      </c>
      <c r="BN304" s="237">
        <v>125878.95</v>
      </c>
      <c r="BO304" s="237">
        <v>127184.23</v>
      </c>
      <c r="BP304" s="237">
        <v>128357.39</v>
      </c>
      <c r="BQ304" s="237">
        <v>130018.21</v>
      </c>
      <c r="BR304" s="237">
        <v>131059.13</v>
      </c>
      <c r="BS304" s="237">
        <v>132446.62</v>
      </c>
      <c r="BT304" s="237">
        <v>133609.1</v>
      </c>
      <c r="BU304" s="237">
        <v>133649.35999999999</v>
      </c>
      <c r="BV304" s="237">
        <v>135272.78</v>
      </c>
      <c r="BW304" s="237">
        <v>134399.51999999999</v>
      </c>
      <c r="BX304" s="237">
        <v>135211.78</v>
      </c>
      <c r="BY304" s="237">
        <v>137412.85999999999</v>
      </c>
      <c r="BZ304" s="237">
        <v>139276.98000000001</v>
      </c>
      <c r="CA304" s="237">
        <v>54.13</v>
      </c>
      <c r="CB304" s="237">
        <v>54.13</v>
      </c>
      <c r="CC304" s="237">
        <v>54.13</v>
      </c>
      <c r="CD304" s="237">
        <v>40.869999999999997</v>
      </c>
      <c r="CE304" s="237">
        <v>36.520000000000003</v>
      </c>
      <c r="CF304" s="237">
        <v>0</v>
      </c>
      <c r="CG304" s="237">
        <v>33.85</v>
      </c>
      <c r="CH304" s="30">
        <v>33.85</v>
      </c>
      <c r="CI304" s="30">
        <v>29.73</v>
      </c>
      <c r="CJ304" s="30" t="e">
        <f t="array" aca="1" ref="CJ304" ca="1">_xludf.XLOOKUP(C304,'PL TOTAL D0'!H:H,'PL TOTAL D0'!I:I,"")</f>
        <v>#NAME?</v>
      </c>
    </row>
    <row r="305" spans="1:88" ht="15.75" customHeight="1">
      <c r="A305" s="36" t="s">
        <v>2921</v>
      </c>
      <c r="B305" s="37" t="s">
        <v>3426</v>
      </c>
      <c r="C305" s="9">
        <v>559569</v>
      </c>
      <c r="D305" s="244" t="s">
        <v>19</v>
      </c>
      <c r="E305" s="244" t="s">
        <v>34</v>
      </c>
      <c r="F305" s="244" t="s">
        <v>616</v>
      </c>
      <c r="G305" s="7" t="e">
        <f t="shared" ca="1" si="4"/>
        <v>#NAME?</v>
      </c>
      <c r="H305" s="245" t="s">
        <v>161</v>
      </c>
      <c r="I305" s="24" t="s">
        <v>25</v>
      </c>
      <c r="J305" s="9" t="str">
        <f t="shared" si="3"/>
        <v>Sim</v>
      </c>
      <c r="K305" s="246">
        <v>44599</v>
      </c>
      <c r="L305" s="247"/>
      <c r="M305" s="6" t="s">
        <v>42</v>
      </c>
      <c r="N305" s="251">
        <v>7.0000000000000001E-3</v>
      </c>
      <c r="O305" s="9" t="s">
        <v>25</v>
      </c>
      <c r="P305" s="249">
        <v>0</v>
      </c>
      <c r="Q305" s="108" t="s">
        <v>3427</v>
      </c>
      <c r="R305" s="108"/>
      <c r="S305" s="7" t="s">
        <v>145</v>
      </c>
      <c r="T305" s="6" t="s">
        <v>2249</v>
      </c>
      <c r="U305" s="6" t="s">
        <v>60</v>
      </c>
      <c r="V305" s="24" t="e">
        <f t="shared" ca="1" si="5"/>
        <v>#NAME?</v>
      </c>
      <c r="W305" s="24"/>
      <c r="X305" s="24"/>
      <c r="Y305" s="6" t="s">
        <v>253</v>
      </c>
      <c r="Z305" s="6"/>
      <c r="AA305" s="107">
        <v>44599</v>
      </c>
      <c r="AB305" s="6">
        <v>49075100004048</v>
      </c>
      <c r="AC305" s="240"/>
      <c r="AD305" s="240"/>
      <c r="AE305" s="240"/>
      <c r="AF305" s="240"/>
      <c r="AG305" s="240"/>
      <c r="AH305" s="240"/>
      <c r="AI305" s="240"/>
      <c r="AJ305" s="240"/>
      <c r="AK305" s="240"/>
      <c r="AL305" s="240"/>
      <c r="AM305" s="240"/>
      <c r="AN305" s="240"/>
      <c r="AO305" s="240"/>
      <c r="AP305" s="110"/>
      <c r="AQ305" s="236"/>
      <c r="AR305" s="236"/>
      <c r="AS305" s="236"/>
      <c r="AT305" s="236"/>
      <c r="AU305" s="236"/>
      <c r="AV305" s="110"/>
      <c r="AW305" s="110"/>
      <c r="AX305" s="110"/>
      <c r="AY305" s="110"/>
      <c r="AZ305" s="110"/>
      <c r="BA305" s="110"/>
      <c r="BB305" s="110"/>
      <c r="BC305" s="110"/>
      <c r="BD305" s="110"/>
      <c r="BE305" s="110"/>
      <c r="BF305" s="110"/>
      <c r="BG305" s="237"/>
      <c r="BH305" s="237"/>
      <c r="BI305" s="237">
        <v>3114.78</v>
      </c>
      <c r="BJ305" s="237">
        <v>3144.78</v>
      </c>
      <c r="BK305" s="237">
        <v>3177.6</v>
      </c>
      <c r="BL305" s="237">
        <v>3204.53</v>
      </c>
      <c r="BM305" s="237">
        <v>3231.35</v>
      </c>
      <c r="BN305" s="237">
        <v>3258.85</v>
      </c>
      <c r="BO305" s="237">
        <v>3291</v>
      </c>
      <c r="BP305" s="237">
        <v>3314.86</v>
      </c>
      <c r="BQ305" s="237">
        <v>3357.54</v>
      </c>
      <c r="BR305" s="237">
        <v>3379.23</v>
      </c>
      <c r="BS305" s="237">
        <v>3412.51</v>
      </c>
      <c r="BT305" s="237">
        <v>0</v>
      </c>
      <c r="BU305" s="237">
        <v>0</v>
      </c>
      <c r="BV305" s="237">
        <v>0</v>
      </c>
      <c r="BW305" s="237">
        <v>0</v>
      </c>
      <c r="BX305" s="237">
        <v>0</v>
      </c>
      <c r="BY305" s="237">
        <v>0</v>
      </c>
      <c r="BZ305" s="237">
        <v>0</v>
      </c>
      <c r="CA305" s="237">
        <v>0</v>
      </c>
      <c r="CB305" s="237">
        <v>0</v>
      </c>
      <c r="CC305" s="237">
        <v>3755.31</v>
      </c>
      <c r="CD305" s="237">
        <v>3789.03</v>
      </c>
      <c r="CE305" s="237">
        <v>3792.38</v>
      </c>
      <c r="CF305" s="237">
        <v>3822.82</v>
      </c>
      <c r="CG305" s="237">
        <v>3858.38</v>
      </c>
      <c r="CH305" s="30">
        <v>3892.44</v>
      </c>
      <c r="CI305" s="30">
        <v>3924.97</v>
      </c>
      <c r="CJ305" s="30" t="e">
        <f t="array" aca="1" ref="CJ305" ca="1">_xludf.XLOOKUP(C305,'PL TOTAL D0'!H:H,'PL TOTAL D0'!I:I,"")</f>
        <v>#NAME?</v>
      </c>
    </row>
    <row r="306" spans="1:88" ht="15.75" customHeight="1">
      <c r="A306" s="36" t="s">
        <v>2921</v>
      </c>
      <c r="B306" s="37" t="s">
        <v>3426</v>
      </c>
      <c r="C306" s="9">
        <v>33814</v>
      </c>
      <c r="D306" s="9" t="s">
        <v>19</v>
      </c>
      <c r="E306" s="9" t="s">
        <v>34</v>
      </c>
      <c r="F306" s="9" t="s">
        <v>616</v>
      </c>
      <c r="G306" s="7" t="e">
        <f t="shared" ca="1" si="4"/>
        <v>#NAME?</v>
      </c>
      <c r="H306" s="8" t="s">
        <v>152</v>
      </c>
      <c r="I306" s="24" t="s">
        <v>25</v>
      </c>
      <c r="J306" s="9" t="str">
        <f t="shared" si="3"/>
        <v>Sim</v>
      </c>
      <c r="K306" s="232">
        <v>44677</v>
      </c>
      <c r="L306" s="7"/>
      <c r="M306" s="6" t="s">
        <v>42</v>
      </c>
      <c r="N306" s="233">
        <v>7.0000000000000001E-3</v>
      </c>
      <c r="O306" s="9" t="s">
        <v>25</v>
      </c>
      <c r="P306" s="234">
        <v>0</v>
      </c>
      <c r="Q306" s="108" t="s">
        <v>3427</v>
      </c>
      <c r="R306" s="108"/>
      <c r="S306" s="7" t="s">
        <v>145</v>
      </c>
      <c r="T306" s="6" t="s">
        <v>2249</v>
      </c>
      <c r="U306" s="6" t="s">
        <v>60</v>
      </c>
      <c r="V306" s="24" t="e">
        <f t="shared" ca="1" si="5"/>
        <v>#NAME?</v>
      </c>
      <c r="W306" s="24"/>
      <c r="X306" s="24"/>
      <c r="Y306" s="6" t="s">
        <v>253</v>
      </c>
      <c r="Z306" s="6"/>
      <c r="AA306" s="107">
        <v>44677</v>
      </c>
      <c r="AB306" s="6">
        <v>49075100004528</v>
      </c>
      <c r="AC306" s="240"/>
      <c r="AD306" s="240"/>
      <c r="AE306" s="240"/>
      <c r="AF306" s="240"/>
      <c r="AG306" s="240"/>
      <c r="AH306" s="240"/>
      <c r="AI306" s="240"/>
      <c r="AJ306" s="240"/>
      <c r="AK306" s="240"/>
      <c r="AL306" s="240"/>
      <c r="AM306" s="240"/>
      <c r="AN306" s="240"/>
      <c r="AO306" s="240"/>
      <c r="AP306" s="110"/>
      <c r="AQ306" s="236"/>
      <c r="AR306" s="236"/>
      <c r="AS306" s="236"/>
      <c r="AT306" s="236"/>
      <c r="AU306" s="236"/>
      <c r="AV306" s="110"/>
      <c r="AW306" s="110"/>
      <c r="AX306" s="110"/>
      <c r="AY306" s="110"/>
      <c r="AZ306" s="110"/>
      <c r="BA306" s="110"/>
      <c r="BB306" s="110"/>
      <c r="BC306" s="110"/>
      <c r="BD306" s="110"/>
      <c r="BE306" s="110"/>
      <c r="BF306" s="110">
        <v>983825.3</v>
      </c>
      <c r="BG306" s="237">
        <v>992950.13</v>
      </c>
      <c r="BH306" s="237">
        <v>1098911.69</v>
      </c>
      <c r="BI306" s="237">
        <v>1105049.55</v>
      </c>
      <c r="BJ306" s="237">
        <v>1116661.3899999999</v>
      </c>
      <c r="BK306" s="237">
        <v>1124698.24</v>
      </c>
      <c r="BL306" s="237">
        <v>3204.53</v>
      </c>
      <c r="BM306" s="237">
        <v>1137124.3700000001</v>
      </c>
      <c r="BN306" s="237">
        <v>1148225.92</v>
      </c>
      <c r="BO306" s="237">
        <v>1161245.6399999999</v>
      </c>
      <c r="BP306" s="237">
        <v>1221714.94</v>
      </c>
      <c r="BQ306" s="237">
        <v>1237153.94</v>
      </c>
      <c r="BR306" s="237">
        <v>1180461.06</v>
      </c>
      <c r="BS306" s="237">
        <v>1261248.3799999999</v>
      </c>
      <c r="BT306" s="237">
        <v>1282312.29</v>
      </c>
      <c r="BU306" s="237">
        <v>1235684.45</v>
      </c>
      <c r="BV306" s="237">
        <v>1308961.94</v>
      </c>
      <c r="BW306" s="237">
        <v>1317557.6499999999</v>
      </c>
      <c r="BX306" s="237">
        <v>1328653.28</v>
      </c>
      <c r="BY306" s="237">
        <v>1340355.49</v>
      </c>
      <c r="BZ306" s="237">
        <v>1353356.28</v>
      </c>
      <c r="CA306" s="237">
        <v>1364678.7</v>
      </c>
      <c r="CB306" s="237">
        <v>1375740.12</v>
      </c>
      <c r="CC306" s="237">
        <v>1375379.31</v>
      </c>
      <c r="CD306" s="237">
        <v>1384565.55</v>
      </c>
      <c r="CE306" s="237">
        <v>1394531.61</v>
      </c>
      <c r="CF306" s="237">
        <v>1400705.58</v>
      </c>
      <c r="CG306" s="237">
        <v>1402254.7</v>
      </c>
      <c r="CH306" s="30">
        <v>1415802.5</v>
      </c>
      <c r="CI306" s="30">
        <v>1426560.35</v>
      </c>
      <c r="CJ306" s="30" t="e">
        <f t="array" aca="1" ref="CJ306" ca="1">_xludf.XLOOKUP(C306,'PL TOTAL D0'!H:H,'PL TOTAL D0'!I:I,"")</f>
        <v>#NAME?</v>
      </c>
    </row>
    <row r="307" spans="1:88" ht="15.75" customHeight="1">
      <c r="A307" s="36" t="s">
        <v>2921</v>
      </c>
      <c r="B307" s="37" t="s">
        <v>3426</v>
      </c>
      <c r="C307" s="9">
        <v>559582</v>
      </c>
      <c r="D307" s="9" t="s">
        <v>19</v>
      </c>
      <c r="E307" s="9" t="s">
        <v>34</v>
      </c>
      <c r="F307" s="6" t="s">
        <v>616</v>
      </c>
      <c r="G307" s="7" t="e">
        <f t="shared" ca="1" si="4"/>
        <v>#NAME?</v>
      </c>
      <c r="H307" s="8" t="s">
        <v>143</v>
      </c>
      <c r="I307" s="24" t="s">
        <v>25</v>
      </c>
      <c r="J307" s="9" t="str">
        <f t="shared" si="3"/>
        <v>Não</v>
      </c>
      <c r="K307" s="6"/>
      <c r="L307" s="107">
        <v>44637</v>
      </c>
      <c r="M307" s="7" t="s">
        <v>3148</v>
      </c>
      <c r="N307" s="10">
        <v>0.01</v>
      </c>
      <c r="O307" s="9" t="s">
        <v>25</v>
      </c>
      <c r="P307" s="234">
        <v>0</v>
      </c>
      <c r="Q307" s="108"/>
      <c r="R307" s="108"/>
      <c r="S307" s="7" t="s">
        <v>145</v>
      </c>
      <c r="T307" s="6" t="s">
        <v>2249</v>
      </c>
      <c r="U307" s="6" t="s">
        <v>60</v>
      </c>
      <c r="V307" s="24" t="e">
        <f t="shared" ca="1" si="5"/>
        <v>#NAME?</v>
      </c>
      <c r="W307" s="24"/>
      <c r="X307" s="24"/>
      <c r="Y307" s="6"/>
      <c r="Z307" s="6"/>
      <c r="AA307" s="6"/>
      <c r="AB307" s="6"/>
      <c r="AC307" s="240"/>
      <c r="AD307" s="240"/>
      <c r="AE307" s="240"/>
      <c r="AF307" s="240"/>
      <c r="AG307" s="240"/>
      <c r="AH307" s="240"/>
      <c r="AI307" s="240"/>
      <c r="AJ307" s="240"/>
      <c r="AK307" s="240"/>
      <c r="AL307" s="240"/>
      <c r="AM307" s="240"/>
      <c r="AN307" s="240"/>
      <c r="AO307" s="240"/>
      <c r="AP307" s="110"/>
      <c r="AQ307" s="110"/>
      <c r="AR307" s="110"/>
      <c r="AS307" s="110"/>
      <c r="AT307" s="110"/>
      <c r="AU307" s="110"/>
      <c r="AV307" s="110"/>
      <c r="AW307" s="110"/>
      <c r="AX307" s="110"/>
      <c r="AY307" s="110"/>
      <c r="AZ307" s="110"/>
      <c r="BA307" s="110"/>
      <c r="BB307" s="110"/>
      <c r="BC307" s="110"/>
      <c r="BD307" s="110">
        <v>0</v>
      </c>
      <c r="BE307" s="110">
        <v>0</v>
      </c>
      <c r="BF307" s="110">
        <v>0</v>
      </c>
      <c r="BG307" s="110" t="s">
        <v>2932</v>
      </c>
      <c r="BH307" s="110">
        <v>0</v>
      </c>
      <c r="BI307" s="110" t="s">
        <v>2932</v>
      </c>
      <c r="BJ307" s="110">
        <v>0</v>
      </c>
      <c r="BK307" s="237">
        <v>0</v>
      </c>
      <c r="BL307" s="237">
        <v>0</v>
      </c>
      <c r="BM307" s="237">
        <v>0</v>
      </c>
      <c r="BN307" s="237">
        <v>0</v>
      </c>
      <c r="BO307" s="237">
        <v>0</v>
      </c>
      <c r="BP307" s="237">
        <v>0</v>
      </c>
      <c r="BQ307" s="237">
        <v>0</v>
      </c>
      <c r="BR307" s="237">
        <v>0</v>
      </c>
      <c r="BS307" s="237">
        <v>0</v>
      </c>
      <c r="BT307" s="237">
        <v>0</v>
      </c>
      <c r="BU307" s="237">
        <v>0</v>
      </c>
      <c r="BV307" s="237">
        <v>0</v>
      </c>
      <c r="BW307" s="237">
        <v>0</v>
      </c>
      <c r="BX307" s="237">
        <v>0</v>
      </c>
      <c r="BY307" s="237">
        <v>0</v>
      </c>
      <c r="BZ307" s="237">
        <v>0</v>
      </c>
      <c r="CA307" s="237">
        <v>0</v>
      </c>
      <c r="CB307" s="237">
        <v>0</v>
      </c>
      <c r="CC307" s="237">
        <v>0</v>
      </c>
      <c r="CD307" s="237">
        <v>0</v>
      </c>
      <c r="CE307" s="237">
        <v>0</v>
      </c>
      <c r="CF307" s="237">
        <v>0</v>
      </c>
      <c r="CG307" s="237">
        <v>0</v>
      </c>
      <c r="CH307" s="30">
        <v>0</v>
      </c>
      <c r="CI307" s="30">
        <v>0</v>
      </c>
      <c r="CJ307" s="30" t="e">
        <f t="array" aca="1" ref="CJ307" ca="1">_xludf.XLOOKUP(C307,'PL TOTAL D0'!H:H,'PL TOTAL D0'!I:I,"")</f>
        <v>#NAME?</v>
      </c>
    </row>
    <row r="308" spans="1:88" ht="15.75" customHeight="1">
      <c r="A308" s="36" t="s">
        <v>2921</v>
      </c>
      <c r="B308" s="37" t="s">
        <v>3428</v>
      </c>
      <c r="C308" s="9">
        <v>343643</v>
      </c>
      <c r="D308" s="9" t="s">
        <v>19</v>
      </c>
      <c r="E308" s="9" t="s">
        <v>34</v>
      </c>
      <c r="F308" s="6" t="s">
        <v>2971</v>
      </c>
      <c r="G308" s="7" t="e">
        <f t="shared" ca="1" si="4"/>
        <v>#NAME?</v>
      </c>
      <c r="H308" s="8" t="s">
        <v>143</v>
      </c>
      <c r="I308" s="24" t="s">
        <v>25</v>
      </c>
      <c r="J308" s="9" t="str">
        <f t="shared" si="3"/>
        <v>Não</v>
      </c>
      <c r="K308" s="232">
        <v>44733</v>
      </c>
      <c r="L308" s="107">
        <v>44907</v>
      </c>
      <c r="M308" s="6" t="s">
        <v>42</v>
      </c>
      <c r="N308" s="10">
        <v>7.0000000000000001E-3</v>
      </c>
      <c r="O308" s="9" t="s">
        <v>25</v>
      </c>
      <c r="P308" s="234">
        <v>0</v>
      </c>
      <c r="Q308" s="108"/>
      <c r="R308" s="108"/>
      <c r="S308" s="7" t="s">
        <v>145</v>
      </c>
      <c r="T308" s="6" t="s">
        <v>3429</v>
      </c>
      <c r="U308" s="6" t="s">
        <v>3430</v>
      </c>
      <c r="V308" s="24" t="e">
        <f t="shared" ca="1" si="5"/>
        <v>#NAME?</v>
      </c>
      <c r="W308" s="24"/>
      <c r="X308" s="24"/>
      <c r="Y308" s="6"/>
      <c r="Z308" s="6"/>
      <c r="AA308" s="6"/>
      <c r="AB308" s="6"/>
      <c r="AC308" s="110"/>
      <c r="AD308" s="110"/>
      <c r="AE308" s="110"/>
      <c r="AF308" s="110"/>
      <c r="AG308" s="110"/>
      <c r="AH308" s="110"/>
      <c r="AI308" s="110"/>
      <c r="AJ308" s="110"/>
      <c r="AK308" s="110"/>
      <c r="AL308" s="110"/>
      <c r="AM308" s="110"/>
      <c r="AN308" s="110"/>
      <c r="AO308" s="110"/>
      <c r="AP308" s="110"/>
      <c r="AQ308" s="110"/>
      <c r="AR308" s="110"/>
      <c r="AS308" s="110"/>
      <c r="AT308" s="110"/>
      <c r="AU308" s="110"/>
      <c r="AV308" s="240"/>
      <c r="AW308" s="240"/>
      <c r="AX308" s="240"/>
      <c r="AY308" s="110"/>
      <c r="AZ308" s="110"/>
      <c r="BA308" s="110"/>
      <c r="BB308" s="110"/>
      <c r="BC308" s="110"/>
      <c r="BD308" s="110"/>
      <c r="BE308" s="110"/>
      <c r="BF308" s="110"/>
      <c r="BG308" s="110"/>
      <c r="BH308" s="237">
        <v>421468.95</v>
      </c>
      <c r="BI308" s="237">
        <v>424912.13</v>
      </c>
      <c r="BJ308" s="237">
        <v>229068.83</v>
      </c>
      <c r="BK308" s="237">
        <v>127875.78</v>
      </c>
      <c r="BL308" s="237">
        <v>128507.47</v>
      </c>
      <c r="BM308" s="237">
        <v>61837.18</v>
      </c>
      <c r="BN308" s="237">
        <v>62312.92</v>
      </c>
      <c r="BO308" s="237">
        <v>62907.58</v>
      </c>
      <c r="BP308" s="237">
        <v>63418.51</v>
      </c>
      <c r="BQ308" s="237">
        <v>64211.51</v>
      </c>
      <c r="BR308" s="237">
        <v>64764.38</v>
      </c>
      <c r="BS308" s="237">
        <v>65415.95</v>
      </c>
      <c r="BT308" s="237">
        <v>0</v>
      </c>
      <c r="BU308" s="237">
        <v>0</v>
      </c>
      <c r="BV308" s="237">
        <v>0</v>
      </c>
      <c r="BW308" s="237">
        <v>0</v>
      </c>
      <c r="BX308" s="237">
        <v>0</v>
      </c>
      <c r="BY308" s="237">
        <v>0</v>
      </c>
      <c r="BZ308" s="237">
        <v>0</v>
      </c>
      <c r="CA308" s="237">
        <v>0</v>
      </c>
      <c r="CB308" s="237">
        <v>0</v>
      </c>
      <c r="CC308" s="237">
        <v>0</v>
      </c>
      <c r="CD308" s="237">
        <v>0</v>
      </c>
      <c r="CE308" s="237">
        <v>0</v>
      </c>
      <c r="CF308" s="237">
        <v>0</v>
      </c>
      <c r="CG308" s="237">
        <v>0</v>
      </c>
      <c r="CH308" s="30">
        <v>0</v>
      </c>
      <c r="CI308" s="30">
        <v>0</v>
      </c>
      <c r="CJ308" s="30" t="e">
        <f t="array" aca="1" ref="CJ308" ca="1">_xludf.XLOOKUP(C308,'PL TOTAL D0'!H:H,'PL TOTAL D0'!I:I,"")</f>
        <v>#NAME?</v>
      </c>
    </row>
    <row r="309" spans="1:88" ht="15.75" customHeight="1">
      <c r="A309" s="36" t="s">
        <v>2921</v>
      </c>
      <c r="B309" s="37" t="s">
        <v>3431</v>
      </c>
      <c r="C309" s="9" t="s">
        <v>3432</v>
      </c>
      <c r="D309" s="9" t="s">
        <v>19</v>
      </c>
      <c r="E309" s="9" t="s">
        <v>20</v>
      </c>
      <c r="F309" s="6" t="s">
        <v>3072</v>
      </c>
      <c r="G309" s="7" t="e">
        <f t="shared" ca="1" si="4"/>
        <v>#NAME?</v>
      </c>
      <c r="H309" s="8" t="s">
        <v>143</v>
      </c>
      <c r="I309" s="24" t="s">
        <v>25</v>
      </c>
      <c r="J309" s="9" t="str">
        <f t="shared" si="3"/>
        <v>Não</v>
      </c>
      <c r="K309" s="239">
        <v>43417</v>
      </c>
      <c r="L309" s="107">
        <v>44309</v>
      </c>
      <c r="M309" s="6" t="s">
        <v>345</v>
      </c>
      <c r="N309" s="10">
        <v>0.02</v>
      </c>
      <c r="O309" s="9" t="s">
        <v>37</v>
      </c>
      <c r="P309" s="234">
        <v>0.2</v>
      </c>
      <c r="Q309" s="47"/>
      <c r="R309" s="47"/>
      <c r="S309" s="7" t="s">
        <v>145</v>
      </c>
      <c r="T309" s="6" t="s">
        <v>3433</v>
      </c>
      <c r="U309" s="6" t="s">
        <v>20</v>
      </c>
      <c r="V309" s="24" t="e">
        <f t="shared" ca="1" si="5"/>
        <v>#NAME?</v>
      </c>
      <c r="W309" s="24"/>
      <c r="X309" s="24"/>
      <c r="Y309" s="6"/>
      <c r="Z309" s="6"/>
      <c r="AA309" s="6"/>
      <c r="AB309" s="6"/>
      <c r="AC309" s="110">
        <v>567972.75</v>
      </c>
      <c r="AD309" s="110">
        <v>536444.14</v>
      </c>
      <c r="AE309" s="110">
        <v>605353.79</v>
      </c>
      <c r="AF309" s="110">
        <v>630511.63</v>
      </c>
      <c r="AG309" s="110">
        <v>656834.93000000005</v>
      </c>
      <c r="AH309" s="110">
        <v>705401.07</v>
      </c>
      <c r="AI309" s="110">
        <v>843516.96</v>
      </c>
      <c r="AJ309" s="110">
        <v>773116.1</v>
      </c>
      <c r="AK309" s="110">
        <v>734047.58</v>
      </c>
      <c r="AL309" s="110">
        <v>743686.44</v>
      </c>
      <c r="AM309" s="110">
        <v>830544.1</v>
      </c>
      <c r="AN309" s="110">
        <v>862591.3</v>
      </c>
      <c r="AO309" s="110">
        <v>834375.04</v>
      </c>
      <c r="AP309" s="110">
        <v>786240.77</v>
      </c>
      <c r="AQ309" s="110">
        <v>669000.38</v>
      </c>
      <c r="AR309" s="110">
        <v>5000</v>
      </c>
      <c r="AS309" s="110">
        <v>749.18</v>
      </c>
      <c r="AT309" s="110">
        <v>749.18</v>
      </c>
      <c r="AU309" s="110"/>
      <c r="AV309" s="240"/>
      <c r="AW309" s="240"/>
      <c r="AX309" s="240"/>
      <c r="AY309" s="110"/>
      <c r="AZ309" s="110"/>
      <c r="BA309" s="110"/>
      <c r="BB309" s="110"/>
      <c r="BC309" s="110"/>
      <c r="BD309" s="110">
        <v>0</v>
      </c>
      <c r="BE309" s="110">
        <v>0</v>
      </c>
      <c r="BF309" s="110">
        <v>0</v>
      </c>
      <c r="BG309" s="110" t="s">
        <v>2932</v>
      </c>
      <c r="BH309" s="110">
        <v>0</v>
      </c>
      <c r="BI309" s="110" t="s">
        <v>2932</v>
      </c>
      <c r="BJ309" s="110">
        <v>0</v>
      </c>
      <c r="BK309" s="237">
        <v>0</v>
      </c>
      <c r="BL309" s="237">
        <v>0</v>
      </c>
      <c r="BM309" s="237">
        <v>0</v>
      </c>
      <c r="BN309" s="237">
        <v>0</v>
      </c>
      <c r="BO309" s="237">
        <v>0</v>
      </c>
      <c r="BP309" s="237">
        <v>0</v>
      </c>
      <c r="BQ309" s="237">
        <v>1475779.16</v>
      </c>
      <c r="BR309" s="237">
        <v>0</v>
      </c>
      <c r="BS309" s="237">
        <v>0</v>
      </c>
      <c r="BT309" s="237">
        <v>0</v>
      </c>
      <c r="BU309" s="237">
        <v>0</v>
      </c>
      <c r="BV309" s="237">
        <v>0</v>
      </c>
      <c r="BW309" s="237">
        <v>0</v>
      </c>
      <c r="BX309" s="237">
        <v>0</v>
      </c>
      <c r="BY309" s="237">
        <v>0</v>
      </c>
      <c r="BZ309" s="237">
        <v>0</v>
      </c>
      <c r="CA309" s="237">
        <v>0</v>
      </c>
      <c r="CB309" s="237">
        <v>0</v>
      </c>
      <c r="CC309" s="237">
        <v>0</v>
      </c>
      <c r="CD309" s="237">
        <v>0</v>
      </c>
      <c r="CE309" s="237">
        <v>0</v>
      </c>
      <c r="CF309" s="237">
        <v>0</v>
      </c>
      <c r="CG309" s="237">
        <v>0</v>
      </c>
      <c r="CH309" s="30">
        <v>0</v>
      </c>
      <c r="CI309" s="30">
        <v>0</v>
      </c>
      <c r="CJ309" s="30" t="e">
        <f t="array" aca="1" ref="CJ309" ca="1">_xludf.XLOOKUP(C309,'PL TOTAL D0'!H:H,'PL TOTAL D0'!I:I,"")</f>
        <v>#NAME?</v>
      </c>
    </row>
    <row r="310" spans="1:88" ht="15.75" customHeight="1">
      <c r="A310" s="36" t="s">
        <v>2921</v>
      </c>
      <c r="B310" s="37" t="s">
        <v>3431</v>
      </c>
      <c r="C310" s="9">
        <v>296589</v>
      </c>
      <c r="D310" s="9" t="s">
        <v>19</v>
      </c>
      <c r="E310" s="9" t="s">
        <v>20</v>
      </c>
      <c r="F310" s="6" t="s">
        <v>199</v>
      </c>
      <c r="G310" s="7" t="e">
        <f t="shared" ca="1" si="4"/>
        <v>#NAME?</v>
      </c>
      <c r="H310" s="8" t="s">
        <v>152</v>
      </c>
      <c r="I310" s="24" t="s">
        <v>25</v>
      </c>
      <c r="J310" s="9" t="str">
        <f t="shared" si="3"/>
        <v>Não</v>
      </c>
      <c r="K310" s="239">
        <v>45013</v>
      </c>
      <c r="L310" s="107"/>
      <c r="M310" s="6" t="s">
        <v>200</v>
      </c>
      <c r="N310" s="10">
        <v>1.4999999999999999E-2</v>
      </c>
      <c r="O310" s="9" t="s">
        <v>37</v>
      </c>
      <c r="P310" s="234">
        <v>0.1</v>
      </c>
      <c r="Q310" s="23"/>
      <c r="R310" s="108"/>
      <c r="S310" s="7" t="s">
        <v>145</v>
      </c>
      <c r="T310" s="6" t="s">
        <v>3433</v>
      </c>
      <c r="U310" s="6" t="s">
        <v>20</v>
      </c>
      <c r="V310" s="24" t="e">
        <f t="shared" ca="1" si="5"/>
        <v>#NAME?</v>
      </c>
      <c r="W310" s="24"/>
      <c r="X310" s="24"/>
      <c r="Y310" s="6" t="s">
        <v>147</v>
      </c>
      <c r="Z310" s="6"/>
      <c r="AA310" s="239">
        <v>45013</v>
      </c>
      <c r="AB310" s="6">
        <v>49075100007098</v>
      </c>
      <c r="AC310" s="110"/>
      <c r="AD310" s="110"/>
      <c r="AE310" s="110"/>
      <c r="AF310" s="110"/>
      <c r="AG310" s="110"/>
      <c r="AH310" s="110"/>
      <c r="AI310" s="110"/>
      <c r="AJ310" s="110"/>
      <c r="AK310" s="110"/>
      <c r="AL310" s="110"/>
      <c r="AM310" s="110"/>
      <c r="AN310" s="110"/>
      <c r="AO310" s="110"/>
      <c r="AP310" s="110"/>
      <c r="AQ310" s="110"/>
      <c r="AR310" s="110"/>
      <c r="AS310" s="110"/>
      <c r="AT310" s="110"/>
      <c r="AU310" s="110"/>
      <c r="AV310" s="240"/>
      <c r="AW310" s="240"/>
      <c r="AX310" s="240"/>
      <c r="AY310" s="110"/>
      <c r="AZ310" s="110"/>
      <c r="BA310" s="110"/>
      <c r="BB310" s="110"/>
      <c r="BC310" s="110"/>
      <c r="BD310" s="110"/>
      <c r="BE310" s="110"/>
      <c r="BF310" s="110"/>
      <c r="BG310" s="110"/>
      <c r="BH310" s="110"/>
      <c r="BI310" s="110"/>
      <c r="BJ310" s="110"/>
      <c r="BK310" s="237"/>
      <c r="BL310" s="237"/>
      <c r="BM310" s="237"/>
      <c r="BN310" s="237">
        <v>0</v>
      </c>
      <c r="BO310" s="237">
        <v>0</v>
      </c>
      <c r="BP310" s="237">
        <v>0</v>
      </c>
      <c r="BQ310" s="237">
        <v>1475779.16</v>
      </c>
      <c r="BR310" s="237">
        <v>3779473.94</v>
      </c>
      <c r="BS310" s="237">
        <v>3872293.56</v>
      </c>
      <c r="BT310" s="237">
        <v>4077741.88</v>
      </c>
      <c r="BU310" s="237">
        <v>3598271.78</v>
      </c>
      <c r="BV310" s="237">
        <v>4294584.28</v>
      </c>
      <c r="BW310" s="237">
        <v>4280402.0199999996</v>
      </c>
      <c r="BX310" s="237">
        <v>4166864.91</v>
      </c>
      <c r="BY310" s="237">
        <v>2157330.8199999998</v>
      </c>
      <c r="BZ310" s="237">
        <v>1303697.18</v>
      </c>
      <c r="CA310" s="237">
        <v>970388.26</v>
      </c>
      <c r="CB310" s="237">
        <v>978940.62</v>
      </c>
      <c r="CC310" s="237">
        <v>1000227.35</v>
      </c>
      <c r="CD310" s="237">
        <v>989641.97</v>
      </c>
      <c r="CE310" s="237">
        <v>977313.62</v>
      </c>
      <c r="CF310" s="237">
        <v>996929.49</v>
      </c>
      <c r="CG310" s="237">
        <v>994786.83</v>
      </c>
      <c r="CH310" s="30">
        <v>1015431.93</v>
      </c>
      <c r="CI310" s="30">
        <v>1099679.6599999999</v>
      </c>
      <c r="CJ310" s="30" t="e">
        <f t="array" aca="1" ref="CJ310" ca="1">_xludf.XLOOKUP(C310,'PL TOTAL D0'!H:H,'PL TOTAL D0'!I:I,"")</f>
        <v>#NAME?</v>
      </c>
    </row>
    <row r="311" spans="1:88" ht="15.75" customHeight="1">
      <c r="A311" s="36" t="s">
        <v>2921</v>
      </c>
      <c r="B311" s="36" t="s">
        <v>3434</v>
      </c>
      <c r="C311" s="9">
        <v>376731</v>
      </c>
      <c r="D311" s="9" t="s">
        <v>19</v>
      </c>
      <c r="E311" s="9" t="s">
        <v>20</v>
      </c>
      <c r="F311" s="6" t="s">
        <v>199</v>
      </c>
      <c r="G311" s="7" t="e">
        <f t="shared" ca="1" si="4"/>
        <v>#NAME?</v>
      </c>
      <c r="H311" s="8" t="s">
        <v>152</v>
      </c>
      <c r="I311" s="24" t="s">
        <v>25</v>
      </c>
      <c r="J311" s="9" t="str">
        <f t="shared" si="3"/>
        <v>Sim</v>
      </c>
      <c r="K311" s="239">
        <v>44998</v>
      </c>
      <c r="L311" s="107"/>
      <c r="M311" s="6" t="s">
        <v>42</v>
      </c>
      <c r="N311" s="10">
        <v>1.2E-2</v>
      </c>
      <c r="O311" s="9" t="s">
        <v>25</v>
      </c>
      <c r="P311" s="234">
        <v>0</v>
      </c>
      <c r="Q311" s="108" t="s">
        <v>3435</v>
      </c>
      <c r="R311" s="108"/>
      <c r="S311" s="7" t="s">
        <v>145</v>
      </c>
      <c r="T311" s="9" t="s">
        <v>3433</v>
      </c>
      <c r="U311" s="6" t="s">
        <v>20</v>
      </c>
      <c r="V311" s="24" t="e">
        <f t="shared" ca="1" si="5"/>
        <v>#NAME?</v>
      </c>
      <c r="W311" s="24"/>
      <c r="X311" s="24"/>
      <c r="Y311" s="6" t="s">
        <v>147</v>
      </c>
      <c r="Z311" s="6"/>
      <c r="AA311" s="239">
        <v>44998</v>
      </c>
      <c r="AB311" s="6">
        <v>49075100008817</v>
      </c>
      <c r="AC311" s="110"/>
      <c r="AD311" s="110"/>
      <c r="AE311" s="110"/>
      <c r="AF311" s="110"/>
      <c r="AG311" s="110"/>
      <c r="AH311" s="110"/>
      <c r="AI311" s="110"/>
      <c r="AJ311" s="110"/>
      <c r="AK311" s="110"/>
      <c r="AL311" s="110"/>
      <c r="AM311" s="110"/>
      <c r="AN311" s="110"/>
      <c r="AO311" s="110"/>
      <c r="AP311" s="110"/>
      <c r="AQ311" s="236"/>
      <c r="AR311" s="236"/>
      <c r="AS311" s="236"/>
      <c r="AT311" s="236"/>
      <c r="AU311" s="236"/>
      <c r="AV311" s="110"/>
      <c r="AW311" s="110"/>
      <c r="AX311" s="110"/>
      <c r="AY311" s="110"/>
      <c r="AZ311" s="110"/>
      <c r="BA311" s="110"/>
      <c r="BB311" s="110"/>
      <c r="BC311" s="110"/>
      <c r="BD311" s="110"/>
      <c r="BE311" s="110"/>
      <c r="BF311" s="110"/>
      <c r="BG311" s="237"/>
      <c r="BH311" s="237"/>
      <c r="BI311" s="237"/>
      <c r="BJ311" s="237"/>
      <c r="BK311" s="237"/>
      <c r="BL311" s="237"/>
      <c r="BM311" s="237"/>
      <c r="BN311" s="237"/>
      <c r="BO311" s="237"/>
      <c r="BP311" s="237">
        <v>0</v>
      </c>
      <c r="BQ311" s="237">
        <v>601843.76</v>
      </c>
      <c r="BR311" s="237">
        <v>783149.74</v>
      </c>
      <c r="BS311" s="237">
        <v>790228.14</v>
      </c>
      <c r="BT311" s="237">
        <v>798377.41</v>
      </c>
      <c r="BU311" s="237">
        <v>1052556.6000000001</v>
      </c>
      <c r="BV311" s="237">
        <v>1064965.1599999999</v>
      </c>
      <c r="BW311" s="237">
        <v>1073884.69</v>
      </c>
      <c r="BX311" s="237">
        <v>1083620.3700000001</v>
      </c>
      <c r="BY311" s="237">
        <v>738177</v>
      </c>
      <c r="BZ311" s="237">
        <v>744298.31</v>
      </c>
      <c r="CA311" s="237">
        <v>454439.31</v>
      </c>
      <c r="CB311" s="237">
        <v>457897.91</v>
      </c>
      <c r="CC311" s="237">
        <v>460961.13</v>
      </c>
      <c r="CD311" s="237">
        <v>463357.24</v>
      </c>
      <c r="CE311" s="237">
        <v>465450.74</v>
      </c>
      <c r="CF311" s="237">
        <v>468929.1</v>
      </c>
      <c r="CG311" s="237">
        <v>470784.07</v>
      </c>
      <c r="CH311" s="30">
        <v>424812.6</v>
      </c>
      <c r="CI311" s="30">
        <v>225509.42</v>
      </c>
      <c r="CJ311" s="30" t="e">
        <f t="array" aca="1" ref="CJ311" ca="1">_xludf.XLOOKUP(C311,'PL TOTAL D0'!H:H,'PL TOTAL D0'!I:I,"")</f>
        <v>#NAME?</v>
      </c>
    </row>
    <row r="312" spans="1:88" ht="15.75" customHeight="1">
      <c r="A312" s="36" t="s">
        <v>2921</v>
      </c>
      <c r="B312" s="36" t="s">
        <v>2264</v>
      </c>
      <c r="C312" s="9">
        <v>253486</v>
      </c>
      <c r="D312" s="9" t="s">
        <v>19</v>
      </c>
      <c r="E312" s="9" t="s">
        <v>20</v>
      </c>
      <c r="F312" s="9" t="s">
        <v>989</v>
      </c>
      <c r="G312" s="7" t="e">
        <f t="shared" ca="1" si="4"/>
        <v>#NAME?</v>
      </c>
      <c r="H312" s="8" t="s">
        <v>161</v>
      </c>
      <c r="I312" s="24" t="s">
        <v>162</v>
      </c>
      <c r="J312" s="9" t="str">
        <f t="shared" si="3"/>
        <v>Sim</v>
      </c>
      <c r="K312" s="232">
        <v>43620</v>
      </c>
      <c r="L312" s="7"/>
      <c r="M312" s="6" t="s">
        <v>200</v>
      </c>
      <c r="N312" s="10">
        <v>1.4999999999999999E-2</v>
      </c>
      <c r="O312" s="9" t="s">
        <v>25</v>
      </c>
      <c r="P312" s="234">
        <v>0</v>
      </c>
      <c r="Q312" s="108" t="s">
        <v>3436</v>
      </c>
      <c r="R312" s="108" t="s">
        <v>3015</v>
      </c>
      <c r="S312" s="7" t="s">
        <v>145</v>
      </c>
      <c r="T312" s="9" t="s">
        <v>2266</v>
      </c>
      <c r="U312" s="6" t="s">
        <v>20</v>
      </c>
      <c r="V312" s="24" t="e">
        <f t="shared" ca="1" si="5"/>
        <v>#NAME?</v>
      </c>
      <c r="W312" s="24"/>
      <c r="X312" s="24"/>
      <c r="Y312" s="6" t="s">
        <v>253</v>
      </c>
      <c r="Z312" s="6"/>
      <c r="AA312" s="107">
        <v>43620</v>
      </c>
      <c r="AB312" s="6">
        <v>49075100009971</v>
      </c>
      <c r="AC312" s="110">
        <v>386861.74</v>
      </c>
      <c r="AD312" s="110">
        <v>383207.42</v>
      </c>
      <c r="AE312" s="110">
        <v>349977.26</v>
      </c>
      <c r="AF312" s="110">
        <v>354568.48</v>
      </c>
      <c r="AG312" s="110">
        <v>357445.18</v>
      </c>
      <c r="AH312" s="110">
        <v>359258.9</v>
      </c>
      <c r="AI312" s="110">
        <v>364752.26</v>
      </c>
      <c r="AJ312" s="110">
        <v>360513.02</v>
      </c>
      <c r="AK312" s="110">
        <v>356227.38</v>
      </c>
      <c r="AL312" s="110">
        <v>357056.95</v>
      </c>
      <c r="AM312" s="110">
        <v>372342.58</v>
      </c>
      <c r="AN312" s="110">
        <v>379100.82</v>
      </c>
      <c r="AO312" s="110">
        <v>372140.26</v>
      </c>
      <c r="AP312" s="110">
        <v>363128.94</v>
      </c>
      <c r="AQ312" s="236">
        <v>362002.61</v>
      </c>
      <c r="AR312" s="236">
        <v>366141.56</v>
      </c>
      <c r="AS312" s="236">
        <v>371293.53</v>
      </c>
      <c r="AT312" s="236">
        <v>372533.3</v>
      </c>
      <c r="AU312" s="236">
        <v>379260.56</v>
      </c>
      <c r="AV312" s="110">
        <v>371230.89</v>
      </c>
      <c r="AW312" s="110">
        <v>373906.67</v>
      </c>
      <c r="AX312" s="110">
        <v>385512.52</v>
      </c>
      <c r="AY312" s="110">
        <v>361118.04</v>
      </c>
      <c r="AZ312" s="110">
        <v>352597.57</v>
      </c>
      <c r="BA312" s="110">
        <v>348623.5</v>
      </c>
      <c r="BB312" s="110">
        <v>350646.2</v>
      </c>
      <c r="BC312" s="110">
        <v>360382.76</v>
      </c>
      <c r="BD312" s="110">
        <v>362276.36</v>
      </c>
      <c r="BE312" s="110">
        <v>376672.28</v>
      </c>
      <c r="BF312" s="110">
        <v>371100</v>
      </c>
      <c r="BG312" s="237">
        <v>369968.7</v>
      </c>
      <c r="BH312" s="237">
        <v>366797.54</v>
      </c>
      <c r="BI312" s="237">
        <v>374875.33</v>
      </c>
      <c r="BJ312" s="237">
        <v>381731.56</v>
      </c>
      <c r="BK312" s="237">
        <v>383587.61</v>
      </c>
      <c r="BL312" s="237">
        <v>397992.01</v>
      </c>
      <c r="BM312" s="237">
        <v>396224.63</v>
      </c>
      <c r="BN312" s="237">
        <v>393054.19</v>
      </c>
      <c r="BO312" s="237">
        <v>397362.95</v>
      </c>
      <c r="BP312" s="237">
        <v>398800.51</v>
      </c>
      <c r="BQ312" s="237">
        <v>402212.33</v>
      </c>
      <c r="BR312" s="237">
        <v>403455.6</v>
      </c>
      <c r="BS312" s="237">
        <v>413415.42</v>
      </c>
      <c r="BT312" s="237">
        <v>421798.40000000002</v>
      </c>
      <c r="BU312" s="237">
        <v>297315.46999999997</v>
      </c>
      <c r="BV312" s="237">
        <v>451673.33</v>
      </c>
      <c r="BW312" s="237">
        <v>453028.53</v>
      </c>
      <c r="BX312" s="237">
        <v>452668.72</v>
      </c>
      <c r="BY312" s="237">
        <v>459967.45</v>
      </c>
      <c r="BZ312" s="237">
        <v>457873.41</v>
      </c>
      <c r="CA312" s="237">
        <v>462467.93</v>
      </c>
      <c r="CB312" s="237">
        <v>467521.89</v>
      </c>
      <c r="CC312" s="237">
        <v>470879.61</v>
      </c>
      <c r="CD312" s="237">
        <v>467019.06</v>
      </c>
      <c r="CE312" s="237">
        <v>580.55999999999995</v>
      </c>
      <c r="CF312" s="237">
        <v>514.69000000000005</v>
      </c>
      <c r="CG312" s="237">
        <v>439.84</v>
      </c>
      <c r="CH312" s="30">
        <v>435.07</v>
      </c>
      <c r="CI312" s="30">
        <v>408.01</v>
      </c>
      <c r="CJ312" s="30" t="e">
        <f t="array" aca="1" ref="CJ312" ca="1">_xludf.XLOOKUP(C312,'PL TOTAL D0'!H:H,'PL TOTAL D0'!I:I,"")</f>
        <v>#NAME?</v>
      </c>
    </row>
    <row r="313" spans="1:88" ht="15.75" customHeight="1">
      <c r="A313" s="36" t="s">
        <v>2921</v>
      </c>
      <c r="B313" s="3" t="s">
        <v>2282</v>
      </c>
      <c r="C313" s="9">
        <v>35132</v>
      </c>
      <c r="D313" s="9" t="s">
        <v>19</v>
      </c>
      <c r="E313" s="9" t="s">
        <v>34</v>
      </c>
      <c r="F313" s="9" t="s">
        <v>35</v>
      </c>
      <c r="G313" s="7" t="e">
        <f t="shared" ca="1" si="4"/>
        <v>#NAME?</v>
      </c>
      <c r="H313" s="8" t="s">
        <v>161</v>
      </c>
      <c r="I313" s="24" t="s">
        <v>162</v>
      </c>
      <c r="J313" s="9" t="str">
        <f t="shared" si="3"/>
        <v>Não</v>
      </c>
      <c r="K313" s="232">
        <v>44319</v>
      </c>
      <c r="L313" s="7"/>
      <c r="M313" s="6" t="s">
        <v>345</v>
      </c>
      <c r="N313" s="26">
        <v>0.02</v>
      </c>
      <c r="O313" s="9" t="s">
        <v>37</v>
      </c>
      <c r="P313" s="234">
        <v>0.2</v>
      </c>
      <c r="Q313" s="28"/>
      <c r="R313" s="28"/>
      <c r="S313" s="7" t="s">
        <v>145</v>
      </c>
      <c r="T313" s="6" t="s">
        <v>2284</v>
      </c>
      <c r="U313" s="6" t="s">
        <v>39</v>
      </c>
      <c r="V313" s="24" t="e">
        <f t="shared" ca="1" si="5"/>
        <v>#NAME?</v>
      </c>
      <c r="W313" s="24"/>
      <c r="X313" s="24"/>
      <c r="Y313" s="6" t="s">
        <v>147</v>
      </c>
      <c r="Z313" s="6"/>
      <c r="AA313" s="107">
        <v>44319</v>
      </c>
      <c r="AB313" s="6">
        <v>49075100010056</v>
      </c>
      <c r="AC313" s="132"/>
      <c r="AD313" s="132"/>
      <c r="AE313" s="132"/>
      <c r="AF313" s="132"/>
      <c r="AG313" s="132"/>
      <c r="AH313" s="132"/>
      <c r="AI313" s="132"/>
      <c r="AJ313" s="132"/>
      <c r="AK313" s="132"/>
      <c r="AL313" s="132"/>
      <c r="AM313" s="132"/>
      <c r="AN313" s="132"/>
      <c r="AO313" s="132"/>
      <c r="AP313" s="110"/>
      <c r="AQ313" s="110"/>
      <c r="AR313" s="110"/>
      <c r="AS313" s="110"/>
      <c r="AT313" s="110"/>
      <c r="AU313" s="110">
        <v>3132361.53</v>
      </c>
      <c r="AV313" s="110">
        <v>3115014.48</v>
      </c>
      <c r="AW313" s="110">
        <v>3063786.38</v>
      </c>
      <c r="AX313" s="110">
        <v>2973302.37</v>
      </c>
      <c r="AY313" s="110">
        <v>2890066.12</v>
      </c>
      <c r="AZ313" s="110">
        <v>2777386.03</v>
      </c>
      <c r="BA313" s="110">
        <v>2729276.03</v>
      </c>
      <c r="BB313" s="110">
        <v>2744510.5</v>
      </c>
      <c r="BC313" s="110">
        <v>2935543.97</v>
      </c>
      <c r="BD313" s="110">
        <v>3052562.84</v>
      </c>
      <c r="BE313" s="110">
        <v>3220690.9</v>
      </c>
      <c r="BF313" s="110">
        <v>3121550.25</v>
      </c>
      <c r="BG313" s="237">
        <v>3082037.03</v>
      </c>
      <c r="BH313" s="237">
        <v>3013526.95</v>
      </c>
      <c r="BI313" s="237">
        <v>3094176.96</v>
      </c>
      <c r="BJ313" s="237">
        <v>3165245.26</v>
      </c>
      <c r="BK313" s="237">
        <v>3190638.04</v>
      </c>
      <c r="BL313" s="237">
        <v>3339946.49</v>
      </c>
      <c r="BM313" s="237">
        <v>3299477.45</v>
      </c>
      <c r="BN313" s="237">
        <v>3313693.9</v>
      </c>
      <c r="BO313" s="237">
        <v>3329116.77</v>
      </c>
      <c r="BP313" s="237">
        <v>3331791.1</v>
      </c>
      <c r="BQ313" s="237">
        <v>3356269.47</v>
      </c>
      <c r="BR313" s="237">
        <v>36545.120000000003</v>
      </c>
      <c r="BS313" s="237">
        <v>34063.14</v>
      </c>
      <c r="BT313" s="237">
        <v>36608.74</v>
      </c>
      <c r="BU313" s="237">
        <v>36877.019999999997</v>
      </c>
      <c r="BV313" s="237">
        <v>37888.86</v>
      </c>
      <c r="BW313" s="237">
        <v>37628.21</v>
      </c>
      <c r="BX313" s="237">
        <v>37206.92</v>
      </c>
      <c r="BY313" s="237">
        <v>36188.26</v>
      </c>
      <c r="BZ313" s="237">
        <v>861.71</v>
      </c>
      <c r="CA313" s="237">
        <v>861.71</v>
      </c>
      <c r="CB313" s="237">
        <v>861.71</v>
      </c>
      <c r="CC313" s="237">
        <v>752.79</v>
      </c>
      <c r="CD313" s="237">
        <v>752.79</v>
      </c>
      <c r="CE313" s="237">
        <v>397.51</v>
      </c>
      <c r="CF313" s="237">
        <v>397.51</v>
      </c>
      <c r="CG313" s="237">
        <v>397.51</v>
      </c>
      <c r="CH313" s="30">
        <v>397.51</v>
      </c>
      <c r="CI313" s="30">
        <v>397.51</v>
      </c>
      <c r="CJ313" s="30" t="e">
        <f t="array" aca="1" ref="CJ313" ca="1">_xludf.XLOOKUP(C313,'PL TOTAL D0'!H:H,'PL TOTAL D0'!I:I,"")</f>
        <v>#NAME?</v>
      </c>
    </row>
    <row r="314" spans="1:88" ht="15.75" customHeight="1">
      <c r="A314" s="36" t="s">
        <v>2921</v>
      </c>
      <c r="B314" s="37" t="s">
        <v>3437</v>
      </c>
      <c r="C314" s="9">
        <v>378873</v>
      </c>
      <c r="D314" s="9" t="s">
        <v>19</v>
      </c>
      <c r="E314" s="9" t="s">
        <v>20</v>
      </c>
      <c r="F314" s="9" t="s">
        <v>2955</v>
      </c>
      <c r="G314" s="7" t="e">
        <f t="shared" ca="1" si="4"/>
        <v>#NAME?</v>
      </c>
      <c r="H314" s="8" t="s">
        <v>161</v>
      </c>
      <c r="I314" s="24" t="s">
        <v>928</v>
      </c>
      <c r="J314" s="9" t="str">
        <f t="shared" si="3"/>
        <v>Não</v>
      </c>
      <c r="K314" s="232">
        <v>45013</v>
      </c>
      <c r="L314" s="7"/>
      <c r="M314" s="6" t="s">
        <v>87</v>
      </c>
      <c r="N314" s="10">
        <v>2.5000000000000001E-2</v>
      </c>
      <c r="O314" s="9" t="s">
        <v>183</v>
      </c>
      <c r="P314" s="234">
        <v>0.2</v>
      </c>
      <c r="Q314" s="108"/>
      <c r="R314" s="108"/>
      <c r="S314" s="7" t="s">
        <v>145</v>
      </c>
      <c r="T314" s="6" t="s">
        <v>3438</v>
      </c>
      <c r="U314" s="6" t="s">
        <v>886</v>
      </c>
      <c r="V314" s="24" t="e">
        <f t="shared" ca="1" si="5"/>
        <v>#NAME?</v>
      </c>
      <c r="W314" s="24"/>
      <c r="X314" s="24"/>
      <c r="Y314" s="6" t="s">
        <v>147</v>
      </c>
      <c r="Z314" s="6"/>
      <c r="AA314" s="107">
        <v>45013</v>
      </c>
      <c r="AB314" s="6">
        <v>49075100010900</v>
      </c>
      <c r="AC314" s="240"/>
      <c r="AD314" s="240"/>
      <c r="AE314" s="240"/>
      <c r="AF314" s="240"/>
      <c r="AG314" s="240"/>
      <c r="AH314" s="240"/>
      <c r="AI314" s="240"/>
      <c r="AJ314" s="240"/>
      <c r="AK314" s="240"/>
      <c r="AL314" s="240"/>
      <c r="AM314" s="240"/>
      <c r="AN314" s="240"/>
      <c r="AO314" s="240"/>
      <c r="AP314" s="110"/>
      <c r="AQ314" s="110"/>
      <c r="AR314" s="110"/>
      <c r="AS314" s="110"/>
      <c r="AT314" s="110"/>
      <c r="AU314" s="110"/>
      <c r="AV314" s="110"/>
      <c r="AW314" s="110"/>
      <c r="AX314" s="110"/>
      <c r="AY314" s="110"/>
      <c r="AZ314" s="110"/>
      <c r="BA314" s="110"/>
      <c r="BB314" s="110"/>
      <c r="BC314" s="110"/>
      <c r="BD314" s="110"/>
      <c r="BE314" s="110"/>
      <c r="BF314" s="110"/>
      <c r="BG314" s="237"/>
      <c r="BH314" s="237"/>
      <c r="BI314" s="237"/>
      <c r="BJ314" s="237"/>
      <c r="BK314" s="237"/>
      <c r="BL314" s="237"/>
      <c r="BM314" s="237"/>
      <c r="BN314" s="237"/>
      <c r="BO314" s="237"/>
      <c r="BP314" s="237"/>
      <c r="BQ314" s="237">
        <v>246421.12</v>
      </c>
      <c r="BR314" s="237">
        <v>250468.12</v>
      </c>
      <c r="BS314" s="237">
        <v>271889.05</v>
      </c>
      <c r="BT314" s="237">
        <v>302913.3</v>
      </c>
      <c r="BU314" s="237">
        <v>309611.81</v>
      </c>
      <c r="BV314" s="237">
        <v>325256.39</v>
      </c>
      <c r="BW314" s="237">
        <v>313589.98</v>
      </c>
      <c r="BX314" s="237">
        <v>307616.07</v>
      </c>
      <c r="BY314" s="237">
        <v>331055.75</v>
      </c>
      <c r="BZ314" s="237">
        <v>345636.23</v>
      </c>
      <c r="CA314" s="237">
        <v>334090.62</v>
      </c>
      <c r="CB314" s="237">
        <v>340227.67</v>
      </c>
      <c r="CC314" s="237">
        <v>342951.09</v>
      </c>
      <c r="CD314" s="237">
        <v>328731.59999999998</v>
      </c>
      <c r="CE314" s="237">
        <v>290529.68</v>
      </c>
      <c r="CF314" s="237">
        <v>329196.46000000002</v>
      </c>
      <c r="CG314" s="237">
        <v>316707.81</v>
      </c>
      <c r="CH314" s="30">
        <v>341630.18</v>
      </c>
      <c r="CI314" s="30">
        <v>172091.87</v>
      </c>
      <c r="CJ314" s="30" t="e">
        <f t="array" aca="1" ref="CJ314" ca="1">_xludf.XLOOKUP(C314,'PL TOTAL D0'!H:H,'PL TOTAL D0'!I:I,"")</f>
        <v>#NAME?</v>
      </c>
    </row>
    <row r="315" spans="1:88" ht="15.75" customHeight="1">
      <c r="A315" s="36" t="s">
        <v>2921</v>
      </c>
      <c r="B315" s="37" t="s">
        <v>3437</v>
      </c>
      <c r="C315" s="9">
        <v>378997</v>
      </c>
      <c r="D315" s="9" t="s">
        <v>19</v>
      </c>
      <c r="E315" s="9" t="s">
        <v>20</v>
      </c>
      <c r="F315" s="9" t="s">
        <v>2955</v>
      </c>
      <c r="G315" s="7" t="e">
        <f t="shared" ca="1" si="4"/>
        <v>#NAME?</v>
      </c>
      <c r="H315" s="8" t="s">
        <v>161</v>
      </c>
      <c r="I315" s="24" t="s">
        <v>928</v>
      </c>
      <c r="J315" s="9" t="str">
        <f t="shared" si="3"/>
        <v>Não</v>
      </c>
      <c r="K315" s="232">
        <v>45013</v>
      </c>
      <c r="L315" s="7"/>
      <c r="M315" s="6" t="s">
        <v>42</v>
      </c>
      <c r="N315" s="10">
        <v>0.01</v>
      </c>
      <c r="O315" s="9" t="s">
        <v>25</v>
      </c>
      <c r="P315" s="234">
        <v>0</v>
      </c>
      <c r="Q315" s="108"/>
      <c r="R315" s="108"/>
      <c r="S315" s="7" t="s">
        <v>145</v>
      </c>
      <c r="T315" s="6" t="s">
        <v>3438</v>
      </c>
      <c r="U315" s="6" t="s">
        <v>886</v>
      </c>
      <c r="V315" s="24" t="e">
        <f t="shared" ca="1" si="5"/>
        <v>#NAME?</v>
      </c>
      <c r="W315" s="24"/>
      <c r="X315" s="24"/>
      <c r="Y315" s="6" t="s">
        <v>147</v>
      </c>
      <c r="Z315" s="6"/>
      <c r="AA315" s="107">
        <v>45013</v>
      </c>
      <c r="AB315" s="6">
        <v>49075100007111</v>
      </c>
      <c r="AC315" s="240"/>
      <c r="AD315" s="240"/>
      <c r="AE315" s="240"/>
      <c r="AF315" s="240"/>
      <c r="AG315" s="240"/>
      <c r="AH315" s="240"/>
      <c r="AI315" s="240"/>
      <c r="AJ315" s="240"/>
      <c r="AK315" s="240"/>
      <c r="AL315" s="240"/>
      <c r="AM315" s="240"/>
      <c r="AN315" s="240"/>
      <c r="AO315" s="240"/>
      <c r="AP315" s="110"/>
      <c r="AQ315" s="110"/>
      <c r="AR315" s="110"/>
      <c r="AS315" s="110"/>
      <c r="AT315" s="110"/>
      <c r="AU315" s="110"/>
      <c r="AV315" s="110"/>
      <c r="AW315" s="110"/>
      <c r="AX315" s="110"/>
      <c r="AY315" s="110"/>
      <c r="AZ315" s="110"/>
      <c r="BA315" s="110"/>
      <c r="BB315" s="110"/>
      <c r="BC315" s="110"/>
      <c r="BD315" s="110"/>
      <c r="BE315" s="110"/>
      <c r="BF315" s="110"/>
      <c r="BG315" s="237"/>
      <c r="BH315" s="237"/>
      <c r="BI315" s="237"/>
      <c r="BJ315" s="237"/>
      <c r="BK315" s="237"/>
      <c r="BL315" s="237"/>
      <c r="BM315" s="237"/>
      <c r="BN315" s="237"/>
      <c r="BO315" s="237"/>
      <c r="BP315" s="237"/>
      <c r="BQ315" s="237">
        <v>96033.06</v>
      </c>
      <c r="BR315" s="237">
        <v>96717.91</v>
      </c>
      <c r="BS315" s="237">
        <v>97665.09</v>
      </c>
      <c r="BT315" s="237">
        <v>98146.57</v>
      </c>
      <c r="BU315" s="237">
        <v>98916.79</v>
      </c>
      <c r="BV315" s="237">
        <v>100318.35</v>
      </c>
      <c r="BW315" s="237">
        <v>100679.2</v>
      </c>
      <c r="BX315" s="237">
        <v>101925.42</v>
      </c>
      <c r="BY315" s="237">
        <v>102084.67</v>
      </c>
      <c r="BZ315" s="237">
        <v>92399.75</v>
      </c>
      <c r="CA315" s="237">
        <v>102411.48</v>
      </c>
      <c r="CB315" s="237">
        <v>104952.94</v>
      </c>
      <c r="CC315" s="237">
        <v>104783.71</v>
      </c>
      <c r="CD315" s="237">
        <v>105374.33</v>
      </c>
      <c r="CE315" s="237">
        <v>106322.87</v>
      </c>
      <c r="CF315" s="237">
        <v>107242.84</v>
      </c>
      <c r="CG315" s="237">
        <v>108892.9</v>
      </c>
      <c r="CH315" s="30">
        <v>109875.59</v>
      </c>
      <c r="CI315" s="30">
        <v>79651.199999999997</v>
      </c>
      <c r="CJ315" s="30" t="e">
        <f t="array" aca="1" ref="CJ315" ca="1">_xludf.XLOOKUP(C315,'PL TOTAL D0'!H:H,'PL TOTAL D0'!I:I,"")</f>
        <v>#NAME?</v>
      </c>
    </row>
    <row r="316" spans="1:88" ht="15.75" customHeight="1">
      <c r="A316" s="36" t="s">
        <v>2921</v>
      </c>
      <c r="B316" s="3" t="s">
        <v>2301</v>
      </c>
      <c r="C316" s="9">
        <v>48619</v>
      </c>
      <c r="D316" s="9" t="s">
        <v>19</v>
      </c>
      <c r="E316" s="9" t="s">
        <v>34</v>
      </c>
      <c r="F316" s="9" t="s">
        <v>35</v>
      </c>
      <c r="G316" s="7" t="e">
        <f t="shared" ca="1" si="4"/>
        <v>#NAME?</v>
      </c>
      <c r="H316" s="8" t="s">
        <v>161</v>
      </c>
      <c r="I316" s="24" t="s">
        <v>162</v>
      </c>
      <c r="J316" s="9" t="str">
        <f t="shared" si="3"/>
        <v>Sim</v>
      </c>
      <c r="K316" s="232">
        <v>44280</v>
      </c>
      <c r="L316" s="7"/>
      <c r="M316" s="6" t="s">
        <v>200</v>
      </c>
      <c r="N316" s="10">
        <v>1.4999999999999999E-2</v>
      </c>
      <c r="O316" s="9" t="s">
        <v>37</v>
      </c>
      <c r="P316" s="234">
        <v>0.1</v>
      </c>
      <c r="Q316" s="108" t="s">
        <v>3439</v>
      </c>
      <c r="R316" s="108"/>
      <c r="S316" s="7" t="s">
        <v>145</v>
      </c>
      <c r="T316" s="6" t="s">
        <v>2304</v>
      </c>
      <c r="U316" s="6" t="s">
        <v>46</v>
      </c>
      <c r="V316" s="24" t="e">
        <f t="shared" ca="1" si="5"/>
        <v>#NAME?</v>
      </c>
      <c r="W316" s="24"/>
      <c r="X316" s="24"/>
      <c r="Y316" s="6" t="s">
        <v>147</v>
      </c>
      <c r="Z316" s="6"/>
      <c r="AA316" s="107">
        <v>44280</v>
      </c>
      <c r="AB316" s="6">
        <v>49075100004560</v>
      </c>
      <c r="AC316" s="240"/>
      <c r="AD316" s="240"/>
      <c r="AE316" s="240"/>
      <c r="AF316" s="240"/>
      <c r="AG316" s="240"/>
      <c r="AH316" s="240"/>
      <c r="AI316" s="240"/>
      <c r="AJ316" s="240"/>
      <c r="AK316" s="240"/>
      <c r="AL316" s="240"/>
      <c r="AM316" s="240"/>
      <c r="AN316" s="240"/>
      <c r="AO316" s="240"/>
      <c r="AP316" s="110"/>
      <c r="AQ316" s="110"/>
      <c r="AR316" s="110">
        <v>1199639.67</v>
      </c>
      <c r="AS316" s="110"/>
      <c r="AT316" s="110">
        <v>949025.38</v>
      </c>
      <c r="AU316" s="110">
        <v>1225567.96</v>
      </c>
      <c r="AV316" s="110">
        <v>1220327.8999999999</v>
      </c>
      <c r="AW316" s="110">
        <v>1475162.62</v>
      </c>
      <c r="AX316" s="110">
        <v>1422166.88</v>
      </c>
      <c r="AY316" s="110">
        <v>1399235.93</v>
      </c>
      <c r="AZ316" s="110">
        <v>1325494.54</v>
      </c>
      <c r="BA316" s="110">
        <v>1253465.77</v>
      </c>
      <c r="BB316" s="110">
        <v>1260320.23</v>
      </c>
      <c r="BC316" s="110">
        <v>1285674.82</v>
      </c>
      <c r="BD316" s="110">
        <v>1293358.6100000001</v>
      </c>
      <c r="BE316" s="110">
        <v>1332336.07</v>
      </c>
      <c r="BF316" s="110">
        <v>1322934.52</v>
      </c>
      <c r="BG316" s="237">
        <v>1327045.83</v>
      </c>
      <c r="BH316" s="237">
        <v>1317712.5</v>
      </c>
      <c r="BI316" s="237">
        <v>1324474.55</v>
      </c>
      <c r="BJ316" s="237">
        <v>1344182.14</v>
      </c>
      <c r="BK316" s="237">
        <v>1353200.43</v>
      </c>
      <c r="BL316" s="237">
        <v>1367689.54</v>
      </c>
      <c r="BM316" s="237">
        <v>1355973.87</v>
      </c>
      <c r="BN316" s="237">
        <v>1181882.81</v>
      </c>
      <c r="BO316" s="237">
        <v>1173390.21</v>
      </c>
      <c r="BP316" s="237">
        <v>1174594.42</v>
      </c>
      <c r="BQ316" s="237">
        <v>1173167.29</v>
      </c>
      <c r="BR316" s="237">
        <v>29418.63</v>
      </c>
      <c r="BS316" s="237">
        <v>0</v>
      </c>
      <c r="BT316" s="237">
        <v>0</v>
      </c>
      <c r="BU316" s="237">
        <v>0</v>
      </c>
      <c r="BV316" s="237">
        <v>0</v>
      </c>
      <c r="BW316" s="237">
        <v>0</v>
      </c>
      <c r="BX316" s="237">
        <v>0</v>
      </c>
      <c r="BY316" s="237">
        <v>0</v>
      </c>
      <c r="BZ316" s="237">
        <v>0</v>
      </c>
      <c r="CA316" s="237">
        <v>0</v>
      </c>
      <c r="CB316" s="237">
        <v>0</v>
      </c>
      <c r="CC316" s="237">
        <v>0</v>
      </c>
      <c r="CD316" s="237">
        <v>0</v>
      </c>
      <c r="CE316" s="237">
        <v>0</v>
      </c>
      <c r="CF316" s="237">
        <v>0</v>
      </c>
      <c r="CG316" s="237">
        <v>0</v>
      </c>
      <c r="CH316" s="30">
        <v>0</v>
      </c>
      <c r="CI316" s="30">
        <v>0</v>
      </c>
      <c r="CJ316" s="30" t="e">
        <f t="array" aca="1" ref="CJ316" ca="1">_xludf.XLOOKUP(C316,'PL TOTAL D0'!H:H,'PL TOTAL D0'!I:I,"")</f>
        <v>#NAME?</v>
      </c>
    </row>
    <row r="317" spans="1:88" ht="15.75" customHeight="1">
      <c r="A317" s="36" t="s">
        <v>2921</v>
      </c>
      <c r="B317" s="3" t="s">
        <v>2301</v>
      </c>
      <c r="C317" s="9">
        <v>85179</v>
      </c>
      <c r="D317" s="9" t="s">
        <v>19</v>
      </c>
      <c r="E317" s="9" t="s">
        <v>34</v>
      </c>
      <c r="F317" s="9" t="s">
        <v>35</v>
      </c>
      <c r="G317" s="7" t="e">
        <f t="shared" ca="1" si="4"/>
        <v>#NAME?</v>
      </c>
      <c r="H317" s="8" t="s">
        <v>161</v>
      </c>
      <c r="I317" s="24" t="s">
        <v>162</v>
      </c>
      <c r="J317" s="9" t="str">
        <f t="shared" si="3"/>
        <v>Não</v>
      </c>
      <c r="K317" s="25">
        <v>44382</v>
      </c>
      <c r="L317" s="7"/>
      <c r="M317" s="6" t="s">
        <v>200</v>
      </c>
      <c r="N317" s="10">
        <v>1.4999999999999999E-2</v>
      </c>
      <c r="O317" s="9" t="s">
        <v>37</v>
      </c>
      <c r="P317" s="234">
        <v>0.1</v>
      </c>
      <c r="Q317" s="45"/>
      <c r="R317" s="108" t="s">
        <v>3440</v>
      </c>
      <c r="S317" s="7" t="s">
        <v>145</v>
      </c>
      <c r="T317" s="6" t="s">
        <v>2304</v>
      </c>
      <c r="U317" s="6" t="s">
        <v>46</v>
      </c>
      <c r="V317" s="24" t="e">
        <f t="shared" ca="1" si="5"/>
        <v>#NAME?</v>
      </c>
      <c r="W317" s="24"/>
      <c r="X317" s="24"/>
      <c r="Y317" s="6" t="s">
        <v>253</v>
      </c>
      <c r="Z317" s="6"/>
      <c r="AA317" s="107">
        <v>44382</v>
      </c>
      <c r="AB317" s="6">
        <v>49075100009848</v>
      </c>
      <c r="AC317" s="132"/>
      <c r="AD317" s="132"/>
      <c r="AE317" s="132"/>
      <c r="AF317" s="132"/>
      <c r="AG317" s="132"/>
      <c r="AH317" s="132"/>
      <c r="AI317" s="132"/>
      <c r="AJ317" s="132"/>
      <c r="AK317" s="132"/>
      <c r="AL317" s="132"/>
      <c r="AM317" s="132"/>
      <c r="AN317" s="132"/>
      <c r="AO317" s="110"/>
      <c r="AP317" s="110"/>
      <c r="AQ317" s="110"/>
      <c r="AR317" s="110"/>
      <c r="AS317" s="110"/>
      <c r="AT317" s="110"/>
      <c r="AU317" s="132"/>
      <c r="AV317" s="110">
        <v>26500</v>
      </c>
      <c r="AW317" s="110">
        <v>309332.68</v>
      </c>
      <c r="AX317" s="110">
        <v>304114.81</v>
      </c>
      <c r="AY317" s="110">
        <v>299963.11</v>
      </c>
      <c r="AZ317" s="110">
        <v>293410.28000000003</v>
      </c>
      <c r="BA317" s="110">
        <v>290626.55</v>
      </c>
      <c r="BB317" s="110">
        <v>291461.68</v>
      </c>
      <c r="BC317" s="110">
        <v>297210.49</v>
      </c>
      <c r="BD317" s="110">
        <v>299473.01</v>
      </c>
      <c r="BE317" s="110">
        <v>306519.73</v>
      </c>
      <c r="BF317" s="110">
        <v>305005.65999999997</v>
      </c>
      <c r="BG317" s="237">
        <v>305946.45</v>
      </c>
      <c r="BH317" s="237">
        <v>307042.26</v>
      </c>
      <c r="BI317" s="237">
        <v>311396.37</v>
      </c>
      <c r="BJ317" s="237">
        <v>314246.03000000003</v>
      </c>
      <c r="BK317" s="237">
        <v>316936.15999999997</v>
      </c>
      <c r="BL317" s="237">
        <v>1367689.54</v>
      </c>
      <c r="BM317" s="237">
        <v>320219.14</v>
      </c>
      <c r="BN317" s="237">
        <v>325800.95</v>
      </c>
      <c r="BO317" s="237">
        <v>327601.82</v>
      </c>
      <c r="BP317" s="237">
        <v>329313.55</v>
      </c>
      <c r="BQ317" s="237">
        <v>332132.28999999998</v>
      </c>
      <c r="BR317" s="237">
        <v>176161.97</v>
      </c>
      <c r="BS317" s="237">
        <v>0</v>
      </c>
      <c r="BT317" s="237">
        <v>0</v>
      </c>
      <c r="BU317" s="237">
        <v>0</v>
      </c>
      <c r="BV317" s="237">
        <v>0</v>
      </c>
      <c r="BW317" s="237">
        <v>0</v>
      </c>
      <c r="BX317" s="237">
        <v>0</v>
      </c>
      <c r="BY317" s="237">
        <v>0</v>
      </c>
      <c r="BZ317" s="237">
        <v>0</v>
      </c>
      <c r="CA317" s="237">
        <v>0</v>
      </c>
      <c r="CB317" s="237">
        <v>0</v>
      </c>
      <c r="CC317" s="237">
        <v>0</v>
      </c>
      <c r="CD317" s="237">
        <v>0</v>
      </c>
      <c r="CE317" s="237">
        <v>0</v>
      </c>
      <c r="CF317" s="237">
        <v>0</v>
      </c>
      <c r="CG317" s="237">
        <v>0</v>
      </c>
      <c r="CH317" s="30">
        <v>0</v>
      </c>
      <c r="CI317" s="30">
        <v>0</v>
      </c>
      <c r="CJ317" s="30" t="e">
        <f t="array" aca="1" ref="CJ317" ca="1">_xludf.XLOOKUP(C317,'PL TOTAL D0'!H:H,'PL TOTAL D0'!I:I,"")</f>
        <v>#NAME?</v>
      </c>
    </row>
    <row r="318" spans="1:88" ht="15.75" customHeight="1">
      <c r="A318" s="36" t="s">
        <v>2921</v>
      </c>
      <c r="B318" s="3" t="s">
        <v>3441</v>
      </c>
      <c r="C318" s="9">
        <v>334022</v>
      </c>
      <c r="D318" s="9" t="s">
        <v>19</v>
      </c>
      <c r="E318" s="9" t="s">
        <v>34</v>
      </c>
      <c r="F318" s="9" t="s">
        <v>262</v>
      </c>
      <c r="G318" s="7" t="e">
        <f t="shared" ca="1" si="4"/>
        <v>#NAME?</v>
      </c>
      <c r="H318" s="8" t="s">
        <v>161</v>
      </c>
      <c r="I318" s="24" t="s">
        <v>162</v>
      </c>
      <c r="J318" s="9" t="str">
        <f t="shared" si="3"/>
        <v>Não</v>
      </c>
      <c r="K318" s="25">
        <v>44389</v>
      </c>
      <c r="L318" s="7"/>
      <c r="M318" s="6" t="s">
        <v>200</v>
      </c>
      <c r="N318" s="10">
        <v>1.4999999999999999E-2</v>
      </c>
      <c r="O318" s="9" t="s">
        <v>37</v>
      </c>
      <c r="P318" s="234">
        <v>0.1</v>
      </c>
      <c r="Q318" s="28"/>
      <c r="R318" s="28"/>
      <c r="S318" s="7" t="s">
        <v>145</v>
      </c>
      <c r="T318" s="6" t="s">
        <v>2311</v>
      </c>
      <c r="U318" s="7" t="s">
        <v>886</v>
      </c>
      <c r="V318" s="24" t="e">
        <f t="shared" ca="1" si="5"/>
        <v>#NAME?</v>
      </c>
      <c r="W318" s="24"/>
      <c r="X318" s="24"/>
      <c r="Y318" s="6" t="s">
        <v>253</v>
      </c>
      <c r="Z318" s="6"/>
      <c r="AA318" s="107">
        <v>44389</v>
      </c>
      <c r="AB318" s="6">
        <v>49075100004587</v>
      </c>
      <c r="AC318" s="132"/>
      <c r="AD318" s="132"/>
      <c r="AE318" s="132"/>
      <c r="AF318" s="132"/>
      <c r="AG318" s="132"/>
      <c r="AH318" s="132"/>
      <c r="AI318" s="132"/>
      <c r="AJ318" s="132"/>
      <c r="AK318" s="132"/>
      <c r="AL318" s="132"/>
      <c r="AM318" s="132"/>
      <c r="AN318" s="132"/>
      <c r="AO318" s="110"/>
      <c r="AP318" s="110"/>
      <c r="AQ318" s="110"/>
      <c r="AR318" s="110"/>
      <c r="AS318" s="110"/>
      <c r="AT318" s="110"/>
      <c r="AU318" s="240"/>
      <c r="AV318" s="132"/>
      <c r="AW318" s="110">
        <v>132591.32</v>
      </c>
      <c r="AX318" s="110">
        <v>132657.43</v>
      </c>
      <c r="AY318" s="110">
        <v>114241.78</v>
      </c>
      <c r="AZ318" s="110">
        <v>126029.71</v>
      </c>
      <c r="BA318" s="110">
        <v>127021.99</v>
      </c>
      <c r="BB318" s="110">
        <v>128904.65</v>
      </c>
      <c r="BC318" s="110">
        <v>134157.09</v>
      </c>
      <c r="BD318" s="110">
        <v>136969.34</v>
      </c>
      <c r="BE318" s="110">
        <v>144558.89000000001</v>
      </c>
      <c r="BF318" s="110">
        <v>144248.04</v>
      </c>
      <c r="BG318" s="237">
        <v>145898.34</v>
      </c>
      <c r="BH318" s="237">
        <v>145103.25</v>
      </c>
      <c r="BI318" s="237">
        <v>146894.45000000001</v>
      </c>
      <c r="BJ318" s="237">
        <v>150799.20000000001</v>
      </c>
      <c r="BK318" s="237">
        <v>154194.84</v>
      </c>
      <c r="BL318" s="237">
        <v>160794.15</v>
      </c>
      <c r="BM318" s="237">
        <v>161627.32999999999</v>
      </c>
      <c r="BN318" s="237">
        <v>162936.25</v>
      </c>
      <c r="BO318" s="237">
        <v>164708.54</v>
      </c>
      <c r="BP318" s="237">
        <v>165902.48000000001</v>
      </c>
      <c r="BQ318" s="237">
        <v>169210.75</v>
      </c>
      <c r="BR318" s="237">
        <v>169847.11</v>
      </c>
      <c r="BS318" s="237">
        <v>174181.49</v>
      </c>
      <c r="BT318" s="237">
        <v>170999.67999999999</v>
      </c>
      <c r="BU318" s="237">
        <v>137189.03</v>
      </c>
      <c r="BV318" s="237">
        <v>8463</v>
      </c>
      <c r="BW318" s="237">
        <v>0</v>
      </c>
      <c r="BX318" s="237">
        <v>12.26</v>
      </c>
      <c r="BY318" s="237">
        <v>11.25</v>
      </c>
      <c r="BZ318" s="237">
        <v>11.25</v>
      </c>
      <c r="CA318" s="237">
        <v>11.25</v>
      </c>
      <c r="CB318" s="237">
        <v>11.25</v>
      </c>
      <c r="CC318" s="237">
        <v>11.25</v>
      </c>
      <c r="CD318" s="237">
        <v>11.25</v>
      </c>
      <c r="CE318" s="237">
        <v>0</v>
      </c>
      <c r="CF318" s="237">
        <v>0</v>
      </c>
      <c r="CG318" s="237">
        <v>0</v>
      </c>
      <c r="CH318" s="30">
        <v>0</v>
      </c>
      <c r="CI318" s="30">
        <v>0</v>
      </c>
      <c r="CJ318" s="30" t="e">
        <f t="array" aca="1" ref="CJ318" ca="1">_xludf.XLOOKUP(C318,'PL TOTAL D0'!H:H,'PL TOTAL D0'!I:I,"")</f>
        <v>#NAME?</v>
      </c>
    </row>
    <row r="319" spans="1:88" ht="15.75" customHeight="1">
      <c r="A319" s="36" t="s">
        <v>2921</v>
      </c>
      <c r="B319" s="3" t="s">
        <v>3442</v>
      </c>
      <c r="C319" s="9">
        <v>338425</v>
      </c>
      <c r="D319" s="244" t="s">
        <v>19</v>
      </c>
      <c r="E319" s="244" t="s">
        <v>20</v>
      </c>
      <c r="F319" s="9" t="s">
        <v>199</v>
      </c>
      <c r="G319" s="7" t="e">
        <f t="shared" ca="1" si="4"/>
        <v>#NAME?</v>
      </c>
      <c r="H319" s="245" t="s">
        <v>161</v>
      </c>
      <c r="I319" s="24" t="s">
        <v>162</v>
      </c>
      <c r="J319" s="9" t="str">
        <f t="shared" si="3"/>
        <v>Não</v>
      </c>
      <c r="K319" s="246">
        <v>43564</v>
      </c>
      <c r="L319" s="7"/>
      <c r="M319" s="247" t="s">
        <v>345</v>
      </c>
      <c r="N319" s="248">
        <v>0.02</v>
      </c>
      <c r="O319" s="244"/>
      <c r="P319" s="249"/>
      <c r="Q319" s="45"/>
      <c r="R319" s="108" t="s">
        <v>3443</v>
      </c>
      <c r="S319" s="7" t="s">
        <v>145</v>
      </c>
      <c r="T319" s="6" t="s">
        <v>3444</v>
      </c>
      <c r="U319" s="6" t="s">
        <v>20</v>
      </c>
      <c r="V319" s="24" t="e">
        <f t="shared" ca="1" si="5"/>
        <v>#NAME?</v>
      </c>
      <c r="W319" s="24"/>
      <c r="X319" s="24"/>
      <c r="Y319" s="6" t="s">
        <v>253</v>
      </c>
      <c r="Z319" s="6"/>
      <c r="AA319" s="107">
        <v>43564</v>
      </c>
      <c r="AB319" s="6">
        <v>49075100009325</v>
      </c>
      <c r="AC319" s="110">
        <v>115773.56</v>
      </c>
      <c r="AD319" s="110">
        <v>114030.52</v>
      </c>
      <c r="AE319" s="110">
        <v>109839.92</v>
      </c>
      <c r="AF319" s="110">
        <v>164436.16</v>
      </c>
      <c r="AG319" s="110">
        <v>167677.14000000001</v>
      </c>
      <c r="AH319" s="110">
        <v>171419.25</v>
      </c>
      <c r="AI319" s="110">
        <v>217045.5</v>
      </c>
      <c r="AJ319" s="110">
        <v>227328.73</v>
      </c>
      <c r="AK319" s="110">
        <v>93464.65</v>
      </c>
      <c r="AL319" s="110">
        <v>93566.82</v>
      </c>
      <c r="AM319" s="110">
        <v>100846.05</v>
      </c>
      <c r="AN319" s="110">
        <v>103128.56</v>
      </c>
      <c r="AO319" s="110">
        <v>102090.61</v>
      </c>
      <c r="AP319" s="110">
        <v>98691.14</v>
      </c>
      <c r="AQ319" s="236">
        <v>97690.09</v>
      </c>
      <c r="AR319" s="236">
        <v>101692.12</v>
      </c>
      <c r="AS319" s="236">
        <v>101814.22</v>
      </c>
      <c r="AT319" s="236">
        <v>102057.86</v>
      </c>
      <c r="AU319" s="236">
        <v>104687.72</v>
      </c>
      <c r="AV319" s="110">
        <v>103886.36</v>
      </c>
      <c r="AW319" s="110">
        <v>102427.7</v>
      </c>
      <c r="AX319" s="110">
        <v>99461.09</v>
      </c>
      <c r="AY319" s="110">
        <v>96476.87</v>
      </c>
      <c r="AZ319" s="110">
        <v>93011.34</v>
      </c>
      <c r="BA319" s="110">
        <v>96388.91</v>
      </c>
      <c r="BB319" s="110">
        <v>90703.1</v>
      </c>
      <c r="BC319" s="110">
        <v>94445.9</v>
      </c>
      <c r="BD319" s="110">
        <v>106022.51</v>
      </c>
      <c r="BE319" s="110">
        <v>99539.44</v>
      </c>
      <c r="BF319" s="110">
        <v>96867.98</v>
      </c>
      <c r="BG319" s="237">
        <v>96001.67</v>
      </c>
      <c r="BH319" s="237">
        <v>92724.23</v>
      </c>
      <c r="BI319" s="237">
        <v>95624.97</v>
      </c>
      <c r="BJ319" s="237">
        <v>97611.87</v>
      </c>
      <c r="BK319" s="237">
        <v>98276.34</v>
      </c>
      <c r="BL319" s="237">
        <v>102809.38</v>
      </c>
      <c r="BM319" s="237">
        <v>126100.29</v>
      </c>
      <c r="BN319" s="237">
        <v>132339.18</v>
      </c>
      <c r="BO319" s="237">
        <v>123369.96</v>
      </c>
      <c r="BP319" s="237">
        <v>122004.68</v>
      </c>
      <c r="BQ319" s="237">
        <v>106705.11</v>
      </c>
      <c r="BR319" s="237">
        <v>101473.46</v>
      </c>
      <c r="BS319" s="237">
        <v>98408.92</v>
      </c>
      <c r="BT319" s="237">
        <v>93783.6</v>
      </c>
      <c r="BU319" s="237">
        <v>95169.29</v>
      </c>
      <c r="BV319" s="237">
        <v>89983.039999999994</v>
      </c>
      <c r="BW319" s="237">
        <v>87846.82</v>
      </c>
      <c r="BX319" s="237">
        <v>77737.59</v>
      </c>
      <c r="BY319" s="237">
        <v>76422.37</v>
      </c>
      <c r="BZ319" s="237">
        <v>72876.740000000005</v>
      </c>
      <c r="CA319" s="237">
        <v>66837.3</v>
      </c>
      <c r="CB319" s="237">
        <v>67755.149999999994</v>
      </c>
      <c r="CC319" s="237">
        <v>60266.31</v>
      </c>
      <c r="CD319" s="237">
        <v>49874.33</v>
      </c>
      <c r="CE319" s="237">
        <v>45428.79</v>
      </c>
      <c r="CF319" s="237">
        <v>44109.4</v>
      </c>
      <c r="CG319" s="237">
        <v>39531.39</v>
      </c>
      <c r="CH319" s="30">
        <v>14020.59</v>
      </c>
      <c r="CI319" s="30">
        <v>197.39</v>
      </c>
      <c r="CJ319" s="30" t="e">
        <f t="array" aca="1" ref="CJ319" ca="1">_xludf.XLOOKUP(C319,'PL TOTAL D0'!H:H,'PL TOTAL D0'!I:I,"")</f>
        <v>#NAME?</v>
      </c>
    </row>
    <row r="320" spans="1:88" ht="15.75" customHeight="1">
      <c r="A320" s="36" t="s">
        <v>2921</v>
      </c>
      <c r="B320" s="3" t="s">
        <v>3445</v>
      </c>
      <c r="C320" s="9">
        <v>450254</v>
      </c>
      <c r="D320" s="9" t="s">
        <v>2923</v>
      </c>
      <c r="E320" s="9" t="s">
        <v>20</v>
      </c>
      <c r="F320" s="9" t="s">
        <v>2924</v>
      </c>
      <c r="G320" s="7" t="e">
        <f t="shared" ca="1" si="4"/>
        <v>#NAME?</v>
      </c>
      <c r="H320" s="8" t="s">
        <v>161</v>
      </c>
      <c r="I320" s="24" t="s">
        <v>162</v>
      </c>
      <c r="J320" s="9" t="str">
        <f t="shared" si="3"/>
        <v>Não</v>
      </c>
      <c r="K320" s="232">
        <v>43894</v>
      </c>
      <c r="L320" s="6"/>
      <c r="M320" s="6" t="s">
        <v>58</v>
      </c>
      <c r="N320" s="10">
        <v>1.2E-2</v>
      </c>
      <c r="O320" s="9" t="s">
        <v>25</v>
      </c>
      <c r="P320" s="234">
        <v>0</v>
      </c>
      <c r="Q320" s="108"/>
      <c r="R320" s="108"/>
      <c r="S320" s="7" t="s">
        <v>145</v>
      </c>
      <c r="T320" s="6" t="s">
        <v>3446</v>
      </c>
      <c r="U320" s="6" t="s">
        <v>20</v>
      </c>
      <c r="V320" s="24" t="e">
        <f t="shared" ca="1" si="5"/>
        <v>#NAME?</v>
      </c>
      <c r="W320" s="24"/>
      <c r="X320" s="24"/>
      <c r="Y320" s="6" t="s">
        <v>253</v>
      </c>
      <c r="Z320" s="6"/>
      <c r="AA320" s="107">
        <v>43894</v>
      </c>
      <c r="AB320" s="6">
        <v>49075100003874</v>
      </c>
      <c r="AC320" s="110">
        <v>0</v>
      </c>
      <c r="AD320" s="110">
        <v>0</v>
      </c>
      <c r="AE320" s="110">
        <v>95034.33</v>
      </c>
      <c r="AF320" s="110">
        <v>93318.34</v>
      </c>
      <c r="AG320" s="110">
        <v>88021.37</v>
      </c>
      <c r="AH320" s="110">
        <v>84055.44</v>
      </c>
      <c r="AI320" s="110">
        <v>81417.210000000006</v>
      </c>
      <c r="AJ320" s="110">
        <v>77183.679999999993</v>
      </c>
      <c r="AK320" s="110">
        <v>75141.990000000005</v>
      </c>
      <c r="AL320" s="110">
        <v>71202.17</v>
      </c>
      <c r="AM320" s="110">
        <v>72363.710000000006</v>
      </c>
      <c r="AN320" s="110">
        <v>73240.89</v>
      </c>
      <c r="AO320" s="110">
        <v>70926.52</v>
      </c>
      <c r="AP320" s="110">
        <v>69577.45</v>
      </c>
      <c r="AQ320" s="236">
        <v>69404.399999999994</v>
      </c>
      <c r="AR320" s="236">
        <v>67290.62</v>
      </c>
      <c r="AS320" s="236">
        <v>67068.14</v>
      </c>
      <c r="AT320" s="236">
        <v>67041.759999999995</v>
      </c>
      <c r="AU320" s="236">
        <v>67603.990000000005</v>
      </c>
      <c r="AV320" s="110">
        <v>65422.32</v>
      </c>
      <c r="AW320" s="110">
        <v>55136.14</v>
      </c>
      <c r="AX320" s="110">
        <v>48496.639999999999</v>
      </c>
      <c r="AY320" s="110">
        <v>48029.82</v>
      </c>
      <c r="AZ320" s="110">
        <v>44350.9</v>
      </c>
      <c r="BA320" s="110">
        <v>44053.53</v>
      </c>
      <c r="BB320" s="110">
        <v>34199.32</v>
      </c>
      <c r="BC320" s="110">
        <v>29669.58</v>
      </c>
      <c r="BD320" s="110">
        <v>30018.87</v>
      </c>
      <c r="BE320" s="110">
        <v>29.73</v>
      </c>
      <c r="BF320" s="110">
        <v>6.94</v>
      </c>
      <c r="BG320" s="237">
        <v>26.5</v>
      </c>
      <c r="BH320" s="237">
        <v>26.5</v>
      </c>
      <c r="BI320" s="237">
        <v>33.99</v>
      </c>
      <c r="BJ320" s="237">
        <v>33.99</v>
      </c>
      <c r="BK320" s="237">
        <v>33.99</v>
      </c>
      <c r="BL320" s="237">
        <v>33.99</v>
      </c>
      <c r="BM320" s="237">
        <v>33.99</v>
      </c>
      <c r="BN320" s="237">
        <v>33.99</v>
      </c>
      <c r="BO320" s="237">
        <v>33.99</v>
      </c>
      <c r="BP320" s="237">
        <v>33.99</v>
      </c>
      <c r="BQ320" s="237">
        <v>33.99</v>
      </c>
      <c r="BR320" s="237">
        <v>33.99</v>
      </c>
      <c r="BS320" s="237">
        <v>33.99</v>
      </c>
      <c r="BT320" s="237">
        <v>0</v>
      </c>
      <c r="BU320" s="237">
        <v>0</v>
      </c>
      <c r="BV320" s="237">
        <v>0</v>
      </c>
      <c r="BW320" s="237">
        <v>0</v>
      </c>
      <c r="BX320" s="237">
        <v>0</v>
      </c>
      <c r="BY320" s="237">
        <v>0</v>
      </c>
      <c r="BZ320" s="237">
        <v>0</v>
      </c>
      <c r="CA320" s="237">
        <v>0</v>
      </c>
      <c r="CB320" s="237">
        <v>0</v>
      </c>
      <c r="CC320" s="237">
        <v>0</v>
      </c>
      <c r="CD320" s="237">
        <v>0</v>
      </c>
      <c r="CE320" s="237">
        <v>0</v>
      </c>
      <c r="CF320" s="237">
        <v>0</v>
      </c>
      <c r="CG320" s="237">
        <v>0</v>
      </c>
      <c r="CH320" s="30">
        <v>0</v>
      </c>
      <c r="CI320" s="30">
        <v>0</v>
      </c>
      <c r="CJ320" s="30" t="e">
        <f t="array" aca="1" ref="CJ320" ca="1">_xludf.XLOOKUP(C320,'PL TOTAL D0'!H:H,'PL TOTAL D0'!I:I,"")</f>
        <v>#NAME?</v>
      </c>
    </row>
    <row r="321" spans="1:88" ht="15.75" customHeight="1">
      <c r="A321" s="36" t="s">
        <v>2921</v>
      </c>
      <c r="B321" s="3" t="s">
        <v>3447</v>
      </c>
      <c r="C321" s="9">
        <v>49251</v>
      </c>
      <c r="D321" s="9" t="s">
        <v>19</v>
      </c>
      <c r="E321" s="9" t="s">
        <v>34</v>
      </c>
      <c r="F321" s="6" t="s">
        <v>262</v>
      </c>
      <c r="G321" s="7" t="e">
        <f t="shared" ca="1" si="4"/>
        <v>#NAME?</v>
      </c>
      <c r="H321" s="8" t="s">
        <v>143</v>
      </c>
      <c r="I321" s="24" t="s">
        <v>25</v>
      </c>
      <c r="J321" s="9" t="str">
        <f t="shared" si="3"/>
        <v>Não</v>
      </c>
      <c r="K321" s="107">
        <v>44279</v>
      </c>
      <c r="L321" s="25">
        <v>44602</v>
      </c>
      <c r="M321" s="6" t="s">
        <v>200</v>
      </c>
      <c r="N321" s="10">
        <v>1.4999999999999999E-2</v>
      </c>
      <c r="O321" s="9" t="s">
        <v>37</v>
      </c>
      <c r="P321" s="234">
        <v>0.1</v>
      </c>
      <c r="Q321" s="108"/>
      <c r="R321" s="108"/>
      <c r="S321" s="7" t="s">
        <v>145</v>
      </c>
      <c r="T321" s="6" t="s">
        <v>3448</v>
      </c>
      <c r="U321" s="6" t="s">
        <v>39</v>
      </c>
      <c r="V321" s="24" t="e">
        <f t="shared" ca="1" si="5"/>
        <v>#NAME?</v>
      </c>
      <c r="W321" s="24"/>
      <c r="X321" s="24"/>
      <c r="Y321" s="6"/>
      <c r="Z321" s="6"/>
      <c r="AA321" s="6"/>
      <c r="AB321" s="6"/>
      <c r="AC321" s="110"/>
      <c r="AD321" s="110"/>
      <c r="AE321" s="110"/>
      <c r="AF321" s="110"/>
      <c r="AG321" s="110"/>
      <c r="AH321" s="110"/>
      <c r="AI321" s="110"/>
      <c r="AJ321" s="110"/>
      <c r="AK321" s="110"/>
      <c r="AL321" s="110"/>
      <c r="AM321" s="110"/>
      <c r="AN321" s="110"/>
      <c r="AO321" s="110"/>
      <c r="AP321" s="110"/>
      <c r="AQ321" s="110"/>
      <c r="AR321" s="110">
        <v>783137.41</v>
      </c>
      <c r="AS321" s="110"/>
      <c r="AT321" s="110">
        <v>701330.7</v>
      </c>
      <c r="AU321" s="110">
        <v>521838.58</v>
      </c>
      <c r="AV321" s="110">
        <v>469903.37</v>
      </c>
      <c r="AW321" s="110">
        <v>415816.77</v>
      </c>
      <c r="AX321" s="110">
        <v>407018.67</v>
      </c>
      <c r="AY321" s="110">
        <v>376306.21</v>
      </c>
      <c r="AZ321" s="110">
        <v>266636.65999999997</v>
      </c>
      <c r="BA321" s="110">
        <v>120518.63</v>
      </c>
      <c r="BB321" s="110">
        <v>39329.06</v>
      </c>
      <c r="BC321" s="110">
        <v>40792.160000000003</v>
      </c>
      <c r="BD321" s="110">
        <v>0</v>
      </c>
      <c r="BE321" s="110">
        <v>0</v>
      </c>
      <c r="BF321" s="110">
        <v>0</v>
      </c>
      <c r="BG321" s="110" t="s">
        <v>2932</v>
      </c>
      <c r="BH321" s="110">
        <v>0</v>
      </c>
      <c r="BI321" s="110" t="s">
        <v>2932</v>
      </c>
      <c r="BJ321" s="110">
        <v>0</v>
      </c>
      <c r="BK321" s="237">
        <v>0</v>
      </c>
      <c r="BL321" s="237">
        <v>0</v>
      </c>
      <c r="BM321" s="237">
        <v>0</v>
      </c>
      <c r="BN321" s="237">
        <v>0</v>
      </c>
      <c r="BO321" s="237">
        <v>0</v>
      </c>
      <c r="BP321" s="237">
        <v>0</v>
      </c>
      <c r="BQ321" s="237">
        <v>0</v>
      </c>
      <c r="BR321" s="237">
        <v>0</v>
      </c>
      <c r="BS321" s="237">
        <v>0</v>
      </c>
      <c r="BT321" s="237">
        <v>0</v>
      </c>
      <c r="BU321" s="237">
        <v>0</v>
      </c>
      <c r="BV321" s="237">
        <v>0</v>
      </c>
      <c r="BW321" s="237">
        <v>0</v>
      </c>
      <c r="BX321" s="237">
        <v>0</v>
      </c>
      <c r="BY321" s="237">
        <v>0</v>
      </c>
      <c r="BZ321" s="237">
        <v>0</v>
      </c>
      <c r="CA321" s="237">
        <v>0</v>
      </c>
      <c r="CB321" s="237">
        <v>0</v>
      </c>
      <c r="CC321" s="237">
        <v>0</v>
      </c>
      <c r="CD321" s="237">
        <v>0</v>
      </c>
      <c r="CE321" s="237">
        <v>0</v>
      </c>
      <c r="CF321" s="237">
        <v>0</v>
      </c>
      <c r="CG321" s="237">
        <v>0</v>
      </c>
      <c r="CH321" s="30">
        <v>0</v>
      </c>
      <c r="CI321" s="30">
        <v>0</v>
      </c>
      <c r="CJ321" s="30" t="e">
        <f t="array" aca="1" ref="CJ321" ca="1">_xludf.XLOOKUP(C321,'PL TOTAL D0'!H:H,'PL TOTAL D0'!I:I,"")</f>
        <v>#NAME?</v>
      </c>
    </row>
    <row r="322" spans="1:88" ht="15.75" customHeight="1">
      <c r="A322" s="36" t="s">
        <v>2921</v>
      </c>
      <c r="B322" s="37" t="s">
        <v>3449</v>
      </c>
      <c r="C322" s="9">
        <v>424800</v>
      </c>
      <c r="D322" s="9" t="s">
        <v>2923</v>
      </c>
      <c r="E322" s="9" t="s">
        <v>20</v>
      </c>
      <c r="F322" s="6" t="s">
        <v>2924</v>
      </c>
      <c r="G322" s="7" t="e">
        <f t="shared" ca="1" si="4"/>
        <v>#NAME?</v>
      </c>
      <c r="H322" s="8" t="s">
        <v>143</v>
      </c>
      <c r="I322" s="24" t="s">
        <v>25</v>
      </c>
      <c r="J322" s="9" t="str">
        <f t="shared" si="3"/>
        <v>Não</v>
      </c>
      <c r="K322" s="107">
        <v>43668</v>
      </c>
      <c r="L322" s="261">
        <v>44044</v>
      </c>
      <c r="M322" s="6" t="s">
        <v>200</v>
      </c>
      <c r="N322" s="10">
        <v>0.01</v>
      </c>
      <c r="O322" s="9" t="s">
        <v>37</v>
      </c>
      <c r="P322" s="234">
        <v>0.1</v>
      </c>
      <c r="Q322" s="258"/>
      <c r="R322" s="108"/>
      <c r="S322" s="7" t="s">
        <v>145</v>
      </c>
      <c r="T322" s="6" t="s">
        <v>3450</v>
      </c>
      <c r="U322" s="6" t="s">
        <v>20</v>
      </c>
      <c r="V322" s="24" t="e">
        <f t="shared" ca="1" si="5"/>
        <v>#NAME?</v>
      </c>
      <c r="W322" s="24"/>
      <c r="X322" s="24"/>
      <c r="Y322" s="6"/>
      <c r="Z322" s="6"/>
      <c r="AA322" s="6"/>
      <c r="AB322" s="6"/>
      <c r="AC322" s="110">
        <v>156048.73000000001</v>
      </c>
      <c r="AD322" s="110">
        <v>153653.23000000001</v>
      </c>
      <c r="AE322" s="110">
        <v>146145.03</v>
      </c>
      <c r="AF322" s="110">
        <v>147923.89000000001</v>
      </c>
      <c r="AG322" s="110">
        <v>148722.48000000001</v>
      </c>
      <c r="AH322" s="110">
        <v>149958.43</v>
      </c>
      <c r="AI322" s="110">
        <v>151239.98000000001</v>
      </c>
      <c r="AJ322" s="110">
        <v>28304.03</v>
      </c>
      <c r="AK322" s="240"/>
      <c r="AL322" s="240"/>
      <c r="AM322" s="240"/>
      <c r="AN322" s="240"/>
      <c r="AO322" s="240"/>
      <c r="AP322" s="110"/>
      <c r="AQ322" s="110"/>
      <c r="AR322" s="110"/>
      <c r="AS322" s="110"/>
      <c r="AT322" s="110"/>
      <c r="AU322" s="110"/>
      <c r="AV322" s="240"/>
      <c r="AW322" s="240"/>
      <c r="AX322" s="240"/>
      <c r="AY322" s="110"/>
      <c r="AZ322" s="110"/>
      <c r="BA322" s="110"/>
      <c r="BB322" s="110"/>
      <c r="BC322" s="110"/>
      <c r="BD322" s="110">
        <v>0</v>
      </c>
      <c r="BE322" s="110">
        <v>0</v>
      </c>
      <c r="BF322" s="110">
        <v>0</v>
      </c>
      <c r="BG322" s="262" t="s">
        <v>2932</v>
      </c>
      <c r="BH322" s="110">
        <v>0</v>
      </c>
      <c r="BI322" s="110" t="s">
        <v>2932</v>
      </c>
      <c r="BJ322" s="110">
        <v>0</v>
      </c>
      <c r="BK322" s="237">
        <v>0</v>
      </c>
      <c r="BL322" s="237">
        <v>0</v>
      </c>
      <c r="BM322" s="237">
        <v>0</v>
      </c>
      <c r="BN322" s="237">
        <v>0</v>
      </c>
      <c r="BO322" s="237">
        <v>0</v>
      </c>
      <c r="BP322" s="237">
        <v>0</v>
      </c>
      <c r="BQ322" s="237">
        <v>0</v>
      </c>
      <c r="BR322" s="237">
        <v>0</v>
      </c>
      <c r="BS322" s="237">
        <v>0</v>
      </c>
      <c r="BT322" s="237">
        <v>0</v>
      </c>
      <c r="BU322" s="237">
        <v>0</v>
      </c>
      <c r="BV322" s="237">
        <v>0</v>
      </c>
      <c r="BW322" s="237">
        <v>0</v>
      </c>
      <c r="BX322" s="237">
        <v>0</v>
      </c>
      <c r="BY322" s="237">
        <v>0</v>
      </c>
      <c r="BZ322" s="237">
        <v>0</v>
      </c>
      <c r="CA322" s="237">
        <v>0</v>
      </c>
      <c r="CB322" s="237">
        <v>0</v>
      </c>
      <c r="CC322" s="237">
        <v>0</v>
      </c>
      <c r="CD322" s="237">
        <v>0</v>
      </c>
      <c r="CE322" s="237">
        <v>0</v>
      </c>
      <c r="CF322" s="237">
        <v>0</v>
      </c>
      <c r="CG322" s="237">
        <v>0</v>
      </c>
      <c r="CH322" s="30">
        <v>0</v>
      </c>
      <c r="CI322" s="30">
        <v>0</v>
      </c>
      <c r="CJ322" s="30" t="e">
        <f t="array" aca="1" ref="CJ322" ca="1">_xludf.XLOOKUP(C322,'PL TOTAL D0'!H:H,'PL TOTAL D0'!I:I,"")</f>
        <v>#NAME?</v>
      </c>
    </row>
    <row r="323" spans="1:88" ht="15.75" customHeight="1">
      <c r="A323" s="36" t="s">
        <v>2921</v>
      </c>
      <c r="B323" s="37" t="s">
        <v>2353</v>
      </c>
      <c r="C323" s="9">
        <v>362762</v>
      </c>
      <c r="D323" s="9" t="s">
        <v>19</v>
      </c>
      <c r="E323" s="9" t="s">
        <v>34</v>
      </c>
      <c r="F323" s="6" t="s">
        <v>35</v>
      </c>
      <c r="G323" s="7" t="e">
        <f t="shared" ca="1" si="4"/>
        <v>#NAME?</v>
      </c>
      <c r="H323" s="8" t="s">
        <v>161</v>
      </c>
      <c r="I323" s="24" t="s">
        <v>162</v>
      </c>
      <c r="J323" s="9" t="str">
        <f t="shared" si="3"/>
        <v>Não</v>
      </c>
      <c r="K323" s="107">
        <v>44844</v>
      </c>
      <c r="L323" s="261"/>
      <c r="M323" s="6" t="s">
        <v>42</v>
      </c>
      <c r="N323" s="10">
        <v>0.01</v>
      </c>
      <c r="O323" s="9" t="s">
        <v>25</v>
      </c>
      <c r="P323" s="234">
        <v>0</v>
      </c>
      <c r="Q323" s="108"/>
      <c r="R323" s="108"/>
      <c r="S323" s="7" t="s">
        <v>145</v>
      </c>
      <c r="T323" s="6" t="s">
        <v>2355</v>
      </c>
      <c r="U323" s="6" t="s">
        <v>39</v>
      </c>
      <c r="V323" s="24" t="e">
        <f t="shared" ca="1" si="5"/>
        <v>#NAME?</v>
      </c>
      <c r="W323" s="24"/>
      <c r="X323" s="24"/>
      <c r="Y323" s="6" t="s">
        <v>253</v>
      </c>
      <c r="Z323" s="6"/>
      <c r="AA323" s="107">
        <v>44844</v>
      </c>
      <c r="AB323" s="6">
        <v>49075100010919</v>
      </c>
      <c r="AC323" s="110"/>
      <c r="AD323" s="110"/>
      <c r="AE323" s="110"/>
      <c r="AF323" s="110"/>
      <c r="AG323" s="110"/>
      <c r="AH323" s="110"/>
      <c r="AI323" s="110"/>
      <c r="AJ323" s="110"/>
      <c r="AK323" s="240"/>
      <c r="AL323" s="240"/>
      <c r="AM323" s="240"/>
      <c r="AN323" s="240"/>
      <c r="AO323" s="240"/>
      <c r="AP323" s="110"/>
      <c r="AQ323" s="110"/>
      <c r="AR323" s="110"/>
      <c r="AS323" s="110"/>
      <c r="AT323" s="110"/>
      <c r="AU323" s="110"/>
      <c r="AV323" s="240"/>
      <c r="AW323" s="240"/>
      <c r="AX323" s="240"/>
      <c r="AY323" s="110"/>
      <c r="AZ323" s="110"/>
      <c r="BA323" s="110"/>
      <c r="BB323" s="110"/>
      <c r="BC323" s="110"/>
      <c r="BD323" s="110"/>
      <c r="BE323" s="110"/>
      <c r="BF323" s="110"/>
      <c r="BG323" s="262"/>
      <c r="BH323" s="110"/>
      <c r="BI323" s="110"/>
      <c r="BJ323" s="110"/>
      <c r="BK323" s="237">
        <v>0</v>
      </c>
      <c r="BL323" s="237">
        <v>23560.12</v>
      </c>
      <c r="BM323" s="237">
        <v>27158.720000000001</v>
      </c>
      <c r="BN323" s="237">
        <v>31436.62</v>
      </c>
      <c r="BO323" s="237">
        <v>31567.06</v>
      </c>
      <c r="BP323" s="237">
        <v>40059.160000000003</v>
      </c>
      <c r="BQ323" s="237">
        <v>44520.18</v>
      </c>
      <c r="BR323" s="237">
        <v>44845.21</v>
      </c>
      <c r="BS323" s="237">
        <v>45338.89</v>
      </c>
      <c r="BT323" s="237">
        <v>0</v>
      </c>
      <c r="BU323" s="237">
        <v>0</v>
      </c>
      <c r="BV323" s="237">
        <v>0</v>
      </c>
      <c r="BW323" s="237">
        <v>0</v>
      </c>
      <c r="BX323" s="237">
        <v>0</v>
      </c>
      <c r="BY323" s="237">
        <v>0</v>
      </c>
      <c r="BZ323" s="237">
        <v>0</v>
      </c>
      <c r="CA323" s="237">
        <v>0</v>
      </c>
      <c r="CB323" s="237">
        <v>0</v>
      </c>
      <c r="CC323" s="237">
        <v>0</v>
      </c>
      <c r="CD323" s="237">
        <v>0</v>
      </c>
      <c r="CE323" s="237">
        <v>0</v>
      </c>
      <c r="CF323" s="237">
        <v>0</v>
      </c>
      <c r="CG323" s="237">
        <v>0</v>
      </c>
      <c r="CH323" s="30">
        <v>0</v>
      </c>
      <c r="CI323" s="30">
        <v>0</v>
      </c>
      <c r="CJ323" s="30" t="e">
        <f t="array" aca="1" ref="CJ323" ca="1">_xludf.XLOOKUP(C323,'PL TOTAL D0'!H:H,'PL TOTAL D0'!I:I,"")</f>
        <v>#NAME?</v>
      </c>
    </row>
    <row r="324" spans="1:88" ht="15.75" customHeight="1">
      <c r="A324" s="36" t="s">
        <v>2921</v>
      </c>
      <c r="B324" s="106" t="s">
        <v>3451</v>
      </c>
      <c r="C324" s="9">
        <v>45860</v>
      </c>
      <c r="D324" s="9" t="s">
        <v>19</v>
      </c>
      <c r="E324" s="9" t="s">
        <v>34</v>
      </c>
      <c r="F324" s="9" t="s">
        <v>262</v>
      </c>
      <c r="G324" s="7" t="e">
        <f t="shared" ca="1" si="4"/>
        <v>#NAME?</v>
      </c>
      <c r="H324" s="8" t="s">
        <v>161</v>
      </c>
      <c r="I324" s="24" t="s">
        <v>162</v>
      </c>
      <c r="J324" s="9" t="str">
        <f t="shared" si="3"/>
        <v>Não</v>
      </c>
      <c r="K324" s="232">
        <v>44279</v>
      </c>
      <c r="L324" s="7"/>
      <c r="M324" s="6" t="s">
        <v>200</v>
      </c>
      <c r="N324" s="10">
        <v>1.4999999999999999E-2</v>
      </c>
      <c r="O324" s="9" t="s">
        <v>37</v>
      </c>
      <c r="P324" s="234">
        <v>0.1</v>
      </c>
      <c r="Q324" s="108"/>
      <c r="R324" s="108"/>
      <c r="S324" s="7" t="s">
        <v>145</v>
      </c>
      <c r="T324" s="9" t="s">
        <v>3452</v>
      </c>
      <c r="U324" s="6" t="s">
        <v>39</v>
      </c>
      <c r="V324" s="24" t="e">
        <f t="shared" ca="1" si="5"/>
        <v>#NAME?</v>
      </c>
      <c r="W324" s="24"/>
      <c r="X324" s="24"/>
      <c r="Y324" s="6" t="s">
        <v>253</v>
      </c>
      <c r="Z324" s="6"/>
      <c r="AA324" s="107">
        <v>44279</v>
      </c>
      <c r="AB324" s="6">
        <v>49075100010927</v>
      </c>
      <c r="AC324" s="240"/>
      <c r="AD324" s="240"/>
      <c r="AE324" s="240"/>
      <c r="AF324" s="240"/>
      <c r="AG324" s="240"/>
      <c r="AH324" s="240"/>
      <c r="AI324" s="240"/>
      <c r="AJ324" s="240"/>
      <c r="AK324" s="240"/>
      <c r="AL324" s="240"/>
      <c r="AM324" s="240"/>
      <c r="AN324" s="240"/>
      <c r="AO324" s="240"/>
      <c r="AP324" s="110"/>
      <c r="AQ324" s="236"/>
      <c r="AR324" s="236">
        <v>114653.68</v>
      </c>
      <c r="AS324" s="236"/>
      <c r="AT324" s="236">
        <v>117260.24</v>
      </c>
      <c r="AU324" s="236">
        <v>119548.47</v>
      </c>
      <c r="AV324" s="110">
        <v>118861.09</v>
      </c>
      <c r="AW324" s="110">
        <v>117509.41</v>
      </c>
      <c r="AX324" s="110">
        <v>41564.589999999997</v>
      </c>
      <c r="AY324" s="110">
        <v>41620.99</v>
      </c>
      <c r="AZ324" s="110">
        <v>94.18</v>
      </c>
      <c r="BA324" s="110"/>
      <c r="BB324" s="110"/>
      <c r="BC324" s="110"/>
      <c r="BD324" s="110">
        <v>44.83</v>
      </c>
      <c r="BE324" s="110">
        <v>-101.16</v>
      </c>
      <c r="BF324" s="110">
        <v>-101.16</v>
      </c>
      <c r="BG324" s="263" t="s">
        <v>2932</v>
      </c>
      <c r="BH324" s="237">
        <v>0</v>
      </c>
      <c r="BI324" s="237">
        <v>-68</v>
      </c>
      <c r="BJ324" s="237">
        <v>-68</v>
      </c>
      <c r="BK324" s="237">
        <v>-68</v>
      </c>
      <c r="BL324" s="237">
        <v>-68</v>
      </c>
      <c r="BM324" s="237">
        <v>-68</v>
      </c>
      <c r="BN324" s="237">
        <v>-68</v>
      </c>
      <c r="BO324" s="237">
        <v>-68</v>
      </c>
      <c r="BP324" s="237">
        <v>-68</v>
      </c>
      <c r="BQ324" s="237">
        <v>-68</v>
      </c>
      <c r="BR324" s="237">
        <v>0</v>
      </c>
      <c r="BS324" s="237">
        <v>0</v>
      </c>
      <c r="BT324" s="237">
        <v>0</v>
      </c>
      <c r="BU324" s="237">
        <v>0</v>
      </c>
      <c r="BV324" s="237">
        <v>0</v>
      </c>
      <c r="BW324" s="237">
        <v>0</v>
      </c>
      <c r="BX324" s="237">
        <v>0</v>
      </c>
      <c r="BY324" s="237">
        <v>0</v>
      </c>
      <c r="BZ324" s="237">
        <v>0</v>
      </c>
      <c r="CA324" s="237">
        <v>0</v>
      </c>
      <c r="CB324" s="237">
        <v>0</v>
      </c>
      <c r="CC324" s="237">
        <v>0</v>
      </c>
      <c r="CD324" s="237">
        <v>0</v>
      </c>
      <c r="CE324" s="237">
        <v>0</v>
      </c>
      <c r="CF324" s="237">
        <v>0</v>
      </c>
      <c r="CG324" s="237">
        <v>0</v>
      </c>
      <c r="CH324" s="30">
        <v>0</v>
      </c>
      <c r="CI324" s="30">
        <v>0</v>
      </c>
      <c r="CJ324" s="30" t="e">
        <f t="array" aca="1" ref="CJ324" ca="1">_xludf.XLOOKUP(C324,'PL TOTAL D0'!H:H,'PL TOTAL D0'!I:I,"")</f>
        <v>#NAME?</v>
      </c>
    </row>
    <row r="325" spans="1:88" ht="15.75" customHeight="1">
      <c r="A325" s="36" t="s">
        <v>2921</v>
      </c>
      <c r="B325" s="37" t="s">
        <v>3453</v>
      </c>
      <c r="C325" s="9">
        <v>39176</v>
      </c>
      <c r="D325" s="9" t="s">
        <v>2923</v>
      </c>
      <c r="E325" s="9" t="s">
        <v>20</v>
      </c>
      <c r="F325" s="6" t="s">
        <v>2930</v>
      </c>
      <c r="G325" s="7" t="e">
        <f t="shared" ca="1" si="4"/>
        <v>#NAME?</v>
      </c>
      <c r="H325" s="8" t="s">
        <v>143</v>
      </c>
      <c r="I325" s="24" t="s">
        <v>25</v>
      </c>
      <c r="J325" s="9" t="str">
        <f t="shared" si="3"/>
        <v>Não</v>
      </c>
      <c r="K325" s="107">
        <v>43865</v>
      </c>
      <c r="L325" s="107">
        <v>44631</v>
      </c>
      <c r="M325" s="6" t="s">
        <v>200</v>
      </c>
      <c r="N325" s="10">
        <v>1.4999999999999999E-2</v>
      </c>
      <c r="O325" s="9" t="s">
        <v>37</v>
      </c>
      <c r="P325" s="234">
        <v>0.1</v>
      </c>
      <c r="Q325" s="108"/>
      <c r="R325" s="108"/>
      <c r="S325" s="7" t="s">
        <v>145</v>
      </c>
      <c r="T325" s="6" t="s">
        <v>3454</v>
      </c>
      <c r="U325" s="6" t="s">
        <v>20</v>
      </c>
      <c r="V325" s="24" t="e">
        <f t="shared" ca="1" si="5"/>
        <v>#NAME?</v>
      </c>
      <c r="W325" s="24"/>
      <c r="X325" s="24"/>
      <c r="Y325" s="6" t="s">
        <v>253</v>
      </c>
      <c r="Z325" s="6"/>
      <c r="AA325" s="6"/>
      <c r="AB325" s="6"/>
      <c r="AC325" s="110">
        <v>0</v>
      </c>
      <c r="AD325" s="110">
        <v>85515.97</v>
      </c>
      <c r="AE325" s="110">
        <v>73210.09</v>
      </c>
      <c r="AF325" s="110">
        <v>75542.23</v>
      </c>
      <c r="AG325" s="110">
        <v>77464.67</v>
      </c>
      <c r="AH325" s="110">
        <v>79368.800000000003</v>
      </c>
      <c r="AI325" s="110">
        <v>31451.1</v>
      </c>
      <c r="AJ325" s="110">
        <v>31402.47</v>
      </c>
      <c r="AK325" s="110">
        <v>31244.48</v>
      </c>
      <c r="AL325" s="110">
        <v>31100.14</v>
      </c>
      <c r="AM325" s="110">
        <v>31053.48</v>
      </c>
      <c r="AN325" s="110">
        <v>31247.68</v>
      </c>
      <c r="AO325" s="110">
        <v>31317.360000000001</v>
      </c>
      <c r="AP325" s="110">
        <v>31197.21</v>
      </c>
      <c r="AQ325" s="110">
        <v>31152.7</v>
      </c>
      <c r="AR325" s="110">
        <v>31128.62</v>
      </c>
      <c r="AS325" s="110">
        <v>31032.880000000001</v>
      </c>
      <c r="AT325" s="110">
        <v>30904.95</v>
      </c>
      <c r="AU325" s="110">
        <v>31000.76</v>
      </c>
      <c r="AV325" s="110">
        <v>30998.11</v>
      </c>
      <c r="AW325" s="110">
        <v>31269.48</v>
      </c>
      <c r="AX325" s="110">
        <v>31410.22</v>
      </c>
      <c r="AY325" s="110">
        <v>31450.1</v>
      </c>
      <c r="AZ325" s="110">
        <v>31234.31</v>
      </c>
      <c r="BA325" s="110">
        <v>111.69</v>
      </c>
      <c r="BB325" s="110">
        <v>255.69</v>
      </c>
      <c r="BC325" s="110">
        <v>44.83</v>
      </c>
      <c r="BD325" s="110">
        <v>32282.48</v>
      </c>
      <c r="BE325" s="110">
        <v>21388.13</v>
      </c>
      <c r="BF325" s="110">
        <v>21504.27</v>
      </c>
      <c r="BG325" s="110">
        <v>21681.79</v>
      </c>
      <c r="BH325" s="110">
        <v>0</v>
      </c>
      <c r="BI325" s="110">
        <v>22061.05</v>
      </c>
      <c r="BJ325" s="110">
        <v>22265.61</v>
      </c>
      <c r="BK325" s="237">
        <v>12432.44</v>
      </c>
      <c r="BL325" s="237">
        <v>12577.17</v>
      </c>
      <c r="BM325" s="237">
        <v>12674.82</v>
      </c>
      <c r="BN325" s="237">
        <v>12777.26</v>
      </c>
      <c r="BO325" s="237">
        <v>12864.14</v>
      </c>
      <c r="BP325" s="237">
        <v>12942.89</v>
      </c>
      <c r="BQ325" s="237">
        <v>13036.23</v>
      </c>
      <c r="BR325" s="237">
        <v>10368.68</v>
      </c>
      <c r="BS325" s="237">
        <v>10452.93</v>
      </c>
      <c r="BT325" s="237">
        <v>0</v>
      </c>
      <c r="BU325" s="237">
        <v>0</v>
      </c>
      <c r="BV325" s="237">
        <v>0</v>
      </c>
      <c r="BW325" s="237">
        <v>0</v>
      </c>
      <c r="BX325" s="237">
        <v>0</v>
      </c>
      <c r="BY325" s="237">
        <v>0</v>
      </c>
      <c r="BZ325" s="237">
        <v>0</v>
      </c>
      <c r="CA325" s="237">
        <v>0</v>
      </c>
      <c r="CB325" s="237">
        <v>0</v>
      </c>
      <c r="CC325" s="237">
        <v>0</v>
      </c>
      <c r="CD325" s="237">
        <v>0</v>
      </c>
      <c r="CE325" s="237">
        <v>0</v>
      </c>
      <c r="CF325" s="237">
        <v>0</v>
      </c>
      <c r="CG325" s="237">
        <v>0</v>
      </c>
      <c r="CH325" s="30">
        <v>0</v>
      </c>
      <c r="CI325" s="30">
        <v>0</v>
      </c>
      <c r="CJ325" s="30" t="e">
        <f t="array" aca="1" ref="CJ325" ca="1">_xludf.XLOOKUP(C325,'PL TOTAL D0'!H:H,'PL TOTAL D0'!I:I,"")</f>
        <v>#NAME?</v>
      </c>
    </row>
    <row r="326" spans="1:88" ht="15.75" customHeight="1">
      <c r="A326" s="36" t="s">
        <v>2921</v>
      </c>
      <c r="B326" s="37" t="s">
        <v>3455</v>
      </c>
      <c r="C326" s="9">
        <v>445568</v>
      </c>
      <c r="D326" s="9" t="s">
        <v>2923</v>
      </c>
      <c r="E326" s="9" t="s">
        <v>20</v>
      </c>
      <c r="F326" s="6" t="s">
        <v>2924</v>
      </c>
      <c r="G326" s="7" t="e">
        <f t="shared" ca="1" si="4"/>
        <v>#NAME?</v>
      </c>
      <c r="H326" s="8" t="s">
        <v>143</v>
      </c>
      <c r="I326" s="24" t="s">
        <v>25</v>
      </c>
      <c r="J326" s="9" t="str">
        <f t="shared" si="3"/>
        <v>Não</v>
      </c>
      <c r="K326" s="107">
        <v>43840</v>
      </c>
      <c r="L326" s="239">
        <v>44153</v>
      </c>
      <c r="M326" s="6" t="s">
        <v>58</v>
      </c>
      <c r="N326" s="10">
        <v>1.2E-2</v>
      </c>
      <c r="O326" s="9" t="s">
        <v>25</v>
      </c>
      <c r="P326" s="234">
        <v>0</v>
      </c>
      <c r="Q326" s="108"/>
      <c r="R326" s="108"/>
      <c r="S326" s="7" t="s">
        <v>145</v>
      </c>
      <c r="T326" s="6" t="s">
        <v>3079</v>
      </c>
      <c r="U326" s="6" t="s">
        <v>20</v>
      </c>
      <c r="V326" s="24" t="e">
        <f t="shared" ca="1" si="5"/>
        <v>#NAME?</v>
      </c>
      <c r="W326" s="24"/>
      <c r="X326" s="24"/>
      <c r="Y326" s="6"/>
      <c r="Z326" s="6"/>
      <c r="AA326" s="6"/>
      <c r="AB326" s="6"/>
      <c r="AC326" s="110">
        <v>149283.91</v>
      </c>
      <c r="AD326" s="110">
        <v>147084.73000000001</v>
      </c>
      <c r="AE326" s="110">
        <v>141100.44</v>
      </c>
      <c r="AF326" s="110">
        <v>142367.71</v>
      </c>
      <c r="AG326" s="110">
        <v>143315</v>
      </c>
      <c r="AH326" s="110">
        <v>144008.09</v>
      </c>
      <c r="AI326" s="110">
        <v>128859.82</v>
      </c>
      <c r="AJ326" s="110">
        <v>122149.28</v>
      </c>
      <c r="AK326" s="110">
        <v>108578.08</v>
      </c>
      <c r="AL326" s="110">
        <v>90562.43</v>
      </c>
      <c r="AM326" s="110">
        <v>72735.899999999994</v>
      </c>
      <c r="AN326" s="110">
        <v>0</v>
      </c>
      <c r="AO326" s="240"/>
      <c r="AP326" s="110"/>
      <c r="AQ326" s="110"/>
      <c r="AR326" s="110"/>
      <c r="AS326" s="110"/>
      <c r="AT326" s="110"/>
      <c r="AU326" s="110"/>
      <c r="AV326" s="240"/>
      <c r="AW326" s="240"/>
      <c r="AX326" s="240"/>
      <c r="AY326" s="110"/>
      <c r="AZ326" s="110"/>
      <c r="BA326" s="110">
        <v>31621.46</v>
      </c>
      <c r="BB326" s="110">
        <v>32027.06</v>
      </c>
      <c r="BC326" s="110">
        <v>32088.01</v>
      </c>
      <c r="BD326" s="110">
        <v>0</v>
      </c>
      <c r="BE326" s="110">
        <v>0</v>
      </c>
      <c r="BF326" s="110">
        <v>0</v>
      </c>
      <c r="BG326" s="110" t="s">
        <v>2932</v>
      </c>
      <c r="BH326" s="110">
        <v>0</v>
      </c>
      <c r="BI326" s="110" t="s">
        <v>2932</v>
      </c>
      <c r="BJ326" s="110">
        <v>0</v>
      </c>
      <c r="BK326" s="237">
        <v>0</v>
      </c>
      <c r="BL326" s="237">
        <v>0</v>
      </c>
      <c r="BM326" s="237">
        <v>0</v>
      </c>
      <c r="BN326" s="237">
        <v>0</v>
      </c>
      <c r="BO326" s="237">
        <v>0</v>
      </c>
      <c r="BP326" s="237">
        <v>0</v>
      </c>
      <c r="BQ326" s="237">
        <v>0</v>
      </c>
      <c r="BR326" s="237">
        <v>0</v>
      </c>
      <c r="BS326" s="237">
        <v>0</v>
      </c>
      <c r="BT326" s="237">
        <v>0</v>
      </c>
      <c r="BU326" s="237">
        <v>0</v>
      </c>
      <c r="BV326" s="237">
        <v>0</v>
      </c>
      <c r="BW326" s="237">
        <v>0</v>
      </c>
      <c r="BX326" s="237">
        <v>0</v>
      </c>
      <c r="BY326" s="237">
        <v>0</v>
      </c>
      <c r="BZ326" s="237">
        <v>0</v>
      </c>
      <c r="CA326" s="237">
        <v>0</v>
      </c>
      <c r="CB326" s="237">
        <v>0</v>
      </c>
      <c r="CC326" s="237">
        <v>0</v>
      </c>
      <c r="CD326" s="237">
        <v>0</v>
      </c>
      <c r="CE326" s="237">
        <v>0</v>
      </c>
      <c r="CF326" s="237">
        <v>0</v>
      </c>
      <c r="CG326" s="237">
        <v>0</v>
      </c>
      <c r="CH326" s="30">
        <v>0</v>
      </c>
      <c r="CI326" s="30">
        <v>0</v>
      </c>
      <c r="CJ326" s="30" t="e">
        <f t="array" aca="1" ref="CJ326" ca="1">_xludf.XLOOKUP(C326,'PL TOTAL D0'!H:H,'PL TOTAL D0'!I:I,"")</f>
        <v>#NAME?</v>
      </c>
    </row>
    <row r="327" spans="1:88" ht="15.75" customHeight="1">
      <c r="A327" s="36" t="s">
        <v>2921</v>
      </c>
      <c r="B327" s="3" t="s">
        <v>3456</v>
      </c>
      <c r="C327" s="9">
        <v>445690</v>
      </c>
      <c r="D327" s="9" t="s">
        <v>2923</v>
      </c>
      <c r="E327" s="9" t="s">
        <v>20</v>
      </c>
      <c r="F327" s="9" t="s">
        <v>2924</v>
      </c>
      <c r="G327" s="7" t="e">
        <f t="shared" ca="1" si="4"/>
        <v>#NAME?</v>
      </c>
      <c r="H327" s="8" t="s">
        <v>152</v>
      </c>
      <c r="I327" s="24" t="s">
        <v>25</v>
      </c>
      <c r="J327" s="9" t="str">
        <f t="shared" si="3"/>
        <v>Não</v>
      </c>
      <c r="K327" s="232">
        <v>43867</v>
      </c>
      <c r="L327" s="6"/>
      <c r="M327" s="6" t="s">
        <v>58</v>
      </c>
      <c r="N327" s="10">
        <v>1.2E-2</v>
      </c>
      <c r="O327" s="9" t="s">
        <v>25</v>
      </c>
      <c r="P327" s="234">
        <v>0</v>
      </c>
      <c r="Q327" s="45"/>
      <c r="R327" s="108" t="s">
        <v>3457</v>
      </c>
      <c r="S327" s="7" t="s">
        <v>145</v>
      </c>
      <c r="T327" s="6" t="s">
        <v>3458</v>
      </c>
      <c r="U327" s="6" t="s">
        <v>20</v>
      </c>
      <c r="V327" s="24" t="e">
        <f t="shared" ca="1" si="5"/>
        <v>#NAME?</v>
      </c>
      <c r="W327" s="24"/>
      <c r="X327" s="24"/>
      <c r="Y327" s="6" t="s">
        <v>253</v>
      </c>
      <c r="Z327" s="6"/>
      <c r="AA327" s="107">
        <v>43867</v>
      </c>
      <c r="AB327" s="6">
        <v>49075100009813</v>
      </c>
      <c r="AC327" s="110">
        <v>0</v>
      </c>
      <c r="AD327" s="110">
        <v>98297.74</v>
      </c>
      <c r="AE327" s="110">
        <v>95181.85</v>
      </c>
      <c r="AF327" s="110">
        <v>95873.94</v>
      </c>
      <c r="AG327" s="110">
        <v>96665.17</v>
      </c>
      <c r="AH327" s="110">
        <v>96634.86</v>
      </c>
      <c r="AI327" s="110">
        <v>97466.7</v>
      </c>
      <c r="AJ327" s="110">
        <v>96820.02</v>
      </c>
      <c r="AK327" s="110">
        <v>95785.2</v>
      </c>
      <c r="AL327" s="110">
        <v>95676.43</v>
      </c>
      <c r="AM327" s="110">
        <v>97276.2</v>
      </c>
      <c r="AN327" s="110">
        <v>98213.37</v>
      </c>
      <c r="AO327" s="110">
        <v>97579.09</v>
      </c>
      <c r="AP327" s="110">
        <v>69023.06</v>
      </c>
      <c r="AQ327" s="236">
        <v>68569.05</v>
      </c>
      <c r="AR327" s="236">
        <v>69074.87</v>
      </c>
      <c r="AS327" s="236">
        <v>68923.679999999993</v>
      </c>
      <c r="AT327" s="236">
        <v>68915.63</v>
      </c>
      <c r="AU327" s="236">
        <v>69505.25</v>
      </c>
      <c r="AV327" s="110">
        <v>69283.69</v>
      </c>
      <c r="AW327" s="110">
        <v>69142.5</v>
      </c>
      <c r="AX327" s="110">
        <v>46631.81</v>
      </c>
      <c r="AY327" s="110">
        <v>46173.85</v>
      </c>
      <c r="AZ327" s="110">
        <v>45698.52</v>
      </c>
      <c r="BA327" s="110">
        <v>45709.15</v>
      </c>
      <c r="BB327" s="110">
        <v>46122.5</v>
      </c>
      <c r="BC327" s="110">
        <v>47479.54</v>
      </c>
      <c r="BD327" s="110">
        <v>12357.48</v>
      </c>
      <c r="BE327" s="110">
        <v>13116.59</v>
      </c>
      <c r="BF327" s="110">
        <v>7242.41</v>
      </c>
      <c r="BG327" s="237">
        <v>7204.23</v>
      </c>
      <c r="BH327" s="237">
        <v>6471.16</v>
      </c>
      <c r="BI327" s="237">
        <v>6683.82</v>
      </c>
      <c r="BJ327" s="237">
        <v>6960.61</v>
      </c>
      <c r="BK327" s="237">
        <v>7177.69</v>
      </c>
      <c r="BL327" s="237">
        <v>7391.44</v>
      </c>
      <c r="BM327" s="237">
        <v>6862.35</v>
      </c>
      <c r="BN327" s="237">
        <v>6675.87</v>
      </c>
      <c r="BO327" s="237">
        <v>6901.2</v>
      </c>
      <c r="BP327" s="237">
        <v>6461.82</v>
      </c>
      <c r="BQ327" s="237">
        <v>6328.96</v>
      </c>
      <c r="BR327" s="237">
        <v>6258.39</v>
      </c>
      <c r="BS327" s="237">
        <v>5817.57</v>
      </c>
      <c r="BT327" s="237">
        <v>6302.67</v>
      </c>
      <c r="BU327" s="237">
        <v>6559.92</v>
      </c>
      <c r="BV327" s="237">
        <v>4605.62</v>
      </c>
      <c r="BW327" s="237">
        <v>0</v>
      </c>
      <c r="BX327" s="237">
        <v>3904.25</v>
      </c>
      <c r="BY327" s="237">
        <v>4501.22</v>
      </c>
      <c r="BZ327" s="237">
        <v>3801.98</v>
      </c>
      <c r="CA327" s="237">
        <v>4392.0200000000004</v>
      </c>
      <c r="CB327" s="237">
        <v>4392.6499999999996</v>
      </c>
      <c r="CC327" s="237">
        <v>4274.57</v>
      </c>
      <c r="CD327" s="237">
        <v>4020.44</v>
      </c>
      <c r="CE327" s="237">
        <v>4015.64</v>
      </c>
      <c r="CF327" s="237">
        <v>3990.84</v>
      </c>
      <c r="CG327" s="237">
        <v>4076.47</v>
      </c>
      <c r="CH327" s="30">
        <v>4489.8100000000004</v>
      </c>
      <c r="CI327" s="30">
        <v>4431.51</v>
      </c>
      <c r="CJ327" s="30" t="e">
        <f t="array" aca="1" ref="CJ327" ca="1">_xludf.XLOOKUP(C327,'PL TOTAL D0'!H:H,'PL TOTAL D0'!I:I,"")</f>
        <v>#NAME?</v>
      </c>
    </row>
    <row r="328" spans="1:88" ht="15.75" customHeight="1">
      <c r="A328" s="36" t="s">
        <v>2921</v>
      </c>
      <c r="B328" s="36" t="s">
        <v>3459</v>
      </c>
      <c r="C328" s="9">
        <v>86748</v>
      </c>
      <c r="D328" s="9" t="s">
        <v>2989</v>
      </c>
      <c r="E328" s="9" t="s">
        <v>20</v>
      </c>
      <c r="F328" s="9" t="s">
        <v>2989</v>
      </c>
      <c r="G328" s="7" t="e">
        <f t="shared" ca="1" si="4"/>
        <v>#NAME?</v>
      </c>
      <c r="H328" s="8" t="s">
        <v>152</v>
      </c>
      <c r="I328" s="24" t="s">
        <v>25</v>
      </c>
      <c r="J328" s="9" t="str">
        <f t="shared" si="3"/>
        <v>Não</v>
      </c>
      <c r="K328" s="238">
        <v>43416</v>
      </c>
      <c r="L328" s="6"/>
      <c r="M328" s="6" t="s">
        <v>87</v>
      </c>
      <c r="N328" s="233">
        <v>8.0000000000000002E-3</v>
      </c>
      <c r="O328" s="9" t="s">
        <v>25</v>
      </c>
      <c r="P328" s="234">
        <v>0</v>
      </c>
      <c r="Q328" s="108"/>
      <c r="R328" s="108"/>
      <c r="S328" s="7" t="s">
        <v>145</v>
      </c>
      <c r="T328" s="9" t="s">
        <v>3460</v>
      </c>
      <c r="U328" s="6" t="s">
        <v>20</v>
      </c>
      <c r="V328" s="24" t="e">
        <f t="shared" ca="1" si="5"/>
        <v>#NAME?</v>
      </c>
      <c r="W328" s="24"/>
      <c r="X328" s="24"/>
      <c r="Y328" s="6" t="s">
        <v>253</v>
      </c>
      <c r="Z328" s="6"/>
      <c r="AA328" s="239">
        <v>43416</v>
      </c>
      <c r="AB328" s="6">
        <v>49075100004625</v>
      </c>
      <c r="AC328" s="110">
        <v>74892</v>
      </c>
      <c r="AD328" s="110">
        <v>76760.98</v>
      </c>
      <c r="AE328" s="110">
        <v>59815.75</v>
      </c>
      <c r="AF328" s="110">
        <v>64530.6</v>
      </c>
      <c r="AG328" s="110">
        <v>66054.81</v>
      </c>
      <c r="AH328" s="110">
        <v>70067.539999999994</v>
      </c>
      <c r="AI328" s="110">
        <v>81922.55</v>
      </c>
      <c r="AJ328" s="110">
        <v>77098.12</v>
      </c>
      <c r="AK328" s="110">
        <v>73774.399999999994</v>
      </c>
      <c r="AL328" s="110">
        <v>76317.990000000005</v>
      </c>
      <c r="AM328" s="110">
        <v>88128.37</v>
      </c>
      <c r="AN328" s="110">
        <v>91771.65</v>
      </c>
      <c r="AO328" s="110">
        <v>87518.2</v>
      </c>
      <c r="AP328" s="110">
        <v>82529.27</v>
      </c>
      <c r="AQ328" s="236">
        <v>81808.070000000007</v>
      </c>
      <c r="AR328" s="236">
        <v>84761.84</v>
      </c>
      <c r="AS328" s="236">
        <v>90942.38</v>
      </c>
      <c r="AT328" s="236">
        <v>91462.34</v>
      </c>
      <c r="AU328" s="236">
        <v>97801.66</v>
      </c>
      <c r="AV328" s="110">
        <v>96347.68</v>
      </c>
      <c r="AW328" s="110">
        <v>93799.63</v>
      </c>
      <c r="AX328" s="110">
        <v>89547.64</v>
      </c>
      <c r="AY328" s="110">
        <v>84860.97</v>
      </c>
      <c r="AZ328" s="110">
        <v>79882.92</v>
      </c>
      <c r="BA328" s="110">
        <v>77434.81</v>
      </c>
      <c r="BB328" s="110">
        <v>77742.399999999994</v>
      </c>
      <c r="BC328" s="110">
        <v>82006.679999999993</v>
      </c>
      <c r="BD328" s="110">
        <v>82902.720000000001</v>
      </c>
      <c r="BE328" s="110">
        <v>89126.04</v>
      </c>
      <c r="BF328" s="110">
        <v>85326.21</v>
      </c>
      <c r="BG328" s="237">
        <v>83308.73</v>
      </c>
      <c r="BH328" s="237">
        <v>79383.210000000006</v>
      </c>
      <c r="BI328" s="237">
        <v>83258.06</v>
      </c>
      <c r="BJ328" s="237">
        <v>84407.679999999993</v>
      </c>
      <c r="BK328" s="237">
        <v>85067.56</v>
      </c>
      <c r="BL328" s="237">
        <v>91546.84</v>
      </c>
      <c r="BM328" s="237">
        <v>89705.15</v>
      </c>
      <c r="BN328" s="237">
        <v>89231.07</v>
      </c>
      <c r="BO328" s="237">
        <v>91841.25</v>
      </c>
      <c r="BP328" s="237">
        <v>88659.21</v>
      </c>
      <c r="BQ328" s="237">
        <v>88218.53</v>
      </c>
      <c r="BR328" s="237">
        <v>86444.52</v>
      </c>
      <c r="BS328" s="237">
        <v>90216.93</v>
      </c>
      <c r="BT328" s="237">
        <v>97140.54</v>
      </c>
      <c r="BU328" s="237">
        <v>102162.61</v>
      </c>
      <c r="BV328" s="237">
        <v>101301.7</v>
      </c>
      <c r="BW328" s="237">
        <v>97722.94</v>
      </c>
      <c r="BX328" s="237">
        <v>93310.2</v>
      </c>
      <c r="BY328" s="237">
        <v>100185.59</v>
      </c>
      <c r="BZ328" s="237">
        <v>104438.23</v>
      </c>
      <c r="CA328" s="237">
        <v>98362.559999999998</v>
      </c>
      <c r="CB328" s="237">
        <v>100217.3</v>
      </c>
      <c r="CC328" s="237">
        <v>101127.05</v>
      </c>
      <c r="CD328" s="237">
        <v>95177.22</v>
      </c>
      <c r="CE328" s="237">
        <v>93330.29</v>
      </c>
      <c r="CF328" s="237">
        <v>93322.16</v>
      </c>
      <c r="CG328" s="237">
        <v>84166.42</v>
      </c>
      <c r="CH328" s="30">
        <v>98438.3</v>
      </c>
      <c r="CI328" s="30">
        <v>96551.77</v>
      </c>
      <c r="CJ328" s="30" t="e">
        <f t="array" aca="1" ref="CJ328" ca="1">_xludf.XLOOKUP(C328,'PL TOTAL D0'!H:H,'PL TOTAL D0'!I:I,"")</f>
        <v>#NAME?</v>
      </c>
    </row>
    <row r="329" spans="1:88" ht="15.75" customHeight="1">
      <c r="A329" s="36" t="s">
        <v>2921</v>
      </c>
      <c r="B329" s="3" t="s">
        <v>3461</v>
      </c>
      <c r="C329" s="9">
        <v>446896</v>
      </c>
      <c r="D329" s="9" t="s">
        <v>2923</v>
      </c>
      <c r="E329" s="9" t="s">
        <v>20</v>
      </c>
      <c r="F329" s="6" t="s">
        <v>2930</v>
      </c>
      <c r="G329" s="7" t="e">
        <f t="shared" ca="1" si="4"/>
        <v>#NAME?</v>
      </c>
      <c r="H329" s="8" t="s">
        <v>143</v>
      </c>
      <c r="I329" s="24" t="s">
        <v>25</v>
      </c>
      <c r="J329" s="9" t="str">
        <f t="shared" si="3"/>
        <v>Não</v>
      </c>
      <c r="K329" s="107">
        <v>43861</v>
      </c>
      <c r="L329" s="239">
        <v>44484</v>
      </c>
      <c r="M329" s="6" t="s">
        <v>58</v>
      </c>
      <c r="N329" s="10">
        <v>1.2E-2</v>
      </c>
      <c r="O329" s="9" t="s">
        <v>25</v>
      </c>
      <c r="P329" s="234">
        <v>0</v>
      </c>
      <c r="Q329" s="108"/>
      <c r="R329" s="108"/>
      <c r="S329" s="7" t="s">
        <v>145</v>
      </c>
      <c r="T329" s="6" t="s">
        <v>3462</v>
      </c>
      <c r="U329" s="6" t="s">
        <v>60</v>
      </c>
      <c r="V329" s="24" t="e">
        <f t="shared" ca="1" si="5"/>
        <v>#NAME?</v>
      </c>
      <c r="W329" s="24"/>
      <c r="X329" s="24"/>
      <c r="Y329" s="6"/>
      <c r="Z329" s="6"/>
      <c r="AA329" s="6"/>
      <c r="AB329" s="6"/>
      <c r="AC329" s="110">
        <v>99921.55</v>
      </c>
      <c r="AD329" s="110">
        <v>98862.65</v>
      </c>
      <c r="AE329" s="110">
        <v>96756.24</v>
      </c>
      <c r="AF329" s="110">
        <v>96826.63</v>
      </c>
      <c r="AG329" s="110">
        <v>97297.31</v>
      </c>
      <c r="AH329" s="110">
        <v>97665.72</v>
      </c>
      <c r="AI329" s="110">
        <v>98720.12</v>
      </c>
      <c r="AJ329" s="110">
        <v>97869.36</v>
      </c>
      <c r="AK329" s="110">
        <v>97044.97</v>
      </c>
      <c r="AL329" s="110">
        <v>97240.85</v>
      </c>
      <c r="AM329" s="110">
        <v>98893.5</v>
      </c>
      <c r="AN329" s="110">
        <v>99294.26</v>
      </c>
      <c r="AO329" s="110">
        <v>98429.28</v>
      </c>
      <c r="AP329" s="110">
        <v>96557.66</v>
      </c>
      <c r="AQ329" s="110">
        <v>96269.51</v>
      </c>
      <c r="AR329" s="110">
        <v>94645.39</v>
      </c>
      <c r="AS329" s="110">
        <v>268.56</v>
      </c>
      <c r="AT329" s="110">
        <v>74.8</v>
      </c>
      <c r="AU329" s="110"/>
      <c r="AV329" s="110">
        <v>15.25</v>
      </c>
      <c r="AW329" s="240"/>
      <c r="AX329" s="240">
        <v>1.47</v>
      </c>
      <c r="AY329" s="110">
        <v>1.47</v>
      </c>
      <c r="AZ329" s="110"/>
      <c r="BA329" s="110"/>
      <c r="BB329" s="110"/>
      <c r="BC329" s="110"/>
      <c r="BD329" s="110">
        <v>0</v>
      </c>
      <c r="BE329" s="110">
        <v>0</v>
      </c>
      <c r="BF329" s="110">
        <v>0</v>
      </c>
      <c r="BG329" s="110" t="s">
        <v>2932</v>
      </c>
      <c r="BH329" s="110">
        <v>0</v>
      </c>
      <c r="BI329" s="110" t="s">
        <v>2932</v>
      </c>
      <c r="BJ329" s="110">
        <v>0</v>
      </c>
      <c r="BK329" s="237">
        <v>0</v>
      </c>
      <c r="BL329" s="237">
        <v>0</v>
      </c>
      <c r="BM329" s="237">
        <v>0</v>
      </c>
      <c r="BN329" s="237">
        <v>0</v>
      </c>
      <c r="BO329" s="237">
        <v>0</v>
      </c>
      <c r="BP329" s="237">
        <v>0</v>
      </c>
      <c r="BQ329" s="237">
        <v>0</v>
      </c>
      <c r="BR329" s="237">
        <v>0</v>
      </c>
      <c r="BS329" s="237">
        <v>0</v>
      </c>
      <c r="BT329" s="237">
        <v>0</v>
      </c>
      <c r="BU329" s="237">
        <v>0</v>
      </c>
      <c r="BV329" s="237">
        <v>0</v>
      </c>
      <c r="BW329" s="237">
        <v>0</v>
      </c>
      <c r="BX329" s="237">
        <v>0</v>
      </c>
      <c r="BY329" s="237">
        <v>0</v>
      </c>
      <c r="BZ329" s="237">
        <v>0</v>
      </c>
      <c r="CA329" s="237">
        <v>0</v>
      </c>
      <c r="CB329" s="237">
        <v>0</v>
      </c>
      <c r="CC329" s="237">
        <v>0</v>
      </c>
      <c r="CD329" s="237">
        <v>0</v>
      </c>
      <c r="CE329" s="237">
        <v>0</v>
      </c>
      <c r="CF329" s="237">
        <v>0</v>
      </c>
      <c r="CG329" s="237">
        <v>0</v>
      </c>
      <c r="CH329" s="30">
        <v>0</v>
      </c>
      <c r="CI329" s="30">
        <v>0</v>
      </c>
      <c r="CJ329" s="30" t="e">
        <f t="array" aca="1" ref="CJ329" ca="1">_xludf.XLOOKUP(C329,'PL TOTAL D0'!H:H,'PL TOTAL D0'!I:I,"")</f>
        <v>#NAME?</v>
      </c>
    </row>
    <row r="330" spans="1:88" ht="15.75" customHeight="1">
      <c r="A330" s="36" t="s">
        <v>2921</v>
      </c>
      <c r="B330" s="3" t="s">
        <v>2390</v>
      </c>
      <c r="C330" s="9">
        <v>582189</v>
      </c>
      <c r="D330" s="9" t="s">
        <v>19</v>
      </c>
      <c r="E330" s="9" t="s">
        <v>34</v>
      </c>
      <c r="F330" s="9" t="s">
        <v>35</v>
      </c>
      <c r="G330" s="7" t="e">
        <f t="shared" ca="1" si="4"/>
        <v>#NAME?</v>
      </c>
      <c r="H330" s="8" t="s">
        <v>161</v>
      </c>
      <c r="I330" s="24" t="s">
        <v>162</v>
      </c>
      <c r="J330" s="9" t="str">
        <f t="shared" si="3"/>
        <v>Não</v>
      </c>
      <c r="K330" s="232">
        <v>44321</v>
      </c>
      <c r="L330" s="7"/>
      <c r="M330" s="6" t="s">
        <v>200</v>
      </c>
      <c r="N330" s="10">
        <v>1.4999999999999999E-2</v>
      </c>
      <c r="O330" s="9" t="s">
        <v>37</v>
      </c>
      <c r="P330" s="234">
        <v>0.1</v>
      </c>
      <c r="Q330" s="28"/>
      <c r="R330" s="28"/>
      <c r="S330" s="7" t="s">
        <v>145</v>
      </c>
      <c r="T330" s="6" t="s">
        <v>2393</v>
      </c>
      <c r="U330" s="6" t="s">
        <v>39</v>
      </c>
      <c r="V330" s="24" t="e">
        <f t="shared" ca="1" si="5"/>
        <v>#NAME?</v>
      </c>
      <c r="W330" s="24"/>
      <c r="X330" s="24"/>
      <c r="Y330" s="6" t="s">
        <v>253</v>
      </c>
      <c r="Z330" s="6"/>
      <c r="AA330" s="107">
        <v>44321</v>
      </c>
      <c r="AB330" s="6">
        <v>49075100010935</v>
      </c>
      <c r="AC330" s="132"/>
      <c r="AD330" s="132"/>
      <c r="AE330" s="132"/>
      <c r="AF330" s="132"/>
      <c r="AG330" s="132"/>
      <c r="AH330" s="132"/>
      <c r="AI330" s="132"/>
      <c r="AJ330" s="132"/>
      <c r="AK330" s="132"/>
      <c r="AL330" s="132"/>
      <c r="AM330" s="132"/>
      <c r="AN330" s="132"/>
      <c r="AO330" s="132"/>
      <c r="AP330" s="264"/>
      <c r="AQ330" s="236"/>
      <c r="AR330" s="236"/>
      <c r="AS330" s="236"/>
      <c r="AT330" s="236"/>
      <c r="AU330" s="236">
        <v>152307.13</v>
      </c>
      <c r="AV330" s="110">
        <v>152133.16</v>
      </c>
      <c r="AW330" s="110">
        <v>150923.54999999999</v>
      </c>
      <c r="AX330" s="110">
        <v>148054.66</v>
      </c>
      <c r="AY330" s="110">
        <v>146511.73000000001</v>
      </c>
      <c r="AZ330" s="110">
        <v>143174.26999999999</v>
      </c>
      <c r="BA330" s="110">
        <v>151556.34</v>
      </c>
      <c r="BB330" s="110">
        <v>152075.91</v>
      </c>
      <c r="BC330" s="110">
        <v>155771.81</v>
      </c>
      <c r="BD330" s="110">
        <v>156987.15</v>
      </c>
      <c r="BE330" s="110">
        <v>162722.22</v>
      </c>
      <c r="BF330" s="110">
        <v>160564.5</v>
      </c>
      <c r="BG330" s="237">
        <v>160101.63</v>
      </c>
      <c r="BH330" s="237">
        <v>139063.14000000001</v>
      </c>
      <c r="BI330" s="237">
        <v>141240.60999999999</v>
      </c>
      <c r="BJ330" s="237">
        <v>102474.56</v>
      </c>
      <c r="BK330" s="237">
        <v>103199.35</v>
      </c>
      <c r="BL330" s="237">
        <v>105061.97</v>
      </c>
      <c r="BM330" s="237">
        <v>101964.64</v>
      </c>
      <c r="BN330" s="237">
        <v>105906.65</v>
      </c>
      <c r="BO330" s="237">
        <v>107302.26</v>
      </c>
      <c r="BP330" s="237">
        <v>108027.21</v>
      </c>
      <c r="BQ330" s="237">
        <v>109375.29</v>
      </c>
      <c r="BR330" s="237">
        <v>109681.31</v>
      </c>
      <c r="BS330" s="237">
        <v>61288.73</v>
      </c>
      <c r="BT330" s="237">
        <v>57815.49</v>
      </c>
      <c r="BU330" s="237">
        <v>54663.360000000001</v>
      </c>
      <c r="BV330" s="237">
        <v>271.25</v>
      </c>
      <c r="BW330" s="237">
        <v>0</v>
      </c>
      <c r="BX330" s="237">
        <v>239.09</v>
      </c>
      <c r="BY330" s="237">
        <v>13.16</v>
      </c>
      <c r="BZ330" s="237">
        <v>13.16</v>
      </c>
      <c r="CA330" s="237">
        <v>13.16</v>
      </c>
      <c r="CB330" s="237">
        <v>13.16</v>
      </c>
      <c r="CC330" s="237">
        <v>13.16</v>
      </c>
      <c r="CD330" s="237">
        <v>13.16</v>
      </c>
      <c r="CE330" s="237">
        <v>0</v>
      </c>
      <c r="CF330" s="237">
        <v>0</v>
      </c>
      <c r="CG330" s="237">
        <v>0</v>
      </c>
      <c r="CH330" s="30">
        <v>0</v>
      </c>
      <c r="CI330" s="30">
        <v>0</v>
      </c>
      <c r="CJ330" s="30" t="e">
        <f t="array" aca="1" ref="CJ330" ca="1">_xludf.XLOOKUP(C330,'PL TOTAL D0'!H:H,'PL TOTAL D0'!I:I,"")</f>
        <v>#NAME?</v>
      </c>
    </row>
    <row r="331" spans="1:88" ht="15.75" customHeight="1">
      <c r="A331" s="36" t="s">
        <v>2921</v>
      </c>
      <c r="B331" s="3" t="s">
        <v>3463</v>
      </c>
      <c r="C331" s="9">
        <v>32725</v>
      </c>
      <c r="D331" s="9" t="s">
        <v>19</v>
      </c>
      <c r="E331" s="9" t="s">
        <v>34</v>
      </c>
      <c r="F331" s="9" t="s">
        <v>35</v>
      </c>
      <c r="G331" s="7" t="e">
        <f t="shared" ca="1" si="4"/>
        <v>#NAME?</v>
      </c>
      <c r="H331" s="8" t="s">
        <v>143</v>
      </c>
      <c r="I331" s="24" t="s">
        <v>25</v>
      </c>
      <c r="J331" s="9" t="str">
        <f t="shared" si="3"/>
        <v>Não</v>
      </c>
      <c r="K331" s="232">
        <v>44319</v>
      </c>
      <c r="L331" s="25">
        <v>45008</v>
      </c>
      <c r="M331" s="6" t="s">
        <v>200</v>
      </c>
      <c r="N331" s="10">
        <v>1.4999999999999999E-2</v>
      </c>
      <c r="O331" s="9" t="s">
        <v>37</v>
      </c>
      <c r="P331" s="234">
        <v>0.1</v>
      </c>
      <c r="Q331" s="28"/>
      <c r="R331" s="28"/>
      <c r="S331" s="7" t="s">
        <v>145</v>
      </c>
      <c r="T331" s="6" t="s">
        <v>3464</v>
      </c>
      <c r="U331" s="6" t="s">
        <v>39</v>
      </c>
      <c r="V331" s="24" t="e">
        <f t="shared" ca="1" si="5"/>
        <v>#NAME?</v>
      </c>
      <c r="W331" s="24"/>
      <c r="X331" s="24"/>
      <c r="Y331" s="6" t="s">
        <v>253</v>
      </c>
      <c r="Z331" s="6"/>
      <c r="AA331" s="6"/>
      <c r="AB331" s="6"/>
      <c r="AC331" s="132"/>
      <c r="AD331" s="132"/>
      <c r="AE331" s="132"/>
      <c r="AF331" s="132"/>
      <c r="AG331" s="132"/>
      <c r="AH331" s="132"/>
      <c r="AI331" s="132"/>
      <c r="AJ331" s="132"/>
      <c r="AK331" s="132"/>
      <c r="AL331" s="132"/>
      <c r="AM331" s="132"/>
      <c r="AN331" s="132"/>
      <c r="AO331" s="132"/>
      <c r="AP331" s="264"/>
      <c r="AQ331" s="236"/>
      <c r="AR331" s="236"/>
      <c r="AS331" s="236"/>
      <c r="AT331" s="236"/>
      <c r="AU331" s="236">
        <v>332462.25</v>
      </c>
      <c r="AV331" s="110">
        <v>330515.93</v>
      </c>
      <c r="AW331" s="110">
        <v>327290.36</v>
      </c>
      <c r="AX331" s="110">
        <v>321563.09000000003</v>
      </c>
      <c r="AY331" s="110">
        <v>317157.09000000003</v>
      </c>
      <c r="AZ331" s="110">
        <v>310487.78999999998</v>
      </c>
      <c r="BA331" s="110">
        <v>307755.90999999997</v>
      </c>
      <c r="BB331" s="110">
        <v>305547.09000000003</v>
      </c>
      <c r="BC331" s="110">
        <v>313309.96999999997</v>
      </c>
      <c r="BD331" s="110">
        <v>315370.21000000002</v>
      </c>
      <c r="BE331" s="110">
        <v>328556.83</v>
      </c>
      <c r="BF331" s="110">
        <v>323293.73</v>
      </c>
      <c r="BG331" s="237">
        <v>322939.48</v>
      </c>
      <c r="BH331" s="237">
        <v>320005.90999999997</v>
      </c>
      <c r="BI331" s="237">
        <v>325166.34999999998</v>
      </c>
      <c r="BJ331" s="237">
        <v>329659.89</v>
      </c>
      <c r="BK331" s="237">
        <v>332630.53999999998</v>
      </c>
      <c r="BL331" s="237">
        <v>3965.75</v>
      </c>
      <c r="BM331" s="237">
        <v>3329.91</v>
      </c>
      <c r="BN331" s="237">
        <v>3348.4</v>
      </c>
      <c r="BO331" s="237">
        <v>2778.09</v>
      </c>
      <c r="BP331" s="237">
        <v>2792.05</v>
      </c>
      <c r="BQ331" s="237">
        <v>32.43</v>
      </c>
      <c r="BR331" s="237">
        <v>32.56</v>
      </c>
      <c r="BS331" s="237">
        <v>32.68</v>
      </c>
      <c r="BT331" s="237">
        <v>0</v>
      </c>
      <c r="BU331" s="237">
        <v>0</v>
      </c>
      <c r="BV331" s="237">
        <v>0</v>
      </c>
      <c r="BW331" s="237">
        <v>0</v>
      </c>
      <c r="BX331" s="237">
        <v>0</v>
      </c>
      <c r="BY331" s="237">
        <v>0</v>
      </c>
      <c r="BZ331" s="237">
        <v>0</v>
      </c>
      <c r="CA331" s="237">
        <v>0</v>
      </c>
      <c r="CB331" s="237">
        <v>0</v>
      </c>
      <c r="CC331" s="237">
        <v>0</v>
      </c>
      <c r="CD331" s="237">
        <v>0</v>
      </c>
      <c r="CE331" s="237">
        <v>0</v>
      </c>
      <c r="CF331" s="237">
        <v>0</v>
      </c>
      <c r="CG331" s="237">
        <v>0</v>
      </c>
      <c r="CH331" s="30">
        <v>0</v>
      </c>
      <c r="CI331" s="30">
        <v>0</v>
      </c>
      <c r="CJ331" s="30" t="e">
        <f t="array" aca="1" ref="CJ331" ca="1">_xludf.XLOOKUP(C331,'PL TOTAL D0'!H:H,'PL TOTAL D0'!I:I,"")</f>
        <v>#NAME?</v>
      </c>
    </row>
    <row r="332" spans="1:88" ht="15.75" customHeight="1">
      <c r="A332" s="36" t="s">
        <v>2921</v>
      </c>
      <c r="B332" s="3" t="s">
        <v>3465</v>
      </c>
      <c r="C332" s="9">
        <v>34745</v>
      </c>
      <c r="D332" s="9" t="s">
        <v>19</v>
      </c>
      <c r="E332" s="9" t="s">
        <v>34</v>
      </c>
      <c r="F332" s="9" t="s">
        <v>262</v>
      </c>
      <c r="G332" s="7" t="e">
        <f t="shared" ca="1" si="4"/>
        <v>#NAME?</v>
      </c>
      <c r="H332" s="8" t="s">
        <v>161</v>
      </c>
      <c r="I332" s="24" t="s">
        <v>162</v>
      </c>
      <c r="J332" s="9" t="str">
        <f t="shared" si="3"/>
        <v>Não</v>
      </c>
      <c r="K332" s="232">
        <v>44319</v>
      </c>
      <c r="L332" s="7"/>
      <c r="M332" s="6" t="s">
        <v>200</v>
      </c>
      <c r="N332" s="10">
        <v>1.4999999999999999E-2</v>
      </c>
      <c r="O332" s="9" t="s">
        <v>37</v>
      </c>
      <c r="P332" s="234">
        <v>0.1</v>
      </c>
      <c r="Q332" s="23"/>
      <c r="R332" s="28" t="s">
        <v>3466</v>
      </c>
      <c r="S332" s="7" t="s">
        <v>145</v>
      </c>
      <c r="T332" s="6" t="s">
        <v>2408</v>
      </c>
      <c r="U332" s="6" t="s">
        <v>39</v>
      </c>
      <c r="V332" s="24" t="e">
        <f t="shared" ca="1" si="5"/>
        <v>#NAME?</v>
      </c>
      <c r="W332" s="24"/>
      <c r="X332" s="24"/>
      <c r="Y332" s="6" t="s">
        <v>253</v>
      </c>
      <c r="Z332" s="6"/>
      <c r="AA332" s="107">
        <v>44319</v>
      </c>
      <c r="AB332" s="6">
        <v>49075100010943</v>
      </c>
      <c r="AC332" s="132"/>
      <c r="AD332" s="132"/>
      <c r="AE332" s="132"/>
      <c r="AF332" s="132"/>
      <c r="AG332" s="132"/>
      <c r="AH332" s="132"/>
      <c r="AI332" s="132"/>
      <c r="AJ332" s="132"/>
      <c r="AK332" s="132"/>
      <c r="AL332" s="132"/>
      <c r="AM332" s="132"/>
      <c r="AN332" s="132"/>
      <c r="AO332" s="132"/>
      <c r="AP332" s="264"/>
      <c r="AQ332" s="236"/>
      <c r="AR332" s="236"/>
      <c r="AS332" s="236"/>
      <c r="AT332" s="236"/>
      <c r="AU332" s="236">
        <v>649392.29</v>
      </c>
      <c r="AV332" s="110">
        <v>619970.67000000004</v>
      </c>
      <c r="AW332" s="110">
        <v>604184.52</v>
      </c>
      <c r="AX332" s="110">
        <v>583106.9</v>
      </c>
      <c r="AY332" s="110">
        <v>510441.06</v>
      </c>
      <c r="AZ332" s="110">
        <v>534434.65</v>
      </c>
      <c r="BA332" s="110">
        <v>518934.1</v>
      </c>
      <c r="BB332" s="110">
        <v>504177.44</v>
      </c>
      <c r="BC332" s="110">
        <v>496175.72</v>
      </c>
      <c r="BD332" s="110">
        <v>490341.81</v>
      </c>
      <c r="BE332" s="110">
        <v>503301.19</v>
      </c>
      <c r="BF332" s="110">
        <v>479151.72</v>
      </c>
      <c r="BG332" s="237">
        <v>467431.16</v>
      </c>
      <c r="BH332" s="237">
        <v>437696.49</v>
      </c>
      <c r="BI332" s="237">
        <v>443966.62</v>
      </c>
      <c r="BJ332" s="237">
        <v>440248.65</v>
      </c>
      <c r="BK332" s="237">
        <v>434983.04</v>
      </c>
      <c r="BL332" s="237">
        <v>430701.24</v>
      </c>
      <c r="BM332" s="237">
        <v>415856.49</v>
      </c>
      <c r="BN332" s="237">
        <v>414124.3</v>
      </c>
      <c r="BO332" s="237">
        <v>404629.34</v>
      </c>
      <c r="BP332" s="237">
        <v>393132.24</v>
      </c>
      <c r="BQ332" s="237">
        <v>376970.08</v>
      </c>
      <c r="BR332" s="237">
        <v>368393.3</v>
      </c>
      <c r="BS332" s="237">
        <v>1637</v>
      </c>
      <c r="BT332" s="237">
        <v>0</v>
      </c>
      <c r="BU332" s="237">
        <v>0</v>
      </c>
      <c r="BV332" s="237">
        <v>0</v>
      </c>
      <c r="BW332" s="237">
        <v>0</v>
      </c>
      <c r="BX332" s="237">
        <v>0</v>
      </c>
      <c r="BY332" s="237">
        <v>0</v>
      </c>
      <c r="BZ332" s="237">
        <v>0</v>
      </c>
      <c r="CA332" s="237">
        <v>0</v>
      </c>
      <c r="CB332" s="237">
        <v>0</v>
      </c>
      <c r="CC332" s="237">
        <v>0</v>
      </c>
      <c r="CD332" s="237">
        <v>0</v>
      </c>
      <c r="CE332" s="237">
        <v>0</v>
      </c>
      <c r="CF332" s="237">
        <v>0</v>
      </c>
      <c r="CG332" s="237">
        <v>0</v>
      </c>
      <c r="CH332" s="30">
        <v>0</v>
      </c>
      <c r="CI332" s="30">
        <v>0</v>
      </c>
      <c r="CJ332" s="30" t="e">
        <f t="array" aca="1" ref="CJ332" ca="1">_xludf.XLOOKUP(C332,'PL TOTAL D0'!H:H,'PL TOTAL D0'!I:I,"")</f>
        <v>#NAME?</v>
      </c>
    </row>
    <row r="333" spans="1:88" ht="15.75" customHeight="1">
      <c r="A333" s="36" t="s">
        <v>2921</v>
      </c>
      <c r="B333" s="37" t="s">
        <v>2412</v>
      </c>
      <c r="C333" s="9">
        <v>453470</v>
      </c>
      <c r="D333" s="9" t="s">
        <v>19</v>
      </c>
      <c r="E333" s="9" t="s">
        <v>34</v>
      </c>
      <c r="F333" s="9" t="s">
        <v>262</v>
      </c>
      <c r="G333" s="7" t="e">
        <f t="shared" ca="1" si="4"/>
        <v>#NAME?</v>
      </c>
      <c r="H333" s="8" t="s">
        <v>161</v>
      </c>
      <c r="I333" s="24" t="s">
        <v>162</v>
      </c>
      <c r="J333" s="9" t="str">
        <f t="shared" si="3"/>
        <v>Não</v>
      </c>
      <c r="K333" s="25">
        <v>44462</v>
      </c>
      <c r="L333" s="7"/>
      <c r="M333" s="6" t="s">
        <v>87</v>
      </c>
      <c r="N333" s="10">
        <v>2.5000000000000001E-2</v>
      </c>
      <c r="O333" s="9" t="s">
        <v>183</v>
      </c>
      <c r="P333" s="234">
        <v>0.2</v>
      </c>
      <c r="Q333" s="23"/>
      <c r="R333" s="28" t="s">
        <v>3467</v>
      </c>
      <c r="S333" s="7" t="s">
        <v>145</v>
      </c>
      <c r="T333" s="6" t="s">
        <v>2415</v>
      </c>
      <c r="U333" s="7" t="s">
        <v>977</v>
      </c>
      <c r="V333" s="24" t="e">
        <f t="shared" ca="1" si="5"/>
        <v>#NAME?</v>
      </c>
      <c r="W333" s="24"/>
      <c r="X333" s="24"/>
      <c r="Y333" s="6" t="s">
        <v>253</v>
      </c>
      <c r="Z333" s="6"/>
      <c r="AA333" s="107">
        <v>44462</v>
      </c>
      <c r="AB333" s="6">
        <v>49075100004668</v>
      </c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265"/>
      <c r="AN333" s="265"/>
      <c r="AO333" s="265"/>
      <c r="AP333" s="265"/>
      <c r="AQ333" s="265"/>
      <c r="AR333" s="265"/>
      <c r="AS333" s="265"/>
      <c r="AT333" s="265"/>
      <c r="AU333" s="240"/>
      <c r="AV333" s="110"/>
      <c r="AW333" s="110"/>
      <c r="AX333" s="23"/>
      <c r="AY333" s="110">
        <v>122762.88</v>
      </c>
      <c r="AZ333" s="110">
        <v>124855.65</v>
      </c>
      <c r="BA333" s="110">
        <v>120610.95</v>
      </c>
      <c r="BB333" s="110">
        <v>122411.16</v>
      </c>
      <c r="BC333" s="110">
        <v>129931.21</v>
      </c>
      <c r="BD333" s="110">
        <v>130378.12</v>
      </c>
      <c r="BE333" s="110">
        <v>125460.79</v>
      </c>
      <c r="BF333" s="110">
        <v>120192.07</v>
      </c>
      <c r="BG333" s="237">
        <v>121865.43</v>
      </c>
      <c r="BH333" s="237">
        <v>124402.57</v>
      </c>
      <c r="BI333" s="237">
        <v>129743.54</v>
      </c>
      <c r="BJ333" s="237">
        <v>138997.28</v>
      </c>
      <c r="BK333" s="237">
        <v>143438.26</v>
      </c>
      <c r="BL333" s="237">
        <v>158533.85999999999</v>
      </c>
      <c r="BM333" s="237">
        <v>138115.01999999999</v>
      </c>
      <c r="BN333" s="237">
        <v>140210.67000000001</v>
      </c>
      <c r="BO333" s="237">
        <v>131125.38</v>
      </c>
      <c r="BP333" s="237">
        <v>124713.75</v>
      </c>
      <c r="BQ333" s="237">
        <v>108610</v>
      </c>
      <c r="BR333" s="237">
        <v>663.79</v>
      </c>
      <c r="BS333" s="237">
        <v>648.54999999999995</v>
      </c>
      <c r="BT333" s="237">
        <v>0</v>
      </c>
      <c r="BU333" s="237">
        <v>0</v>
      </c>
      <c r="BV333" s="237">
        <v>0</v>
      </c>
      <c r="BW333" s="237">
        <v>0</v>
      </c>
      <c r="BX333" s="237">
        <v>0</v>
      </c>
      <c r="BY333" s="237">
        <v>0</v>
      </c>
      <c r="BZ333" s="237">
        <v>0</v>
      </c>
      <c r="CA333" s="237">
        <v>0</v>
      </c>
      <c r="CB333" s="237">
        <v>0</v>
      </c>
      <c r="CC333" s="237">
        <v>0</v>
      </c>
      <c r="CD333" s="237">
        <v>0</v>
      </c>
      <c r="CE333" s="237">
        <v>0</v>
      </c>
      <c r="CF333" s="237">
        <v>0</v>
      </c>
      <c r="CG333" s="237">
        <v>0</v>
      </c>
      <c r="CH333" s="30">
        <v>0</v>
      </c>
      <c r="CI333" s="30">
        <v>0</v>
      </c>
      <c r="CJ333" s="30" t="e">
        <f t="array" aca="1" ref="CJ333" ca="1">_xludf.XLOOKUP(C333,'PL TOTAL D0'!H:H,'PL TOTAL D0'!I:I,"")</f>
        <v>#NAME?</v>
      </c>
    </row>
    <row r="334" spans="1:88" ht="15.75" customHeight="1">
      <c r="A334" s="36" t="s">
        <v>2921</v>
      </c>
      <c r="B334" s="266" t="s">
        <v>3468</v>
      </c>
      <c r="C334" s="9">
        <v>424158</v>
      </c>
      <c r="D334" s="9" t="s">
        <v>2923</v>
      </c>
      <c r="E334" s="9" t="s">
        <v>20</v>
      </c>
      <c r="F334" s="267" t="s">
        <v>2924</v>
      </c>
      <c r="G334" s="7" t="e">
        <f t="shared" ca="1" si="4"/>
        <v>#NAME?</v>
      </c>
      <c r="H334" s="8" t="s">
        <v>161</v>
      </c>
      <c r="I334" s="24" t="s">
        <v>162</v>
      </c>
      <c r="J334" s="9" t="str">
        <f t="shared" si="3"/>
        <v>Sim</v>
      </c>
      <c r="K334" s="268">
        <v>43675</v>
      </c>
      <c r="L334" s="267"/>
      <c r="M334" s="6" t="s">
        <v>200</v>
      </c>
      <c r="N334" s="269">
        <v>0.01</v>
      </c>
      <c r="O334" s="9" t="s">
        <v>37</v>
      </c>
      <c r="P334" s="234">
        <v>0.1</v>
      </c>
      <c r="Q334" s="270" t="s">
        <v>2947</v>
      </c>
      <c r="R334" s="23"/>
      <c r="S334" s="7" t="s">
        <v>145</v>
      </c>
      <c r="T334" s="267" t="s">
        <v>3469</v>
      </c>
      <c r="U334" s="267" t="s">
        <v>20</v>
      </c>
      <c r="V334" s="24" t="e">
        <f t="shared" ca="1" si="5"/>
        <v>#NAME?</v>
      </c>
      <c r="W334" s="24"/>
      <c r="X334" s="24"/>
      <c r="Y334" s="6" t="s">
        <v>253</v>
      </c>
      <c r="Z334" s="6"/>
      <c r="AA334" s="107">
        <v>43675</v>
      </c>
      <c r="AB334" s="6">
        <v>49075100010951</v>
      </c>
      <c r="AC334" s="237">
        <v>314639.38</v>
      </c>
      <c r="AD334" s="237">
        <v>163398.94</v>
      </c>
      <c r="AE334" s="237">
        <v>134579.88</v>
      </c>
      <c r="AF334" s="237">
        <v>137014.38</v>
      </c>
      <c r="AG334" s="237">
        <v>138596.29999999999</v>
      </c>
      <c r="AH334" s="237">
        <v>139590.88</v>
      </c>
      <c r="AI334" s="237">
        <v>142254.23000000001</v>
      </c>
      <c r="AJ334" s="237">
        <v>120740.43</v>
      </c>
      <c r="AK334" s="237">
        <v>119294.15</v>
      </c>
      <c r="AL334" s="237">
        <v>94465.54</v>
      </c>
      <c r="AM334" s="237">
        <v>76980.14</v>
      </c>
      <c r="AN334" s="237">
        <v>57606.17</v>
      </c>
      <c r="AO334" s="237">
        <v>30438.97</v>
      </c>
      <c r="AP334" s="237">
        <v>343.1</v>
      </c>
      <c r="AQ334" s="237">
        <v>225.54</v>
      </c>
      <c r="AR334" s="237">
        <v>242.83</v>
      </c>
      <c r="AS334" s="237">
        <v>242.83</v>
      </c>
      <c r="AT334" s="237">
        <v>242.83</v>
      </c>
      <c r="AU334" s="237"/>
      <c r="AV334" s="271"/>
      <c r="AW334" s="237">
        <v>68.55</v>
      </c>
      <c r="AX334" s="237">
        <v>68.55</v>
      </c>
      <c r="AY334" s="237">
        <v>68.55</v>
      </c>
      <c r="AZ334" s="237"/>
      <c r="BA334" s="237"/>
      <c r="BB334" s="237"/>
      <c r="BC334" s="110"/>
      <c r="BD334" s="110">
        <v>0</v>
      </c>
      <c r="BE334" s="110">
        <v>0</v>
      </c>
      <c r="BF334" s="110">
        <v>0</v>
      </c>
      <c r="BG334" s="237" t="s">
        <v>2932</v>
      </c>
      <c r="BH334" s="237">
        <v>0</v>
      </c>
      <c r="BI334" s="237" t="s">
        <v>2932</v>
      </c>
      <c r="BJ334" s="237">
        <v>0</v>
      </c>
      <c r="BK334" s="237">
        <v>0</v>
      </c>
      <c r="BL334" s="237">
        <v>0</v>
      </c>
      <c r="BM334" s="237">
        <v>0</v>
      </c>
      <c r="BN334" s="237">
        <v>0</v>
      </c>
      <c r="BO334" s="237">
        <v>0</v>
      </c>
      <c r="BP334" s="237">
        <v>0</v>
      </c>
      <c r="BQ334" s="237">
        <v>0</v>
      </c>
      <c r="BR334" s="237">
        <v>0</v>
      </c>
      <c r="BS334" s="237">
        <v>0</v>
      </c>
      <c r="BT334" s="237">
        <v>0</v>
      </c>
      <c r="BU334" s="237">
        <v>0</v>
      </c>
      <c r="BV334" s="237">
        <v>0</v>
      </c>
      <c r="BW334" s="237">
        <v>0</v>
      </c>
      <c r="BX334" s="237">
        <v>0</v>
      </c>
      <c r="BY334" s="237">
        <v>0</v>
      </c>
      <c r="BZ334" s="237">
        <v>0</v>
      </c>
      <c r="CA334" s="237">
        <v>0</v>
      </c>
      <c r="CB334" s="237">
        <v>0</v>
      </c>
      <c r="CC334" s="237">
        <v>0</v>
      </c>
      <c r="CD334" s="237">
        <v>0</v>
      </c>
      <c r="CE334" s="237">
        <v>0</v>
      </c>
      <c r="CF334" s="237">
        <v>0</v>
      </c>
      <c r="CG334" s="237">
        <v>0</v>
      </c>
      <c r="CH334" s="30">
        <v>0</v>
      </c>
      <c r="CI334" s="30">
        <v>0</v>
      </c>
      <c r="CJ334" s="30" t="e">
        <f t="array" aca="1" ref="CJ334" ca="1">_xludf.XLOOKUP(C334,'PL TOTAL D0'!H:H,'PL TOTAL D0'!I:I,"")</f>
        <v>#NAME?</v>
      </c>
    </row>
    <row r="335" spans="1:88" ht="15.75" customHeight="1">
      <c r="A335" s="36" t="s">
        <v>2921</v>
      </c>
      <c r="B335" s="266" t="s">
        <v>3470</v>
      </c>
      <c r="C335" s="9">
        <v>343714</v>
      </c>
      <c r="D335" s="9" t="s">
        <v>64</v>
      </c>
      <c r="E335" s="9" t="s">
        <v>20</v>
      </c>
      <c r="F335" s="267" t="s">
        <v>3471</v>
      </c>
      <c r="G335" s="7" t="e">
        <f t="shared" ca="1" si="4"/>
        <v>#NAME?</v>
      </c>
      <c r="H335" s="8" t="s">
        <v>161</v>
      </c>
      <c r="I335" s="24" t="s">
        <v>162</v>
      </c>
      <c r="J335" s="9" t="str">
        <f t="shared" si="3"/>
        <v>Não</v>
      </c>
      <c r="K335" s="268"/>
      <c r="L335" s="267"/>
      <c r="M335" s="6" t="s">
        <v>58</v>
      </c>
      <c r="N335" s="269">
        <v>1.2E-2</v>
      </c>
      <c r="O335" s="9" t="s">
        <v>25</v>
      </c>
      <c r="P335" s="234">
        <v>0</v>
      </c>
      <c r="Q335" s="270"/>
      <c r="R335" s="270"/>
      <c r="S335" s="7" t="s">
        <v>145</v>
      </c>
      <c r="T335" s="267" t="s">
        <v>3472</v>
      </c>
      <c r="U335" s="267"/>
      <c r="V335" s="24" t="e">
        <f t="shared" ca="1" si="5"/>
        <v>#NAME?</v>
      </c>
      <c r="W335" s="24"/>
      <c r="X335" s="24"/>
      <c r="Y335" s="6" t="s">
        <v>253</v>
      </c>
      <c r="Z335" s="6"/>
      <c r="AA335" s="6"/>
      <c r="AB335" s="6"/>
      <c r="AC335" s="237"/>
      <c r="AD335" s="237"/>
      <c r="AE335" s="237"/>
      <c r="AF335" s="237"/>
      <c r="AG335" s="237"/>
      <c r="AH335" s="237"/>
      <c r="AI335" s="237"/>
      <c r="AJ335" s="237"/>
      <c r="AK335" s="237"/>
      <c r="AL335" s="237"/>
      <c r="AM335" s="237"/>
      <c r="AN335" s="237"/>
      <c r="AO335" s="237"/>
      <c r="AP335" s="237"/>
      <c r="AQ335" s="237"/>
      <c r="AR335" s="237"/>
      <c r="AS335" s="237"/>
      <c r="AT335" s="237"/>
      <c r="AU335" s="237"/>
      <c r="AV335" s="271"/>
      <c r="AW335" s="237"/>
      <c r="AX335" s="237"/>
      <c r="AY335" s="237"/>
      <c r="AZ335" s="237"/>
      <c r="BA335" s="237"/>
      <c r="BB335" s="237"/>
      <c r="BC335" s="110"/>
      <c r="BD335" s="110"/>
      <c r="BE335" s="110"/>
      <c r="BF335" s="110"/>
      <c r="BG335" s="237"/>
      <c r="BH335" s="237"/>
      <c r="BI335" s="237" t="s">
        <v>2932</v>
      </c>
      <c r="BJ335" s="237">
        <v>0</v>
      </c>
      <c r="BK335" s="237">
        <v>0</v>
      </c>
      <c r="BL335" s="237">
        <v>0</v>
      </c>
      <c r="BM335" s="237">
        <v>0</v>
      </c>
      <c r="BN335" s="237">
        <v>0</v>
      </c>
      <c r="BO335" s="237">
        <v>0</v>
      </c>
      <c r="BP335" s="237">
        <v>0</v>
      </c>
      <c r="BQ335" s="237">
        <v>0</v>
      </c>
      <c r="BR335" s="237">
        <v>0</v>
      </c>
      <c r="BS335" s="237">
        <v>0</v>
      </c>
      <c r="BT335" s="237">
        <v>0</v>
      </c>
      <c r="BU335" s="237">
        <v>0</v>
      </c>
      <c r="BV335" s="237">
        <v>0</v>
      </c>
      <c r="BW335" s="237">
        <v>0</v>
      </c>
      <c r="BX335" s="237">
        <v>0</v>
      </c>
      <c r="BY335" s="237">
        <v>0</v>
      </c>
      <c r="BZ335" s="237">
        <v>0</v>
      </c>
      <c r="CA335" s="237">
        <v>0</v>
      </c>
      <c r="CB335" s="237">
        <v>0</v>
      </c>
      <c r="CC335" s="237">
        <v>0</v>
      </c>
      <c r="CD335" s="237">
        <v>0</v>
      </c>
      <c r="CE335" s="237">
        <v>0</v>
      </c>
      <c r="CF335" s="237">
        <v>0</v>
      </c>
      <c r="CG335" s="237">
        <v>0</v>
      </c>
      <c r="CH335" s="30">
        <v>0</v>
      </c>
      <c r="CI335" s="30">
        <v>0</v>
      </c>
      <c r="CJ335" s="30" t="e">
        <f t="array" aca="1" ref="CJ335" ca="1">_xludf.XLOOKUP(C335,'PL TOTAL D0'!H:H,'PL TOTAL D0'!I:I,"")</f>
        <v>#NAME?</v>
      </c>
    </row>
    <row r="336" spans="1:88" ht="15.75" customHeight="1">
      <c r="A336" s="36" t="s">
        <v>2921</v>
      </c>
      <c r="B336" s="3" t="s">
        <v>3473</v>
      </c>
      <c r="C336" s="9">
        <v>466217</v>
      </c>
      <c r="D336" s="9" t="s">
        <v>19</v>
      </c>
      <c r="E336" s="9" t="s">
        <v>34</v>
      </c>
      <c r="F336" s="6" t="s">
        <v>35</v>
      </c>
      <c r="G336" s="7" t="e">
        <f t="shared" ca="1" si="4"/>
        <v>#NAME?</v>
      </c>
      <c r="H336" s="8" t="s">
        <v>143</v>
      </c>
      <c r="I336" s="24" t="s">
        <v>25</v>
      </c>
      <c r="J336" s="9" t="str">
        <f t="shared" si="3"/>
        <v>Não</v>
      </c>
      <c r="K336" s="107">
        <v>44278</v>
      </c>
      <c r="L336" s="107">
        <v>44322</v>
      </c>
      <c r="M336" s="6" t="s">
        <v>200</v>
      </c>
      <c r="N336" s="10">
        <v>1.4999999999999999E-2</v>
      </c>
      <c r="O336" s="9" t="s">
        <v>37</v>
      </c>
      <c r="P336" s="234">
        <v>0.1</v>
      </c>
      <c r="Q336" s="108"/>
      <c r="R336" s="108"/>
      <c r="S336" s="7" t="s">
        <v>187</v>
      </c>
      <c r="T336" s="6" t="s">
        <v>3474</v>
      </c>
      <c r="U336" s="6" t="s">
        <v>39</v>
      </c>
      <c r="V336" s="24" t="e">
        <f t="shared" ca="1" si="5"/>
        <v>#NAME?</v>
      </c>
      <c r="W336" s="24"/>
      <c r="X336" s="24"/>
      <c r="Y336" s="6"/>
      <c r="Z336" s="6"/>
      <c r="AA336" s="6"/>
      <c r="AB336" s="6"/>
      <c r="AC336" s="240"/>
      <c r="AD336" s="240"/>
      <c r="AE336" s="240"/>
      <c r="AF336" s="240"/>
      <c r="AG336" s="240"/>
      <c r="AH336" s="240"/>
      <c r="AI336" s="240"/>
      <c r="AJ336" s="240"/>
      <c r="AK336" s="240"/>
      <c r="AL336" s="240"/>
      <c r="AM336" s="240"/>
      <c r="AN336" s="240"/>
      <c r="AO336" s="240"/>
      <c r="AP336" s="110"/>
      <c r="AQ336" s="110">
        <v>902992.55</v>
      </c>
      <c r="AR336" s="110">
        <v>638974.92000000004</v>
      </c>
      <c r="AS336" s="110">
        <v>432462.17</v>
      </c>
      <c r="AT336" s="110">
        <v>19321.39</v>
      </c>
      <c r="AU336" s="110"/>
      <c r="AV336" s="240"/>
      <c r="AW336" s="240"/>
      <c r="AX336" s="240"/>
      <c r="AY336" s="110"/>
      <c r="AZ336" s="110"/>
      <c r="BA336" s="110"/>
      <c r="BB336" s="110"/>
      <c r="BC336" s="110"/>
      <c r="BD336" s="110">
        <v>0</v>
      </c>
      <c r="BE336" s="110">
        <v>0</v>
      </c>
      <c r="BF336" s="110">
        <v>0</v>
      </c>
      <c r="BG336" s="110" t="s">
        <v>2932</v>
      </c>
      <c r="BH336" s="110">
        <v>0</v>
      </c>
      <c r="BI336" s="110" t="s">
        <v>2932</v>
      </c>
      <c r="BJ336" s="110">
        <v>0</v>
      </c>
      <c r="BK336" s="237">
        <v>0</v>
      </c>
      <c r="BL336" s="237">
        <v>0</v>
      </c>
      <c r="BM336" s="237">
        <v>0</v>
      </c>
      <c r="BN336" s="237">
        <v>0</v>
      </c>
      <c r="BO336" s="237">
        <v>0</v>
      </c>
      <c r="BP336" s="237">
        <v>0</v>
      </c>
      <c r="BQ336" s="237">
        <v>0</v>
      </c>
      <c r="BR336" s="237">
        <v>0</v>
      </c>
      <c r="BS336" s="237">
        <v>0</v>
      </c>
      <c r="BT336" s="237">
        <v>0</v>
      </c>
      <c r="BU336" s="237">
        <v>0</v>
      </c>
      <c r="BV336" s="237">
        <v>0</v>
      </c>
      <c r="BW336" s="237">
        <v>0</v>
      </c>
      <c r="BX336" s="237">
        <v>0</v>
      </c>
      <c r="BY336" s="237">
        <v>0</v>
      </c>
      <c r="BZ336" s="237">
        <v>0</v>
      </c>
      <c r="CA336" s="237">
        <v>0</v>
      </c>
      <c r="CB336" s="237">
        <v>0</v>
      </c>
      <c r="CC336" s="237">
        <v>0</v>
      </c>
      <c r="CD336" s="237">
        <v>0</v>
      </c>
      <c r="CE336" s="237">
        <v>0</v>
      </c>
      <c r="CF336" s="237">
        <v>0</v>
      </c>
      <c r="CG336" s="237">
        <v>0</v>
      </c>
      <c r="CH336" s="30">
        <v>0</v>
      </c>
      <c r="CI336" s="30">
        <v>0</v>
      </c>
      <c r="CJ336" s="30" t="e">
        <f t="array" aca="1" ref="CJ336" ca="1">_xludf.XLOOKUP(C336,'PL TOTAL D0'!H:H,'PL TOTAL D0'!I:I,"")</f>
        <v>#NAME?</v>
      </c>
    </row>
    <row r="337" spans="1:88" ht="15.75" customHeight="1">
      <c r="A337" s="36" t="s">
        <v>2921</v>
      </c>
      <c r="B337" s="3" t="s">
        <v>3475</v>
      </c>
      <c r="C337" s="9">
        <v>459540</v>
      </c>
      <c r="D337" s="9" t="s">
        <v>19</v>
      </c>
      <c r="E337" s="9" t="s">
        <v>34</v>
      </c>
      <c r="F337" s="9" t="s">
        <v>262</v>
      </c>
      <c r="G337" s="7" t="e">
        <f t="shared" ca="1" si="4"/>
        <v>#NAME?</v>
      </c>
      <c r="H337" s="8" t="s">
        <v>161</v>
      </c>
      <c r="I337" s="24" t="s">
        <v>162</v>
      </c>
      <c r="J337" s="9" t="str">
        <f t="shared" si="3"/>
        <v>Não</v>
      </c>
      <c r="K337" s="232">
        <v>44280</v>
      </c>
      <c r="L337" s="7"/>
      <c r="M337" s="6" t="s">
        <v>42</v>
      </c>
      <c r="N337" s="233">
        <v>7.0000000000000001E-3</v>
      </c>
      <c r="O337" s="9" t="s">
        <v>25</v>
      </c>
      <c r="P337" s="234">
        <v>0</v>
      </c>
      <c r="Q337" s="23"/>
      <c r="R337" s="108" t="s">
        <v>3156</v>
      </c>
      <c r="S337" s="7" t="s">
        <v>187</v>
      </c>
      <c r="T337" s="6" t="s">
        <v>3476</v>
      </c>
      <c r="U337" s="6" t="s">
        <v>39</v>
      </c>
      <c r="V337" s="24" t="e">
        <f t="shared" ca="1" si="5"/>
        <v>#NAME?</v>
      </c>
      <c r="W337" s="24"/>
      <c r="X337" s="24"/>
      <c r="Y337" s="6" t="s">
        <v>253</v>
      </c>
      <c r="Z337" s="6"/>
      <c r="AA337" s="107">
        <v>44280</v>
      </c>
      <c r="AB337" s="6">
        <v>49075100004684</v>
      </c>
      <c r="AC337" s="240"/>
      <c r="AD337" s="240"/>
      <c r="AE337" s="240"/>
      <c r="AF337" s="240"/>
      <c r="AG337" s="240"/>
      <c r="AH337" s="240"/>
      <c r="AI337" s="240"/>
      <c r="AJ337" s="240"/>
      <c r="AK337" s="240"/>
      <c r="AL337" s="240"/>
      <c r="AM337" s="240"/>
      <c r="AN337" s="240"/>
      <c r="AO337" s="240"/>
      <c r="AP337" s="110"/>
      <c r="AQ337" s="236"/>
      <c r="AR337" s="236">
        <v>686952.97</v>
      </c>
      <c r="AS337" s="236">
        <v>634538.18999999994</v>
      </c>
      <c r="AT337" s="236">
        <v>638637.15</v>
      </c>
      <c r="AU337" s="236">
        <v>654845.63</v>
      </c>
      <c r="AV337" s="110">
        <v>652020.47</v>
      </c>
      <c r="AW337" s="110">
        <v>706243.54</v>
      </c>
      <c r="AX337" s="110">
        <v>734919.45</v>
      </c>
      <c r="AY337" s="110">
        <v>715827.76</v>
      </c>
      <c r="AZ337" s="110">
        <v>686011.65</v>
      </c>
      <c r="BA337" s="110">
        <v>771240.46</v>
      </c>
      <c r="BB337" s="110">
        <v>771968.7</v>
      </c>
      <c r="BC337" s="110">
        <v>794167.88</v>
      </c>
      <c r="BD337" s="110">
        <v>805984.03</v>
      </c>
      <c r="BE337" s="110">
        <v>839673.71</v>
      </c>
      <c r="BF337" s="110">
        <v>817517.54</v>
      </c>
      <c r="BG337" s="237">
        <v>816130.87</v>
      </c>
      <c r="BH337" s="237">
        <v>942464.32</v>
      </c>
      <c r="BI337" s="237">
        <v>950858.67</v>
      </c>
      <c r="BJ337" s="237">
        <v>956190.77</v>
      </c>
      <c r="BK337" s="237">
        <v>779313.77</v>
      </c>
      <c r="BL337" s="237">
        <v>791676.57</v>
      </c>
      <c r="BM337" s="237">
        <v>796869.86</v>
      </c>
      <c r="BN337" s="237">
        <v>54962.52</v>
      </c>
      <c r="BO337" s="237">
        <v>2.64</v>
      </c>
      <c r="BP337" s="237">
        <v>2.64</v>
      </c>
      <c r="BQ337" s="237">
        <v>2.66</v>
      </c>
      <c r="BR337" s="237">
        <v>2.66</v>
      </c>
      <c r="BS337" s="237">
        <v>2.66</v>
      </c>
      <c r="BT337" s="237">
        <v>0</v>
      </c>
      <c r="BU337" s="237">
        <v>0</v>
      </c>
      <c r="BV337" s="237">
        <v>0</v>
      </c>
      <c r="BW337" s="237">
        <v>0</v>
      </c>
      <c r="BX337" s="237">
        <v>0</v>
      </c>
      <c r="BY337" s="237">
        <v>0</v>
      </c>
      <c r="BZ337" s="237">
        <v>0</v>
      </c>
      <c r="CA337" s="237">
        <v>0</v>
      </c>
      <c r="CB337" s="237">
        <v>0</v>
      </c>
      <c r="CC337" s="237">
        <v>0</v>
      </c>
      <c r="CD337" s="237">
        <v>0</v>
      </c>
      <c r="CE337" s="237">
        <v>0</v>
      </c>
      <c r="CF337" s="237">
        <v>0</v>
      </c>
      <c r="CG337" s="237">
        <v>0</v>
      </c>
      <c r="CH337" s="30">
        <v>0</v>
      </c>
      <c r="CI337" s="30">
        <v>0</v>
      </c>
      <c r="CJ337" s="30" t="e">
        <f t="array" aca="1" ref="CJ337" ca="1">_xludf.XLOOKUP(C337,'PL TOTAL D0'!H:H,'PL TOTAL D0'!I:I,"")</f>
        <v>#NAME?</v>
      </c>
    </row>
    <row r="338" spans="1:88" ht="15.75" customHeight="1">
      <c r="A338" s="36" t="s">
        <v>2921</v>
      </c>
      <c r="B338" s="37" t="s">
        <v>3477</v>
      </c>
      <c r="C338" s="9">
        <v>34113</v>
      </c>
      <c r="D338" s="9" t="s">
        <v>19</v>
      </c>
      <c r="E338" s="9" t="s">
        <v>34</v>
      </c>
      <c r="F338" s="6" t="s">
        <v>35</v>
      </c>
      <c r="G338" s="7" t="e">
        <f t="shared" ca="1" si="4"/>
        <v>#NAME?</v>
      </c>
      <c r="H338" s="8" t="s">
        <v>152</v>
      </c>
      <c r="I338" s="24" t="s">
        <v>25</v>
      </c>
      <c r="J338" s="9" t="str">
        <f t="shared" si="3"/>
        <v>Não</v>
      </c>
      <c r="K338" s="25">
        <v>45040</v>
      </c>
      <c r="L338" s="7"/>
      <c r="M338" s="6" t="s">
        <v>87</v>
      </c>
      <c r="N338" s="233">
        <v>2.5000000000000001E-2</v>
      </c>
      <c r="O338" s="9" t="s">
        <v>183</v>
      </c>
      <c r="P338" s="234">
        <v>0.2</v>
      </c>
      <c r="Q338" s="108"/>
      <c r="R338" s="108"/>
      <c r="S338" s="7" t="s">
        <v>145</v>
      </c>
      <c r="T338" s="6" t="s">
        <v>3478</v>
      </c>
      <c r="U338" s="6" t="s">
        <v>39</v>
      </c>
      <c r="V338" s="24" t="e">
        <f t="shared" ca="1" si="5"/>
        <v>#NAME?</v>
      </c>
      <c r="W338" s="24"/>
      <c r="X338" s="24"/>
      <c r="Y338" s="6" t="s">
        <v>253</v>
      </c>
      <c r="Z338" s="6"/>
      <c r="AA338" s="107">
        <v>45040</v>
      </c>
      <c r="AB338" s="6">
        <v>49075100007901</v>
      </c>
      <c r="AC338" s="240"/>
      <c r="AD338" s="240"/>
      <c r="AE338" s="240"/>
      <c r="AF338" s="240"/>
      <c r="AG338" s="240"/>
      <c r="AH338" s="240"/>
      <c r="AI338" s="240"/>
      <c r="AJ338" s="240"/>
      <c r="AK338" s="240"/>
      <c r="AL338" s="240"/>
      <c r="AM338" s="240"/>
      <c r="AN338" s="240"/>
      <c r="AO338" s="240"/>
      <c r="AP338" s="110"/>
      <c r="AQ338" s="236"/>
      <c r="AR338" s="236"/>
      <c r="AS338" s="236"/>
      <c r="AT338" s="236"/>
      <c r="AU338" s="236"/>
      <c r="AV338" s="110"/>
      <c r="AW338" s="110"/>
      <c r="AX338" s="110"/>
      <c r="AY338" s="110"/>
      <c r="AZ338" s="110"/>
      <c r="BA338" s="110"/>
      <c r="BB338" s="110"/>
      <c r="BC338" s="110"/>
      <c r="BD338" s="110"/>
      <c r="BE338" s="110"/>
      <c r="BF338" s="110"/>
      <c r="BG338" s="237"/>
      <c r="BH338" s="237"/>
      <c r="BI338" s="237"/>
      <c r="BJ338" s="237"/>
      <c r="BK338" s="237"/>
      <c r="BL338" s="237"/>
      <c r="BM338" s="237"/>
      <c r="BN338" s="237"/>
      <c r="BO338" s="237"/>
      <c r="BP338" s="237"/>
      <c r="BQ338" s="237">
        <v>0</v>
      </c>
      <c r="BR338" s="237">
        <v>12596.21</v>
      </c>
      <c r="BS338" s="237">
        <v>22963.62</v>
      </c>
      <c r="BT338" s="237">
        <v>38499.54</v>
      </c>
      <c r="BU338" s="237">
        <v>53394.05</v>
      </c>
      <c r="BV338" s="237">
        <v>62998.04</v>
      </c>
      <c r="BW338" s="237">
        <v>60444.3</v>
      </c>
      <c r="BX338" s="237">
        <v>57558.98</v>
      </c>
      <c r="BY338" s="237">
        <v>62030.87</v>
      </c>
      <c r="BZ338" s="237">
        <v>64872.79</v>
      </c>
      <c r="CA338" s="237">
        <v>60701.42</v>
      </c>
      <c r="CB338" s="237">
        <v>61893.34</v>
      </c>
      <c r="CC338" s="237">
        <v>72281.820000000007</v>
      </c>
      <c r="CD338" s="237">
        <v>78208.44</v>
      </c>
      <c r="CE338" s="237">
        <v>76949.17</v>
      </c>
      <c r="CF338" s="237">
        <v>95578.65</v>
      </c>
      <c r="CG338" s="237">
        <v>94400.37</v>
      </c>
      <c r="CH338" s="30">
        <v>119691.19</v>
      </c>
      <c r="CI338" s="30">
        <v>126817.92</v>
      </c>
      <c r="CJ338" s="30" t="e">
        <f t="array" aca="1" ref="CJ338" ca="1">_xludf.XLOOKUP(C338,'PL TOTAL D0'!H:H,'PL TOTAL D0'!I:I,"")</f>
        <v>#NAME?</v>
      </c>
    </row>
    <row r="339" spans="1:88" ht="15.75" customHeight="1">
      <c r="A339" s="36" t="s">
        <v>2921</v>
      </c>
      <c r="B339" s="37" t="s">
        <v>3477</v>
      </c>
      <c r="C339" s="9">
        <v>32948</v>
      </c>
      <c r="D339" s="9" t="s">
        <v>19</v>
      </c>
      <c r="E339" s="9" t="s">
        <v>34</v>
      </c>
      <c r="F339" s="6" t="s">
        <v>35</v>
      </c>
      <c r="G339" s="7" t="e">
        <f t="shared" ca="1" si="4"/>
        <v>#NAME?</v>
      </c>
      <c r="H339" s="8" t="s">
        <v>152</v>
      </c>
      <c r="I339" s="24" t="s">
        <v>25</v>
      </c>
      <c r="J339" s="9" t="str">
        <f t="shared" si="3"/>
        <v>Não</v>
      </c>
      <c r="K339" s="25">
        <v>44644</v>
      </c>
      <c r="L339" s="7"/>
      <c r="M339" s="6" t="s">
        <v>58</v>
      </c>
      <c r="N339" s="233">
        <v>1.2E-2</v>
      </c>
      <c r="O339" s="9" t="s">
        <v>25</v>
      </c>
      <c r="P339" s="234">
        <v>0</v>
      </c>
      <c r="Q339" s="108"/>
      <c r="R339" s="108"/>
      <c r="S339" s="7" t="s">
        <v>145</v>
      </c>
      <c r="T339" s="6" t="s">
        <v>3478</v>
      </c>
      <c r="U339" s="6" t="s">
        <v>39</v>
      </c>
      <c r="V339" s="24" t="e">
        <f t="shared" ca="1" si="5"/>
        <v>#NAME?</v>
      </c>
      <c r="W339" s="24"/>
      <c r="X339" s="24"/>
      <c r="Y339" s="6" t="s">
        <v>253</v>
      </c>
      <c r="Z339" s="6"/>
      <c r="AA339" s="107">
        <v>44644</v>
      </c>
      <c r="AB339" s="6">
        <v>49075100004511</v>
      </c>
      <c r="AC339" s="240"/>
      <c r="AD339" s="240"/>
      <c r="AE339" s="240"/>
      <c r="AF339" s="240"/>
      <c r="AG339" s="240"/>
      <c r="AH339" s="240"/>
      <c r="AI339" s="240"/>
      <c r="AJ339" s="240"/>
      <c r="AK339" s="240"/>
      <c r="AL339" s="240"/>
      <c r="AM339" s="240"/>
      <c r="AN339" s="240"/>
      <c r="AO339" s="240"/>
      <c r="AP339" s="110"/>
      <c r="AQ339" s="236"/>
      <c r="AR339" s="236"/>
      <c r="AS339" s="236"/>
      <c r="AT339" s="236"/>
      <c r="AU339" s="236"/>
      <c r="AV339" s="110"/>
      <c r="AW339" s="110"/>
      <c r="AX339" s="110"/>
      <c r="AY339" s="110"/>
      <c r="AZ339" s="110"/>
      <c r="BA339" s="110"/>
      <c r="BB339" s="110"/>
      <c r="BC339" s="110"/>
      <c r="BD339" s="110"/>
      <c r="BE339" s="110">
        <v>615955.51</v>
      </c>
      <c r="BF339" s="110">
        <v>614629.92000000004</v>
      </c>
      <c r="BG339" s="237">
        <v>547078.91</v>
      </c>
      <c r="BH339" s="237">
        <v>545981.14</v>
      </c>
      <c r="BI339" s="237">
        <v>551443.85</v>
      </c>
      <c r="BJ339" s="237">
        <v>558193.25</v>
      </c>
      <c r="BK339" s="237">
        <v>563192.86</v>
      </c>
      <c r="BL339" s="237">
        <v>575705.71</v>
      </c>
      <c r="BM339" s="237">
        <v>573823.41</v>
      </c>
      <c r="BN339" s="237">
        <v>579042.71</v>
      </c>
      <c r="BO339" s="237">
        <v>585520.34</v>
      </c>
      <c r="BP339" s="237">
        <v>590635.89</v>
      </c>
      <c r="BQ339" s="237">
        <v>598021.74</v>
      </c>
      <c r="BR339" s="237">
        <v>605946.86</v>
      </c>
      <c r="BS339" s="237">
        <v>603104.85</v>
      </c>
      <c r="BT339" s="237">
        <v>595785.46</v>
      </c>
      <c r="BU339" s="237">
        <v>589471.01</v>
      </c>
      <c r="BV339" s="237">
        <v>588746.55000000005</v>
      </c>
      <c r="BW339" s="237">
        <v>588202.65</v>
      </c>
      <c r="BX339" s="237">
        <v>588697.15</v>
      </c>
      <c r="BY339" s="237">
        <v>599378.93000000005</v>
      </c>
      <c r="BZ339" s="237">
        <v>607658.31999999995</v>
      </c>
      <c r="CA339" s="237">
        <v>575078.17000000004</v>
      </c>
      <c r="CB339" s="237">
        <v>610149.06000000006</v>
      </c>
      <c r="CC339" s="237">
        <v>576823.85</v>
      </c>
      <c r="CD339" s="237">
        <v>607012.48</v>
      </c>
      <c r="CE339" s="237">
        <v>601678.03</v>
      </c>
      <c r="CF339" s="237">
        <v>609797.1</v>
      </c>
      <c r="CG339" s="237">
        <v>611121.6</v>
      </c>
      <c r="CH339" s="30">
        <v>613975.36</v>
      </c>
      <c r="CI339" s="30">
        <v>624037.66</v>
      </c>
      <c r="CJ339" s="30" t="e">
        <f t="array" aca="1" ref="CJ339" ca="1">_xludf.XLOOKUP(C339,'PL TOTAL D0'!H:H,'PL TOTAL D0'!I:I,"")</f>
        <v>#NAME?</v>
      </c>
    </row>
    <row r="340" spans="1:88" ht="15.75" customHeight="1">
      <c r="A340" s="36" t="s">
        <v>2921</v>
      </c>
      <c r="B340" s="3" t="s">
        <v>3477</v>
      </c>
      <c r="C340" s="9">
        <v>738272</v>
      </c>
      <c r="D340" s="9" t="s">
        <v>19</v>
      </c>
      <c r="E340" s="9" t="s">
        <v>34</v>
      </c>
      <c r="F340" s="6" t="s">
        <v>35</v>
      </c>
      <c r="G340" s="7" t="e">
        <f t="shared" ca="1" si="4"/>
        <v>#NAME?</v>
      </c>
      <c r="H340" s="8" t="s">
        <v>152</v>
      </c>
      <c r="I340" s="24" t="s">
        <v>25</v>
      </c>
      <c r="J340" s="9" t="str">
        <f t="shared" si="3"/>
        <v>Não</v>
      </c>
      <c r="K340" s="25">
        <v>45363</v>
      </c>
      <c r="L340" s="7"/>
      <c r="M340" s="6" t="s">
        <v>466</v>
      </c>
      <c r="N340" s="233">
        <v>5.0000000000000001E-3</v>
      </c>
      <c r="O340" s="9" t="s">
        <v>25</v>
      </c>
      <c r="P340" s="234">
        <v>0</v>
      </c>
      <c r="Q340" s="108"/>
      <c r="R340" s="108" t="s">
        <v>3479</v>
      </c>
      <c r="S340" s="7" t="s">
        <v>145</v>
      </c>
      <c r="T340" s="6" t="s">
        <v>3478</v>
      </c>
      <c r="U340" s="6" t="s">
        <v>39</v>
      </c>
      <c r="V340" s="24" t="e">
        <f t="shared" ca="1" si="5"/>
        <v>#NAME?</v>
      </c>
      <c r="W340" s="24"/>
      <c r="X340" s="24"/>
      <c r="Y340" s="6" t="s">
        <v>253</v>
      </c>
      <c r="Z340" s="6"/>
      <c r="AA340" s="107">
        <v>45363</v>
      </c>
      <c r="AB340" s="6">
        <v>49075100013977</v>
      </c>
      <c r="AC340" s="240"/>
      <c r="AD340" s="240"/>
      <c r="AE340" s="240"/>
      <c r="AF340" s="240"/>
      <c r="AG340" s="240"/>
      <c r="AH340" s="240"/>
      <c r="AI340" s="240"/>
      <c r="AJ340" s="240"/>
      <c r="AK340" s="240"/>
      <c r="AL340" s="240"/>
      <c r="AM340" s="240"/>
      <c r="AN340" s="240"/>
      <c r="AO340" s="240"/>
      <c r="AP340" s="110"/>
      <c r="AQ340" s="236"/>
      <c r="AR340" s="236"/>
      <c r="AS340" s="236"/>
      <c r="AT340" s="236"/>
      <c r="AU340" s="236"/>
      <c r="AV340" s="110"/>
      <c r="AW340" s="110"/>
      <c r="AX340" s="110"/>
      <c r="AY340" s="110"/>
      <c r="AZ340" s="110"/>
      <c r="BA340" s="110"/>
      <c r="BB340" s="110"/>
      <c r="BC340" s="110"/>
      <c r="BD340" s="110"/>
      <c r="BE340" s="110"/>
      <c r="BF340" s="110"/>
      <c r="BG340" s="237"/>
      <c r="BH340" s="237"/>
      <c r="BI340" s="237"/>
      <c r="BJ340" s="237"/>
      <c r="BK340" s="237"/>
      <c r="BL340" s="237"/>
      <c r="BM340" s="237"/>
      <c r="BN340" s="237"/>
      <c r="BO340" s="237"/>
      <c r="BP340" s="237"/>
      <c r="BQ340" s="237"/>
      <c r="BR340" s="237"/>
      <c r="BS340" s="237"/>
      <c r="BT340" s="237"/>
      <c r="BU340" s="237"/>
      <c r="BV340" s="237"/>
      <c r="BW340" s="237"/>
      <c r="BX340" s="237"/>
      <c r="BY340" s="237"/>
      <c r="BZ340" s="237"/>
      <c r="CA340" s="237"/>
      <c r="CB340" s="237"/>
      <c r="CC340" s="237">
        <v>20440.68</v>
      </c>
      <c r="CD340" s="237">
        <v>28445.119999999999</v>
      </c>
      <c r="CE340" s="237">
        <v>32513.74</v>
      </c>
      <c r="CF340" s="237">
        <v>39799.51</v>
      </c>
      <c r="CG340" s="237">
        <v>46689.45</v>
      </c>
      <c r="CH340" s="30">
        <v>55536.17</v>
      </c>
      <c r="CI340" s="30">
        <v>55990.45</v>
      </c>
      <c r="CJ340" s="30" t="e">
        <f t="array" aca="1" ref="CJ340" ca="1">_xludf.XLOOKUP(C340,'PL TOTAL D0'!H:H,'PL TOTAL D0'!I:I,"")</f>
        <v>#NAME?</v>
      </c>
    </row>
    <row r="341" spans="1:88" ht="15.75" customHeight="1">
      <c r="A341" s="36" t="s">
        <v>2921</v>
      </c>
      <c r="B341" s="37" t="s">
        <v>3480</v>
      </c>
      <c r="C341" s="9">
        <v>34048</v>
      </c>
      <c r="D341" s="9" t="s">
        <v>2923</v>
      </c>
      <c r="E341" s="9" t="s">
        <v>20</v>
      </c>
      <c r="F341" s="6" t="s">
        <v>2930</v>
      </c>
      <c r="G341" s="7" t="e">
        <f t="shared" ca="1" si="4"/>
        <v>#NAME?</v>
      </c>
      <c r="H341" s="8" t="s">
        <v>143</v>
      </c>
      <c r="I341" s="24" t="s">
        <v>25</v>
      </c>
      <c r="J341" s="9" t="str">
        <f t="shared" si="3"/>
        <v>Não</v>
      </c>
      <c r="K341" s="107">
        <v>43607</v>
      </c>
      <c r="L341" s="107">
        <v>44448</v>
      </c>
      <c r="M341" s="6" t="s">
        <v>200</v>
      </c>
      <c r="N341" s="10">
        <v>0.01</v>
      </c>
      <c r="O341" s="9" t="s">
        <v>37</v>
      </c>
      <c r="P341" s="234">
        <v>0.1</v>
      </c>
      <c r="Q341" s="108"/>
      <c r="R341" s="45"/>
      <c r="S341" s="7" t="s">
        <v>145</v>
      </c>
      <c r="T341" s="6" t="s">
        <v>3481</v>
      </c>
      <c r="U341" s="6" t="s">
        <v>20</v>
      </c>
      <c r="V341" s="24" t="e">
        <f t="shared" ca="1" si="5"/>
        <v>#NAME?</v>
      </c>
      <c r="W341" s="24"/>
      <c r="X341" s="24"/>
      <c r="Y341" s="6"/>
      <c r="Z341" s="6"/>
      <c r="AA341" s="6"/>
      <c r="AB341" s="6"/>
      <c r="AC341" s="110">
        <v>1036574.26</v>
      </c>
      <c r="AD341" s="110">
        <v>1008979.05</v>
      </c>
      <c r="AE341" s="110">
        <v>962090.78</v>
      </c>
      <c r="AF341" s="110">
        <v>976628.06</v>
      </c>
      <c r="AG341" s="110">
        <v>984391.65</v>
      </c>
      <c r="AH341" s="110">
        <v>813260.29</v>
      </c>
      <c r="AI341" s="110">
        <v>829766.98</v>
      </c>
      <c r="AJ341" s="110">
        <v>820529.95</v>
      </c>
      <c r="AK341" s="110">
        <v>811723.72</v>
      </c>
      <c r="AL341" s="110">
        <v>534566.21</v>
      </c>
      <c r="AM341" s="110">
        <v>549357.25</v>
      </c>
      <c r="AN341" s="110">
        <v>558000.06000000006</v>
      </c>
      <c r="AO341" s="110">
        <v>553644.42000000004</v>
      </c>
      <c r="AP341" s="110">
        <v>545049.51</v>
      </c>
      <c r="AQ341" s="110">
        <v>546450.87</v>
      </c>
      <c r="AR341" s="110">
        <v>548553.21</v>
      </c>
      <c r="AS341" s="110">
        <v>566018.01</v>
      </c>
      <c r="AT341" s="110">
        <v>553823.97</v>
      </c>
      <c r="AU341" s="110">
        <v>560239.4</v>
      </c>
      <c r="AV341" s="110">
        <v>560039.43999999994</v>
      </c>
      <c r="AW341" s="110">
        <v>558892.47</v>
      </c>
      <c r="AX341" s="110">
        <v>555581.43999999994</v>
      </c>
      <c r="AY341" s="110">
        <v>552879.15</v>
      </c>
      <c r="AZ341" s="110"/>
      <c r="BA341" s="110"/>
      <c r="BB341" s="110"/>
      <c r="BC341" s="110"/>
      <c r="BD341" s="110">
        <v>0</v>
      </c>
      <c r="BE341" s="110">
        <v>0</v>
      </c>
      <c r="BF341" s="110">
        <v>0</v>
      </c>
      <c r="BG341" s="241" t="s">
        <v>2932</v>
      </c>
      <c r="BH341" s="110">
        <v>0</v>
      </c>
      <c r="BI341" s="110" t="s">
        <v>2932</v>
      </c>
      <c r="BJ341" s="110">
        <v>0</v>
      </c>
      <c r="BK341" s="237">
        <v>0</v>
      </c>
      <c r="BL341" s="237">
        <v>0</v>
      </c>
      <c r="BM341" s="237">
        <v>0</v>
      </c>
      <c r="BN341" s="237">
        <v>0</v>
      </c>
      <c r="BO341" s="237">
        <v>0</v>
      </c>
      <c r="BP341" s="237">
        <v>0</v>
      </c>
      <c r="BQ341" s="237">
        <v>0</v>
      </c>
      <c r="BR341" s="237">
        <v>0</v>
      </c>
      <c r="BS341" s="237">
        <v>0</v>
      </c>
      <c r="BT341" s="237">
        <v>0</v>
      </c>
      <c r="BU341" s="237">
        <v>0</v>
      </c>
      <c r="BV341" s="237">
        <v>0</v>
      </c>
      <c r="BW341" s="237">
        <v>0</v>
      </c>
      <c r="BX341" s="237">
        <v>0</v>
      </c>
      <c r="BY341" s="237">
        <v>0</v>
      </c>
      <c r="BZ341" s="237">
        <v>0</v>
      </c>
      <c r="CA341" s="237">
        <v>0</v>
      </c>
      <c r="CB341" s="237">
        <v>0</v>
      </c>
      <c r="CC341" s="237">
        <v>0</v>
      </c>
      <c r="CD341" s="237">
        <v>0</v>
      </c>
      <c r="CE341" s="237">
        <v>0</v>
      </c>
      <c r="CF341" s="237">
        <v>0</v>
      </c>
      <c r="CG341" s="237">
        <v>0</v>
      </c>
      <c r="CH341" s="30">
        <v>0</v>
      </c>
      <c r="CI341" s="30">
        <v>0</v>
      </c>
      <c r="CJ341" s="30" t="e">
        <f t="array" aca="1" ref="CJ341" ca="1">_xludf.XLOOKUP(C341,'PL TOTAL D0'!H:H,'PL TOTAL D0'!I:I,"")</f>
        <v>#NAME?</v>
      </c>
    </row>
    <row r="342" spans="1:88" ht="15.75" customHeight="1">
      <c r="A342" s="36" t="s">
        <v>2921</v>
      </c>
      <c r="B342" s="37" t="s">
        <v>2451</v>
      </c>
      <c r="C342" s="9">
        <v>32311</v>
      </c>
      <c r="D342" s="9" t="s">
        <v>19</v>
      </c>
      <c r="E342" s="9" t="s">
        <v>34</v>
      </c>
      <c r="F342" s="9" t="s">
        <v>35</v>
      </c>
      <c r="G342" s="7" t="e">
        <f t="shared" ca="1" si="4"/>
        <v>#NAME?</v>
      </c>
      <c r="H342" s="8" t="s">
        <v>161</v>
      </c>
      <c r="I342" s="24" t="s">
        <v>162</v>
      </c>
      <c r="J342" s="9" t="str">
        <f t="shared" si="3"/>
        <v>Não</v>
      </c>
      <c r="K342" s="232">
        <v>44595</v>
      </c>
      <c r="L342" s="7"/>
      <c r="M342" s="6" t="s">
        <v>200</v>
      </c>
      <c r="N342" s="233">
        <v>1.4999999999999999E-2</v>
      </c>
      <c r="O342" s="9" t="s">
        <v>37</v>
      </c>
      <c r="P342" s="234">
        <v>0.1</v>
      </c>
      <c r="Q342" s="45"/>
      <c r="R342" s="108" t="s">
        <v>3482</v>
      </c>
      <c r="S342" s="7" t="s">
        <v>145</v>
      </c>
      <c r="T342" s="6" t="s">
        <v>2453</v>
      </c>
      <c r="U342" s="6" t="s">
        <v>39</v>
      </c>
      <c r="V342" s="24" t="e">
        <f t="shared" ca="1" si="5"/>
        <v>#NAME?</v>
      </c>
      <c r="W342" s="24"/>
      <c r="X342" s="24"/>
      <c r="Y342" s="6" t="s">
        <v>253</v>
      </c>
      <c r="Z342" s="6"/>
      <c r="AA342" s="107">
        <v>44595</v>
      </c>
      <c r="AB342" s="6">
        <v>49075100010102</v>
      </c>
      <c r="AC342" s="240"/>
      <c r="AD342" s="240"/>
      <c r="AE342" s="240"/>
      <c r="AF342" s="240"/>
      <c r="AG342" s="240"/>
      <c r="AH342" s="240"/>
      <c r="AI342" s="240"/>
      <c r="AJ342" s="240"/>
      <c r="AK342" s="240"/>
      <c r="AL342" s="240"/>
      <c r="AM342" s="240"/>
      <c r="AN342" s="240"/>
      <c r="AO342" s="240"/>
      <c r="AP342" s="110"/>
      <c r="AQ342" s="236"/>
      <c r="AR342" s="236"/>
      <c r="AS342" s="236"/>
      <c r="AT342" s="236"/>
      <c r="AU342" s="236"/>
      <c r="AV342" s="110"/>
      <c r="AW342" s="110"/>
      <c r="AX342" s="110"/>
      <c r="AY342" s="110"/>
      <c r="AZ342" s="110"/>
      <c r="BA342" s="110"/>
      <c r="BB342" s="110"/>
      <c r="BC342" s="110"/>
      <c r="BD342" s="110">
        <v>89854.71</v>
      </c>
      <c r="BE342" s="110">
        <v>93377.16</v>
      </c>
      <c r="BF342" s="110">
        <v>91923.88</v>
      </c>
      <c r="BG342" s="237">
        <v>91543.23</v>
      </c>
      <c r="BH342" s="237">
        <v>91986.67</v>
      </c>
      <c r="BI342" s="237">
        <v>93532.34</v>
      </c>
      <c r="BJ342" s="237">
        <v>94571.87</v>
      </c>
      <c r="BK342" s="237">
        <v>95359.44</v>
      </c>
      <c r="BL342" s="237">
        <v>98451.51</v>
      </c>
      <c r="BM342" s="237">
        <v>97454.55</v>
      </c>
      <c r="BN342" s="237">
        <v>98254.55</v>
      </c>
      <c r="BO342" s="237">
        <v>99452.14</v>
      </c>
      <c r="BP342" s="237">
        <v>100148.49</v>
      </c>
      <c r="BQ342" s="237">
        <v>101405.23</v>
      </c>
      <c r="BR342" s="237">
        <v>101752.69</v>
      </c>
      <c r="BS342" s="237">
        <v>104423.47</v>
      </c>
      <c r="BT342" s="237">
        <v>102509.81</v>
      </c>
      <c r="BU342" s="237">
        <v>18.03</v>
      </c>
      <c r="BV342" s="237">
        <v>18.03</v>
      </c>
      <c r="BW342" s="237">
        <v>0</v>
      </c>
      <c r="BX342" s="237">
        <v>0.01</v>
      </c>
      <c r="BY342" s="237">
        <v>0</v>
      </c>
      <c r="BZ342" s="237">
        <v>0</v>
      </c>
      <c r="CA342" s="237">
        <v>0</v>
      </c>
      <c r="CB342" s="237">
        <v>0</v>
      </c>
      <c r="CC342" s="237">
        <v>0</v>
      </c>
      <c r="CD342" s="237">
        <v>0</v>
      </c>
      <c r="CE342" s="237">
        <v>0</v>
      </c>
      <c r="CF342" s="237">
        <v>0</v>
      </c>
      <c r="CG342" s="237">
        <v>0</v>
      </c>
      <c r="CH342" s="30">
        <v>0</v>
      </c>
      <c r="CI342" s="30">
        <v>0</v>
      </c>
      <c r="CJ342" s="30" t="e">
        <f t="array" aca="1" ref="CJ342" ca="1">_xludf.XLOOKUP(C342,'PL TOTAL D0'!H:H,'PL TOTAL D0'!I:I,"")</f>
        <v>#NAME?</v>
      </c>
    </row>
    <row r="343" spans="1:88" ht="15.75" customHeight="1">
      <c r="A343" s="36" t="s">
        <v>2921</v>
      </c>
      <c r="B343" s="37" t="s">
        <v>2451</v>
      </c>
      <c r="C343" s="9">
        <v>476032</v>
      </c>
      <c r="D343" s="9" t="s">
        <v>19</v>
      </c>
      <c r="E343" s="9" t="s">
        <v>34</v>
      </c>
      <c r="F343" s="9" t="s">
        <v>35</v>
      </c>
      <c r="G343" s="7" t="e">
        <f t="shared" ca="1" si="4"/>
        <v>#NAME?</v>
      </c>
      <c r="H343" s="8" t="s">
        <v>161</v>
      </c>
      <c r="I343" s="24" t="s">
        <v>162</v>
      </c>
      <c r="J343" s="9" t="str">
        <f t="shared" si="3"/>
        <v>Não</v>
      </c>
      <c r="K343" s="9"/>
      <c r="L343" s="7"/>
      <c r="M343" s="7" t="s">
        <v>3148</v>
      </c>
      <c r="N343" s="233">
        <v>0.01</v>
      </c>
      <c r="O343" s="9" t="s">
        <v>25</v>
      </c>
      <c r="P343" s="234">
        <v>0</v>
      </c>
      <c r="Q343" s="108"/>
      <c r="R343" s="108"/>
      <c r="S343" s="7" t="s">
        <v>145</v>
      </c>
      <c r="T343" s="6" t="s">
        <v>2453</v>
      </c>
      <c r="U343" s="6" t="s">
        <v>39</v>
      </c>
      <c r="V343" s="24" t="e">
        <f t="shared" ca="1" si="5"/>
        <v>#NAME?</v>
      </c>
      <c r="W343" s="24"/>
      <c r="X343" s="24"/>
      <c r="Y343" s="6" t="s">
        <v>147</v>
      </c>
      <c r="Z343" s="6"/>
      <c r="AA343" s="6"/>
      <c r="AB343" s="6"/>
      <c r="AC343" s="240"/>
      <c r="AD343" s="240"/>
      <c r="AE343" s="240"/>
      <c r="AF343" s="240"/>
      <c r="AG343" s="240"/>
      <c r="AH343" s="240"/>
      <c r="AI343" s="240"/>
      <c r="AJ343" s="240"/>
      <c r="AK343" s="240"/>
      <c r="AL343" s="240"/>
      <c r="AM343" s="240"/>
      <c r="AN343" s="240"/>
      <c r="AO343" s="240"/>
      <c r="AP343" s="110"/>
      <c r="AQ343" s="236"/>
      <c r="AR343" s="236"/>
      <c r="AS343" s="236"/>
      <c r="AT343" s="236"/>
      <c r="AU343" s="236"/>
      <c r="AV343" s="110"/>
      <c r="AW343" s="110"/>
      <c r="AX343" s="110"/>
      <c r="AY343" s="110"/>
      <c r="AZ343" s="110"/>
      <c r="BA343" s="110"/>
      <c r="BB343" s="110"/>
      <c r="BC343" s="110"/>
      <c r="BD343" s="110">
        <v>0</v>
      </c>
      <c r="BE343" s="110">
        <v>0</v>
      </c>
      <c r="BF343" s="110">
        <v>0</v>
      </c>
      <c r="BG343" s="237" t="s">
        <v>2932</v>
      </c>
      <c r="BH343" s="237">
        <v>0</v>
      </c>
      <c r="BI343" s="237" t="s">
        <v>2932</v>
      </c>
      <c r="BJ343" s="237">
        <v>0</v>
      </c>
      <c r="BK343" s="237">
        <v>0</v>
      </c>
      <c r="BL343" s="237">
        <v>98451.51</v>
      </c>
      <c r="BM343" s="237">
        <v>0</v>
      </c>
      <c r="BN343" s="237">
        <v>0</v>
      </c>
      <c r="BO343" s="237">
        <v>0</v>
      </c>
      <c r="BP343" s="237">
        <v>0</v>
      </c>
      <c r="BQ343" s="237">
        <v>0</v>
      </c>
      <c r="BR343" s="237">
        <v>0</v>
      </c>
      <c r="BS343" s="237">
        <v>0</v>
      </c>
      <c r="BT343" s="237">
        <v>0</v>
      </c>
      <c r="BU343" s="237">
        <v>0</v>
      </c>
      <c r="BV343" s="237">
        <v>0</v>
      </c>
      <c r="BW343" s="237">
        <v>0</v>
      </c>
      <c r="BX343" s="237">
        <v>0</v>
      </c>
      <c r="BY343" s="237">
        <v>0</v>
      </c>
      <c r="BZ343" s="237">
        <v>0</v>
      </c>
      <c r="CA343" s="237">
        <v>0</v>
      </c>
      <c r="CB343" s="237">
        <v>0</v>
      </c>
      <c r="CC343" s="237">
        <v>0</v>
      </c>
      <c r="CD343" s="237">
        <v>0</v>
      </c>
      <c r="CE343" s="237">
        <v>0</v>
      </c>
      <c r="CF343" s="237">
        <v>0</v>
      </c>
      <c r="CG343" s="237">
        <v>0</v>
      </c>
      <c r="CH343" s="30">
        <v>0</v>
      </c>
      <c r="CI343" s="30">
        <v>0</v>
      </c>
      <c r="CJ343" s="30" t="e">
        <f t="array" aca="1" ref="CJ343" ca="1">_xludf.XLOOKUP(C343,'PL TOTAL D0'!H:H,'PL TOTAL D0'!I:I,"")</f>
        <v>#NAME?</v>
      </c>
    </row>
    <row r="344" spans="1:88" ht="15.75" customHeight="1">
      <c r="A344" s="36" t="s">
        <v>2921</v>
      </c>
      <c r="B344" s="3" t="s">
        <v>3483</v>
      </c>
      <c r="C344" s="9">
        <v>456920</v>
      </c>
      <c r="D344" s="9" t="s">
        <v>2989</v>
      </c>
      <c r="E344" s="9" t="s">
        <v>20</v>
      </c>
      <c r="F344" s="6" t="s">
        <v>2989</v>
      </c>
      <c r="G344" s="7" t="e">
        <f t="shared" ca="1" si="4"/>
        <v>#NAME?</v>
      </c>
      <c r="H344" s="8" t="s">
        <v>143</v>
      </c>
      <c r="I344" s="24" t="s">
        <v>25</v>
      </c>
      <c r="J344" s="9" t="str">
        <f t="shared" si="3"/>
        <v>Não</v>
      </c>
      <c r="K344" s="107">
        <v>43990</v>
      </c>
      <c r="L344" s="107">
        <v>44425</v>
      </c>
      <c r="M344" s="6" t="s">
        <v>87</v>
      </c>
      <c r="N344" s="10">
        <v>2.5000000000000001E-2</v>
      </c>
      <c r="O344" s="9" t="s">
        <v>183</v>
      </c>
      <c r="P344" s="234">
        <v>0.2</v>
      </c>
      <c r="Q344" s="108"/>
      <c r="R344" s="108"/>
      <c r="S344" s="7" t="s">
        <v>145</v>
      </c>
      <c r="T344" s="6" t="s">
        <v>3484</v>
      </c>
      <c r="U344" s="6" t="s">
        <v>20</v>
      </c>
      <c r="V344" s="24" t="e">
        <f t="shared" ca="1" si="5"/>
        <v>#NAME?</v>
      </c>
      <c r="W344" s="24"/>
      <c r="X344" s="24"/>
      <c r="Y344" s="6"/>
      <c r="Z344" s="6"/>
      <c r="AA344" s="6"/>
      <c r="AB344" s="6"/>
      <c r="AC344" s="110">
        <v>0</v>
      </c>
      <c r="AD344" s="110">
        <v>0</v>
      </c>
      <c r="AE344" s="110">
        <v>0</v>
      </c>
      <c r="AF344" s="110">
        <v>0</v>
      </c>
      <c r="AG344" s="110">
        <v>53304.93</v>
      </c>
      <c r="AH344" s="110">
        <v>93660.76</v>
      </c>
      <c r="AI344" s="110">
        <v>112000.61</v>
      </c>
      <c r="AJ344" s="110">
        <v>104193.81</v>
      </c>
      <c r="AK344" s="110">
        <v>97925.58</v>
      </c>
      <c r="AL344" s="110">
        <v>99160.52</v>
      </c>
      <c r="AM344" s="110">
        <v>113097.3</v>
      </c>
      <c r="AN344" s="110">
        <v>116761.44</v>
      </c>
      <c r="AO344" s="110">
        <v>111357.92</v>
      </c>
      <c r="AP344" s="110">
        <v>104711.64</v>
      </c>
      <c r="AQ344" s="110">
        <v>102348.31</v>
      </c>
      <c r="AR344" s="110">
        <v>110108.2</v>
      </c>
      <c r="AS344" s="110">
        <v>110017.32</v>
      </c>
      <c r="AT344" s="110">
        <v>110842.62</v>
      </c>
      <c r="AU344" s="110">
        <v>115578.85</v>
      </c>
      <c r="AV344" s="110">
        <v>114235.82</v>
      </c>
      <c r="AW344" s="110">
        <v>110571.37</v>
      </c>
      <c r="AX344" s="110">
        <v>104698.62</v>
      </c>
      <c r="AY344" s="110">
        <v>82266.66</v>
      </c>
      <c r="AZ344" s="110"/>
      <c r="BA344" s="110"/>
      <c r="BB344" s="110"/>
      <c r="BC344" s="110"/>
      <c r="BD344" s="110">
        <v>0</v>
      </c>
      <c r="BE344" s="110">
        <v>0</v>
      </c>
      <c r="BF344" s="110">
        <v>0</v>
      </c>
      <c r="BG344" s="110" t="s">
        <v>2932</v>
      </c>
      <c r="BH344" s="110">
        <v>0</v>
      </c>
      <c r="BI344" s="110" t="s">
        <v>2932</v>
      </c>
      <c r="BJ344" s="110">
        <v>0</v>
      </c>
      <c r="BK344" s="237">
        <v>0</v>
      </c>
      <c r="BL344" s="237">
        <v>0</v>
      </c>
      <c r="BM344" s="237">
        <v>0</v>
      </c>
      <c r="BN344" s="237">
        <v>0</v>
      </c>
      <c r="BO344" s="237">
        <v>0</v>
      </c>
      <c r="BP344" s="237">
        <v>0</v>
      </c>
      <c r="BQ344" s="237">
        <v>0</v>
      </c>
      <c r="BR344" s="237">
        <v>0</v>
      </c>
      <c r="BS344" s="237">
        <v>0</v>
      </c>
      <c r="BT344" s="237">
        <v>0</v>
      </c>
      <c r="BU344" s="237">
        <v>0</v>
      </c>
      <c r="BV344" s="237">
        <v>0</v>
      </c>
      <c r="BW344" s="237">
        <v>0</v>
      </c>
      <c r="BX344" s="237">
        <v>0</v>
      </c>
      <c r="BY344" s="237">
        <v>0</v>
      </c>
      <c r="BZ344" s="237">
        <v>0</v>
      </c>
      <c r="CA344" s="237">
        <v>0</v>
      </c>
      <c r="CB344" s="237">
        <v>0</v>
      </c>
      <c r="CC344" s="237">
        <v>0</v>
      </c>
      <c r="CD344" s="237">
        <v>0</v>
      </c>
      <c r="CE344" s="237">
        <v>0</v>
      </c>
      <c r="CF344" s="237">
        <v>0</v>
      </c>
      <c r="CG344" s="237">
        <v>0</v>
      </c>
      <c r="CH344" s="30">
        <v>0</v>
      </c>
      <c r="CI344" s="30">
        <v>0</v>
      </c>
      <c r="CJ344" s="30" t="e">
        <f t="array" aca="1" ref="CJ344" ca="1">_xludf.XLOOKUP(C344,'PL TOTAL D0'!H:H,'PL TOTAL D0'!I:I,"")</f>
        <v>#NAME?</v>
      </c>
    </row>
    <row r="345" spans="1:88" ht="15.75" customHeight="1">
      <c r="A345" s="36" t="s">
        <v>2921</v>
      </c>
      <c r="B345" s="3" t="s">
        <v>3485</v>
      </c>
      <c r="C345" s="9">
        <v>451228</v>
      </c>
      <c r="D345" s="9" t="s">
        <v>19</v>
      </c>
      <c r="E345" s="9" t="s">
        <v>34</v>
      </c>
      <c r="F345" s="6" t="s">
        <v>2971</v>
      </c>
      <c r="G345" s="7" t="e">
        <f t="shared" ca="1" si="4"/>
        <v>#NAME?</v>
      </c>
      <c r="H345" s="8" t="s">
        <v>143</v>
      </c>
      <c r="I345" s="24" t="s">
        <v>25</v>
      </c>
      <c r="J345" s="9" t="str">
        <f t="shared" si="3"/>
        <v>Não</v>
      </c>
      <c r="K345" s="107">
        <v>44322</v>
      </c>
      <c r="L345" s="25">
        <v>44634</v>
      </c>
      <c r="M345" s="6" t="s">
        <v>58</v>
      </c>
      <c r="N345" s="10">
        <v>1.2E-2</v>
      </c>
      <c r="O345" s="9" t="s">
        <v>25</v>
      </c>
      <c r="P345" s="234">
        <v>0</v>
      </c>
      <c r="Q345" s="36"/>
      <c r="R345" s="28" t="s">
        <v>3486</v>
      </c>
      <c r="S345" s="7" t="s">
        <v>145</v>
      </c>
      <c r="T345" s="6" t="s">
        <v>3487</v>
      </c>
      <c r="U345" s="6" t="s">
        <v>39</v>
      </c>
      <c r="V345" s="24" t="e">
        <f t="shared" ca="1" si="5"/>
        <v>#NAME?</v>
      </c>
      <c r="W345" s="24"/>
      <c r="X345" s="24"/>
      <c r="Y345" s="6" t="s">
        <v>253</v>
      </c>
      <c r="Z345" s="6"/>
      <c r="AA345" s="6"/>
      <c r="AB345" s="6"/>
      <c r="AC345" s="132"/>
      <c r="AD345" s="132"/>
      <c r="AE345" s="132"/>
      <c r="AF345" s="132"/>
      <c r="AG345" s="132"/>
      <c r="AH345" s="132"/>
      <c r="AI345" s="132"/>
      <c r="AJ345" s="132"/>
      <c r="AK345" s="132"/>
      <c r="AL345" s="132"/>
      <c r="AM345" s="132"/>
      <c r="AN345" s="132"/>
      <c r="AO345" s="132"/>
      <c r="AP345" s="110"/>
      <c r="AQ345" s="110"/>
      <c r="AR345" s="110"/>
      <c r="AS345" s="110"/>
      <c r="AT345" s="110"/>
      <c r="AU345" s="110">
        <v>115212.58</v>
      </c>
      <c r="AV345" s="110">
        <v>121490.1</v>
      </c>
      <c r="AW345" s="110">
        <v>125887.2</v>
      </c>
      <c r="AX345" s="110">
        <v>123643.26</v>
      </c>
      <c r="AY345" s="110">
        <v>107050.14</v>
      </c>
      <c r="AZ345" s="110">
        <v>117867.2</v>
      </c>
      <c r="BA345" s="110">
        <v>116259.01</v>
      </c>
      <c r="BB345" s="110">
        <v>116143.11</v>
      </c>
      <c r="BC345" s="110">
        <v>117357.67</v>
      </c>
      <c r="BD345" s="110">
        <v>118082.79</v>
      </c>
      <c r="BE345" s="110">
        <v>121123.48</v>
      </c>
      <c r="BF345" s="110">
        <v>211.61</v>
      </c>
      <c r="BG345" s="110" t="s">
        <v>2932</v>
      </c>
      <c r="BH345" s="110">
        <v>0</v>
      </c>
      <c r="BI345" s="110" t="s">
        <v>2932</v>
      </c>
      <c r="BJ345" s="110">
        <v>0</v>
      </c>
      <c r="BK345" s="237">
        <v>0</v>
      </c>
      <c r="BL345" s="237">
        <v>0</v>
      </c>
      <c r="BM345" s="237">
        <v>0</v>
      </c>
      <c r="BN345" s="237">
        <v>0</v>
      </c>
      <c r="BO345" s="237">
        <v>0</v>
      </c>
      <c r="BP345" s="237">
        <v>0</v>
      </c>
      <c r="BQ345" s="237">
        <v>0</v>
      </c>
      <c r="BR345" s="237">
        <v>0</v>
      </c>
      <c r="BS345" s="237">
        <v>0</v>
      </c>
      <c r="BT345" s="237">
        <v>0</v>
      </c>
      <c r="BU345" s="237">
        <v>0</v>
      </c>
      <c r="BV345" s="237">
        <v>0</v>
      </c>
      <c r="BW345" s="237">
        <v>0</v>
      </c>
      <c r="BX345" s="237">
        <v>0</v>
      </c>
      <c r="BY345" s="237">
        <v>0</v>
      </c>
      <c r="BZ345" s="237">
        <v>0</v>
      </c>
      <c r="CA345" s="237">
        <v>0</v>
      </c>
      <c r="CB345" s="237">
        <v>0</v>
      </c>
      <c r="CC345" s="237">
        <v>0</v>
      </c>
      <c r="CD345" s="237">
        <v>0</v>
      </c>
      <c r="CE345" s="237">
        <v>0</v>
      </c>
      <c r="CF345" s="237">
        <v>0</v>
      </c>
      <c r="CG345" s="237">
        <v>0</v>
      </c>
      <c r="CH345" s="30">
        <v>0</v>
      </c>
      <c r="CI345" s="30">
        <v>0</v>
      </c>
      <c r="CJ345" s="30" t="e">
        <f t="array" aca="1" ref="CJ345" ca="1">_xludf.XLOOKUP(C345,'PL TOTAL D0'!H:H,'PL TOTAL D0'!I:I,"")</f>
        <v>#NAME?</v>
      </c>
    </row>
    <row r="346" spans="1:88" ht="15.75" customHeight="1">
      <c r="A346" s="36" t="s">
        <v>2921</v>
      </c>
      <c r="B346" s="3" t="s">
        <v>2473</v>
      </c>
      <c r="C346" s="9">
        <v>32250</v>
      </c>
      <c r="D346" s="9" t="s">
        <v>19</v>
      </c>
      <c r="E346" s="9" t="s">
        <v>34</v>
      </c>
      <c r="F346" s="9" t="s">
        <v>35</v>
      </c>
      <c r="G346" s="7" t="e">
        <f t="shared" ca="1" si="4"/>
        <v>#NAME?</v>
      </c>
      <c r="H346" s="8" t="s">
        <v>161</v>
      </c>
      <c r="I346" s="24" t="s">
        <v>162</v>
      </c>
      <c r="J346" s="9" t="str">
        <f t="shared" si="3"/>
        <v>Não</v>
      </c>
      <c r="K346" s="232">
        <v>44280</v>
      </c>
      <c r="L346" s="7"/>
      <c r="M346" s="6" t="s">
        <v>345</v>
      </c>
      <c r="N346" s="10">
        <v>0.02</v>
      </c>
      <c r="O346" s="9" t="s">
        <v>37</v>
      </c>
      <c r="P346" s="234">
        <v>0.2</v>
      </c>
      <c r="Q346" s="23"/>
      <c r="R346" s="108" t="s">
        <v>3488</v>
      </c>
      <c r="S346" s="7" t="s">
        <v>145</v>
      </c>
      <c r="T346" s="6" t="s">
        <v>2475</v>
      </c>
      <c r="U346" s="6" t="s">
        <v>60</v>
      </c>
      <c r="V346" s="24" t="e">
        <f t="shared" ca="1" si="5"/>
        <v>#NAME?</v>
      </c>
      <c r="W346" s="24"/>
      <c r="X346" s="24"/>
      <c r="Y346" s="6" t="s">
        <v>253</v>
      </c>
      <c r="Z346" s="6"/>
      <c r="AA346" s="107">
        <v>44280</v>
      </c>
      <c r="AB346" s="6">
        <v>49075100004706</v>
      </c>
      <c r="AC346" s="240"/>
      <c r="AD346" s="240"/>
      <c r="AE346" s="240"/>
      <c r="AF346" s="240"/>
      <c r="AG346" s="240"/>
      <c r="AH346" s="240"/>
      <c r="AI346" s="240"/>
      <c r="AJ346" s="240"/>
      <c r="AK346" s="240"/>
      <c r="AL346" s="240"/>
      <c r="AM346" s="240"/>
      <c r="AN346" s="240"/>
      <c r="AO346" s="240"/>
      <c r="AP346" s="110"/>
      <c r="AQ346" s="236">
        <v>304974.56</v>
      </c>
      <c r="AR346" s="236">
        <v>303408.68</v>
      </c>
      <c r="AS346" s="236"/>
      <c r="AT346" s="236">
        <v>258979.7</v>
      </c>
      <c r="AU346" s="236">
        <v>264709.48</v>
      </c>
      <c r="AV346" s="110">
        <v>214149.48</v>
      </c>
      <c r="AW346" s="110">
        <v>161082.44</v>
      </c>
      <c r="AX346" s="110">
        <v>156449.35999999999</v>
      </c>
      <c r="AY346" s="110">
        <v>133454.28</v>
      </c>
      <c r="AZ346" s="110">
        <v>145850.54999999999</v>
      </c>
      <c r="BA346" s="110">
        <v>112475.22</v>
      </c>
      <c r="BB346" s="110">
        <v>112600.64</v>
      </c>
      <c r="BC346" s="110">
        <v>116273.5</v>
      </c>
      <c r="BD346" s="110">
        <v>117074.34</v>
      </c>
      <c r="BE346" s="110">
        <v>123136.74</v>
      </c>
      <c r="BF346" s="110">
        <v>119713.91</v>
      </c>
      <c r="BG346" s="263">
        <v>118537.60000000001</v>
      </c>
      <c r="BH346" s="237">
        <v>116046.62</v>
      </c>
      <c r="BI346" s="237">
        <v>119192.68</v>
      </c>
      <c r="BJ346" s="237">
        <v>70209.08</v>
      </c>
      <c r="BK346" s="237">
        <v>71148.98</v>
      </c>
      <c r="BL346" s="237">
        <v>74443.360000000001</v>
      </c>
      <c r="BM346" s="237">
        <v>73511.009999999995</v>
      </c>
      <c r="BN346" s="237">
        <v>73831.259999999995</v>
      </c>
      <c r="BO346" s="237">
        <v>74761</v>
      </c>
      <c r="BP346" s="237">
        <v>74441.89</v>
      </c>
      <c r="BQ346" s="237">
        <v>74885.81</v>
      </c>
      <c r="BR346" s="237">
        <v>3904.04</v>
      </c>
      <c r="BS346" s="237">
        <v>3896.03</v>
      </c>
      <c r="BT346" s="237">
        <v>3967.31</v>
      </c>
      <c r="BU346" s="237">
        <v>3998.22</v>
      </c>
      <c r="BV346" s="237">
        <v>4085.04</v>
      </c>
      <c r="BW346" s="237">
        <v>4085.48</v>
      </c>
      <c r="BX346" s="237">
        <v>4110.9399999999996</v>
      </c>
      <c r="BY346" s="237">
        <v>4069.53</v>
      </c>
      <c r="BZ346" s="237">
        <v>12.51</v>
      </c>
      <c r="CA346" s="237">
        <v>12.51</v>
      </c>
      <c r="CB346" s="237">
        <v>12.51</v>
      </c>
      <c r="CC346" s="237">
        <v>12.51</v>
      </c>
      <c r="CD346" s="237">
        <v>0</v>
      </c>
      <c r="CE346" s="237">
        <v>0</v>
      </c>
      <c r="CF346" s="237">
        <v>0</v>
      </c>
      <c r="CG346" s="237">
        <v>0</v>
      </c>
      <c r="CH346" s="30">
        <v>0</v>
      </c>
      <c r="CI346" s="30">
        <v>0</v>
      </c>
      <c r="CJ346" s="30" t="e">
        <f t="array" aca="1" ref="CJ346" ca="1">_xludf.XLOOKUP(C346,'PL TOTAL D0'!H:H,'PL TOTAL D0'!I:I,"")</f>
        <v>#NAME?</v>
      </c>
    </row>
    <row r="347" spans="1:88" ht="15.75" customHeight="1">
      <c r="A347" s="36" t="s">
        <v>2921</v>
      </c>
      <c r="B347" s="37" t="s">
        <v>2476</v>
      </c>
      <c r="C347" s="9">
        <v>559843</v>
      </c>
      <c r="D347" s="9" t="s">
        <v>19</v>
      </c>
      <c r="E347" s="9" t="s">
        <v>34</v>
      </c>
      <c r="F347" s="9" t="s">
        <v>262</v>
      </c>
      <c r="G347" s="7" t="e">
        <f t="shared" ca="1" si="4"/>
        <v>#NAME?</v>
      </c>
      <c r="H347" s="8" t="s">
        <v>161</v>
      </c>
      <c r="I347" s="24" t="s">
        <v>162</v>
      </c>
      <c r="J347" s="9" t="str">
        <f t="shared" si="3"/>
        <v>Não</v>
      </c>
      <c r="K347" s="232">
        <v>44615</v>
      </c>
      <c r="L347" s="7"/>
      <c r="M347" s="6" t="s">
        <v>58</v>
      </c>
      <c r="N347" s="10">
        <v>1.2E-2</v>
      </c>
      <c r="O347" s="9" t="s">
        <v>25</v>
      </c>
      <c r="P347" s="234">
        <v>0</v>
      </c>
      <c r="Q347" s="28"/>
      <c r="R347" s="28"/>
      <c r="S347" s="7" t="s">
        <v>145</v>
      </c>
      <c r="T347" s="6" t="s">
        <v>2479</v>
      </c>
      <c r="U347" s="7" t="s">
        <v>60</v>
      </c>
      <c r="V347" s="24" t="e">
        <f t="shared" ca="1" si="5"/>
        <v>#NAME?</v>
      </c>
      <c r="W347" s="24"/>
      <c r="X347" s="24"/>
      <c r="Y347" s="6" t="s">
        <v>253</v>
      </c>
      <c r="Z347" s="6"/>
      <c r="AA347" s="107">
        <v>44615</v>
      </c>
      <c r="AB347" s="6">
        <v>49075100004714</v>
      </c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110"/>
      <c r="AN347" s="110"/>
      <c r="AO347" s="110"/>
      <c r="AP347" s="236"/>
      <c r="AQ347" s="236"/>
      <c r="AR347" s="236"/>
      <c r="AS347" s="236"/>
      <c r="AT347" s="236"/>
      <c r="AU347" s="110"/>
      <c r="AV347" s="110"/>
      <c r="AW347" s="110"/>
      <c r="AX347" s="23"/>
      <c r="AY347" s="110"/>
      <c r="AZ347" s="110"/>
      <c r="BA347" s="110"/>
      <c r="BB347" s="110"/>
      <c r="BC347" s="110"/>
      <c r="BD347" s="110">
        <v>169627.77</v>
      </c>
      <c r="BE347" s="110">
        <v>173550.07</v>
      </c>
      <c r="BF347" s="110">
        <v>173063.78</v>
      </c>
      <c r="BG347" s="237">
        <v>173395.34</v>
      </c>
      <c r="BH347" s="237">
        <v>168505.43</v>
      </c>
      <c r="BI347" s="237">
        <v>152030.41</v>
      </c>
      <c r="BJ347" s="237">
        <v>153115.5</v>
      </c>
      <c r="BK347" s="237">
        <v>154173.46</v>
      </c>
      <c r="BL347" s="237">
        <v>157135.56</v>
      </c>
      <c r="BM347" s="237">
        <v>157235.18</v>
      </c>
      <c r="BN347" s="237">
        <v>158348.48000000001</v>
      </c>
      <c r="BO347" s="237">
        <v>159585.98000000001</v>
      </c>
      <c r="BP347" s="237">
        <v>160800.97</v>
      </c>
      <c r="BQ347" s="237">
        <v>162272.6</v>
      </c>
      <c r="BR347" s="237">
        <v>163246.82999999999</v>
      </c>
      <c r="BS347" s="237">
        <v>204827.67</v>
      </c>
      <c r="BT347" s="237">
        <v>166661.20000000001</v>
      </c>
      <c r="BU347" s="237">
        <v>167742.79999999999</v>
      </c>
      <c r="BV347" s="237">
        <v>169326.13</v>
      </c>
      <c r="BW347" s="237">
        <v>169011.67</v>
      </c>
      <c r="BX347" s="237">
        <v>53.12</v>
      </c>
      <c r="BY347" s="237">
        <v>23.12</v>
      </c>
      <c r="BZ347" s="237">
        <v>23.12</v>
      </c>
      <c r="CA347" s="237">
        <v>0</v>
      </c>
      <c r="CB347" s="237">
        <v>0</v>
      </c>
      <c r="CC347" s="237">
        <v>0</v>
      </c>
      <c r="CD347" s="237">
        <v>0</v>
      </c>
      <c r="CE347" s="237">
        <v>0</v>
      </c>
      <c r="CF347" s="237">
        <v>0</v>
      </c>
      <c r="CG347" s="237">
        <v>0</v>
      </c>
      <c r="CH347" s="30">
        <v>0</v>
      </c>
      <c r="CI347" s="30">
        <v>17.97</v>
      </c>
      <c r="CJ347" s="30" t="e">
        <f t="array" aca="1" ref="CJ347" ca="1">_xludf.XLOOKUP(C347,'PL TOTAL D0'!H:H,'PL TOTAL D0'!I:I,"")</f>
        <v>#NAME?</v>
      </c>
    </row>
    <row r="348" spans="1:88" ht="15.75" customHeight="1">
      <c r="A348" s="36" t="s">
        <v>2921</v>
      </c>
      <c r="B348" s="37" t="s">
        <v>3489</v>
      </c>
      <c r="C348" s="9">
        <v>434160</v>
      </c>
      <c r="D348" s="9" t="s">
        <v>19</v>
      </c>
      <c r="E348" s="9" t="s">
        <v>34</v>
      </c>
      <c r="F348" s="9" t="s">
        <v>262</v>
      </c>
      <c r="G348" s="7" t="e">
        <f t="shared" ca="1" si="4"/>
        <v>#NAME?</v>
      </c>
      <c r="H348" s="8" t="s">
        <v>161</v>
      </c>
      <c r="I348" s="24" t="s">
        <v>162</v>
      </c>
      <c r="J348" s="9" t="str">
        <f t="shared" si="3"/>
        <v>Não</v>
      </c>
      <c r="K348" s="25">
        <v>44462</v>
      </c>
      <c r="L348" s="7"/>
      <c r="M348" s="6" t="s">
        <v>345</v>
      </c>
      <c r="N348" s="10">
        <v>0.02</v>
      </c>
      <c r="O348" s="9" t="s">
        <v>37</v>
      </c>
      <c r="P348" s="234">
        <v>0.2</v>
      </c>
      <c r="Q348" s="28"/>
      <c r="R348" s="28"/>
      <c r="S348" s="7" t="s">
        <v>145</v>
      </c>
      <c r="T348" s="6" t="s">
        <v>2479</v>
      </c>
      <c r="U348" s="7" t="s">
        <v>60</v>
      </c>
      <c r="V348" s="24" t="e">
        <f t="shared" ca="1" si="5"/>
        <v>#NAME?</v>
      </c>
      <c r="W348" s="24"/>
      <c r="X348" s="24"/>
      <c r="Y348" s="6" t="s">
        <v>253</v>
      </c>
      <c r="Z348" s="6"/>
      <c r="AA348" s="107">
        <v>44462</v>
      </c>
      <c r="AB348" s="6">
        <v>49075100004722</v>
      </c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110"/>
      <c r="AN348" s="110"/>
      <c r="AO348" s="110"/>
      <c r="AP348" s="236"/>
      <c r="AQ348" s="236"/>
      <c r="AR348" s="236"/>
      <c r="AS348" s="236"/>
      <c r="AT348" s="236"/>
      <c r="AU348" s="110"/>
      <c r="AV348" s="110"/>
      <c r="AW348" s="110"/>
      <c r="AX348" s="23"/>
      <c r="AY348" s="110">
        <v>81783.039999999994</v>
      </c>
      <c r="AZ348" s="110">
        <v>89300.47</v>
      </c>
      <c r="BA348" s="110">
        <v>87295.85</v>
      </c>
      <c r="BB348" s="110">
        <v>87554.33</v>
      </c>
      <c r="BC348" s="110">
        <v>90276.18</v>
      </c>
      <c r="BD348" s="110">
        <v>100104.49</v>
      </c>
      <c r="BE348" s="110">
        <v>105945.64</v>
      </c>
      <c r="BF348" s="110">
        <v>65492.95</v>
      </c>
      <c r="BG348" s="237">
        <v>64815.13</v>
      </c>
      <c r="BH348" s="237">
        <v>63475.37</v>
      </c>
      <c r="BI348" s="237">
        <v>58751.91</v>
      </c>
      <c r="BJ348" s="237">
        <v>99983.07</v>
      </c>
      <c r="BK348" s="237">
        <v>120502.97</v>
      </c>
      <c r="BL348" s="237">
        <v>103859.96</v>
      </c>
      <c r="BM348" s="237">
        <v>50681.38</v>
      </c>
      <c r="BN348" s="237">
        <v>64830.77</v>
      </c>
      <c r="BO348" s="237">
        <v>102246.71</v>
      </c>
      <c r="BP348" s="237">
        <v>100538.43</v>
      </c>
      <c r="BQ348" s="237">
        <v>101362.25</v>
      </c>
      <c r="BR348" s="237">
        <v>118736.28</v>
      </c>
      <c r="BS348" s="237">
        <v>121055.97</v>
      </c>
      <c r="BT348" s="237">
        <v>123782.54</v>
      </c>
      <c r="BU348" s="237">
        <v>85455.37</v>
      </c>
      <c r="BV348" s="237">
        <v>146164.66</v>
      </c>
      <c r="BW348" s="237">
        <v>16832.400000000001</v>
      </c>
      <c r="BX348" s="237">
        <v>160.58000000000001</v>
      </c>
      <c r="BY348" s="237">
        <v>127.67</v>
      </c>
      <c r="BZ348" s="237">
        <v>80.400000000000006</v>
      </c>
      <c r="CA348" s="237">
        <v>0</v>
      </c>
      <c r="CB348" s="237">
        <v>80.400000000000006</v>
      </c>
      <c r="CC348" s="237">
        <v>0</v>
      </c>
      <c r="CD348" s="237">
        <v>0</v>
      </c>
      <c r="CE348" s="237">
        <v>0</v>
      </c>
      <c r="CF348" s="237">
        <v>0</v>
      </c>
      <c r="CG348" s="237">
        <v>0</v>
      </c>
      <c r="CH348" s="30">
        <v>0</v>
      </c>
      <c r="CI348" s="30">
        <v>0</v>
      </c>
      <c r="CJ348" s="30" t="e">
        <f t="array" aca="1" ref="CJ348" ca="1">_xludf.XLOOKUP(C348,'PL TOTAL D0'!H:H,'PL TOTAL D0'!I:I,"")</f>
        <v>#NAME?</v>
      </c>
    </row>
    <row r="349" spans="1:88" ht="15.75" customHeight="1">
      <c r="A349" s="36" t="s">
        <v>2921</v>
      </c>
      <c r="B349" s="36" t="s">
        <v>3490</v>
      </c>
      <c r="C349" s="9">
        <v>87493</v>
      </c>
      <c r="D349" s="9" t="s">
        <v>2989</v>
      </c>
      <c r="E349" s="9" t="s">
        <v>20</v>
      </c>
      <c r="F349" s="9" t="s">
        <v>2989</v>
      </c>
      <c r="G349" s="7" t="e">
        <f t="shared" ca="1" si="4"/>
        <v>#NAME?</v>
      </c>
      <c r="H349" s="8" t="s">
        <v>152</v>
      </c>
      <c r="I349" s="24" t="s">
        <v>25</v>
      </c>
      <c r="J349" s="9" t="str">
        <f t="shared" ref="J349:J395" si="6">IF(Q349=0,"Não","Sim")</f>
        <v>Não</v>
      </c>
      <c r="K349" s="232">
        <v>43537</v>
      </c>
      <c r="L349" s="6"/>
      <c r="M349" s="6" t="s">
        <v>87</v>
      </c>
      <c r="N349" s="233">
        <v>0.01</v>
      </c>
      <c r="O349" s="9" t="s">
        <v>25</v>
      </c>
      <c r="P349" s="234">
        <v>0</v>
      </c>
      <c r="Q349" s="108"/>
      <c r="R349" s="108"/>
      <c r="S349" s="7" t="s">
        <v>145</v>
      </c>
      <c r="T349" s="9" t="s">
        <v>3491</v>
      </c>
      <c r="U349" s="6" t="s">
        <v>20</v>
      </c>
      <c r="V349" s="24" t="e">
        <f t="shared" ca="1" si="5"/>
        <v>#NAME?</v>
      </c>
      <c r="W349" s="24"/>
      <c r="X349" s="24"/>
      <c r="Y349" s="6" t="s">
        <v>253</v>
      </c>
      <c r="Z349" s="6"/>
      <c r="AA349" s="107">
        <v>43537</v>
      </c>
      <c r="AB349" s="6">
        <v>49075100004730</v>
      </c>
      <c r="AC349" s="110">
        <v>67651.86</v>
      </c>
      <c r="AD349" s="110">
        <v>64436.02</v>
      </c>
      <c r="AE349" s="110">
        <v>49356.19</v>
      </c>
      <c r="AF349" s="110">
        <v>53755.21</v>
      </c>
      <c r="AG349" s="110">
        <v>55454.559999999998</v>
      </c>
      <c r="AH349" s="110">
        <v>58588.93</v>
      </c>
      <c r="AI349" s="110">
        <v>79830.490000000005</v>
      </c>
      <c r="AJ349" s="110">
        <v>74764.62</v>
      </c>
      <c r="AK349" s="110">
        <v>71337.55</v>
      </c>
      <c r="AL349" s="110">
        <v>74234.73</v>
      </c>
      <c r="AM349" s="110">
        <v>85833.22</v>
      </c>
      <c r="AN349" s="110">
        <v>90262.77</v>
      </c>
      <c r="AO349" s="110">
        <v>86032.05</v>
      </c>
      <c r="AP349" s="110">
        <v>80788.679999999993</v>
      </c>
      <c r="AQ349" s="236">
        <v>79770.960000000006</v>
      </c>
      <c r="AR349" s="236">
        <v>78293.38</v>
      </c>
      <c r="AS349" s="236">
        <v>83625.89</v>
      </c>
      <c r="AT349" s="236">
        <v>84101.97</v>
      </c>
      <c r="AU349" s="236">
        <v>86516.47</v>
      </c>
      <c r="AV349" s="110">
        <v>85064.17</v>
      </c>
      <c r="AW349" s="110">
        <v>82680.149999999994</v>
      </c>
      <c r="AX349" s="110">
        <v>79148.570000000007</v>
      </c>
      <c r="AY349" s="110">
        <v>75486.789999999994</v>
      </c>
      <c r="AZ349" s="110">
        <v>71241.429999999993</v>
      </c>
      <c r="BA349" s="110">
        <v>69234.64</v>
      </c>
      <c r="BB349" s="110">
        <v>69269.919999999998</v>
      </c>
      <c r="BC349" s="110">
        <v>73315.149999999994</v>
      </c>
      <c r="BD349" s="110">
        <v>74052.72</v>
      </c>
      <c r="BE349" s="110">
        <v>79390.31</v>
      </c>
      <c r="BF349" s="110">
        <v>75940.98</v>
      </c>
      <c r="BG349" s="237">
        <v>74093.17</v>
      </c>
      <c r="BH349" s="237">
        <v>70564.56</v>
      </c>
      <c r="BI349" s="237">
        <v>74060.899999999994</v>
      </c>
      <c r="BJ349" s="237">
        <v>75106.91</v>
      </c>
      <c r="BK349" s="237">
        <v>75764.34</v>
      </c>
      <c r="BL349" s="237">
        <v>81526.61</v>
      </c>
      <c r="BM349" s="237">
        <v>79892.7</v>
      </c>
      <c r="BN349" s="237">
        <v>79425.34</v>
      </c>
      <c r="BO349" s="237">
        <v>81863.149999999994</v>
      </c>
      <c r="BP349" s="237">
        <v>78976.19</v>
      </c>
      <c r="BQ349" s="237">
        <v>78515.06</v>
      </c>
      <c r="BR349" s="237">
        <v>76916.66</v>
      </c>
      <c r="BS349" s="237">
        <v>80265.820000000007</v>
      </c>
      <c r="BT349" s="237">
        <v>86443.86</v>
      </c>
      <c r="BU349" s="237">
        <v>82397.55</v>
      </c>
      <c r="BV349" s="237">
        <v>89957.37</v>
      </c>
      <c r="BW349" s="237">
        <v>86763.65</v>
      </c>
      <c r="BX349" s="237">
        <v>82580.539999999994</v>
      </c>
      <c r="BY349" s="237">
        <v>88709.1</v>
      </c>
      <c r="BZ349" s="237">
        <v>92483.65</v>
      </c>
      <c r="CA349" s="237">
        <v>87073.46</v>
      </c>
      <c r="CB349" s="237">
        <v>88726.67</v>
      </c>
      <c r="CC349" s="237">
        <v>89837.33</v>
      </c>
      <c r="CD349" s="237">
        <v>74977.83</v>
      </c>
      <c r="CE349" s="237">
        <v>74004.509999999995</v>
      </c>
      <c r="CF349" s="237">
        <v>84943.74</v>
      </c>
      <c r="CG349" s="237">
        <v>82673.38</v>
      </c>
      <c r="CH349" s="30">
        <v>88131.25</v>
      </c>
      <c r="CI349" s="30">
        <v>86291.79</v>
      </c>
      <c r="CJ349" s="30" t="e">
        <f t="array" aca="1" ref="CJ349" ca="1">_xludf.XLOOKUP(C349,'PL TOTAL D0'!H:H,'PL TOTAL D0'!I:I,"")</f>
        <v>#NAME?</v>
      </c>
    </row>
    <row r="350" spans="1:88" ht="15.75" customHeight="1">
      <c r="A350" s="36" t="s">
        <v>2921</v>
      </c>
      <c r="B350" s="37" t="s">
        <v>3492</v>
      </c>
      <c r="C350" s="9">
        <v>576290</v>
      </c>
      <c r="D350" s="9" t="s">
        <v>2923</v>
      </c>
      <c r="E350" s="9" t="s">
        <v>20</v>
      </c>
      <c r="F350" s="6" t="s">
        <v>2930</v>
      </c>
      <c r="G350" s="7" t="e">
        <f t="shared" ca="1" si="4"/>
        <v>#NAME?</v>
      </c>
      <c r="H350" s="8" t="s">
        <v>143</v>
      </c>
      <c r="I350" s="24" t="s">
        <v>25</v>
      </c>
      <c r="J350" s="9" t="str">
        <f t="shared" si="6"/>
        <v>Não</v>
      </c>
      <c r="K350" s="107">
        <v>43539</v>
      </c>
      <c r="L350" s="25">
        <v>44439</v>
      </c>
      <c r="M350" s="6" t="s">
        <v>200</v>
      </c>
      <c r="N350" s="10">
        <v>1.4999999999999999E-2</v>
      </c>
      <c r="O350" s="9" t="s">
        <v>37</v>
      </c>
      <c r="P350" s="234">
        <v>0.1</v>
      </c>
      <c r="Q350" s="108"/>
      <c r="R350" s="108"/>
      <c r="S350" s="7" t="s">
        <v>145</v>
      </c>
      <c r="T350" s="6" t="s">
        <v>3493</v>
      </c>
      <c r="U350" s="6" t="s">
        <v>20</v>
      </c>
      <c r="V350" s="24" t="e">
        <f t="shared" ca="1" si="5"/>
        <v>#NAME?</v>
      </c>
      <c r="W350" s="24"/>
      <c r="X350" s="24"/>
      <c r="Y350" s="6"/>
      <c r="Z350" s="6"/>
      <c r="AA350" s="6"/>
      <c r="AB350" s="6"/>
      <c r="AC350" s="110">
        <v>148013</v>
      </c>
      <c r="AD350" s="110">
        <v>148203.34</v>
      </c>
      <c r="AE350" s="110">
        <v>333231.21999999997</v>
      </c>
      <c r="AF350" s="110">
        <v>351736.14</v>
      </c>
      <c r="AG350" s="110">
        <v>358678.55</v>
      </c>
      <c r="AH350" s="110">
        <v>366821.91</v>
      </c>
      <c r="AI350" s="110">
        <v>394691.32</v>
      </c>
      <c r="AJ350" s="110">
        <v>395355.86</v>
      </c>
      <c r="AK350" s="110">
        <v>396231.11</v>
      </c>
      <c r="AL350" s="110">
        <v>401902.5</v>
      </c>
      <c r="AM350" s="110">
        <v>424841.73</v>
      </c>
      <c r="AN350" s="110">
        <v>431268.58</v>
      </c>
      <c r="AO350" s="110">
        <v>427128.85</v>
      </c>
      <c r="AP350" s="110">
        <v>416729.29</v>
      </c>
      <c r="AQ350" s="110">
        <v>418725.44</v>
      </c>
      <c r="AR350" s="110">
        <v>432670.2</v>
      </c>
      <c r="AS350" s="110">
        <v>447614.9</v>
      </c>
      <c r="AT350" s="110">
        <v>449894.71</v>
      </c>
      <c r="AU350" s="110">
        <v>460104.84</v>
      </c>
      <c r="AV350" s="110">
        <v>463097.55</v>
      </c>
      <c r="AW350" s="110">
        <v>397214.14</v>
      </c>
      <c r="AX350" s="110">
        <v>364487.58</v>
      </c>
      <c r="AY350" s="110">
        <v>244453.69</v>
      </c>
      <c r="AZ350" s="110">
        <v>14173.09</v>
      </c>
      <c r="BA350" s="110"/>
      <c r="BB350" s="110"/>
      <c r="BC350" s="110"/>
      <c r="BD350" s="110">
        <v>0</v>
      </c>
      <c r="BE350" s="110">
        <v>0</v>
      </c>
      <c r="BF350" s="110">
        <v>0</v>
      </c>
      <c r="BG350" s="110" t="s">
        <v>2932</v>
      </c>
      <c r="BH350" s="110">
        <v>0</v>
      </c>
      <c r="BI350" s="110" t="s">
        <v>2932</v>
      </c>
      <c r="BJ350" s="110">
        <v>0</v>
      </c>
      <c r="BK350" s="237">
        <v>0</v>
      </c>
      <c r="BL350" s="237">
        <v>0</v>
      </c>
      <c r="BM350" s="237">
        <v>0</v>
      </c>
      <c r="BN350" s="237">
        <v>0</v>
      </c>
      <c r="BO350" s="237">
        <v>0</v>
      </c>
      <c r="BP350" s="237">
        <v>0</v>
      </c>
      <c r="BQ350" s="237">
        <v>0</v>
      </c>
      <c r="BR350" s="237">
        <v>0</v>
      </c>
      <c r="BS350" s="237">
        <v>0</v>
      </c>
      <c r="BT350" s="237">
        <v>0</v>
      </c>
      <c r="BU350" s="237">
        <v>0</v>
      </c>
      <c r="BV350" s="237">
        <v>0</v>
      </c>
      <c r="BW350" s="237">
        <v>0</v>
      </c>
      <c r="BX350" s="237">
        <v>0</v>
      </c>
      <c r="BY350" s="237">
        <v>0</v>
      </c>
      <c r="BZ350" s="237">
        <v>0</v>
      </c>
      <c r="CA350" s="237">
        <v>0</v>
      </c>
      <c r="CB350" s="237">
        <v>0</v>
      </c>
      <c r="CC350" s="237">
        <v>0</v>
      </c>
      <c r="CD350" s="237">
        <v>0</v>
      </c>
      <c r="CE350" s="237">
        <v>0</v>
      </c>
      <c r="CF350" s="237">
        <v>0</v>
      </c>
      <c r="CG350" s="237">
        <v>0</v>
      </c>
      <c r="CH350" s="30">
        <v>0</v>
      </c>
      <c r="CI350" s="30">
        <v>0</v>
      </c>
      <c r="CJ350" s="30" t="e">
        <f t="array" aca="1" ref="CJ350" ca="1">_xludf.XLOOKUP(C350,'PL TOTAL D0'!H:H,'PL TOTAL D0'!I:I,"")</f>
        <v>#NAME?</v>
      </c>
    </row>
    <row r="351" spans="1:88" ht="15.75" customHeight="1">
      <c r="A351" s="36" t="s">
        <v>2921</v>
      </c>
      <c r="B351" s="37" t="s">
        <v>3492</v>
      </c>
      <c r="C351" s="9">
        <v>576301</v>
      </c>
      <c r="D351" s="9" t="s">
        <v>2923</v>
      </c>
      <c r="E351" s="9" t="s">
        <v>20</v>
      </c>
      <c r="F351" s="6" t="s">
        <v>2930</v>
      </c>
      <c r="G351" s="7" t="e">
        <f t="shared" ca="1" si="4"/>
        <v>#NAME?</v>
      </c>
      <c r="H351" s="8" t="s">
        <v>143</v>
      </c>
      <c r="I351" s="24" t="s">
        <v>25</v>
      </c>
      <c r="J351" s="9" t="str">
        <f t="shared" si="6"/>
        <v>Não</v>
      </c>
      <c r="K351" s="107">
        <v>44397</v>
      </c>
      <c r="L351" s="25">
        <v>44439</v>
      </c>
      <c r="M351" s="6" t="s">
        <v>257</v>
      </c>
      <c r="N351" s="10">
        <v>8.0000000000000002E-3</v>
      </c>
      <c r="O351" s="9" t="s">
        <v>25</v>
      </c>
      <c r="P351" s="234">
        <v>0</v>
      </c>
      <c r="Q351" s="108"/>
      <c r="R351" s="108"/>
      <c r="S351" s="7" t="s">
        <v>145</v>
      </c>
      <c r="T351" s="6" t="s">
        <v>3493</v>
      </c>
      <c r="U351" s="6" t="s">
        <v>20</v>
      </c>
      <c r="V351" s="24" t="e">
        <f t="shared" ca="1" si="5"/>
        <v>#NAME?</v>
      </c>
      <c r="W351" s="24"/>
      <c r="X351" s="24"/>
      <c r="Y351" s="6"/>
      <c r="Z351" s="6"/>
      <c r="AA351" s="6"/>
      <c r="AB351" s="6"/>
      <c r="AC351" s="110">
        <v>186373.41</v>
      </c>
      <c r="AD351" s="110">
        <v>173865.69</v>
      </c>
      <c r="AE351" s="110">
        <v>6751.6</v>
      </c>
      <c r="AF351" s="110">
        <v>6790.23</v>
      </c>
      <c r="AG351" s="110">
        <v>1511.37</v>
      </c>
      <c r="AH351" s="110">
        <v>0</v>
      </c>
      <c r="AI351" s="110">
        <v>0</v>
      </c>
      <c r="AJ351" s="240"/>
      <c r="AK351" s="240"/>
      <c r="AL351" s="240"/>
      <c r="AM351" s="240"/>
      <c r="AN351" s="240"/>
      <c r="AO351" s="240"/>
      <c r="AP351" s="110"/>
      <c r="AQ351" s="110"/>
      <c r="AR351" s="110"/>
      <c r="AS351" s="110"/>
      <c r="AT351" s="110"/>
      <c r="AU351" s="110"/>
      <c r="AV351" s="240"/>
      <c r="AW351" s="110">
        <v>40150.79</v>
      </c>
      <c r="AX351" s="110">
        <v>86320.52</v>
      </c>
      <c r="AY351" s="110">
        <v>649.34</v>
      </c>
      <c r="AZ351" s="110"/>
      <c r="BA351" s="110"/>
      <c r="BB351" s="110"/>
      <c r="BC351" s="110"/>
      <c r="BD351" s="110">
        <v>0</v>
      </c>
      <c r="BE351" s="110">
        <v>0</v>
      </c>
      <c r="BF351" s="110">
        <v>0</v>
      </c>
      <c r="BG351" s="110" t="s">
        <v>2932</v>
      </c>
      <c r="BH351" s="110">
        <v>0</v>
      </c>
      <c r="BI351" s="110" t="s">
        <v>2932</v>
      </c>
      <c r="BJ351" s="110">
        <v>0</v>
      </c>
      <c r="BK351" s="237">
        <v>0</v>
      </c>
      <c r="BL351" s="237">
        <v>0</v>
      </c>
      <c r="BM351" s="237">
        <v>0</v>
      </c>
      <c r="BN351" s="237">
        <v>0</v>
      </c>
      <c r="BO351" s="237">
        <v>0</v>
      </c>
      <c r="BP351" s="237">
        <v>0</v>
      </c>
      <c r="BQ351" s="237">
        <v>0</v>
      </c>
      <c r="BR351" s="237">
        <v>0</v>
      </c>
      <c r="BS351" s="237">
        <v>0</v>
      </c>
      <c r="BT351" s="237">
        <v>0</v>
      </c>
      <c r="BU351" s="237">
        <v>0</v>
      </c>
      <c r="BV351" s="237">
        <v>0</v>
      </c>
      <c r="BW351" s="237">
        <v>0</v>
      </c>
      <c r="BX351" s="237">
        <v>0</v>
      </c>
      <c r="BY351" s="237">
        <v>0</v>
      </c>
      <c r="BZ351" s="237">
        <v>0</v>
      </c>
      <c r="CA351" s="237">
        <v>0</v>
      </c>
      <c r="CB351" s="237">
        <v>0</v>
      </c>
      <c r="CC351" s="237">
        <v>0</v>
      </c>
      <c r="CD351" s="237">
        <v>0</v>
      </c>
      <c r="CE351" s="237">
        <v>0</v>
      </c>
      <c r="CF351" s="237">
        <v>0</v>
      </c>
      <c r="CG351" s="237">
        <v>0</v>
      </c>
      <c r="CH351" s="30">
        <v>0</v>
      </c>
      <c r="CI351" s="30">
        <v>0</v>
      </c>
      <c r="CJ351" s="30" t="e">
        <f t="array" aca="1" ref="CJ351" ca="1">_xludf.XLOOKUP(C351,'PL TOTAL D0'!H:H,'PL TOTAL D0'!I:I,"")</f>
        <v>#NAME?</v>
      </c>
    </row>
    <row r="352" spans="1:88" ht="15.75" customHeight="1">
      <c r="A352" s="36" t="s">
        <v>2921</v>
      </c>
      <c r="B352" s="3" t="s">
        <v>3494</v>
      </c>
      <c r="C352" s="9">
        <v>86956</v>
      </c>
      <c r="D352" s="9" t="s">
        <v>19</v>
      </c>
      <c r="E352" s="9" t="s">
        <v>34</v>
      </c>
      <c r="F352" s="9" t="s">
        <v>262</v>
      </c>
      <c r="G352" s="7" t="e">
        <f t="shared" ca="1" si="4"/>
        <v>#NAME?</v>
      </c>
      <c r="H352" s="8" t="s">
        <v>143</v>
      </c>
      <c r="I352" s="24" t="s">
        <v>25</v>
      </c>
      <c r="J352" s="9" t="str">
        <f t="shared" si="6"/>
        <v>Não</v>
      </c>
      <c r="K352" s="232">
        <v>44280</v>
      </c>
      <c r="L352" s="107">
        <v>44809</v>
      </c>
      <c r="M352" s="6" t="s">
        <v>87</v>
      </c>
      <c r="N352" s="233">
        <v>2.5000000000000001E-2</v>
      </c>
      <c r="O352" s="9" t="s">
        <v>183</v>
      </c>
      <c r="P352" s="234">
        <v>0.2</v>
      </c>
      <c r="Q352" s="108"/>
      <c r="R352" s="108"/>
      <c r="S352" s="7" t="s">
        <v>145</v>
      </c>
      <c r="T352" s="6" t="s">
        <v>3495</v>
      </c>
      <c r="U352" s="6" t="s">
        <v>39</v>
      </c>
      <c r="V352" s="24" t="e">
        <f t="shared" ca="1" si="5"/>
        <v>#NAME?</v>
      </c>
      <c r="W352" s="24"/>
      <c r="X352" s="24"/>
      <c r="Y352" s="6" t="s">
        <v>253</v>
      </c>
      <c r="Z352" s="6"/>
      <c r="AA352" s="6"/>
      <c r="AB352" s="6"/>
      <c r="AC352" s="240"/>
      <c r="AD352" s="240"/>
      <c r="AE352" s="240"/>
      <c r="AF352" s="240"/>
      <c r="AG352" s="240"/>
      <c r="AH352" s="240"/>
      <c r="AI352" s="240"/>
      <c r="AJ352" s="240"/>
      <c r="AK352" s="240"/>
      <c r="AL352" s="240"/>
      <c r="AM352" s="240"/>
      <c r="AN352" s="240"/>
      <c r="AO352" s="240"/>
      <c r="AP352" s="110"/>
      <c r="AQ352" s="236"/>
      <c r="AR352" s="236">
        <v>355880.21</v>
      </c>
      <c r="AS352" s="236"/>
      <c r="AT352" s="236">
        <v>354100.37</v>
      </c>
      <c r="AU352" s="236">
        <v>360998.06</v>
      </c>
      <c r="AV352" s="110">
        <v>361867.68</v>
      </c>
      <c r="AW352" s="110">
        <v>357441.72</v>
      </c>
      <c r="AX352" s="110">
        <v>347578.95</v>
      </c>
      <c r="AY352" s="110">
        <v>341965.02</v>
      </c>
      <c r="AZ352" s="110">
        <v>316515.34000000003</v>
      </c>
      <c r="BA352" s="110">
        <v>305434.71999999997</v>
      </c>
      <c r="BB352" s="110">
        <v>306215.09000000003</v>
      </c>
      <c r="BC352" s="110">
        <v>324082.08</v>
      </c>
      <c r="BD352" s="110">
        <v>325909.17</v>
      </c>
      <c r="BE352" s="110">
        <v>350593.84</v>
      </c>
      <c r="BF352" s="110">
        <v>334180.34999999998</v>
      </c>
      <c r="BG352" s="237">
        <v>326240.21999999997</v>
      </c>
      <c r="BH352" s="237">
        <v>310702.94</v>
      </c>
      <c r="BI352" s="237">
        <v>325781.95</v>
      </c>
      <c r="BJ352" s="237">
        <v>43299.24</v>
      </c>
      <c r="BK352" s="237">
        <v>3402.17</v>
      </c>
      <c r="BL352" s="237">
        <v>3385.99</v>
      </c>
      <c r="BM352" s="237">
        <v>3379.34</v>
      </c>
      <c r="BN352" s="237">
        <v>3383.1</v>
      </c>
      <c r="BO352" s="237">
        <v>4893.75</v>
      </c>
      <c r="BP352" s="237">
        <v>4923.93</v>
      </c>
      <c r="BQ352" s="237">
        <v>0</v>
      </c>
      <c r="BR352" s="237">
        <v>0</v>
      </c>
      <c r="BS352" s="237">
        <v>0</v>
      </c>
      <c r="BT352" s="237">
        <v>0</v>
      </c>
      <c r="BU352" s="237">
        <v>0</v>
      </c>
      <c r="BV352" s="237">
        <v>0</v>
      </c>
      <c r="BW352" s="237">
        <v>0</v>
      </c>
      <c r="BX352" s="237">
        <v>0</v>
      </c>
      <c r="BY352" s="237">
        <v>0</v>
      </c>
      <c r="BZ352" s="237">
        <v>0</v>
      </c>
      <c r="CA352" s="237">
        <v>0</v>
      </c>
      <c r="CB352" s="237">
        <v>0</v>
      </c>
      <c r="CC352" s="237">
        <v>0</v>
      </c>
      <c r="CD352" s="237">
        <v>0</v>
      </c>
      <c r="CE352" s="237">
        <v>0</v>
      </c>
      <c r="CF352" s="237">
        <v>0</v>
      </c>
      <c r="CG352" s="237">
        <v>0</v>
      </c>
      <c r="CH352" s="30">
        <v>0</v>
      </c>
      <c r="CI352" s="30">
        <v>0</v>
      </c>
      <c r="CJ352" s="30" t="e">
        <f t="array" aca="1" ref="CJ352" ca="1">_xludf.XLOOKUP(C352,'PL TOTAL D0'!H:H,'PL TOTAL D0'!I:I,"")</f>
        <v>#NAME?</v>
      </c>
    </row>
    <row r="353" spans="1:88" ht="15.75" customHeight="1">
      <c r="A353" s="36" t="s">
        <v>2921</v>
      </c>
      <c r="B353" s="3" t="s">
        <v>3496</v>
      </c>
      <c r="C353" s="9">
        <v>465187</v>
      </c>
      <c r="D353" s="9" t="s">
        <v>2923</v>
      </c>
      <c r="E353" s="9" t="s">
        <v>20</v>
      </c>
      <c r="F353" s="6" t="s">
        <v>2924</v>
      </c>
      <c r="G353" s="7" t="e">
        <f t="shared" ca="1" si="4"/>
        <v>#NAME?</v>
      </c>
      <c r="H353" s="8" t="s">
        <v>143</v>
      </c>
      <c r="I353" s="24" t="s">
        <v>25</v>
      </c>
      <c r="J353" s="9" t="str">
        <f t="shared" si="6"/>
        <v>Não</v>
      </c>
      <c r="K353" s="107">
        <v>44041</v>
      </c>
      <c r="L353" s="107">
        <v>44329</v>
      </c>
      <c r="M353" s="6" t="s">
        <v>200</v>
      </c>
      <c r="N353" s="10">
        <v>1.4999999999999999E-2</v>
      </c>
      <c r="O353" s="9" t="s">
        <v>37</v>
      </c>
      <c r="P353" s="234">
        <v>0.1</v>
      </c>
      <c r="Q353" s="108"/>
      <c r="R353" s="108"/>
      <c r="S353" s="7" t="s">
        <v>145</v>
      </c>
      <c r="T353" s="6" t="s">
        <v>3497</v>
      </c>
      <c r="U353" s="6" t="s">
        <v>20</v>
      </c>
      <c r="V353" s="24" t="e">
        <f t="shared" ca="1" si="5"/>
        <v>#NAME?</v>
      </c>
      <c r="W353" s="24"/>
      <c r="X353" s="24"/>
      <c r="Y353" s="6"/>
      <c r="Z353" s="6"/>
      <c r="AA353" s="6"/>
      <c r="AB353" s="6"/>
      <c r="AC353" s="110">
        <v>0</v>
      </c>
      <c r="AD353" s="110">
        <v>0</v>
      </c>
      <c r="AE353" s="110">
        <v>0</v>
      </c>
      <c r="AF353" s="110">
        <v>0</v>
      </c>
      <c r="AG353" s="110">
        <v>0</v>
      </c>
      <c r="AH353" s="110">
        <v>0</v>
      </c>
      <c r="AI353" s="110">
        <v>7400000</v>
      </c>
      <c r="AJ353" s="110">
        <v>7219444.1299999999</v>
      </c>
      <c r="AK353" s="110">
        <v>4370936.25</v>
      </c>
      <c r="AL353" s="110">
        <v>3720021.19</v>
      </c>
      <c r="AM353" s="110">
        <v>1499137.42</v>
      </c>
      <c r="AN353" s="110">
        <v>1535657.74</v>
      </c>
      <c r="AO353" s="110">
        <v>1484268.74</v>
      </c>
      <c r="AP353" s="110">
        <v>469204.16</v>
      </c>
      <c r="AQ353" s="110">
        <v>20609.439999999999</v>
      </c>
      <c r="AR353" s="110">
        <v>21118.12</v>
      </c>
      <c r="AS353" s="110">
        <v>17208.62</v>
      </c>
      <c r="AT353" s="110">
        <v>13320.06</v>
      </c>
      <c r="AU353" s="110"/>
      <c r="AV353" s="240"/>
      <c r="AW353" s="240"/>
      <c r="AX353" s="240"/>
      <c r="AY353" s="110"/>
      <c r="AZ353" s="110"/>
      <c r="BA353" s="110"/>
      <c r="BB353" s="110"/>
      <c r="BC353" s="110"/>
      <c r="BD353" s="110">
        <v>0</v>
      </c>
      <c r="BE353" s="110">
        <v>0</v>
      </c>
      <c r="BF353" s="110">
        <v>0</v>
      </c>
      <c r="BG353" s="110" t="s">
        <v>2932</v>
      </c>
      <c r="BH353" s="110">
        <v>0</v>
      </c>
      <c r="BI353" s="110" t="s">
        <v>2932</v>
      </c>
      <c r="BJ353" s="110">
        <v>0</v>
      </c>
      <c r="BK353" s="237">
        <v>0</v>
      </c>
      <c r="BL353" s="237">
        <v>0</v>
      </c>
      <c r="BM353" s="237">
        <v>0</v>
      </c>
      <c r="BN353" s="237">
        <v>0</v>
      </c>
      <c r="BO353" s="237">
        <v>0</v>
      </c>
      <c r="BP353" s="237">
        <v>0</v>
      </c>
      <c r="BQ353" s="237">
        <v>0</v>
      </c>
      <c r="BR353" s="237">
        <v>0</v>
      </c>
      <c r="BS353" s="237">
        <v>0</v>
      </c>
      <c r="BT353" s="237">
        <v>0</v>
      </c>
      <c r="BU353" s="237">
        <v>0</v>
      </c>
      <c r="BV353" s="237">
        <v>0</v>
      </c>
      <c r="BW353" s="237">
        <v>0</v>
      </c>
      <c r="BX353" s="237">
        <v>0</v>
      </c>
      <c r="BY353" s="237">
        <v>0</v>
      </c>
      <c r="BZ353" s="237">
        <v>0</v>
      </c>
      <c r="CA353" s="237">
        <v>0</v>
      </c>
      <c r="CB353" s="237">
        <v>0</v>
      </c>
      <c r="CC353" s="237">
        <v>0</v>
      </c>
      <c r="CD353" s="237">
        <v>0</v>
      </c>
      <c r="CE353" s="237">
        <v>0</v>
      </c>
      <c r="CF353" s="237">
        <v>0</v>
      </c>
      <c r="CG353" s="237">
        <v>0</v>
      </c>
      <c r="CH353" s="30">
        <v>0</v>
      </c>
      <c r="CI353" s="30">
        <v>0</v>
      </c>
      <c r="CJ353" s="30" t="e">
        <f t="array" aca="1" ref="CJ353" ca="1">_xludf.XLOOKUP(C353,'PL TOTAL D0'!H:H,'PL TOTAL D0'!I:I,"")</f>
        <v>#NAME?</v>
      </c>
    </row>
    <row r="354" spans="1:88" ht="15.75" customHeight="1">
      <c r="A354" s="36" t="s">
        <v>2921</v>
      </c>
      <c r="B354" s="37" t="s">
        <v>3498</v>
      </c>
      <c r="C354" s="9">
        <v>577297</v>
      </c>
      <c r="D354" s="9" t="s">
        <v>19</v>
      </c>
      <c r="E354" s="9" t="s">
        <v>34</v>
      </c>
      <c r="F354" s="6" t="s">
        <v>35</v>
      </c>
      <c r="G354" s="7" t="e">
        <f t="shared" ca="1" si="4"/>
        <v>#NAME?</v>
      </c>
      <c r="H354" s="8" t="s">
        <v>143</v>
      </c>
      <c r="I354" s="24" t="s">
        <v>25</v>
      </c>
      <c r="J354" s="9" t="str">
        <f t="shared" si="6"/>
        <v>Não</v>
      </c>
      <c r="K354" s="25">
        <v>44411</v>
      </c>
      <c r="L354" s="79">
        <v>44512</v>
      </c>
      <c r="M354" s="6" t="s">
        <v>200</v>
      </c>
      <c r="N354" s="10">
        <v>1.4999999999999999E-2</v>
      </c>
      <c r="O354" s="9" t="s">
        <v>37</v>
      </c>
      <c r="P354" s="234">
        <v>0.1</v>
      </c>
      <c r="Q354" s="108"/>
      <c r="R354" s="108"/>
      <c r="S354" s="7" t="s">
        <v>145</v>
      </c>
      <c r="T354" s="6" t="s">
        <v>3499</v>
      </c>
      <c r="U354" s="6" t="s">
        <v>39</v>
      </c>
      <c r="V354" s="24" t="e">
        <f t="shared" ca="1" si="5"/>
        <v>#NAME?</v>
      </c>
      <c r="W354" s="24"/>
      <c r="X354" s="24"/>
      <c r="Y354" s="6" t="s">
        <v>253</v>
      </c>
      <c r="Z354" s="6"/>
      <c r="AA354" s="6"/>
      <c r="AB354" s="6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110"/>
      <c r="AO354" s="110"/>
      <c r="AP354" s="110"/>
      <c r="AQ354" s="110"/>
      <c r="AR354" s="110"/>
      <c r="AS354" s="110"/>
      <c r="AT354" s="110"/>
      <c r="AU354" s="110"/>
      <c r="AV354" s="132"/>
      <c r="AW354" s="110">
        <v>55888.38</v>
      </c>
      <c r="AX354" s="110">
        <v>55097.01</v>
      </c>
      <c r="AY354" s="110">
        <v>54804.5</v>
      </c>
      <c r="AZ354" s="110">
        <v>53176.66</v>
      </c>
      <c r="BA354" s="110">
        <v>-63.72</v>
      </c>
      <c r="BB354" s="110">
        <v>-63.72</v>
      </c>
      <c r="BC354" s="110">
        <v>-52.72</v>
      </c>
      <c r="BD354" s="110">
        <v>11</v>
      </c>
      <c r="BE354" s="110">
        <v>11</v>
      </c>
      <c r="BF354" s="110">
        <v>11</v>
      </c>
      <c r="BG354" s="110" t="s">
        <v>2932</v>
      </c>
      <c r="BH354" s="110">
        <v>0</v>
      </c>
      <c r="BI354" s="110" t="s">
        <v>2932</v>
      </c>
      <c r="BJ354" s="110">
        <v>0</v>
      </c>
      <c r="BK354" s="237">
        <v>0</v>
      </c>
      <c r="BL354" s="237">
        <v>0</v>
      </c>
      <c r="BM354" s="237">
        <v>0</v>
      </c>
      <c r="BN354" s="237">
        <v>0</v>
      </c>
      <c r="BO354" s="237">
        <v>0</v>
      </c>
      <c r="BP354" s="237">
        <v>0</v>
      </c>
      <c r="BQ354" s="237">
        <v>0</v>
      </c>
      <c r="BR354" s="237">
        <v>0</v>
      </c>
      <c r="BS354" s="237">
        <v>0</v>
      </c>
      <c r="BT354" s="237">
        <v>0</v>
      </c>
      <c r="BU354" s="237">
        <v>0</v>
      </c>
      <c r="BV354" s="237">
        <v>0</v>
      </c>
      <c r="BW354" s="237">
        <v>0</v>
      </c>
      <c r="BX354" s="237">
        <v>0</v>
      </c>
      <c r="BY354" s="237">
        <v>0</v>
      </c>
      <c r="BZ354" s="237">
        <v>0</v>
      </c>
      <c r="CA354" s="237">
        <v>0</v>
      </c>
      <c r="CB354" s="237">
        <v>0</v>
      </c>
      <c r="CC354" s="237">
        <v>0</v>
      </c>
      <c r="CD354" s="237">
        <v>0</v>
      </c>
      <c r="CE354" s="237">
        <v>0</v>
      </c>
      <c r="CF354" s="237">
        <v>0</v>
      </c>
      <c r="CG354" s="237">
        <v>0</v>
      </c>
      <c r="CH354" s="30">
        <v>0</v>
      </c>
      <c r="CI354" s="30">
        <v>0</v>
      </c>
      <c r="CJ354" s="30" t="e">
        <f t="array" aca="1" ref="CJ354" ca="1">_xludf.XLOOKUP(C354,'PL TOTAL D0'!H:H,'PL TOTAL D0'!I:I,"")</f>
        <v>#NAME?</v>
      </c>
    </row>
    <row r="355" spans="1:88" ht="15.75" customHeight="1">
      <c r="A355" s="36" t="s">
        <v>2921</v>
      </c>
      <c r="B355" s="37" t="s">
        <v>3500</v>
      </c>
      <c r="C355" s="9">
        <v>88264</v>
      </c>
      <c r="D355" s="9" t="s">
        <v>2989</v>
      </c>
      <c r="E355" s="9" t="s">
        <v>20</v>
      </c>
      <c r="F355" s="6" t="s">
        <v>2989</v>
      </c>
      <c r="G355" s="7" t="e">
        <f t="shared" ca="1" si="4"/>
        <v>#NAME?</v>
      </c>
      <c r="H355" s="8" t="s">
        <v>143</v>
      </c>
      <c r="I355" s="24" t="s">
        <v>25</v>
      </c>
      <c r="J355" s="9" t="str">
        <f t="shared" si="6"/>
        <v>Não</v>
      </c>
      <c r="K355" s="107">
        <v>43441</v>
      </c>
      <c r="L355" s="107">
        <v>44448</v>
      </c>
      <c r="M355" s="6" t="s">
        <v>87</v>
      </c>
      <c r="N355" s="10">
        <v>0.01</v>
      </c>
      <c r="O355" s="9" t="s">
        <v>183</v>
      </c>
      <c r="P355" s="234">
        <v>0.2</v>
      </c>
      <c r="Q355" s="108"/>
      <c r="R355" s="108"/>
      <c r="S355" s="7" t="s">
        <v>145</v>
      </c>
      <c r="T355" s="6" t="s">
        <v>3501</v>
      </c>
      <c r="U355" s="6" t="s">
        <v>20</v>
      </c>
      <c r="V355" s="24" t="e">
        <f t="shared" ca="1" si="5"/>
        <v>#NAME?</v>
      </c>
      <c r="W355" s="24"/>
      <c r="X355" s="24"/>
      <c r="Y355" s="6"/>
      <c r="Z355" s="6"/>
      <c r="AA355" s="6"/>
      <c r="AB355" s="6"/>
      <c r="AC355" s="110">
        <v>77841.67</v>
      </c>
      <c r="AD355" s="110">
        <v>84133.51</v>
      </c>
      <c r="AE355" s="110">
        <v>65856.95</v>
      </c>
      <c r="AF355" s="110">
        <v>70511.97</v>
      </c>
      <c r="AG355" s="110">
        <v>72462.63</v>
      </c>
      <c r="AH355" s="110">
        <v>76167.31</v>
      </c>
      <c r="AI355" s="110">
        <v>83361.7</v>
      </c>
      <c r="AJ355" s="110">
        <v>78749.02</v>
      </c>
      <c r="AK355" s="110">
        <v>75234.179999999993</v>
      </c>
      <c r="AL355" s="110">
        <v>78058.06</v>
      </c>
      <c r="AM355" s="110">
        <v>90608.87</v>
      </c>
      <c r="AN355" s="110">
        <v>144153.12</v>
      </c>
      <c r="AO355" s="110">
        <v>137498.88</v>
      </c>
      <c r="AP355" s="110">
        <v>130172.66</v>
      </c>
      <c r="AQ355" s="110">
        <v>127007.11</v>
      </c>
      <c r="AR355" s="110">
        <v>131245.19</v>
      </c>
      <c r="AS355" s="110">
        <v>136013.95000000001</v>
      </c>
      <c r="AT355" s="110">
        <v>136519.71</v>
      </c>
      <c r="AU355" s="110">
        <v>142066.65</v>
      </c>
      <c r="AV355" s="110">
        <v>139881.13</v>
      </c>
      <c r="AW355" s="110">
        <v>135954.10999999999</v>
      </c>
      <c r="AX355" s="110">
        <v>130029.24</v>
      </c>
      <c r="AY355" s="110">
        <v>123458.32</v>
      </c>
      <c r="AZ355" s="110"/>
      <c r="BA355" s="110"/>
      <c r="BB355" s="110"/>
      <c r="BC355" s="110"/>
      <c r="BD355" s="110">
        <v>0</v>
      </c>
      <c r="BE355" s="110">
        <v>0</v>
      </c>
      <c r="BF355" s="110">
        <v>0</v>
      </c>
      <c r="BG355" s="241" t="s">
        <v>2932</v>
      </c>
      <c r="BH355" s="110">
        <v>0</v>
      </c>
      <c r="BI355" s="110" t="s">
        <v>2932</v>
      </c>
      <c r="BJ355" s="110">
        <v>0</v>
      </c>
      <c r="BK355" s="237">
        <v>0</v>
      </c>
      <c r="BL355" s="237">
        <v>0</v>
      </c>
      <c r="BM355" s="237">
        <v>0</v>
      </c>
      <c r="BN355" s="237">
        <v>0</v>
      </c>
      <c r="BO355" s="237">
        <v>0</v>
      </c>
      <c r="BP355" s="237">
        <v>0</v>
      </c>
      <c r="BQ355" s="237">
        <v>0</v>
      </c>
      <c r="BR355" s="237">
        <v>0</v>
      </c>
      <c r="BS355" s="237">
        <v>0</v>
      </c>
      <c r="BT355" s="237">
        <v>0</v>
      </c>
      <c r="BU355" s="237">
        <v>0</v>
      </c>
      <c r="BV355" s="237">
        <v>0</v>
      </c>
      <c r="BW355" s="237">
        <v>0</v>
      </c>
      <c r="BX355" s="237">
        <v>0</v>
      </c>
      <c r="BY355" s="237">
        <v>0</v>
      </c>
      <c r="BZ355" s="237">
        <v>0</v>
      </c>
      <c r="CA355" s="237">
        <v>0</v>
      </c>
      <c r="CB355" s="237">
        <v>0</v>
      </c>
      <c r="CC355" s="237">
        <v>0</v>
      </c>
      <c r="CD355" s="237">
        <v>0</v>
      </c>
      <c r="CE355" s="237">
        <v>0</v>
      </c>
      <c r="CF355" s="237">
        <v>0</v>
      </c>
      <c r="CG355" s="237">
        <v>0</v>
      </c>
      <c r="CH355" s="30">
        <v>0</v>
      </c>
      <c r="CI355" s="30">
        <v>0</v>
      </c>
      <c r="CJ355" s="30" t="e">
        <f t="array" aca="1" ref="CJ355" ca="1">_xludf.XLOOKUP(C355,'PL TOTAL D0'!H:H,'PL TOTAL D0'!I:I,"")</f>
        <v>#NAME?</v>
      </c>
    </row>
    <row r="356" spans="1:88" ht="15.75" customHeight="1">
      <c r="A356" s="36" t="s">
        <v>2921</v>
      </c>
      <c r="B356" s="37" t="s">
        <v>2535</v>
      </c>
      <c r="C356" s="9">
        <v>459393</v>
      </c>
      <c r="D356" s="9" t="s">
        <v>19</v>
      </c>
      <c r="E356" s="9" t="s">
        <v>34</v>
      </c>
      <c r="F356" s="9" t="s">
        <v>262</v>
      </c>
      <c r="G356" s="7" t="e">
        <f t="shared" ca="1" si="4"/>
        <v>#NAME?</v>
      </c>
      <c r="H356" s="8" t="s">
        <v>161</v>
      </c>
      <c r="I356" s="24" t="s">
        <v>162</v>
      </c>
      <c r="J356" s="9" t="str">
        <f t="shared" si="6"/>
        <v>Não</v>
      </c>
      <c r="K356" s="25">
        <v>44638</v>
      </c>
      <c r="L356" s="6"/>
      <c r="M356" s="6" t="s">
        <v>58</v>
      </c>
      <c r="N356" s="233">
        <v>1.2E-2</v>
      </c>
      <c r="O356" s="9" t="s">
        <v>25</v>
      </c>
      <c r="P356" s="234">
        <v>0</v>
      </c>
      <c r="Q356" s="108"/>
      <c r="R356" s="108"/>
      <c r="S356" s="7" t="s">
        <v>145</v>
      </c>
      <c r="T356" s="6" t="s">
        <v>2537</v>
      </c>
      <c r="U356" s="6" t="s">
        <v>39</v>
      </c>
      <c r="V356" s="24" t="e">
        <f t="shared" ca="1" si="5"/>
        <v>#NAME?</v>
      </c>
      <c r="W356" s="24"/>
      <c r="X356" s="24"/>
      <c r="Y356" s="6" t="s">
        <v>253</v>
      </c>
      <c r="Z356" s="6"/>
      <c r="AA356" s="107">
        <v>44638</v>
      </c>
      <c r="AB356" s="6">
        <v>49075100004757</v>
      </c>
      <c r="AC356" s="240"/>
      <c r="AD356" s="240"/>
      <c r="AE356" s="240"/>
      <c r="AF356" s="240"/>
      <c r="AG356" s="240"/>
      <c r="AH356" s="240"/>
      <c r="AI356" s="240"/>
      <c r="AJ356" s="240"/>
      <c r="AK356" s="240"/>
      <c r="AL356" s="240"/>
      <c r="AM356" s="240"/>
      <c r="AN356" s="240"/>
      <c r="AO356" s="240"/>
      <c r="AP356" s="110"/>
      <c r="AQ356" s="236"/>
      <c r="AR356" s="236"/>
      <c r="AS356" s="236"/>
      <c r="AT356" s="236"/>
      <c r="AU356" s="236"/>
      <c r="AV356" s="110"/>
      <c r="AW356" s="110"/>
      <c r="AX356" s="110"/>
      <c r="AY356" s="110"/>
      <c r="AZ356" s="110"/>
      <c r="BA356" s="110">
        <v>355283.95</v>
      </c>
      <c r="BB356" s="110">
        <v>357504.26</v>
      </c>
      <c r="BC356" s="110">
        <v>362346.82</v>
      </c>
      <c r="BD356" s="110">
        <v>103386.68</v>
      </c>
      <c r="BE356" s="110">
        <v>106226.72</v>
      </c>
      <c r="BF356" s="110">
        <v>106195.38</v>
      </c>
      <c r="BG356" s="237">
        <v>106335.55</v>
      </c>
      <c r="BH356" s="237">
        <v>106476.23</v>
      </c>
      <c r="BI356" s="237">
        <v>107383.32</v>
      </c>
      <c r="BJ356" s="237">
        <v>108872.17</v>
      </c>
      <c r="BK356" s="237">
        <v>109892.5</v>
      </c>
      <c r="BL356" s="237">
        <v>111886.77</v>
      </c>
      <c r="BM356" s="237">
        <v>111556.78</v>
      </c>
      <c r="BN356" s="237">
        <v>112534.31</v>
      </c>
      <c r="BO356" s="237">
        <v>214444.71</v>
      </c>
      <c r="BP356" s="237">
        <v>216201.88</v>
      </c>
      <c r="BQ356" s="237">
        <v>218825.99</v>
      </c>
      <c r="BR356" s="237">
        <v>220476.47</v>
      </c>
      <c r="BS356" s="237">
        <v>222942.58</v>
      </c>
      <c r="BT356" s="237">
        <v>224994.21</v>
      </c>
      <c r="BU356" s="237">
        <v>226091.78</v>
      </c>
      <c r="BV356" s="237">
        <v>17219.810000000001</v>
      </c>
      <c r="BW356" s="237">
        <v>17197.259999999998</v>
      </c>
      <c r="BX356" s="237">
        <v>17382.150000000001</v>
      </c>
      <c r="BY356" s="237">
        <v>17268.009999999998</v>
      </c>
      <c r="BZ356" s="237">
        <v>0</v>
      </c>
      <c r="CA356" s="237">
        <v>0</v>
      </c>
      <c r="CB356" s="237">
        <v>0</v>
      </c>
      <c r="CC356" s="237">
        <v>0</v>
      </c>
      <c r="CD356" s="237">
        <v>0</v>
      </c>
      <c r="CE356" s="237">
        <v>0</v>
      </c>
      <c r="CF356" s="237">
        <v>0</v>
      </c>
      <c r="CG356" s="237">
        <v>0</v>
      </c>
      <c r="CH356" s="30">
        <v>0</v>
      </c>
      <c r="CI356" s="30">
        <v>0</v>
      </c>
      <c r="CJ356" s="30" t="e">
        <f t="array" aca="1" ref="CJ356" ca="1">_xludf.XLOOKUP(C356,'PL TOTAL D0'!H:H,'PL TOTAL D0'!I:I,"")</f>
        <v>#NAME?</v>
      </c>
    </row>
    <row r="357" spans="1:88" ht="15.75" customHeight="1">
      <c r="A357" s="36" t="s">
        <v>2921</v>
      </c>
      <c r="B357" s="3" t="s">
        <v>2541</v>
      </c>
      <c r="C357" s="9">
        <v>612431</v>
      </c>
      <c r="D357" s="9" t="s">
        <v>19</v>
      </c>
      <c r="E357" s="9" t="s">
        <v>34</v>
      </c>
      <c r="F357" s="6" t="s">
        <v>35</v>
      </c>
      <c r="G357" s="7" t="e">
        <f t="shared" ca="1" si="4"/>
        <v>#NAME?</v>
      </c>
      <c r="H357" s="8" t="s">
        <v>161</v>
      </c>
      <c r="I357" s="24" t="s">
        <v>162</v>
      </c>
      <c r="J357" s="9" t="str">
        <f t="shared" si="6"/>
        <v>Não</v>
      </c>
      <c r="K357" s="25">
        <v>44365</v>
      </c>
      <c r="L357" s="6"/>
      <c r="M357" s="6" t="s">
        <v>58</v>
      </c>
      <c r="N357" s="233">
        <v>1.2E-2</v>
      </c>
      <c r="O357" s="9" t="s">
        <v>25</v>
      </c>
      <c r="P357" s="234">
        <v>0</v>
      </c>
      <c r="Q357" s="28"/>
      <c r="R357" s="28"/>
      <c r="S357" s="7" t="s">
        <v>145</v>
      </c>
      <c r="T357" s="6" t="s">
        <v>2544</v>
      </c>
      <c r="U357" s="6" t="s">
        <v>39</v>
      </c>
      <c r="V357" s="24" t="e">
        <f t="shared" ca="1" si="5"/>
        <v>#NAME?</v>
      </c>
      <c r="W357" s="24"/>
      <c r="X357" s="24"/>
      <c r="Y357" s="6" t="s">
        <v>253</v>
      </c>
      <c r="Z357" s="6"/>
      <c r="AA357" s="107">
        <v>44365</v>
      </c>
      <c r="AB357" s="6">
        <v>49075100004765</v>
      </c>
      <c r="AC357" s="132"/>
      <c r="AD357" s="132"/>
      <c r="AE357" s="132"/>
      <c r="AF357" s="132"/>
      <c r="AG357" s="132"/>
      <c r="AH357" s="132"/>
      <c r="AI357" s="132"/>
      <c r="AJ357" s="132"/>
      <c r="AK357" s="132"/>
      <c r="AL357" s="132"/>
      <c r="AM357" s="132"/>
      <c r="AN357" s="132"/>
      <c r="AO357" s="132"/>
      <c r="AP357" s="236"/>
      <c r="AQ357" s="236"/>
      <c r="AR357" s="236"/>
      <c r="AS357" s="236"/>
      <c r="AT357" s="236"/>
      <c r="AU357" s="132"/>
      <c r="AV357" s="110">
        <v>368924.89</v>
      </c>
      <c r="AW357" s="110">
        <v>368102.84</v>
      </c>
      <c r="AX357" s="110">
        <v>365570.1</v>
      </c>
      <c r="AY357" s="110">
        <v>363223.78</v>
      </c>
      <c r="AZ357" s="110">
        <v>356287.55</v>
      </c>
      <c r="BA357" s="110"/>
      <c r="BB357" s="110"/>
      <c r="BC357" s="110"/>
      <c r="BD357" s="110">
        <v>364767.61</v>
      </c>
      <c r="BE357" s="110">
        <v>376509.59</v>
      </c>
      <c r="BF357" s="110">
        <v>373892.1</v>
      </c>
      <c r="BG357" s="237">
        <v>374659.59</v>
      </c>
      <c r="BH357" s="237">
        <v>374171.24</v>
      </c>
      <c r="BI357" s="237">
        <v>376373.36</v>
      </c>
      <c r="BJ357" s="237">
        <v>380748.46</v>
      </c>
      <c r="BK357" s="237">
        <v>383325.19</v>
      </c>
      <c r="BL357" s="237">
        <v>390877.9</v>
      </c>
      <c r="BM357" s="237">
        <v>388965.44</v>
      </c>
      <c r="BN357" s="237">
        <v>392750.26</v>
      </c>
      <c r="BO357" s="237">
        <v>527140.25</v>
      </c>
      <c r="BP357" s="237">
        <v>532514.14</v>
      </c>
      <c r="BQ357" s="237">
        <v>539329.62</v>
      </c>
      <c r="BR357" s="237">
        <v>543618.93999999994</v>
      </c>
      <c r="BS357" s="237">
        <v>549325.51</v>
      </c>
      <c r="BT357" s="237">
        <v>555219.23</v>
      </c>
      <c r="BU357" s="237">
        <v>556445.43999999994</v>
      </c>
      <c r="BV357" s="237">
        <v>562374.35</v>
      </c>
      <c r="BW357" s="237">
        <v>558142.94999999995</v>
      </c>
      <c r="BX357" s="237">
        <v>2349.98</v>
      </c>
      <c r="BY357" s="237">
        <v>91.07</v>
      </c>
      <c r="BZ357" s="237">
        <v>91.07</v>
      </c>
      <c r="CA357" s="237">
        <v>0</v>
      </c>
      <c r="CB357" s="237">
        <v>0</v>
      </c>
      <c r="CC357" s="237">
        <v>0</v>
      </c>
      <c r="CD357" s="237">
        <v>0</v>
      </c>
      <c r="CE357" s="237">
        <v>0</v>
      </c>
      <c r="CF357" s="237">
        <v>0</v>
      </c>
      <c r="CG357" s="237">
        <v>0</v>
      </c>
      <c r="CH357" s="30">
        <v>0</v>
      </c>
      <c r="CI357" s="30">
        <v>0</v>
      </c>
      <c r="CJ357" s="30" t="e">
        <f t="array" aca="1" ref="CJ357" ca="1">_xludf.XLOOKUP(C357,'PL TOTAL D0'!H:H,'PL TOTAL D0'!I:I,"")</f>
        <v>#NAME?</v>
      </c>
    </row>
    <row r="358" spans="1:88" ht="15.75" customHeight="1">
      <c r="A358" s="36" t="s">
        <v>2921</v>
      </c>
      <c r="B358" s="106" t="s">
        <v>3502</v>
      </c>
      <c r="C358" s="9">
        <v>38387</v>
      </c>
      <c r="D358" s="9" t="s">
        <v>19</v>
      </c>
      <c r="E358" s="9" t="s">
        <v>34</v>
      </c>
      <c r="F358" s="9" t="s">
        <v>35</v>
      </c>
      <c r="G358" s="7" t="e">
        <f t="shared" ca="1" si="4"/>
        <v>#NAME?</v>
      </c>
      <c r="H358" s="8" t="s">
        <v>161</v>
      </c>
      <c r="I358" s="24" t="s">
        <v>162</v>
      </c>
      <c r="J358" s="9" t="str">
        <f t="shared" si="6"/>
        <v>Não</v>
      </c>
      <c r="K358" s="107">
        <v>44263</v>
      </c>
      <c r="L358" s="6"/>
      <c r="M358" s="6" t="s">
        <v>58</v>
      </c>
      <c r="N358" s="233">
        <v>1.2E-2</v>
      </c>
      <c r="O358" s="9" t="s">
        <v>25</v>
      </c>
      <c r="P358" s="234">
        <v>0</v>
      </c>
      <c r="Q358" s="45"/>
      <c r="R358" s="108" t="s">
        <v>3503</v>
      </c>
      <c r="S358" s="7" t="s">
        <v>145</v>
      </c>
      <c r="T358" s="9" t="s">
        <v>3504</v>
      </c>
      <c r="U358" s="6" t="s">
        <v>39</v>
      </c>
      <c r="V358" s="24" t="e">
        <f t="shared" ca="1" si="5"/>
        <v>#NAME?</v>
      </c>
      <c r="W358" s="24"/>
      <c r="X358" s="24"/>
      <c r="Y358" s="6" t="s">
        <v>253</v>
      </c>
      <c r="Z358" s="6"/>
      <c r="AA358" s="107">
        <v>44263</v>
      </c>
      <c r="AB358" s="6">
        <v>49075100010961</v>
      </c>
      <c r="AC358" s="240"/>
      <c r="AD358" s="240"/>
      <c r="AE358" s="240"/>
      <c r="AF358" s="240"/>
      <c r="AG358" s="240"/>
      <c r="AH358" s="240"/>
      <c r="AI358" s="240"/>
      <c r="AJ358" s="240"/>
      <c r="AK358" s="240"/>
      <c r="AL358" s="240"/>
      <c r="AM358" s="240"/>
      <c r="AN358" s="240"/>
      <c r="AO358" s="240"/>
      <c r="AP358" s="110"/>
      <c r="AQ358" s="236">
        <v>2018443.12</v>
      </c>
      <c r="AR358" s="236">
        <v>2022951.65</v>
      </c>
      <c r="AS358" s="236"/>
      <c r="AT358" s="236">
        <v>2057804.37</v>
      </c>
      <c r="AU358" s="236">
        <v>2137888.69</v>
      </c>
      <c r="AV358" s="110">
        <v>2051190.98</v>
      </c>
      <c r="AW358" s="110">
        <v>1994005.81</v>
      </c>
      <c r="AX358" s="110">
        <v>1888337.3</v>
      </c>
      <c r="AY358" s="110">
        <v>1791811.54</v>
      </c>
      <c r="AZ358" s="110">
        <v>1632843.8</v>
      </c>
      <c r="BA358" s="110">
        <v>1533952.63</v>
      </c>
      <c r="BB358" s="110">
        <v>1458416.28</v>
      </c>
      <c r="BC358" s="110">
        <v>869350.73</v>
      </c>
      <c r="BD358" s="110">
        <v>876037.91</v>
      </c>
      <c r="BE358" s="110">
        <v>909097.94</v>
      </c>
      <c r="BF358" s="110">
        <v>901617.88</v>
      </c>
      <c r="BG358" s="237">
        <v>908189.69</v>
      </c>
      <c r="BH358" s="237">
        <v>906394.23</v>
      </c>
      <c r="BI358" s="237">
        <v>847516.91</v>
      </c>
      <c r="BJ358" s="237">
        <v>859111.69</v>
      </c>
      <c r="BK358" s="237">
        <v>432923.88</v>
      </c>
      <c r="BL358" s="237">
        <v>82252.460000000006</v>
      </c>
      <c r="BM358" s="237">
        <v>82405.02</v>
      </c>
      <c r="BN358" s="237">
        <v>82937.899999999994</v>
      </c>
      <c r="BO358" s="237">
        <v>84482.32</v>
      </c>
      <c r="BP358" s="237">
        <v>77927.539999999994</v>
      </c>
      <c r="BQ358" s="237">
        <v>188.52</v>
      </c>
      <c r="BR358" s="237">
        <v>179.88</v>
      </c>
      <c r="BS358" s="237">
        <v>0</v>
      </c>
      <c r="BT358" s="237">
        <v>0</v>
      </c>
      <c r="BU358" s="237">
        <v>0</v>
      </c>
      <c r="BV358" s="237">
        <v>0</v>
      </c>
      <c r="BW358" s="237">
        <v>0</v>
      </c>
      <c r="BX358" s="237">
        <v>0</v>
      </c>
      <c r="BY358" s="237">
        <v>0</v>
      </c>
      <c r="BZ358" s="237">
        <v>0</v>
      </c>
      <c r="CA358" s="237">
        <v>0</v>
      </c>
      <c r="CB358" s="237">
        <v>0</v>
      </c>
      <c r="CC358" s="237">
        <v>0</v>
      </c>
      <c r="CD358" s="237">
        <v>0</v>
      </c>
      <c r="CE358" s="237">
        <v>0</v>
      </c>
      <c r="CF358" s="237">
        <v>0</v>
      </c>
      <c r="CG358" s="237">
        <v>0</v>
      </c>
      <c r="CH358" s="30">
        <v>0</v>
      </c>
      <c r="CI358" s="30">
        <v>0</v>
      </c>
      <c r="CJ358" s="30" t="e">
        <f t="array" aca="1" ref="CJ358" ca="1">_xludf.XLOOKUP(C358,'PL TOTAL D0'!H:H,'PL TOTAL D0'!I:I,"")</f>
        <v>#NAME?</v>
      </c>
    </row>
    <row r="359" spans="1:88" ht="15.75" customHeight="1">
      <c r="A359" s="36" t="s">
        <v>2921</v>
      </c>
      <c r="B359" s="106" t="s">
        <v>3502</v>
      </c>
      <c r="C359" s="9">
        <v>85872</v>
      </c>
      <c r="D359" s="9" t="s">
        <v>19</v>
      </c>
      <c r="E359" s="9" t="s">
        <v>34</v>
      </c>
      <c r="F359" s="9" t="s">
        <v>35</v>
      </c>
      <c r="G359" s="7" t="e">
        <f t="shared" ca="1" si="4"/>
        <v>#NAME?</v>
      </c>
      <c r="H359" s="8" t="s">
        <v>161</v>
      </c>
      <c r="I359" s="24" t="s">
        <v>162</v>
      </c>
      <c r="J359" s="9" t="str">
        <f t="shared" si="6"/>
        <v>Sim</v>
      </c>
      <c r="K359" s="107">
        <v>44585</v>
      </c>
      <c r="L359" s="7"/>
      <c r="M359" s="6" t="s">
        <v>42</v>
      </c>
      <c r="N359" s="233">
        <v>7.0000000000000001E-3</v>
      </c>
      <c r="O359" s="9" t="s">
        <v>25</v>
      </c>
      <c r="P359" s="234">
        <v>0</v>
      </c>
      <c r="Q359" s="28" t="s">
        <v>3505</v>
      </c>
      <c r="R359" s="28"/>
      <c r="S359" s="7" t="s">
        <v>145</v>
      </c>
      <c r="T359" s="9" t="s">
        <v>3504</v>
      </c>
      <c r="U359" s="6" t="s">
        <v>39</v>
      </c>
      <c r="V359" s="24" t="e">
        <f t="shared" ca="1" si="5"/>
        <v>#NAME?</v>
      </c>
      <c r="W359" s="24"/>
      <c r="X359" s="24"/>
      <c r="Y359" s="6" t="s">
        <v>253</v>
      </c>
      <c r="Z359" s="6"/>
      <c r="AA359" s="107">
        <v>44585</v>
      </c>
      <c r="AB359" s="6">
        <v>49075100010978</v>
      </c>
      <c r="AC359" s="23"/>
      <c r="AD359" s="23"/>
      <c r="AE359" s="23"/>
      <c r="AF359" s="23"/>
      <c r="AG359" s="23"/>
      <c r="AH359" s="23"/>
      <c r="AI359" s="23"/>
      <c r="AJ359" s="23"/>
      <c r="AK359" s="23"/>
      <c r="AL359" s="23"/>
      <c r="AM359" s="23"/>
      <c r="AN359" s="23"/>
      <c r="AO359" s="23"/>
      <c r="AP359" s="236"/>
      <c r="AQ359" s="236"/>
      <c r="AR359" s="236"/>
      <c r="AS359" s="236"/>
      <c r="AT359" s="236"/>
      <c r="AU359" s="110"/>
      <c r="AV359" s="110"/>
      <c r="AW359" s="110"/>
      <c r="AX359" s="110"/>
      <c r="AY359" s="110"/>
      <c r="AZ359" s="110"/>
      <c r="BA359" s="110"/>
      <c r="BB359" s="23"/>
      <c r="BC359" s="110">
        <v>681701.31</v>
      </c>
      <c r="BD359" s="110">
        <v>633961.44999999995</v>
      </c>
      <c r="BE359" s="110">
        <v>591403.87</v>
      </c>
      <c r="BF359" s="110">
        <v>545727.06000000006</v>
      </c>
      <c r="BG359" s="237">
        <v>505384.37</v>
      </c>
      <c r="BH359" s="237">
        <v>459703.61</v>
      </c>
      <c r="BI359" s="237">
        <v>451985.98</v>
      </c>
      <c r="BJ359" s="237">
        <v>390613.66</v>
      </c>
      <c r="BK359" s="237">
        <v>235823.49</v>
      </c>
      <c r="BL359" s="237">
        <v>217627.79</v>
      </c>
      <c r="BM359" s="237">
        <v>174173.72</v>
      </c>
      <c r="BN359" s="237">
        <v>118987.86</v>
      </c>
      <c r="BO359" s="237">
        <v>44849.02</v>
      </c>
      <c r="BP359" s="237">
        <v>317.02</v>
      </c>
      <c r="BQ359" s="237">
        <v>317.49</v>
      </c>
      <c r="BR359" s="237">
        <v>317.73</v>
      </c>
      <c r="BS359" s="237">
        <v>0</v>
      </c>
      <c r="BT359" s="237">
        <v>0</v>
      </c>
      <c r="BU359" s="237">
        <v>0</v>
      </c>
      <c r="BV359" s="237">
        <v>0</v>
      </c>
      <c r="BW359" s="237">
        <v>0</v>
      </c>
      <c r="BX359" s="237">
        <v>0</v>
      </c>
      <c r="BY359" s="237">
        <v>0</v>
      </c>
      <c r="BZ359" s="237">
        <v>0</v>
      </c>
      <c r="CA359" s="237">
        <v>0</v>
      </c>
      <c r="CB359" s="237">
        <v>0</v>
      </c>
      <c r="CC359" s="237">
        <v>0</v>
      </c>
      <c r="CD359" s="237">
        <v>0</v>
      </c>
      <c r="CE359" s="237">
        <v>0</v>
      </c>
      <c r="CF359" s="237">
        <v>0</v>
      </c>
      <c r="CG359" s="237">
        <v>0</v>
      </c>
      <c r="CH359" s="30">
        <v>0</v>
      </c>
      <c r="CI359" s="30">
        <v>0</v>
      </c>
      <c r="CJ359" s="30" t="e">
        <f t="array" aca="1" ref="CJ359" ca="1">_xludf.XLOOKUP(C359,'PL TOTAL D0'!H:H,'PL TOTAL D0'!I:I,"")</f>
        <v>#NAME?</v>
      </c>
    </row>
    <row r="360" spans="1:88" ht="15.75" customHeight="1">
      <c r="A360" s="36" t="s">
        <v>2921</v>
      </c>
      <c r="B360" s="36" t="s">
        <v>3506</v>
      </c>
      <c r="C360" s="9">
        <v>438274</v>
      </c>
      <c r="D360" s="9" t="s">
        <v>2923</v>
      </c>
      <c r="E360" s="9" t="s">
        <v>20</v>
      </c>
      <c r="F360" s="9" t="s">
        <v>2924</v>
      </c>
      <c r="G360" s="7" t="e">
        <f t="shared" ca="1" si="4"/>
        <v>#NAME?</v>
      </c>
      <c r="H360" s="8" t="s">
        <v>161</v>
      </c>
      <c r="I360" s="24" t="s">
        <v>162</v>
      </c>
      <c r="J360" s="9" t="str">
        <f t="shared" si="6"/>
        <v>Não</v>
      </c>
      <c r="K360" s="232">
        <v>43804</v>
      </c>
      <c r="L360" s="7"/>
      <c r="M360" s="6" t="s">
        <v>200</v>
      </c>
      <c r="N360" s="233">
        <v>1.4999999999999999E-2</v>
      </c>
      <c r="O360" s="9" t="s">
        <v>37</v>
      </c>
      <c r="P360" s="234">
        <v>0.1</v>
      </c>
      <c r="Q360" s="45"/>
      <c r="R360" s="108" t="s">
        <v>3507</v>
      </c>
      <c r="S360" s="7" t="s">
        <v>145</v>
      </c>
      <c r="T360" s="9" t="s">
        <v>3508</v>
      </c>
      <c r="U360" s="6" t="s">
        <v>49</v>
      </c>
      <c r="V360" s="24" t="e">
        <f t="shared" ca="1" si="5"/>
        <v>#NAME?</v>
      </c>
      <c r="W360" s="24"/>
      <c r="X360" s="24"/>
      <c r="Y360" s="6" t="s">
        <v>253</v>
      </c>
      <c r="Z360" s="6"/>
      <c r="AA360" s="107">
        <v>43804</v>
      </c>
      <c r="AB360" s="6">
        <v>49075100014272</v>
      </c>
      <c r="AC360" s="110">
        <v>99984.97</v>
      </c>
      <c r="AD360" s="110">
        <v>98133.83</v>
      </c>
      <c r="AE360" s="110">
        <v>91668.93</v>
      </c>
      <c r="AF360" s="110">
        <v>93521.41</v>
      </c>
      <c r="AG360" s="110">
        <v>94384.39</v>
      </c>
      <c r="AH360" s="110">
        <v>96173.09</v>
      </c>
      <c r="AI360" s="110">
        <v>99350.23</v>
      </c>
      <c r="AJ360" s="110">
        <v>97806.720000000001</v>
      </c>
      <c r="AK360" s="110">
        <v>96125.119999999995</v>
      </c>
      <c r="AL360" s="110">
        <v>98116.39</v>
      </c>
      <c r="AM360" s="110">
        <v>101467.04</v>
      </c>
      <c r="AN360" s="110">
        <v>101942.81</v>
      </c>
      <c r="AO360" s="110">
        <v>99759.47</v>
      </c>
      <c r="AP360" s="110">
        <v>97432.49</v>
      </c>
      <c r="AQ360" s="236">
        <v>96783.94</v>
      </c>
      <c r="AR360" s="236">
        <v>99419.1</v>
      </c>
      <c r="AS360" s="236">
        <v>99652.64</v>
      </c>
      <c r="AT360" s="236">
        <v>99609.21</v>
      </c>
      <c r="AU360" s="236">
        <v>101096.01</v>
      </c>
      <c r="AV360" s="110">
        <v>100571.03</v>
      </c>
      <c r="AW360" s="110">
        <v>99753.66</v>
      </c>
      <c r="AX360" s="110">
        <v>98247.039999999994</v>
      </c>
      <c r="AY360" s="110">
        <v>80018.58</v>
      </c>
      <c r="AZ360" s="110">
        <v>94355.65</v>
      </c>
      <c r="BA360" s="110">
        <v>94095.44</v>
      </c>
      <c r="BB360" s="110">
        <v>94630.69</v>
      </c>
      <c r="BC360" s="110">
        <v>96188.44</v>
      </c>
      <c r="BD360" s="110">
        <v>96652.21</v>
      </c>
      <c r="BE360" s="110">
        <v>100002.85</v>
      </c>
      <c r="BF360" s="110">
        <v>99050.17</v>
      </c>
      <c r="BG360" s="237">
        <v>99298.55</v>
      </c>
      <c r="BH360" s="237">
        <v>98928.07</v>
      </c>
      <c r="BI360" s="237">
        <v>176.82</v>
      </c>
      <c r="BJ360" s="237">
        <v>188.4</v>
      </c>
      <c r="BK360" s="237">
        <v>188.4</v>
      </c>
      <c r="BL360" s="237">
        <v>188.4</v>
      </c>
      <c r="BM360" s="237">
        <v>188.4</v>
      </c>
      <c r="BN360" s="237">
        <v>188.4</v>
      </c>
      <c r="BO360" s="237">
        <v>293.89</v>
      </c>
      <c r="BP360" s="237">
        <v>293.89</v>
      </c>
      <c r="BQ360" s="237">
        <v>293.89</v>
      </c>
      <c r="BR360" s="237">
        <v>293.89</v>
      </c>
      <c r="BS360" s="237">
        <v>0</v>
      </c>
      <c r="BT360" s="237">
        <v>0</v>
      </c>
      <c r="BU360" s="237">
        <v>0</v>
      </c>
      <c r="BV360" s="237">
        <v>0</v>
      </c>
      <c r="BW360" s="237">
        <v>0</v>
      </c>
      <c r="BX360" s="237">
        <v>0</v>
      </c>
      <c r="BY360" s="237">
        <v>0</v>
      </c>
      <c r="BZ360" s="237">
        <v>0</v>
      </c>
      <c r="CA360" s="237">
        <v>0</v>
      </c>
      <c r="CB360" s="237">
        <v>0</v>
      </c>
      <c r="CC360" s="237">
        <v>0</v>
      </c>
      <c r="CD360" s="237">
        <v>0</v>
      </c>
      <c r="CE360" s="237">
        <v>0</v>
      </c>
      <c r="CF360" s="237">
        <v>0</v>
      </c>
      <c r="CG360" s="237">
        <v>0</v>
      </c>
      <c r="CH360" s="30">
        <v>0</v>
      </c>
      <c r="CI360" s="30">
        <v>0</v>
      </c>
      <c r="CJ360" s="30" t="e">
        <f t="array" aca="1" ref="CJ360" ca="1">_xludf.XLOOKUP(C360,'PL TOTAL D0'!H:H,'PL TOTAL D0'!I:I,"")</f>
        <v>#NAME?</v>
      </c>
    </row>
    <row r="361" spans="1:88" ht="15.75" customHeight="1">
      <c r="A361" s="36" t="s">
        <v>2921</v>
      </c>
      <c r="B361" s="3" t="s">
        <v>3509</v>
      </c>
      <c r="C361" s="9">
        <v>435113</v>
      </c>
      <c r="D361" s="9" t="s">
        <v>2923</v>
      </c>
      <c r="E361" s="9" t="s">
        <v>20</v>
      </c>
      <c r="F361" s="6" t="s">
        <v>2924</v>
      </c>
      <c r="G361" s="7" t="e">
        <f t="shared" ca="1" si="4"/>
        <v>#NAME?</v>
      </c>
      <c r="H361" s="8" t="s">
        <v>143</v>
      </c>
      <c r="I361" s="24" t="s">
        <v>25</v>
      </c>
      <c r="J361" s="9" t="str">
        <f t="shared" si="6"/>
        <v>Não</v>
      </c>
      <c r="K361" s="107">
        <v>43717</v>
      </c>
      <c r="L361" s="107">
        <v>44581</v>
      </c>
      <c r="M361" s="6" t="s">
        <v>200</v>
      </c>
      <c r="N361" s="10">
        <v>0.01</v>
      </c>
      <c r="O361" s="9" t="s">
        <v>37</v>
      </c>
      <c r="P361" s="234">
        <v>0.1</v>
      </c>
      <c r="Q361" s="108"/>
      <c r="R361" s="108"/>
      <c r="S361" s="7" t="s">
        <v>145</v>
      </c>
      <c r="T361" s="6" t="s">
        <v>3510</v>
      </c>
      <c r="U361" s="6" t="s">
        <v>20</v>
      </c>
      <c r="V361" s="24" t="e">
        <f t="shared" ca="1" si="5"/>
        <v>#NAME?</v>
      </c>
      <c r="W361" s="24"/>
      <c r="X361" s="24"/>
      <c r="Y361" s="6" t="s">
        <v>253</v>
      </c>
      <c r="Z361" s="6"/>
      <c r="AA361" s="6"/>
      <c r="AB361" s="6"/>
      <c r="AC361" s="110">
        <v>101829.05</v>
      </c>
      <c r="AD361" s="110">
        <v>94200.2</v>
      </c>
      <c r="AE361" s="110">
        <v>88953.45</v>
      </c>
      <c r="AF361" s="110">
        <v>90797.2</v>
      </c>
      <c r="AG361" s="110">
        <v>100057.73</v>
      </c>
      <c r="AH361" s="110">
        <v>94101.72</v>
      </c>
      <c r="AI361" s="110">
        <v>95206.62</v>
      </c>
      <c r="AJ361" s="110">
        <v>83653.63</v>
      </c>
      <c r="AK361" s="110">
        <v>79515.88</v>
      </c>
      <c r="AL361" s="110">
        <v>74811.14</v>
      </c>
      <c r="AM361" s="110">
        <v>71278.06</v>
      </c>
      <c r="AN361" s="110">
        <v>65989.919999999998</v>
      </c>
      <c r="AO361" s="110">
        <v>65142.93</v>
      </c>
      <c r="AP361" s="110">
        <v>57023.89</v>
      </c>
      <c r="AQ361" s="110">
        <v>56142.43</v>
      </c>
      <c r="AR361" s="110">
        <v>56645.42</v>
      </c>
      <c r="AS361" s="110">
        <v>49415.81</v>
      </c>
      <c r="AT361" s="110">
        <v>49154.42</v>
      </c>
      <c r="AU361" s="110">
        <v>39990.300000000003</v>
      </c>
      <c r="AV361" s="110">
        <v>40057.839999999997</v>
      </c>
      <c r="AW361" s="110">
        <v>39776.65</v>
      </c>
      <c r="AX361" s="110">
        <v>39903.21</v>
      </c>
      <c r="AY361" s="110">
        <v>19955.689999999999</v>
      </c>
      <c r="AZ361" s="110">
        <v>20062.400000000001</v>
      </c>
      <c r="BA361" s="110">
        <v>20030.919999999998</v>
      </c>
      <c r="BB361" s="110">
        <v>8954.4500000000007</v>
      </c>
      <c r="BC361" s="110">
        <v>141.15</v>
      </c>
      <c r="BD361" s="110">
        <v>-1.07</v>
      </c>
      <c r="BE361" s="110">
        <v>-38.89</v>
      </c>
      <c r="BF361" s="110">
        <v>-38.89</v>
      </c>
      <c r="BG361" s="110" t="s">
        <v>2932</v>
      </c>
      <c r="BH361" s="110">
        <v>0</v>
      </c>
      <c r="BI361" s="110">
        <v>-30.77</v>
      </c>
      <c r="BJ361" s="110">
        <v>0</v>
      </c>
      <c r="BK361" s="237">
        <v>0</v>
      </c>
      <c r="BL361" s="237">
        <v>0</v>
      </c>
      <c r="BM361" s="237">
        <v>0</v>
      </c>
      <c r="BN361" s="237">
        <v>0</v>
      </c>
      <c r="BO361" s="237">
        <v>0</v>
      </c>
      <c r="BP361" s="237">
        <v>0</v>
      </c>
      <c r="BQ361" s="237">
        <v>0</v>
      </c>
      <c r="BR361" s="237">
        <v>0</v>
      </c>
      <c r="BS361" s="237">
        <v>0</v>
      </c>
      <c r="BT361" s="237">
        <v>0</v>
      </c>
      <c r="BU361" s="237">
        <v>0</v>
      </c>
      <c r="BV361" s="237">
        <v>0</v>
      </c>
      <c r="BW361" s="237">
        <v>0</v>
      </c>
      <c r="BX361" s="237">
        <v>0</v>
      </c>
      <c r="BY361" s="237">
        <v>0</v>
      </c>
      <c r="BZ361" s="237">
        <v>0</v>
      </c>
      <c r="CA361" s="237">
        <v>0</v>
      </c>
      <c r="CB361" s="237">
        <v>0</v>
      </c>
      <c r="CC361" s="237">
        <v>0</v>
      </c>
      <c r="CD361" s="237">
        <v>0</v>
      </c>
      <c r="CE361" s="237">
        <v>0</v>
      </c>
      <c r="CF361" s="237">
        <v>0</v>
      </c>
      <c r="CG361" s="237">
        <v>0</v>
      </c>
      <c r="CH361" s="30">
        <v>0</v>
      </c>
      <c r="CI361" s="30">
        <v>0</v>
      </c>
      <c r="CJ361" s="30" t="e">
        <f t="array" aca="1" ref="CJ361" ca="1">_xludf.XLOOKUP(C361,'PL TOTAL D0'!H:H,'PL TOTAL D0'!I:I,"")</f>
        <v>#NAME?</v>
      </c>
    </row>
    <row r="362" spans="1:88" ht="15.75" customHeight="1">
      <c r="A362" s="36" t="s">
        <v>2921</v>
      </c>
      <c r="B362" s="36" t="s">
        <v>3511</v>
      </c>
      <c r="C362" s="9">
        <v>82133</v>
      </c>
      <c r="D362" s="9" t="s">
        <v>2989</v>
      </c>
      <c r="E362" s="9" t="s">
        <v>20</v>
      </c>
      <c r="F362" s="9" t="s">
        <v>2989</v>
      </c>
      <c r="G362" s="7" t="e">
        <f t="shared" ca="1" si="4"/>
        <v>#NAME?</v>
      </c>
      <c r="H362" s="8" t="s">
        <v>143</v>
      </c>
      <c r="I362" s="24" t="s">
        <v>25</v>
      </c>
      <c r="J362" s="9" t="str">
        <f t="shared" si="6"/>
        <v>Não</v>
      </c>
      <c r="K362" s="232">
        <v>43375</v>
      </c>
      <c r="L362" s="107">
        <v>44713</v>
      </c>
      <c r="M362" s="6" t="s">
        <v>87</v>
      </c>
      <c r="N362" s="233">
        <v>0.01</v>
      </c>
      <c r="O362" s="9" t="s">
        <v>183</v>
      </c>
      <c r="P362" s="234">
        <v>0.2</v>
      </c>
      <c r="Q362" s="108"/>
      <c r="R362" s="108"/>
      <c r="S362" s="7" t="s">
        <v>145</v>
      </c>
      <c r="T362" s="9" t="s">
        <v>3512</v>
      </c>
      <c r="U362" s="6" t="s">
        <v>20</v>
      </c>
      <c r="V362" s="24" t="e">
        <f t="shared" ca="1" si="5"/>
        <v>#NAME?</v>
      </c>
      <c r="W362" s="24"/>
      <c r="X362" s="24"/>
      <c r="Y362" s="6" t="s">
        <v>253</v>
      </c>
      <c r="Z362" s="6"/>
      <c r="AA362" s="6"/>
      <c r="AB362" s="6"/>
      <c r="AC362" s="110">
        <v>225929.22</v>
      </c>
      <c r="AD362" s="110">
        <v>213808.49</v>
      </c>
      <c r="AE362" s="110">
        <v>167641.73000000001</v>
      </c>
      <c r="AF362" s="110">
        <v>179033.67</v>
      </c>
      <c r="AG362" s="110">
        <v>186083.66</v>
      </c>
      <c r="AH362" s="110">
        <v>195153.33</v>
      </c>
      <c r="AI362" s="110">
        <v>208313.87</v>
      </c>
      <c r="AJ362" s="110">
        <v>199708.2</v>
      </c>
      <c r="AK362" s="110">
        <v>190243</v>
      </c>
      <c r="AL362" s="110">
        <v>196268.87</v>
      </c>
      <c r="AM362" s="110">
        <v>223505.4</v>
      </c>
      <c r="AN362" s="110">
        <v>229234.7</v>
      </c>
      <c r="AO362" s="110">
        <v>218951.48</v>
      </c>
      <c r="AP362" s="110">
        <v>207003.32</v>
      </c>
      <c r="AQ362" s="236">
        <v>201857.71</v>
      </c>
      <c r="AR362" s="236">
        <v>210190.07</v>
      </c>
      <c r="AS362" s="236">
        <v>219657.66</v>
      </c>
      <c r="AT362" s="236">
        <v>221244.53</v>
      </c>
      <c r="AU362" s="236">
        <v>230689.52</v>
      </c>
      <c r="AV362" s="110">
        <v>227371.2</v>
      </c>
      <c r="AW362" s="110">
        <v>221017.2</v>
      </c>
      <c r="AX362" s="110">
        <v>211357.8</v>
      </c>
      <c r="AY362" s="110">
        <v>201485.57</v>
      </c>
      <c r="AZ362" s="110">
        <v>189440.1</v>
      </c>
      <c r="BA362" s="110">
        <v>183482.39</v>
      </c>
      <c r="BB362" s="110">
        <v>184227.92</v>
      </c>
      <c r="BC362" s="110">
        <v>195472.08</v>
      </c>
      <c r="BD362" s="110">
        <v>196925.15</v>
      </c>
      <c r="BE362" s="110">
        <v>211577.22</v>
      </c>
      <c r="BF362" s="110">
        <v>201996.09</v>
      </c>
      <c r="BG362" s="263">
        <v>1888.2</v>
      </c>
      <c r="BH362" s="237">
        <v>1795.66</v>
      </c>
      <c r="BI362" s="237" t="s">
        <v>2932</v>
      </c>
      <c r="BJ362" s="237">
        <v>0</v>
      </c>
      <c r="BK362" s="237">
        <v>0</v>
      </c>
      <c r="BL362" s="237">
        <v>0</v>
      </c>
      <c r="BM362" s="237">
        <v>0</v>
      </c>
      <c r="BN362" s="237">
        <v>0</v>
      </c>
      <c r="BO362" s="237">
        <v>0</v>
      </c>
      <c r="BP362" s="237">
        <v>0</v>
      </c>
      <c r="BQ362" s="237">
        <v>0</v>
      </c>
      <c r="BR362" s="237">
        <v>0</v>
      </c>
      <c r="BS362" s="237">
        <v>0</v>
      </c>
      <c r="BT362" s="237">
        <v>0</v>
      </c>
      <c r="BU362" s="237">
        <v>0</v>
      </c>
      <c r="BV362" s="237">
        <v>0</v>
      </c>
      <c r="BW362" s="237">
        <v>0</v>
      </c>
      <c r="BX362" s="237">
        <v>0</v>
      </c>
      <c r="BY362" s="237">
        <v>0</v>
      </c>
      <c r="BZ362" s="237">
        <v>0</v>
      </c>
      <c r="CA362" s="237">
        <v>0</v>
      </c>
      <c r="CB362" s="237">
        <v>0</v>
      </c>
      <c r="CC362" s="237">
        <v>0</v>
      </c>
      <c r="CD362" s="237">
        <v>0</v>
      </c>
      <c r="CE362" s="237">
        <v>0</v>
      </c>
      <c r="CF362" s="237">
        <v>0</v>
      </c>
      <c r="CG362" s="237">
        <v>0</v>
      </c>
      <c r="CH362" s="30">
        <v>0</v>
      </c>
      <c r="CI362" s="30">
        <v>0</v>
      </c>
      <c r="CJ362" s="30" t="e">
        <f t="array" aca="1" ref="CJ362" ca="1">_xludf.XLOOKUP(C362,'PL TOTAL D0'!H:H,'PL TOTAL D0'!I:I,"")</f>
        <v>#NAME?</v>
      </c>
    </row>
    <row r="363" spans="1:88" ht="15.75" customHeight="1">
      <c r="A363" s="36" t="s">
        <v>2921</v>
      </c>
      <c r="B363" s="3" t="s">
        <v>3513</v>
      </c>
      <c r="C363" s="9">
        <v>370249</v>
      </c>
      <c r="D363" s="9" t="s">
        <v>19</v>
      </c>
      <c r="E363" s="9" t="s">
        <v>20</v>
      </c>
      <c r="F363" s="9" t="s">
        <v>3305</v>
      </c>
      <c r="G363" s="7" t="e">
        <f t="shared" ca="1" si="4"/>
        <v>#NAME?</v>
      </c>
      <c r="H363" s="8" t="s">
        <v>143</v>
      </c>
      <c r="I363" s="24" t="s">
        <v>25</v>
      </c>
      <c r="J363" s="9" t="str">
        <f t="shared" si="6"/>
        <v>Não</v>
      </c>
      <c r="K363" s="232">
        <v>44592</v>
      </c>
      <c r="L363" s="25">
        <v>45552</v>
      </c>
      <c r="M363" s="6" t="s">
        <v>42</v>
      </c>
      <c r="N363" s="233">
        <v>0.01</v>
      </c>
      <c r="O363" s="9" t="s">
        <v>25</v>
      </c>
      <c r="P363" s="234">
        <v>0</v>
      </c>
      <c r="Q363" s="108"/>
      <c r="R363" s="108"/>
      <c r="S363" s="7" t="s">
        <v>145</v>
      </c>
      <c r="T363" s="6" t="s">
        <v>2573</v>
      </c>
      <c r="U363" s="6" t="s">
        <v>20</v>
      </c>
      <c r="V363" s="24" t="e">
        <f t="shared" ca="1" si="5"/>
        <v>#NAME?</v>
      </c>
      <c r="W363" s="24"/>
      <c r="X363" s="24"/>
      <c r="Y363" s="6" t="s">
        <v>253</v>
      </c>
      <c r="Z363" s="6"/>
      <c r="AA363" s="107">
        <v>44592</v>
      </c>
      <c r="AB363" s="6">
        <v>49075100014280</v>
      </c>
      <c r="AC363" s="240"/>
      <c r="AD363" s="240"/>
      <c r="AE363" s="240"/>
      <c r="AF363" s="240"/>
      <c r="AG363" s="240"/>
      <c r="AH363" s="240"/>
      <c r="AI363" s="240"/>
      <c r="AJ363" s="240"/>
      <c r="AK363" s="240"/>
      <c r="AL363" s="240"/>
      <c r="AM363" s="240"/>
      <c r="AN363" s="240"/>
      <c r="AO363" s="240"/>
      <c r="AP363" s="110"/>
      <c r="AQ363" s="110"/>
      <c r="AR363" s="110"/>
      <c r="AS363" s="110"/>
      <c r="AT363" s="110"/>
      <c r="AU363" s="110"/>
      <c r="AV363" s="110"/>
      <c r="AW363" s="110"/>
      <c r="AX363" s="110"/>
      <c r="AY363" s="110"/>
      <c r="AZ363" s="110"/>
      <c r="BA363" s="110"/>
      <c r="BB363" s="110"/>
      <c r="BC363" s="110"/>
      <c r="BD363" s="110"/>
      <c r="BE363" s="110"/>
      <c r="BF363" s="110"/>
      <c r="BG363" s="237"/>
      <c r="BH363" s="237"/>
      <c r="BI363" s="237"/>
      <c r="BJ363" s="237"/>
      <c r="BK363" s="237"/>
      <c r="BL363" s="237"/>
      <c r="BM363" s="237">
        <v>0</v>
      </c>
      <c r="BN363" s="237">
        <v>0</v>
      </c>
      <c r="BO363" s="237">
        <v>28801.02</v>
      </c>
      <c r="BP363" s="237">
        <v>116819.08</v>
      </c>
      <c r="BQ363" s="237">
        <v>122749.68</v>
      </c>
      <c r="BR363" s="237">
        <v>124637.2</v>
      </c>
      <c r="BS363" s="237">
        <v>130407.01</v>
      </c>
      <c r="BT363" s="237">
        <v>136460.56</v>
      </c>
      <c r="BU363" s="237">
        <v>137687.87</v>
      </c>
      <c r="BV363" s="237">
        <v>140964.07</v>
      </c>
      <c r="BW363" s="237">
        <v>143362.63</v>
      </c>
      <c r="BX363" s="237">
        <v>152080.49</v>
      </c>
      <c r="BY363" s="237">
        <v>153415.76</v>
      </c>
      <c r="BZ363" s="237">
        <v>155818.79</v>
      </c>
      <c r="CA363" s="237">
        <v>165661.85999999999</v>
      </c>
      <c r="CB363" s="237">
        <v>160074.82</v>
      </c>
      <c r="CC363" s="237">
        <v>161366.75</v>
      </c>
      <c r="CD363" s="237">
        <v>163430.84</v>
      </c>
      <c r="CE363" s="237">
        <v>165482.06</v>
      </c>
      <c r="CF363" s="237">
        <v>146432.14000000001</v>
      </c>
      <c r="CG363" s="237">
        <v>170019.37</v>
      </c>
      <c r="CH363" s="30">
        <v>171581.28</v>
      </c>
      <c r="CI363" s="30">
        <v>168766.56</v>
      </c>
      <c r="CJ363" s="30" t="e">
        <f t="array" aca="1" ref="CJ363" ca="1">_xludf.XLOOKUP(C363,'PL TOTAL D0'!H:H,'PL TOTAL D0'!I:I,"")</f>
        <v>#NAME?</v>
      </c>
    </row>
    <row r="364" spans="1:88" ht="15.75" customHeight="1">
      <c r="A364" s="36" t="s">
        <v>2921</v>
      </c>
      <c r="B364" s="3" t="s">
        <v>2604</v>
      </c>
      <c r="C364" s="9">
        <v>81772</v>
      </c>
      <c r="D364" s="9" t="s">
        <v>19</v>
      </c>
      <c r="E364" s="9" t="s">
        <v>34</v>
      </c>
      <c r="F364" s="9" t="s">
        <v>262</v>
      </c>
      <c r="G364" s="7" t="e">
        <f t="shared" ca="1" si="4"/>
        <v>#NAME?</v>
      </c>
      <c r="H364" s="8" t="s">
        <v>161</v>
      </c>
      <c r="I364" s="24" t="s">
        <v>162</v>
      </c>
      <c r="J364" s="9" t="str">
        <f t="shared" si="6"/>
        <v>Não</v>
      </c>
      <c r="K364" s="232">
        <v>44279</v>
      </c>
      <c r="L364" s="7"/>
      <c r="M364" s="6" t="s">
        <v>345</v>
      </c>
      <c r="N364" s="233">
        <v>0.02</v>
      </c>
      <c r="O364" s="9" t="s">
        <v>37</v>
      </c>
      <c r="P364" s="234">
        <v>0.2</v>
      </c>
      <c r="Q364" s="23"/>
      <c r="R364" s="108" t="s">
        <v>3514</v>
      </c>
      <c r="S364" s="7" t="s">
        <v>145</v>
      </c>
      <c r="T364" s="6" t="s">
        <v>2606</v>
      </c>
      <c r="U364" s="6" t="s">
        <v>39</v>
      </c>
      <c r="V364" s="24" t="e">
        <f t="shared" ca="1" si="5"/>
        <v>#NAME?</v>
      </c>
      <c r="W364" s="24"/>
      <c r="X364" s="24"/>
      <c r="Y364" s="6" t="s">
        <v>147</v>
      </c>
      <c r="Z364" s="6"/>
      <c r="AA364" s="107">
        <v>44279</v>
      </c>
      <c r="AB364" s="6">
        <v>49075100014299</v>
      </c>
      <c r="AC364" s="240"/>
      <c r="AD364" s="240"/>
      <c r="AE364" s="240"/>
      <c r="AF364" s="240"/>
      <c r="AG364" s="240"/>
      <c r="AH364" s="240"/>
      <c r="AI364" s="240"/>
      <c r="AJ364" s="240"/>
      <c r="AK364" s="240"/>
      <c r="AL364" s="240"/>
      <c r="AM364" s="240"/>
      <c r="AN364" s="240"/>
      <c r="AO364" s="240"/>
      <c r="AP364" s="110"/>
      <c r="AQ364" s="110"/>
      <c r="AR364" s="110">
        <v>1217340.6299999999</v>
      </c>
      <c r="AS364" s="110"/>
      <c r="AT364" s="110">
        <v>1105252.6100000001</v>
      </c>
      <c r="AU364" s="110">
        <v>1253383.6599999999</v>
      </c>
      <c r="AV364" s="110">
        <v>1243291.21</v>
      </c>
      <c r="AW364" s="110">
        <v>1222085.5</v>
      </c>
      <c r="AX364" s="110">
        <v>1184904.95</v>
      </c>
      <c r="AY364" s="110">
        <v>1152445.18</v>
      </c>
      <c r="AZ364" s="110">
        <v>982558.67</v>
      </c>
      <c r="BA364" s="110">
        <v>1079810.51</v>
      </c>
      <c r="BB364" s="110">
        <v>1089387.83</v>
      </c>
      <c r="BC364" s="110">
        <v>1128068.68</v>
      </c>
      <c r="BD364" s="110">
        <v>1136806.29</v>
      </c>
      <c r="BE364" s="110">
        <v>1197731.68</v>
      </c>
      <c r="BF364" s="110">
        <v>1164072.1299999999</v>
      </c>
      <c r="BG364" s="237">
        <v>1151365.05</v>
      </c>
      <c r="BH364" s="237">
        <v>1121421.78</v>
      </c>
      <c r="BI364" s="237">
        <v>1152193.31</v>
      </c>
      <c r="BJ364" s="237">
        <v>995498.9</v>
      </c>
      <c r="BK364" s="237">
        <v>1004925.63</v>
      </c>
      <c r="BL364" s="237">
        <v>1052218.8500000001</v>
      </c>
      <c r="BM364" s="237">
        <v>1041465.67</v>
      </c>
      <c r="BN364" s="237">
        <v>1043877.53</v>
      </c>
      <c r="BO364" s="237">
        <v>1057851.01</v>
      </c>
      <c r="BP364" s="237">
        <v>1048486.21</v>
      </c>
      <c r="BQ364" s="237">
        <v>1058101.95</v>
      </c>
      <c r="BR364" s="237">
        <v>7893.43</v>
      </c>
      <c r="BS364" s="237">
        <v>0</v>
      </c>
      <c r="BT364" s="237">
        <v>0</v>
      </c>
      <c r="BU364" s="237">
        <v>0</v>
      </c>
      <c r="BV364" s="237">
        <v>0</v>
      </c>
      <c r="BW364" s="237">
        <v>0</v>
      </c>
      <c r="BX364" s="237">
        <v>0</v>
      </c>
      <c r="BY364" s="237">
        <v>0</v>
      </c>
      <c r="BZ364" s="237">
        <v>0</v>
      </c>
      <c r="CA364" s="237">
        <v>0</v>
      </c>
      <c r="CB364" s="237">
        <v>0</v>
      </c>
      <c r="CC364" s="237">
        <v>0</v>
      </c>
      <c r="CD364" s="237">
        <v>0</v>
      </c>
      <c r="CE364" s="237">
        <v>0</v>
      </c>
      <c r="CF364" s="237">
        <v>0</v>
      </c>
      <c r="CG364" s="237">
        <v>0</v>
      </c>
      <c r="CH364" s="30">
        <v>0</v>
      </c>
      <c r="CI364" s="30">
        <v>0</v>
      </c>
      <c r="CJ364" s="30" t="e">
        <f t="array" aca="1" ref="CJ364" ca="1">_xludf.XLOOKUP(C364,'PL TOTAL D0'!H:H,'PL TOTAL D0'!I:I,"")</f>
        <v>#NAME?</v>
      </c>
    </row>
    <row r="365" spans="1:88" ht="15.75" customHeight="1">
      <c r="A365" s="36" t="s">
        <v>2921</v>
      </c>
      <c r="B365" s="106" t="s">
        <v>3515</v>
      </c>
      <c r="C365" s="9">
        <v>43617</v>
      </c>
      <c r="D365" s="9" t="s">
        <v>19</v>
      </c>
      <c r="E365" s="9" t="s">
        <v>34</v>
      </c>
      <c r="F365" s="9" t="s">
        <v>35</v>
      </c>
      <c r="G365" s="7" t="e">
        <f t="shared" ca="1" si="4"/>
        <v>#NAME?</v>
      </c>
      <c r="H365" s="8" t="s">
        <v>143</v>
      </c>
      <c r="I365" s="24" t="s">
        <v>25</v>
      </c>
      <c r="J365" s="9" t="str">
        <f t="shared" si="6"/>
        <v>Sim</v>
      </c>
      <c r="K365" s="232">
        <v>44599</v>
      </c>
      <c r="L365" s="25">
        <v>45000</v>
      </c>
      <c r="M365" s="6" t="s">
        <v>200</v>
      </c>
      <c r="N365" s="233">
        <v>1.4999999999999999E-2</v>
      </c>
      <c r="O365" s="9" t="s">
        <v>37</v>
      </c>
      <c r="P365" s="234">
        <v>0.1</v>
      </c>
      <c r="Q365" s="28" t="s">
        <v>3516</v>
      </c>
      <c r="R365" s="28"/>
      <c r="S365" s="7" t="s">
        <v>187</v>
      </c>
      <c r="T365" s="9" t="s">
        <v>3517</v>
      </c>
      <c r="U365" s="7" t="s">
        <v>39</v>
      </c>
      <c r="V365" s="24" t="e">
        <f t="shared" ca="1" si="5"/>
        <v>#NAME?</v>
      </c>
      <c r="W365" s="24"/>
      <c r="X365" s="24"/>
      <c r="Y365" s="6" t="s">
        <v>253</v>
      </c>
      <c r="Z365" s="6"/>
      <c r="AA365" s="6"/>
      <c r="AB365" s="6"/>
      <c r="AC365" s="132"/>
      <c r="AD365" s="132"/>
      <c r="AE365" s="132"/>
      <c r="AF365" s="132"/>
      <c r="AG365" s="132"/>
      <c r="AH365" s="132"/>
      <c r="AI365" s="132"/>
      <c r="AJ365" s="132"/>
      <c r="AK365" s="132"/>
      <c r="AL365" s="132"/>
      <c r="AM365" s="132"/>
      <c r="AN365" s="132"/>
      <c r="AO365" s="132"/>
      <c r="AP365" s="132"/>
      <c r="AQ365" s="132"/>
      <c r="AR365" s="30">
        <v>1217340.6299999999</v>
      </c>
      <c r="AS365" s="132"/>
      <c r="AT365" s="30">
        <v>1105252.6100000001</v>
      </c>
      <c r="AU365" s="30">
        <v>1253383.6599999999</v>
      </c>
      <c r="AV365" s="30">
        <v>1243291.21</v>
      </c>
      <c r="AW365" s="30">
        <v>1222085.5</v>
      </c>
      <c r="AX365" s="30">
        <v>1184904.95</v>
      </c>
      <c r="AY365" s="30">
        <v>1152445.18</v>
      </c>
      <c r="AZ365" s="30">
        <v>982558.67</v>
      </c>
      <c r="BA365" s="30">
        <v>1079810.51</v>
      </c>
      <c r="BB365" s="30">
        <v>1089387.83</v>
      </c>
      <c r="BC365" s="110">
        <v>256471.38</v>
      </c>
      <c r="BD365" s="110">
        <v>256592.64000000001</v>
      </c>
      <c r="BE365" s="110">
        <v>266164.67</v>
      </c>
      <c r="BF365" s="110">
        <v>262220.14</v>
      </c>
      <c r="BG365" s="237">
        <v>261119.99</v>
      </c>
      <c r="BH365" s="237">
        <v>259469.99</v>
      </c>
      <c r="BI365" s="237">
        <v>260326.59</v>
      </c>
      <c r="BJ365" s="237">
        <v>261971.5</v>
      </c>
      <c r="BK365" s="237">
        <v>263250.71000000002</v>
      </c>
      <c r="BL365" s="237">
        <v>264787.45</v>
      </c>
      <c r="BM365" s="237">
        <v>106049.56</v>
      </c>
      <c r="BN365" s="237">
        <v>106585.06</v>
      </c>
      <c r="BO365" s="237">
        <v>108052.87</v>
      </c>
      <c r="BP365" s="237">
        <v>52740.74</v>
      </c>
      <c r="BQ365" s="237">
        <v>53252.09</v>
      </c>
      <c r="BR365" s="237">
        <v>42504.02</v>
      </c>
      <c r="BS365" s="237">
        <v>42379.86</v>
      </c>
      <c r="BT365" s="237">
        <v>43255.77</v>
      </c>
      <c r="BU365" s="237">
        <v>0</v>
      </c>
      <c r="BV365" s="237">
        <v>0</v>
      </c>
      <c r="BW365" s="237">
        <v>0</v>
      </c>
      <c r="BX365" s="237">
        <v>0</v>
      </c>
      <c r="BY365" s="237">
        <v>0</v>
      </c>
      <c r="BZ365" s="237">
        <v>0</v>
      </c>
      <c r="CA365" s="237">
        <v>0</v>
      </c>
      <c r="CB365" s="237">
        <v>0</v>
      </c>
      <c r="CC365" s="237">
        <v>0</v>
      </c>
      <c r="CD365" s="237">
        <v>0</v>
      </c>
      <c r="CE365" s="237">
        <v>0</v>
      </c>
      <c r="CF365" s="237">
        <v>0</v>
      </c>
      <c r="CG365" s="237">
        <v>0</v>
      </c>
      <c r="CH365" s="30">
        <v>0</v>
      </c>
      <c r="CI365" s="30">
        <v>0</v>
      </c>
      <c r="CJ365" s="30" t="e">
        <f t="array" aca="1" ref="CJ365" ca="1">_xludf.XLOOKUP(C365,'PL TOTAL D0'!H:H,'PL TOTAL D0'!I:I,"")</f>
        <v>#NAME?</v>
      </c>
    </row>
    <row r="366" spans="1:88" ht="15.75" customHeight="1">
      <c r="A366" s="36" t="s">
        <v>2921</v>
      </c>
      <c r="B366" s="37" t="s">
        <v>3518</v>
      </c>
      <c r="C366" s="9">
        <v>584243</v>
      </c>
      <c r="D366" s="9" t="s">
        <v>2923</v>
      </c>
      <c r="E366" s="9" t="s">
        <v>20</v>
      </c>
      <c r="F366" s="6" t="s">
        <v>2930</v>
      </c>
      <c r="G366" s="7" t="e">
        <f t="shared" ca="1" si="4"/>
        <v>#NAME?</v>
      </c>
      <c r="H366" s="8" t="s">
        <v>143</v>
      </c>
      <c r="I366" s="24" t="s">
        <v>25</v>
      </c>
      <c r="J366" s="9" t="str">
        <f t="shared" si="6"/>
        <v>Não</v>
      </c>
      <c r="K366" s="107">
        <v>43606</v>
      </c>
      <c r="L366" s="239">
        <v>44484</v>
      </c>
      <c r="M366" s="6" t="s">
        <v>58</v>
      </c>
      <c r="N366" s="10">
        <v>5.0000000000000001E-3</v>
      </c>
      <c r="O366" s="9" t="s">
        <v>25</v>
      </c>
      <c r="P366" s="234">
        <v>0</v>
      </c>
      <c r="Q366" s="108"/>
      <c r="R366" s="108"/>
      <c r="S366" s="7" t="s">
        <v>187</v>
      </c>
      <c r="T366" s="6" t="s">
        <v>3519</v>
      </c>
      <c r="U366" s="6" t="s">
        <v>49</v>
      </c>
      <c r="V366" s="24" t="e">
        <f t="shared" ca="1" si="5"/>
        <v>#NAME?</v>
      </c>
      <c r="W366" s="24"/>
      <c r="X366" s="24"/>
      <c r="Y366" s="6"/>
      <c r="Z366" s="6"/>
      <c r="AA366" s="6"/>
      <c r="AB366" s="6"/>
      <c r="AC366" s="110">
        <v>0</v>
      </c>
      <c r="AD366" s="110">
        <v>0</v>
      </c>
      <c r="AE366" s="110">
        <v>0</v>
      </c>
      <c r="AF366" s="110">
        <v>0</v>
      </c>
      <c r="AG366" s="110">
        <v>0</v>
      </c>
      <c r="AH366" s="110">
        <v>0</v>
      </c>
      <c r="AI366" s="110">
        <v>0</v>
      </c>
      <c r="AJ366" s="240"/>
      <c r="AK366" s="240"/>
      <c r="AL366" s="240"/>
      <c r="AM366" s="240"/>
      <c r="AN366" s="240"/>
      <c r="AO366" s="240"/>
      <c r="AP366" s="110"/>
      <c r="AQ366" s="110"/>
      <c r="AR366" s="110"/>
      <c r="AS366" s="110"/>
      <c r="AT366" s="110"/>
      <c r="AU366" s="110"/>
      <c r="AV366" s="240"/>
      <c r="AW366" s="240"/>
      <c r="AX366" s="240"/>
      <c r="AY366" s="110"/>
      <c r="AZ366" s="110"/>
      <c r="BA366" s="110"/>
      <c r="BB366" s="110"/>
      <c r="BC366" s="110"/>
      <c r="BD366" s="110">
        <v>0</v>
      </c>
      <c r="BE366" s="110">
        <v>0</v>
      </c>
      <c r="BF366" s="110">
        <v>0</v>
      </c>
      <c r="BG366" s="110" t="s">
        <v>2932</v>
      </c>
      <c r="BH366" s="110">
        <v>0</v>
      </c>
      <c r="BI366" s="110" t="s">
        <v>2932</v>
      </c>
      <c r="BJ366" s="110">
        <v>0</v>
      </c>
      <c r="BK366" s="237">
        <v>0</v>
      </c>
      <c r="BL366" s="237">
        <v>0</v>
      </c>
      <c r="BM366" s="237">
        <v>0</v>
      </c>
      <c r="BN366" s="237">
        <v>0</v>
      </c>
      <c r="BO366" s="237">
        <v>0</v>
      </c>
      <c r="BP366" s="237">
        <v>0</v>
      </c>
      <c r="BQ366" s="237">
        <v>0</v>
      </c>
      <c r="BR366" s="237">
        <v>0</v>
      </c>
      <c r="BS366" s="237">
        <v>0</v>
      </c>
      <c r="BT366" s="237">
        <v>0</v>
      </c>
      <c r="BU366" s="237">
        <v>0</v>
      </c>
      <c r="BV366" s="237">
        <v>0</v>
      </c>
      <c r="BW366" s="237">
        <v>0</v>
      </c>
      <c r="BX366" s="237">
        <v>0</v>
      </c>
      <c r="BY366" s="237">
        <v>0</v>
      </c>
      <c r="BZ366" s="237">
        <v>0</v>
      </c>
      <c r="CA366" s="237">
        <v>0</v>
      </c>
      <c r="CB366" s="237">
        <v>0</v>
      </c>
      <c r="CC366" s="237">
        <v>0</v>
      </c>
      <c r="CD366" s="237">
        <v>0</v>
      </c>
      <c r="CE366" s="237">
        <v>0</v>
      </c>
      <c r="CF366" s="237">
        <v>0</v>
      </c>
      <c r="CG366" s="237">
        <v>0</v>
      </c>
      <c r="CH366" s="30">
        <v>0</v>
      </c>
      <c r="CI366" s="30">
        <v>0</v>
      </c>
      <c r="CJ366" s="30" t="e">
        <f t="array" aca="1" ref="CJ366" ca="1">_xludf.XLOOKUP(C366,'PL TOTAL D0'!H:H,'PL TOTAL D0'!I:I,"")</f>
        <v>#NAME?</v>
      </c>
    </row>
    <row r="367" spans="1:88" ht="15.75" customHeight="1">
      <c r="A367" s="36" t="s">
        <v>2921</v>
      </c>
      <c r="B367" s="37" t="s">
        <v>3518</v>
      </c>
      <c r="C367" s="9">
        <v>43312</v>
      </c>
      <c r="D367" s="9" t="s">
        <v>2923</v>
      </c>
      <c r="E367" s="9" t="s">
        <v>20</v>
      </c>
      <c r="F367" s="6" t="s">
        <v>2930</v>
      </c>
      <c r="G367" s="7" t="e">
        <f t="shared" ca="1" si="4"/>
        <v>#NAME?</v>
      </c>
      <c r="H367" s="8" t="s">
        <v>143</v>
      </c>
      <c r="I367" s="24" t="s">
        <v>25</v>
      </c>
      <c r="J367" s="9" t="str">
        <f t="shared" si="6"/>
        <v>Não</v>
      </c>
      <c r="K367" s="107">
        <v>43606</v>
      </c>
      <c r="L367" s="239">
        <v>44484</v>
      </c>
      <c r="M367" s="6" t="s">
        <v>87</v>
      </c>
      <c r="N367" s="10">
        <v>0.02</v>
      </c>
      <c r="O367" s="9" t="s">
        <v>183</v>
      </c>
      <c r="P367" s="234">
        <v>0.2</v>
      </c>
      <c r="Q367" s="108"/>
      <c r="R367" s="108"/>
      <c r="S367" s="7" t="s">
        <v>187</v>
      </c>
      <c r="T367" s="6" t="s">
        <v>3520</v>
      </c>
      <c r="U367" s="6" t="s">
        <v>49</v>
      </c>
      <c r="V367" s="24" t="e">
        <f t="shared" ca="1" si="5"/>
        <v>#NAME?</v>
      </c>
      <c r="W367" s="24"/>
      <c r="X367" s="24"/>
      <c r="Y367" s="6"/>
      <c r="Z367" s="6"/>
      <c r="AA367" s="6"/>
      <c r="AB367" s="6"/>
      <c r="AC367" s="110">
        <v>0</v>
      </c>
      <c r="AD367" s="110">
        <v>0</v>
      </c>
      <c r="AE367" s="110">
        <v>0</v>
      </c>
      <c r="AF367" s="110">
        <v>0</v>
      </c>
      <c r="AG367" s="110">
        <v>0</v>
      </c>
      <c r="AH367" s="110">
        <v>0</v>
      </c>
      <c r="AI367" s="110">
        <v>0</v>
      </c>
      <c r="AJ367" s="240"/>
      <c r="AK367" s="240"/>
      <c r="AL367" s="240"/>
      <c r="AM367" s="240"/>
      <c r="AN367" s="240"/>
      <c r="AO367" s="240"/>
      <c r="AP367" s="110"/>
      <c r="AQ367" s="110"/>
      <c r="AR367" s="110"/>
      <c r="AS367" s="110"/>
      <c r="AT367" s="110"/>
      <c r="AU367" s="110"/>
      <c r="AV367" s="240"/>
      <c r="AW367" s="240"/>
      <c r="AX367" s="240"/>
      <c r="AY367" s="110"/>
      <c r="AZ367" s="110"/>
      <c r="BA367" s="110"/>
      <c r="BB367" s="110"/>
      <c r="BC367" s="110"/>
      <c r="BD367" s="110">
        <v>0</v>
      </c>
      <c r="BE367" s="110">
        <v>0</v>
      </c>
      <c r="BF367" s="110">
        <v>0</v>
      </c>
      <c r="BG367" s="110" t="s">
        <v>2932</v>
      </c>
      <c r="BH367" s="110">
        <v>0</v>
      </c>
      <c r="BI367" s="110" t="s">
        <v>2932</v>
      </c>
      <c r="BJ367" s="110">
        <v>0</v>
      </c>
      <c r="BK367" s="237">
        <v>0</v>
      </c>
      <c r="BL367" s="237">
        <v>0</v>
      </c>
      <c r="BM367" s="237">
        <v>0</v>
      </c>
      <c r="BN367" s="237">
        <v>0</v>
      </c>
      <c r="BO367" s="237">
        <v>0</v>
      </c>
      <c r="BP367" s="237">
        <v>0</v>
      </c>
      <c r="BQ367" s="237">
        <v>0</v>
      </c>
      <c r="BR367" s="237">
        <v>0</v>
      </c>
      <c r="BS367" s="237">
        <v>0</v>
      </c>
      <c r="BT367" s="237">
        <v>0</v>
      </c>
      <c r="BU367" s="237">
        <v>0</v>
      </c>
      <c r="BV367" s="237">
        <v>0</v>
      </c>
      <c r="BW367" s="237">
        <v>0</v>
      </c>
      <c r="BX367" s="237">
        <v>0</v>
      </c>
      <c r="BY367" s="237">
        <v>0</v>
      </c>
      <c r="BZ367" s="237">
        <v>0</v>
      </c>
      <c r="CA367" s="237">
        <v>0</v>
      </c>
      <c r="CB367" s="237">
        <v>0</v>
      </c>
      <c r="CC367" s="237">
        <v>0</v>
      </c>
      <c r="CD367" s="237">
        <v>0</v>
      </c>
      <c r="CE367" s="237">
        <v>0</v>
      </c>
      <c r="CF367" s="237">
        <v>0</v>
      </c>
      <c r="CG367" s="237">
        <v>0</v>
      </c>
      <c r="CH367" s="30">
        <v>0</v>
      </c>
      <c r="CI367" s="30">
        <v>0</v>
      </c>
      <c r="CJ367" s="30" t="e">
        <f t="array" aca="1" ref="CJ367" ca="1">_xludf.XLOOKUP(C367,'PL TOTAL D0'!H:H,'PL TOTAL D0'!I:I,"")</f>
        <v>#NAME?</v>
      </c>
    </row>
    <row r="368" spans="1:88" ht="15.75" customHeight="1">
      <c r="A368" s="36" t="s">
        <v>2921</v>
      </c>
      <c r="B368" s="3" t="s">
        <v>3521</v>
      </c>
      <c r="C368" s="9">
        <v>263535</v>
      </c>
      <c r="D368" s="9" t="s">
        <v>2923</v>
      </c>
      <c r="E368" s="9" t="s">
        <v>20</v>
      </c>
      <c r="F368" s="6" t="s">
        <v>2930</v>
      </c>
      <c r="G368" s="7" t="e">
        <f t="shared" ca="1" si="4"/>
        <v>#NAME?</v>
      </c>
      <c r="H368" s="8" t="s">
        <v>143</v>
      </c>
      <c r="I368" s="24" t="s">
        <v>25</v>
      </c>
      <c r="J368" s="9" t="str">
        <f t="shared" si="6"/>
        <v>Não</v>
      </c>
      <c r="K368" s="107">
        <v>43710</v>
      </c>
      <c r="L368" s="107">
        <v>44309</v>
      </c>
      <c r="M368" s="6" t="s">
        <v>200</v>
      </c>
      <c r="N368" s="10">
        <v>0.01</v>
      </c>
      <c r="O368" s="9" t="s">
        <v>37</v>
      </c>
      <c r="P368" s="234">
        <v>0.1</v>
      </c>
      <c r="Q368" s="108"/>
      <c r="R368" s="108" t="s">
        <v>3522</v>
      </c>
      <c r="S368" s="7" t="s">
        <v>145</v>
      </c>
      <c r="T368" s="6" t="s">
        <v>2632</v>
      </c>
      <c r="U368" s="6" t="s">
        <v>20</v>
      </c>
      <c r="V368" s="24" t="e">
        <f t="shared" ca="1" si="5"/>
        <v>#NAME?</v>
      </c>
      <c r="W368" s="24"/>
      <c r="X368" s="24"/>
      <c r="Y368" s="6"/>
      <c r="Z368" s="6"/>
      <c r="AA368" s="6"/>
      <c r="AB368" s="6"/>
      <c r="AC368" s="110">
        <v>171948.74</v>
      </c>
      <c r="AD368" s="110">
        <v>170580.43</v>
      </c>
      <c r="AE368" s="110">
        <v>183129.57</v>
      </c>
      <c r="AF368" s="110">
        <v>185953.1</v>
      </c>
      <c r="AG368" s="110">
        <v>187410.67</v>
      </c>
      <c r="AH368" s="110">
        <v>192428.67</v>
      </c>
      <c r="AI368" s="110">
        <v>197074.3</v>
      </c>
      <c r="AJ368" s="110">
        <v>196887.41</v>
      </c>
      <c r="AK368" s="110">
        <v>196201.43</v>
      </c>
      <c r="AL368" s="110">
        <v>196229.64</v>
      </c>
      <c r="AM368" s="110">
        <v>197621.18</v>
      </c>
      <c r="AN368" s="110">
        <v>198444.05</v>
      </c>
      <c r="AO368" s="110">
        <v>196781.86</v>
      </c>
      <c r="AP368" s="110">
        <v>159303.99</v>
      </c>
      <c r="AQ368" s="110">
        <v>106032.22</v>
      </c>
      <c r="AR368" s="110"/>
      <c r="AS368" s="110"/>
      <c r="AT368" s="110"/>
      <c r="AU368" s="110"/>
      <c r="AV368" s="240"/>
      <c r="AW368" s="240"/>
      <c r="AX368" s="240"/>
      <c r="AY368" s="110"/>
      <c r="AZ368" s="110"/>
      <c r="BA368" s="110"/>
      <c r="BB368" s="110"/>
      <c r="BC368" s="110"/>
      <c r="BD368" s="110">
        <v>0</v>
      </c>
      <c r="BE368" s="110">
        <v>0</v>
      </c>
      <c r="BF368" s="110">
        <v>0</v>
      </c>
      <c r="BG368" s="110" t="s">
        <v>2932</v>
      </c>
      <c r="BH368" s="110">
        <v>0</v>
      </c>
      <c r="BI368" s="110" t="s">
        <v>2932</v>
      </c>
      <c r="BJ368" s="110">
        <v>0</v>
      </c>
      <c r="BK368" s="237">
        <v>0</v>
      </c>
      <c r="BL368" s="237">
        <v>0</v>
      </c>
      <c r="BM368" s="237">
        <v>0</v>
      </c>
      <c r="BN368" s="237">
        <v>0</v>
      </c>
      <c r="BO368" s="237">
        <v>0</v>
      </c>
      <c r="BP368" s="237">
        <v>0</v>
      </c>
      <c r="BQ368" s="237">
        <v>0</v>
      </c>
      <c r="BR368" s="237">
        <v>0</v>
      </c>
      <c r="BS368" s="237">
        <v>0</v>
      </c>
      <c r="BT368" s="237">
        <v>0</v>
      </c>
      <c r="BU368" s="237">
        <v>0</v>
      </c>
      <c r="BV368" s="237">
        <v>0</v>
      </c>
      <c r="BW368" s="237">
        <v>0</v>
      </c>
      <c r="BX368" s="237">
        <v>0</v>
      </c>
      <c r="BY368" s="237">
        <v>0</v>
      </c>
      <c r="BZ368" s="237">
        <v>0</v>
      </c>
      <c r="CA368" s="237">
        <v>0</v>
      </c>
      <c r="CB368" s="237">
        <v>0</v>
      </c>
      <c r="CC368" s="237">
        <v>0</v>
      </c>
      <c r="CD368" s="237">
        <v>0</v>
      </c>
      <c r="CE368" s="237">
        <v>0</v>
      </c>
      <c r="CF368" s="237">
        <v>0</v>
      </c>
      <c r="CG368" s="237">
        <v>0</v>
      </c>
      <c r="CH368" s="30">
        <v>0</v>
      </c>
      <c r="CI368" s="30">
        <v>0</v>
      </c>
      <c r="CJ368" s="30" t="e">
        <f t="array" aca="1" ref="CJ368" ca="1">_xludf.XLOOKUP(C368,'PL TOTAL D0'!H:H,'PL TOTAL D0'!I:I,"")</f>
        <v>#NAME?</v>
      </c>
    </row>
    <row r="369" spans="1:88" ht="15.75" customHeight="1">
      <c r="A369" s="36" t="s">
        <v>2921</v>
      </c>
      <c r="B369" s="3" t="s">
        <v>3523</v>
      </c>
      <c r="C369" s="9">
        <v>261278</v>
      </c>
      <c r="D369" s="9" t="s">
        <v>19</v>
      </c>
      <c r="E369" s="9" t="s">
        <v>34</v>
      </c>
      <c r="F369" s="9" t="s">
        <v>262</v>
      </c>
      <c r="G369" s="7" t="e">
        <f t="shared" ca="1" si="4"/>
        <v>#NAME?</v>
      </c>
      <c r="H369" s="8" t="s">
        <v>143</v>
      </c>
      <c r="I369" s="24" t="s">
        <v>25</v>
      </c>
      <c r="J369" s="9" t="str">
        <f t="shared" si="6"/>
        <v>Não</v>
      </c>
      <c r="K369" s="232">
        <v>44340</v>
      </c>
      <c r="L369" s="107">
        <v>44903</v>
      </c>
      <c r="M369" s="6" t="s">
        <v>58</v>
      </c>
      <c r="N369" s="233">
        <v>0.01</v>
      </c>
      <c r="O369" s="9" t="s">
        <v>25</v>
      </c>
      <c r="P369" s="234">
        <v>0</v>
      </c>
      <c r="Q369" s="45"/>
      <c r="R369" s="28" t="s">
        <v>3524</v>
      </c>
      <c r="S369" s="7" t="s">
        <v>145</v>
      </c>
      <c r="T369" s="6" t="s">
        <v>3525</v>
      </c>
      <c r="U369" s="6" t="s">
        <v>39</v>
      </c>
      <c r="V369" s="24" t="e">
        <f t="shared" ca="1" si="5"/>
        <v>#NAME?</v>
      </c>
      <c r="W369" s="24"/>
      <c r="X369" s="24"/>
      <c r="Y369" s="6" t="s">
        <v>253</v>
      </c>
      <c r="Z369" s="6"/>
      <c r="AA369" s="6"/>
      <c r="AB369" s="6"/>
      <c r="AC369" s="132"/>
      <c r="AD369" s="132"/>
      <c r="AE369" s="132"/>
      <c r="AF369" s="132"/>
      <c r="AG369" s="132"/>
      <c r="AH369" s="132"/>
      <c r="AI369" s="132"/>
      <c r="AJ369" s="132"/>
      <c r="AK369" s="132"/>
      <c r="AL369" s="132"/>
      <c r="AM369" s="132"/>
      <c r="AN369" s="132"/>
      <c r="AO369" s="132"/>
      <c r="AP369" s="132"/>
      <c r="AQ369" s="236"/>
      <c r="AR369" s="236"/>
      <c r="AS369" s="236"/>
      <c r="AT369" s="132"/>
      <c r="AU369" s="132">
        <v>150393.35999999999</v>
      </c>
      <c r="AV369" s="110">
        <v>150270.22</v>
      </c>
      <c r="AW369" s="110">
        <v>149816.69</v>
      </c>
      <c r="AX369" s="110">
        <v>148643.62</v>
      </c>
      <c r="AY369" s="110">
        <v>129444.37</v>
      </c>
      <c r="AZ369" s="110">
        <v>145449.15</v>
      </c>
      <c r="BA369" s="110">
        <v>128521.81</v>
      </c>
      <c r="BB369" s="110">
        <v>146875.19</v>
      </c>
      <c r="BC369" s="110">
        <v>42443.57</v>
      </c>
      <c r="BD369" s="110">
        <v>42688.22</v>
      </c>
      <c r="BE369" s="110">
        <v>43139.9</v>
      </c>
      <c r="BF369" s="110">
        <v>43481.52</v>
      </c>
      <c r="BG369" s="237">
        <v>43979.57</v>
      </c>
      <c r="BH369" s="237">
        <v>44278.28</v>
      </c>
      <c r="BI369" s="237">
        <v>44573.81</v>
      </c>
      <c r="BJ369" s="237">
        <v>40734.44</v>
      </c>
      <c r="BK369" s="237">
        <v>40915.65</v>
      </c>
      <c r="BL369" s="237">
        <v>41113.71</v>
      </c>
      <c r="BM369" s="237">
        <v>460.33</v>
      </c>
      <c r="BN369" s="237">
        <v>434.18</v>
      </c>
      <c r="BO369" s="237">
        <v>0</v>
      </c>
      <c r="BP369" s="237">
        <v>0</v>
      </c>
      <c r="BQ369" s="237">
        <v>0</v>
      </c>
      <c r="BR369" s="237">
        <v>0</v>
      </c>
      <c r="BS369" s="237">
        <v>0</v>
      </c>
      <c r="BT369" s="237">
        <v>0</v>
      </c>
      <c r="BU369" s="237">
        <v>0</v>
      </c>
      <c r="BV369" s="237">
        <v>0</v>
      </c>
      <c r="BW369" s="237">
        <v>0</v>
      </c>
      <c r="BX369" s="237">
        <v>0</v>
      </c>
      <c r="BY369" s="237">
        <v>0</v>
      </c>
      <c r="BZ369" s="237">
        <v>0</v>
      </c>
      <c r="CA369" s="237">
        <v>0</v>
      </c>
      <c r="CB369" s="237">
        <v>0</v>
      </c>
      <c r="CC369" s="237">
        <v>0</v>
      </c>
      <c r="CD369" s="237">
        <v>0</v>
      </c>
      <c r="CE369" s="237">
        <v>0</v>
      </c>
      <c r="CF369" s="237">
        <v>0</v>
      </c>
      <c r="CG369" s="237">
        <v>0</v>
      </c>
      <c r="CH369" s="30">
        <v>0</v>
      </c>
      <c r="CI369" s="30">
        <v>0</v>
      </c>
      <c r="CJ369" s="30" t="e">
        <f t="array" aca="1" ref="CJ369" ca="1">_xludf.XLOOKUP(C369,'PL TOTAL D0'!H:H,'PL TOTAL D0'!I:I,"")</f>
        <v>#NAME?</v>
      </c>
    </row>
    <row r="370" spans="1:88" ht="15.75" customHeight="1">
      <c r="A370" s="36" t="s">
        <v>2921</v>
      </c>
      <c r="B370" s="3" t="s">
        <v>3526</v>
      </c>
      <c r="C370" s="9">
        <v>31787</v>
      </c>
      <c r="D370" s="9" t="s">
        <v>19</v>
      </c>
      <c r="E370" s="9" t="s">
        <v>34</v>
      </c>
      <c r="F370" s="9" t="s">
        <v>616</v>
      </c>
      <c r="G370" s="7" t="e">
        <f t="shared" ca="1" si="4"/>
        <v>#NAME?</v>
      </c>
      <c r="H370" s="8" t="s">
        <v>161</v>
      </c>
      <c r="I370" s="24" t="s">
        <v>162</v>
      </c>
      <c r="J370" s="9" t="str">
        <f t="shared" si="6"/>
        <v>Não</v>
      </c>
      <c r="K370" s="232">
        <v>44272</v>
      </c>
      <c r="L370" s="6"/>
      <c r="M370" s="6" t="s">
        <v>58</v>
      </c>
      <c r="N370" s="10">
        <v>1.2E-2</v>
      </c>
      <c r="O370" s="9" t="s">
        <v>25</v>
      </c>
      <c r="P370" s="234">
        <v>0</v>
      </c>
      <c r="Q370" s="108"/>
      <c r="R370" s="108"/>
      <c r="S370" s="7" t="s">
        <v>145</v>
      </c>
      <c r="T370" s="6" t="s">
        <v>2667</v>
      </c>
      <c r="U370" s="6" t="s">
        <v>39</v>
      </c>
      <c r="V370" s="24" t="e">
        <f t="shared" ca="1" si="5"/>
        <v>#NAME?</v>
      </c>
      <c r="W370" s="24"/>
      <c r="X370" s="24"/>
      <c r="Y370" s="6" t="s">
        <v>253</v>
      </c>
      <c r="Z370" s="6"/>
      <c r="AA370" s="107">
        <v>44272</v>
      </c>
      <c r="AB370" s="6">
        <v>49075100014302</v>
      </c>
      <c r="AC370" s="240"/>
      <c r="AD370" s="240"/>
      <c r="AE370" s="240"/>
      <c r="AF370" s="240"/>
      <c r="AG370" s="240"/>
      <c r="AH370" s="240"/>
      <c r="AI370" s="240"/>
      <c r="AJ370" s="240"/>
      <c r="AK370" s="240"/>
      <c r="AL370" s="240"/>
      <c r="AM370" s="240"/>
      <c r="AN370" s="240"/>
      <c r="AO370" s="240"/>
      <c r="AP370" s="110"/>
      <c r="AQ370" s="236"/>
      <c r="AR370" s="236">
        <v>223866.63</v>
      </c>
      <c r="AS370" s="236">
        <v>224633.43</v>
      </c>
      <c r="AT370" s="236">
        <v>225162.73</v>
      </c>
      <c r="AU370" s="236">
        <v>227397.18</v>
      </c>
      <c r="AV370" s="110">
        <v>226932.61</v>
      </c>
      <c r="AW370" s="110">
        <v>226122.7</v>
      </c>
      <c r="AX370" s="110">
        <v>224226.11</v>
      </c>
      <c r="AY370" s="110">
        <v>222970.57</v>
      </c>
      <c r="AZ370" s="110">
        <v>221133.89</v>
      </c>
      <c r="BA370" s="110">
        <v>220471.38</v>
      </c>
      <c r="BB370" s="110">
        <v>221190.11</v>
      </c>
      <c r="BC370" s="110">
        <v>224440.71</v>
      </c>
      <c r="BD370" s="110">
        <v>225921.62</v>
      </c>
      <c r="BE370" s="110">
        <v>230614.48</v>
      </c>
      <c r="BF370" s="110">
        <v>230015.1</v>
      </c>
      <c r="BG370" s="237">
        <v>230941.6</v>
      </c>
      <c r="BH370" s="237">
        <v>232161.07</v>
      </c>
      <c r="BI370" s="237">
        <v>234801.06</v>
      </c>
      <c r="BJ370" s="237">
        <v>236815.82</v>
      </c>
      <c r="BK370" s="237">
        <v>238932.3</v>
      </c>
      <c r="BL370" s="237">
        <v>242767.55</v>
      </c>
      <c r="BM370" s="237">
        <v>243804.96</v>
      </c>
      <c r="BN370" s="237">
        <v>245663.8</v>
      </c>
      <c r="BO370" s="237">
        <v>247260.31</v>
      </c>
      <c r="BP370" s="237">
        <v>249129.19</v>
      </c>
      <c r="BQ370" s="237">
        <v>0</v>
      </c>
      <c r="BR370" s="237">
        <v>0</v>
      </c>
      <c r="BS370" s="237">
        <v>101040.49</v>
      </c>
      <c r="BT370" s="237">
        <v>91262.2</v>
      </c>
      <c r="BU370" s="237">
        <v>5984.32</v>
      </c>
      <c r="BV370" s="237">
        <v>140.29</v>
      </c>
      <c r="BW370" s="237">
        <v>0</v>
      </c>
      <c r="BX370" s="237">
        <v>140.29</v>
      </c>
      <c r="BY370" s="237">
        <v>0</v>
      </c>
      <c r="BZ370" s="237">
        <v>0</v>
      </c>
      <c r="CA370" s="237">
        <v>0</v>
      </c>
      <c r="CB370" s="237">
        <v>0</v>
      </c>
      <c r="CC370" s="237">
        <v>0</v>
      </c>
      <c r="CD370" s="237">
        <v>0</v>
      </c>
      <c r="CE370" s="237">
        <v>0</v>
      </c>
      <c r="CF370" s="237">
        <v>0</v>
      </c>
      <c r="CG370" s="237">
        <v>0</v>
      </c>
      <c r="CH370" s="30">
        <v>0</v>
      </c>
      <c r="CI370" s="30">
        <v>0</v>
      </c>
      <c r="CJ370" s="30" t="e">
        <f t="array" aca="1" ref="CJ370" ca="1">_xludf.XLOOKUP(C370,'PL TOTAL D0'!H:H,'PL TOTAL D0'!I:I,"")</f>
        <v>#NAME?</v>
      </c>
    </row>
    <row r="371" spans="1:88" ht="15.75" customHeight="1">
      <c r="A371" s="36" t="s">
        <v>2921</v>
      </c>
      <c r="B371" s="36" t="s">
        <v>3527</v>
      </c>
      <c r="C371" s="9">
        <v>86818</v>
      </c>
      <c r="D371" s="9" t="s">
        <v>2989</v>
      </c>
      <c r="E371" s="9" t="s">
        <v>20</v>
      </c>
      <c r="F371" s="9" t="s">
        <v>2989</v>
      </c>
      <c r="G371" s="7" t="e">
        <f t="shared" ca="1" si="4"/>
        <v>#NAME?</v>
      </c>
      <c r="H371" s="8" t="s">
        <v>152</v>
      </c>
      <c r="I371" s="24" t="s">
        <v>25</v>
      </c>
      <c r="J371" s="9" t="str">
        <f t="shared" si="6"/>
        <v>Não</v>
      </c>
      <c r="K371" s="238">
        <v>43384</v>
      </c>
      <c r="L371" s="6"/>
      <c r="M371" s="6" t="s">
        <v>87</v>
      </c>
      <c r="N371" s="233">
        <v>0.01</v>
      </c>
      <c r="O371" s="9" t="s">
        <v>25</v>
      </c>
      <c r="P371" s="234">
        <v>0</v>
      </c>
      <c r="Q371" s="108"/>
      <c r="R371" s="108"/>
      <c r="S371" s="7" t="s">
        <v>145</v>
      </c>
      <c r="T371" s="9" t="s">
        <v>3528</v>
      </c>
      <c r="U371" s="6" t="s">
        <v>20</v>
      </c>
      <c r="V371" s="24" t="e">
        <f t="shared" ca="1" si="5"/>
        <v>#NAME?</v>
      </c>
      <c r="W371" s="24"/>
      <c r="X371" s="24"/>
      <c r="Y371" s="6" t="s">
        <v>253</v>
      </c>
      <c r="Z371" s="6"/>
      <c r="AA371" s="239">
        <v>43384</v>
      </c>
      <c r="AB371" s="6">
        <v>49075100014310</v>
      </c>
      <c r="AC371" s="110">
        <v>132252.1</v>
      </c>
      <c r="AD371" s="110">
        <v>125939.42</v>
      </c>
      <c r="AE371" s="110">
        <v>93811.81</v>
      </c>
      <c r="AF371" s="110">
        <v>102249.03</v>
      </c>
      <c r="AG371" s="110">
        <v>107442.06</v>
      </c>
      <c r="AH371" s="110">
        <v>113549.39</v>
      </c>
      <c r="AI371" s="110">
        <v>123925.61</v>
      </c>
      <c r="AJ371" s="110">
        <v>113735.35</v>
      </c>
      <c r="AK371" s="110">
        <v>108392.89</v>
      </c>
      <c r="AL371" s="110">
        <v>113674.62</v>
      </c>
      <c r="AM371" s="110">
        <v>128680.11</v>
      </c>
      <c r="AN371" s="110">
        <v>132908.07999999999</v>
      </c>
      <c r="AO371" s="110">
        <v>127315.02</v>
      </c>
      <c r="AP371" s="110">
        <v>120813.34</v>
      </c>
      <c r="AQ371" s="236">
        <v>118338.19</v>
      </c>
      <c r="AR371" s="236">
        <v>122317.11</v>
      </c>
      <c r="AS371" s="236">
        <v>127891.97</v>
      </c>
      <c r="AT371" s="236">
        <v>128162.84</v>
      </c>
      <c r="AU371" s="236">
        <v>133612.49</v>
      </c>
      <c r="AV371" s="110">
        <v>131498.98000000001</v>
      </c>
      <c r="AW371" s="110">
        <v>127649</v>
      </c>
      <c r="AX371" s="110">
        <v>121996.93</v>
      </c>
      <c r="AY371" s="110">
        <v>115719.8</v>
      </c>
      <c r="AZ371" s="110">
        <v>108474.13</v>
      </c>
      <c r="BA371" s="110">
        <v>105127.52</v>
      </c>
      <c r="BB371" s="110">
        <v>104998.3</v>
      </c>
      <c r="BC371" s="110">
        <v>110301.44</v>
      </c>
      <c r="BD371" s="110">
        <v>112234.18</v>
      </c>
      <c r="BE371" s="110">
        <v>120778.44</v>
      </c>
      <c r="BF371" s="110">
        <v>114851.09</v>
      </c>
      <c r="BG371" s="237">
        <v>111951.16</v>
      </c>
      <c r="BH371" s="237">
        <v>107146.87</v>
      </c>
      <c r="BI371" s="237">
        <v>112172.13</v>
      </c>
      <c r="BJ371" s="237">
        <v>113735.7</v>
      </c>
      <c r="BK371" s="237">
        <v>114661.75999999999</v>
      </c>
      <c r="BL371" s="237">
        <v>123383.94</v>
      </c>
      <c r="BM371" s="237">
        <v>120921.19</v>
      </c>
      <c r="BN371" s="237">
        <v>120267</v>
      </c>
      <c r="BO371" s="237">
        <v>123860.69</v>
      </c>
      <c r="BP371" s="237">
        <v>119563.96</v>
      </c>
      <c r="BQ371" s="237">
        <v>119202.1</v>
      </c>
      <c r="BR371" s="237">
        <v>116778.53</v>
      </c>
      <c r="BS371" s="237">
        <v>121984.43</v>
      </c>
      <c r="BT371" s="237">
        <v>131434.72</v>
      </c>
      <c r="BU371" s="237">
        <v>136756.20000000001</v>
      </c>
      <c r="BV371" s="237">
        <v>136881.38</v>
      </c>
      <c r="BW371" s="237">
        <v>132197.29</v>
      </c>
      <c r="BX371" s="237">
        <v>125876.64</v>
      </c>
      <c r="BY371" s="237">
        <v>135417.51</v>
      </c>
      <c r="BZ371" s="237">
        <v>141335.26999999999</v>
      </c>
      <c r="CA371" s="237">
        <v>131919.94</v>
      </c>
      <c r="CB371" s="237">
        <v>134689.70000000001</v>
      </c>
      <c r="CC371" s="237">
        <v>135915.69</v>
      </c>
      <c r="CD371" s="237">
        <v>116991.7</v>
      </c>
      <c r="CE371" s="237">
        <v>112645.71</v>
      </c>
      <c r="CF371" s="237">
        <v>129351.02</v>
      </c>
      <c r="CG371" s="237">
        <v>116546.3</v>
      </c>
      <c r="CH371" s="30">
        <v>135212.32</v>
      </c>
      <c r="CI371" s="30">
        <v>132552.65</v>
      </c>
      <c r="CJ371" s="30" t="e">
        <f t="array" aca="1" ref="CJ371" ca="1">_xludf.XLOOKUP(C371,'PL TOTAL D0'!H:H,'PL TOTAL D0'!I:I,"")</f>
        <v>#NAME?</v>
      </c>
    </row>
    <row r="372" spans="1:88" ht="15.75" customHeight="1">
      <c r="A372" s="36" t="s">
        <v>2921</v>
      </c>
      <c r="B372" s="37" t="s">
        <v>3529</v>
      </c>
      <c r="C372" s="9">
        <v>82667</v>
      </c>
      <c r="D372" s="9" t="s">
        <v>2989</v>
      </c>
      <c r="E372" s="9" t="s">
        <v>20</v>
      </c>
      <c r="F372" s="6" t="s">
        <v>2989</v>
      </c>
      <c r="G372" s="7" t="e">
        <f t="shared" ca="1" si="4"/>
        <v>#NAME?</v>
      </c>
      <c r="H372" s="8" t="s">
        <v>143</v>
      </c>
      <c r="I372" s="24" t="s">
        <v>25</v>
      </c>
      <c r="J372" s="9" t="str">
        <f t="shared" si="6"/>
        <v>Não</v>
      </c>
      <c r="K372" s="107">
        <v>43494</v>
      </c>
      <c r="L372" s="239">
        <v>44132</v>
      </c>
      <c r="M372" s="6" t="s">
        <v>87</v>
      </c>
      <c r="N372" s="10">
        <v>0.01</v>
      </c>
      <c r="O372" s="9" t="s">
        <v>183</v>
      </c>
      <c r="P372" s="234">
        <v>0.2</v>
      </c>
      <c r="Q372" s="108"/>
      <c r="R372" s="108"/>
      <c r="S372" s="7" t="s">
        <v>145</v>
      </c>
      <c r="T372" s="6" t="s">
        <v>3530</v>
      </c>
      <c r="U372" s="6" t="s">
        <v>20</v>
      </c>
      <c r="V372" s="24" t="e">
        <f t="shared" ca="1" si="5"/>
        <v>#NAME?</v>
      </c>
      <c r="W372" s="24"/>
      <c r="X372" s="24"/>
      <c r="Y372" s="6"/>
      <c r="Z372" s="6"/>
      <c r="AA372" s="6"/>
      <c r="AB372" s="6"/>
      <c r="AC372" s="110">
        <v>204035.21</v>
      </c>
      <c r="AD372" s="110">
        <v>193952.68</v>
      </c>
      <c r="AE372" s="110">
        <v>149618.53</v>
      </c>
      <c r="AF372" s="110">
        <v>159618.03</v>
      </c>
      <c r="AG372" s="110">
        <v>166210.44</v>
      </c>
      <c r="AH372" s="110">
        <v>175629.47</v>
      </c>
      <c r="AI372" s="110">
        <v>187375.04</v>
      </c>
      <c r="AJ372" s="110">
        <v>178660.46</v>
      </c>
      <c r="AK372" s="110">
        <v>191544.71</v>
      </c>
      <c r="AL372" s="110">
        <v>199190.36</v>
      </c>
      <c r="AM372" s="240"/>
      <c r="AN372" s="240"/>
      <c r="AO372" s="240"/>
      <c r="AP372" s="110"/>
      <c r="AQ372" s="110"/>
      <c r="AR372" s="110"/>
      <c r="AS372" s="110"/>
      <c r="AT372" s="110"/>
      <c r="AU372" s="110"/>
      <c r="AV372" s="240"/>
      <c r="AW372" s="240"/>
      <c r="AX372" s="240"/>
      <c r="AY372" s="110"/>
      <c r="AZ372" s="110"/>
      <c r="BA372" s="110"/>
      <c r="BB372" s="110"/>
      <c r="BC372" s="110"/>
      <c r="BD372" s="110">
        <v>0</v>
      </c>
      <c r="BE372" s="110">
        <v>0</v>
      </c>
      <c r="BF372" s="110">
        <v>0</v>
      </c>
      <c r="BG372" s="110" t="s">
        <v>2932</v>
      </c>
      <c r="BH372" s="110">
        <v>0</v>
      </c>
      <c r="BI372" s="110" t="s">
        <v>2932</v>
      </c>
      <c r="BJ372" s="110">
        <v>0</v>
      </c>
      <c r="BK372" s="237">
        <v>0</v>
      </c>
      <c r="BL372" s="237">
        <v>0</v>
      </c>
      <c r="BM372" s="237">
        <v>0</v>
      </c>
      <c r="BN372" s="237">
        <v>0</v>
      </c>
      <c r="BO372" s="237">
        <v>0</v>
      </c>
      <c r="BP372" s="237">
        <v>0</v>
      </c>
      <c r="BQ372" s="237">
        <v>0</v>
      </c>
      <c r="BR372" s="237">
        <v>0</v>
      </c>
      <c r="BS372" s="237">
        <v>0</v>
      </c>
      <c r="BT372" s="237">
        <v>0</v>
      </c>
      <c r="BU372" s="237">
        <v>0</v>
      </c>
      <c r="BV372" s="237">
        <v>0</v>
      </c>
      <c r="BW372" s="237">
        <v>0</v>
      </c>
      <c r="BX372" s="237">
        <v>0</v>
      </c>
      <c r="BY372" s="237">
        <v>0</v>
      </c>
      <c r="BZ372" s="237">
        <v>0</v>
      </c>
      <c r="CA372" s="237">
        <v>0</v>
      </c>
      <c r="CB372" s="237">
        <v>0</v>
      </c>
      <c r="CC372" s="237">
        <v>0</v>
      </c>
      <c r="CD372" s="237">
        <v>0</v>
      </c>
      <c r="CE372" s="237">
        <v>0</v>
      </c>
      <c r="CF372" s="237">
        <v>0</v>
      </c>
      <c r="CG372" s="237">
        <v>0</v>
      </c>
      <c r="CH372" s="30">
        <v>0</v>
      </c>
      <c r="CI372" s="30">
        <v>0</v>
      </c>
      <c r="CJ372" s="30" t="e">
        <f t="array" aca="1" ref="CJ372" ca="1">_xludf.XLOOKUP(C372,'PL TOTAL D0'!H:H,'PL TOTAL D0'!I:I,"")</f>
        <v>#NAME?</v>
      </c>
    </row>
    <row r="373" spans="1:88" ht="15.75" customHeight="1">
      <c r="A373" s="36" t="s">
        <v>2921</v>
      </c>
      <c r="B373" s="3" t="s">
        <v>3531</v>
      </c>
      <c r="C373" s="9">
        <v>261079</v>
      </c>
      <c r="D373" s="9" t="s">
        <v>19</v>
      </c>
      <c r="E373" s="9" t="s">
        <v>34</v>
      </c>
      <c r="F373" s="9" t="s">
        <v>35</v>
      </c>
      <c r="G373" s="7" t="e">
        <f t="shared" ca="1" si="4"/>
        <v>#NAME?</v>
      </c>
      <c r="H373" s="8" t="s">
        <v>143</v>
      </c>
      <c r="I373" s="24" t="s">
        <v>25</v>
      </c>
      <c r="J373" s="9" t="str">
        <f t="shared" si="6"/>
        <v>Não</v>
      </c>
      <c r="K373" s="232">
        <v>44319</v>
      </c>
      <c r="L373" s="25">
        <v>44949</v>
      </c>
      <c r="M373" s="6" t="s">
        <v>200</v>
      </c>
      <c r="N373" s="233">
        <v>1.4999999999999999E-2</v>
      </c>
      <c r="O373" s="9" t="s">
        <v>37</v>
      </c>
      <c r="P373" s="234">
        <v>0.1</v>
      </c>
      <c r="Q373" s="28"/>
      <c r="R373" s="235" t="s">
        <v>3092</v>
      </c>
      <c r="S373" s="7" t="s">
        <v>145</v>
      </c>
      <c r="T373" s="6" t="s">
        <v>3532</v>
      </c>
      <c r="U373" s="6" t="s">
        <v>39</v>
      </c>
      <c r="V373" s="24" t="e">
        <f t="shared" ca="1" si="5"/>
        <v>#NAME?</v>
      </c>
      <c r="W373" s="24"/>
      <c r="X373" s="24"/>
      <c r="Y373" s="6" t="s">
        <v>253</v>
      </c>
      <c r="Z373" s="6"/>
      <c r="AA373" s="6"/>
      <c r="AB373" s="6"/>
      <c r="AC373" s="132"/>
      <c r="AD373" s="132"/>
      <c r="AE373" s="132"/>
      <c r="AF373" s="132"/>
      <c r="AG373" s="132"/>
      <c r="AH373" s="132"/>
      <c r="AI373" s="132"/>
      <c r="AJ373" s="132"/>
      <c r="AK373" s="132"/>
      <c r="AL373" s="132"/>
      <c r="AM373" s="132"/>
      <c r="AN373" s="132"/>
      <c r="AO373" s="132"/>
      <c r="AP373" s="110"/>
      <c r="AQ373" s="236"/>
      <c r="AR373" s="236"/>
      <c r="AS373" s="236"/>
      <c r="AT373" s="236"/>
      <c r="AU373" s="236">
        <v>143470.59</v>
      </c>
      <c r="AV373" s="110">
        <v>142716.91</v>
      </c>
      <c r="AW373" s="110">
        <v>141316.93</v>
      </c>
      <c r="AX373" s="110">
        <v>138661.1</v>
      </c>
      <c r="AY373" s="110">
        <v>130167.83</v>
      </c>
      <c r="AZ373" s="110">
        <v>132874.06</v>
      </c>
      <c r="BA373" s="110">
        <v>131348.54</v>
      </c>
      <c r="BB373" s="110">
        <v>131749.4</v>
      </c>
      <c r="BC373" s="110">
        <v>134227.15</v>
      </c>
      <c r="BD373" s="110">
        <v>134907.74</v>
      </c>
      <c r="BE373" s="110">
        <v>141396.03</v>
      </c>
      <c r="BF373" s="110">
        <v>138863.47</v>
      </c>
      <c r="BG373" s="237">
        <v>138429.71</v>
      </c>
      <c r="BH373" s="237">
        <v>136540.26999999999</v>
      </c>
      <c r="BI373" s="237">
        <v>138826.91</v>
      </c>
      <c r="BJ373" s="237">
        <v>140648.82999999999</v>
      </c>
      <c r="BK373" s="237">
        <v>141942.39999999999</v>
      </c>
      <c r="BL373" s="237">
        <v>147215.70000000001</v>
      </c>
      <c r="BM373" s="237">
        <v>145845.48000000001</v>
      </c>
      <c r="BN373" s="237">
        <v>147049.59</v>
      </c>
      <c r="BO373" s="237">
        <v>722.43</v>
      </c>
      <c r="BP373" s="237">
        <v>728.44</v>
      </c>
      <c r="BQ373" s="237">
        <v>743.05</v>
      </c>
      <c r="BR373" s="237">
        <v>748.2</v>
      </c>
      <c r="BS373" s="237">
        <v>754.67</v>
      </c>
      <c r="BT373" s="237">
        <v>0</v>
      </c>
      <c r="BU373" s="237">
        <v>0</v>
      </c>
      <c r="BV373" s="237">
        <v>0</v>
      </c>
      <c r="BW373" s="237">
        <v>0</v>
      </c>
      <c r="BX373" s="237">
        <v>0</v>
      </c>
      <c r="BY373" s="237">
        <v>0</v>
      </c>
      <c r="BZ373" s="237">
        <v>0</v>
      </c>
      <c r="CA373" s="237">
        <v>0</v>
      </c>
      <c r="CB373" s="237">
        <v>0</v>
      </c>
      <c r="CC373" s="237">
        <v>0</v>
      </c>
      <c r="CD373" s="237">
        <v>0</v>
      </c>
      <c r="CE373" s="237">
        <v>0</v>
      </c>
      <c r="CF373" s="237">
        <v>0</v>
      </c>
      <c r="CG373" s="237">
        <v>0</v>
      </c>
      <c r="CH373" s="30">
        <v>0</v>
      </c>
      <c r="CI373" s="30">
        <v>0</v>
      </c>
      <c r="CJ373" s="30" t="e">
        <f t="array" aca="1" ref="CJ373" ca="1">_xludf.XLOOKUP(C373,'PL TOTAL D0'!H:H,'PL TOTAL D0'!I:I,"")</f>
        <v>#NAME?</v>
      </c>
    </row>
    <row r="374" spans="1:88" ht="15.75" customHeight="1">
      <c r="A374" s="36" t="s">
        <v>2921</v>
      </c>
      <c r="B374" s="36" t="s">
        <v>3533</v>
      </c>
      <c r="C374" s="9">
        <v>440078</v>
      </c>
      <c r="D374" s="9" t="s">
        <v>2923</v>
      </c>
      <c r="E374" s="9" t="s">
        <v>20</v>
      </c>
      <c r="F374" s="9" t="s">
        <v>2930</v>
      </c>
      <c r="G374" s="7" t="e">
        <f t="shared" ca="1" si="4"/>
        <v>#NAME?</v>
      </c>
      <c r="H374" s="8" t="s">
        <v>161</v>
      </c>
      <c r="I374" s="24" t="s">
        <v>162</v>
      </c>
      <c r="J374" s="9" t="str">
        <f t="shared" si="6"/>
        <v>Sim</v>
      </c>
      <c r="K374" s="238">
        <v>43822</v>
      </c>
      <c r="L374" s="6"/>
      <c r="M374" s="6" t="s">
        <v>58</v>
      </c>
      <c r="N374" s="10">
        <v>1.2E-2</v>
      </c>
      <c r="O374" s="9" t="s">
        <v>25</v>
      </c>
      <c r="P374" s="234">
        <v>0</v>
      </c>
      <c r="Q374" s="108" t="s">
        <v>3534</v>
      </c>
      <c r="R374" s="108"/>
      <c r="S374" s="7" t="s">
        <v>145</v>
      </c>
      <c r="T374" s="9" t="s">
        <v>3535</v>
      </c>
      <c r="U374" s="6" t="s">
        <v>20</v>
      </c>
      <c r="V374" s="24" t="e">
        <f t="shared" ca="1" si="5"/>
        <v>#NAME?</v>
      </c>
      <c r="W374" s="24"/>
      <c r="X374" s="24"/>
      <c r="Y374" s="6" t="s">
        <v>253</v>
      </c>
      <c r="Z374" s="6"/>
      <c r="AA374" s="239">
        <v>43822</v>
      </c>
      <c r="AB374" s="6">
        <v>49075100014329</v>
      </c>
      <c r="AC374" s="110">
        <v>113079.77</v>
      </c>
      <c r="AD374" s="110">
        <v>118513.92</v>
      </c>
      <c r="AE374" s="110">
        <v>113047.14</v>
      </c>
      <c r="AF374" s="110">
        <v>146406.60999999999</v>
      </c>
      <c r="AG374" s="110">
        <v>164629.46</v>
      </c>
      <c r="AH374" s="110">
        <v>186103.16</v>
      </c>
      <c r="AI374" s="110">
        <v>218003.35</v>
      </c>
      <c r="AJ374" s="110">
        <v>225209.02</v>
      </c>
      <c r="AK374" s="110">
        <v>222609.95</v>
      </c>
      <c r="AL374" s="110">
        <v>223262.65</v>
      </c>
      <c r="AM374" s="110">
        <v>250432.14</v>
      </c>
      <c r="AN374" s="110">
        <v>265317.83</v>
      </c>
      <c r="AO374" s="110">
        <v>251869.46</v>
      </c>
      <c r="AP374" s="110">
        <v>254396.72</v>
      </c>
      <c r="AQ374" s="236">
        <v>253351.22</v>
      </c>
      <c r="AR374" s="236">
        <v>253361.43</v>
      </c>
      <c r="AS374" s="236">
        <v>234260.6</v>
      </c>
      <c r="AT374" s="236">
        <v>234335.05</v>
      </c>
      <c r="AU374" s="236">
        <v>236678.91</v>
      </c>
      <c r="AV374" s="110">
        <v>236193.39</v>
      </c>
      <c r="AW374" s="110">
        <v>235519.03</v>
      </c>
      <c r="AX374" s="110">
        <v>233635.09</v>
      </c>
      <c r="AY374" s="110">
        <v>188415.31</v>
      </c>
      <c r="AZ374" s="110">
        <v>230178.43</v>
      </c>
      <c r="BA374" s="110">
        <v>229739.65</v>
      </c>
      <c r="BB374" s="110">
        <v>230748.79</v>
      </c>
      <c r="BC374" s="110">
        <v>220709.25</v>
      </c>
      <c r="BD374" s="110">
        <v>222329.46</v>
      </c>
      <c r="BE374" s="110">
        <v>227577.4</v>
      </c>
      <c r="BF374" s="110">
        <v>226784.07</v>
      </c>
      <c r="BG374" s="237">
        <v>227375.82</v>
      </c>
      <c r="BH374" s="237">
        <v>227402.83</v>
      </c>
      <c r="BI374" s="237">
        <v>230388.2</v>
      </c>
      <c r="BJ374" s="237">
        <v>232213.58</v>
      </c>
      <c r="BK374" s="237">
        <v>234423.99</v>
      </c>
      <c r="BL374" s="237">
        <v>239377.93</v>
      </c>
      <c r="BM374" s="237">
        <v>133998.43</v>
      </c>
      <c r="BN374" s="237">
        <v>134915.47</v>
      </c>
      <c r="BO374" s="237">
        <v>85992.36</v>
      </c>
      <c r="BP374" s="237">
        <v>86540.44</v>
      </c>
      <c r="BQ374" s="237">
        <v>87180.32</v>
      </c>
      <c r="BR374" s="237">
        <v>87698.59</v>
      </c>
      <c r="BS374" s="237">
        <v>85.15</v>
      </c>
      <c r="BT374" s="237">
        <v>0</v>
      </c>
      <c r="BU374" s="237">
        <v>0</v>
      </c>
      <c r="BV374" s="237">
        <v>0</v>
      </c>
      <c r="BW374" s="237">
        <v>0</v>
      </c>
      <c r="BX374" s="237">
        <v>0</v>
      </c>
      <c r="BY374" s="237">
        <v>0</v>
      </c>
      <c r="BZ374" s="237">
        <v>0</v>
      </c>
      <c r="CA374" s="237">
        <v>0</v>
      </c>
      <c r="CB374" s="237">
        <v>0</v>
      </c>
      <c r="CC374" s="237">
        <v>0</v>
      </c>
      <c r="CD374" s="237">
        <v>0</v>
      </c>
      <c r="CE374" s="237">
        <v>0</v>
      </c>
      <c r="CF374" s="237">
        <v>0</v>
      </c>
      <c r="CG374" s="237">
        <v>0</v>
      </c>
      <c r="CH374" s="30">
        <v>0</v>
      </c>
      <c r="CI374" s="30">
        <v>0</v>
      </c>
      <c r="CJ374" s="30" t="e">
        <f t="array" aca="1" ref="CJ374" ca="1">_xludf.XLOOKUP(C374,'PL TOTAL D0'!H:H,'PL TOTAL D0'!I:I,"")</f>
        <v>#NAME?</v>
      </c>
    </row>
    <row r="375" spans="1:88" ht="15.75" customHeight="1">
      <c r="A375" s="36" t="s">
        <v>2921</v>
      </c>
      <c r="B375" s="36" t="s">
        <v>3536</v>
      </c>
      <c r="C375" s="9">
        <v>88816</v>
      </c>
      <c r="D375" s="9" t="s">
        <v>2989</v>
      </c>
      <c r="E375" s="9" t="s">
        <v>20</v>
      </c>
      <c r="F375" s="9" t="s">
        <v>2989</v>
      </c>
      <c r="G375" s="7" t="e">
        <f t="shared" ca="1" si="4"/>
        <v>#NAME?</v>
      </c>
      <c r="H375" s="8" t="s">
        <v>161</v>
      </c>
      <c r="I375" s="24" t="s">
        <v>162</v>
      </c>
      <c r="J375" s="9" t="str">
        <f t="shared" si="6"/>
        <v>Não</v>
      </c>
      <c r="K375" s="232">
        <v>43538</v>
      </c>
      <c r="L375" s="6"/>
      <c r="M375" s="6" t="s">
        <v>87</v>
      </c>
      <c r="N375" s="233">
        <v>0.01</v>
      </c>
      <c r="O375" s="9" t="s">
        <v>25</v>
      </c>
      <c r="P375" s="234">
        <v>0</v>
      </c>
      <c r="Q375" s="108"/>
      <c r="R375" s="108"/>
      <c r="S375" s="7" t="s">
        <v>145</v>
      </c>
      <c r="T375" s="9" t="s">
        <v>3537</v>
      </c>
      <c r="U375" s="6" t="s">
        <v>20</v>
      </c>
      <c r="V375" s="24" t="e">
        <f t="shared" ca="1" si="5"/>
        <v>#NAME?</v>
      </c>
      <c r="W375" s="24"/>
      <c r="X375" s="24"/>
      <c r="Y375" s="6" t="s">
        <v>253</v>
      </c>
      <c r="Z375" s="6"/>
      <c r="AA375" s="107">
        <v>43538</v>
      </c>
      <c r="AB375" s="6">
        <v>49075100014337</v>
      </c>
      <c r="AC375" s="110">
        <v>61568.09</v>
      </c>
      <c r="AD375" s="110">
        <v>57643.360000000001</v>
      </c>
      <c r="AE375" s="110">
        <v>44479.31</v>
      </c>
      <c r="AF375" s="110">
        <v>47885.73</v>
      </c>
      <c r="AG375" s="110">
        <v>49575.03</v>
      </c>
      <c r="AH375" s="110">
        <v>50605.52</v>
      </c>
      <c r="AI375" s="110">
        <v>54540.78</v>
      </c>
      <c r="AJ375" s="110">
        <v>50953.25</v>
      </c>
      <c r="AK375" s="110">
        <v>48495.78</v>
      </c>
      <c r="AL375" s="110">
        <v>49483.06</v>
      </c>
      <c r="AM375" s="110">
        <v>57526.87</v>
      </c>
      <c r="AN375" s="110">
        <v>59380.71</v>
      </c>
      <c r="AO375" s="110">
        <v>55356.68</v>
      </c>
      <c r="AP375" s="110">
        <v>51269.96</v>
      </c>
      <c r="AQ375" s="236">
        <v>50075.55</v>
      </c>
      <c r="AR375" s="236">
        <v>49906.87</v>
      </c>
      <c r="AS375" s="236">
        <v>53854.46</v>
      </c>
      <c r="AT375" s="236">
        <v>54208.11</v>
      </c>
      <c r="AU375" s="236">
        <v>55759.29</v>
      </c>
      <c r="AV375" s="110">
        <v>54954.62</v>
      </c>
      <c r="AW375" s="110">
        <v>53368.97</v>
      </c>
      <c r="AX375" s="110">
        <v>51056.55</v>
      </c>
      <c r="AY375" s="110">
        <v>48767.41</v>
      </c>
      <c r="AZ375" s="110">
        <v>45969.79</v>
      </c>
      <c r="BA375" s="110">
        <v>44618.23</v>
      </c>
      <c r="BB375" s="110">
        <v>44435.26</v>
      </c>
      <c r="BC375" s="110">
        <v>47094.65</v>
      </c>
      <c r="BD375" s="110">
        <v>47475.79</v>
      </c>
      <c r="BE375" s="110">
        <v>50947.76</v>
      </c>
      <c r="BF375" s="110">
        <v>48555.199999999997</v>
      </c>
      <c r="BG375" s="237">
        <v>47430.8</v>
      </c>
      <c r="BH375" s="237">
        <v>45534.18</v>
      </c>
      <c r="BI375" s="237">
        <v>47430.48</v>
      </c>
      <c r="BJ375" s="237">
        <v>47875.8</v>
      </c>
      <c r="BK375" s="237">
        <v>48332.21</v>
      </c>
      <c r="BL375" s="237">
        <v>52027.8</v>
      </c>
      <c r="BM375" s="237">
        <v>50954.12</v>
      </c>
      <c r="BN375" s="237">
        <v>50604.24</v>
      </c>
      <c r="BO375" s="237">
        <v>52068.97</v>
      </c>
      <c r="BP375" s="237">
        <v>50313.78</v>
      </c>
      <c r="BQ375" s="237">
        <v>50137.279999999999</v>
      </c>
      <c r="BR375" s="237">
        <v>49088.26</v>
      </c>
      <c r="BS375" s="237">
        <v>50958.41</v>
      </c>
      <c r="BT375" s="237">
        <v>54677.04</v>
      </c>
      <c r="BU375" s="237">
        <v>57457.41</v>
      </c>
      <c r="BV375" s="237">
        <v>56991.41</v>
      </c>
      <c r="BW375" s="237">
        <v>52372.1</v>
      </c>
      <c r="BX375" s="237">
        <v>52577.79</v>
      </c>
      <c r="BY375" s="237">
        <v>56470.03</v>
      </c>
      <c r="BZ375" s="237">
        <v>58830.8</v>
      </c>
      <c r="CA375" s="237">
        <v>55447.09</v>
      </c>
      <c r="CB375" s="237">
        <v>36875.32</v>
      </c>
      <c r="CC375" s="237">
        <v>17494.419999999998</v>
      </c>
      <c r="CD375" s="237">
        <v>226.21</v>
      </c>
      <c r="CE375" s="237">
        <v>217.39</v>
      </c>
      <c r="CF375" s="237">
        <v>201.01</v>
      </c>
      <c r="CG375" s="237">
        <v>191.24</v>
      </c>
      <c r="CH375" s="30">
        <v>191.24</v>
      </c>
      <c r="CI375" s="30">
        <v>177.64</v>
      </c>
      <c r="CJ375" s="30" t="e">
        <f t="array" aca="1" ref="CJ375" ca="1">_xludf.XLOOKUP(C375,'PL TOTAL D0'!H:H,'PL TOTAL D0'!I:I,"")</f>
        <v>#NAME?</v>
      </c>
    </row>
    <row r="376" spans="1:88" ht="15.75" customHeight="1">
      <c r="A376" s="36" t="s">
        <v>2921</v>
      </c>
      <c r="B376" s="37" t="s">
        <v>3538</v>
      </c>
      <c r="C376" s="9">
        <v>32407</v>
      </c>
      <c r="D376" s="9" t="s">
        <v>19</v>
      </c>
      <c r="E376" s="9" t="s">
        <v>34</v>
      </c>
      <c r="F376" s="6" t="s">
        <v>35</v>
      </c>
      <c r="G376" s="7" t="e">
        <f t="shared" ca="1" si="4"/>
        <v>#NAME?</v>
      </c>
      <c r="H376" s="8" t="s">
        <v>161</v>
      </c>
      <c r="I376" s="24" t="s">
        <v>162</v>
      </c>
      <c r="J376" s="9" t="str">
        <f t="shared" si="6"/>
        <v>Não</v>
      </c>
      <c r="K376" s="107">
        <v>44789</v>
      </c>
      <c r="L376" s="261"/>
      <c r="M376" s="6" t="s">
        <v>42</v>
      </c>
      <c r="N376" s="10">
        <v>7.0000000000000001E-3</v>
      </c>
      <c r="O376" s="9" t="s">
        <v>25</v>
      </c>
      <c r="P376" s="234">
        <v>0</v>
      </c>
      <c r="Q376" s="108"/>
      <c r="R376" s="108"/>
      <c r="S376" s="7" t="s">
        <v>145</v>
      </c>
      <c r="T376" s="6" t="s">
        <v>2730</v>
      </c>
      <c r="U376" s="6" t="s">
        <v>39</v>
      </c>
      <c r="V376" s="24" t="e">
        <f t="shared" ca="1" si="5"/>
        <v>#NAME?</v>
      </c>
      <c r="W376" s="24"/>
      <c r="X376" s="24"/>
      <c r="Y376" s="6" t="s">
        <v>253</v>
      </c>
      <c r="Z376" s="6"/>
      <c r="AA376" s="107">
        <v>44789</v>
      </c>
      <c r="AB376" s="6">
        <v>49075100014345</v>
      </c>
      <c r="AC376" s="110"/>
      <c r="AD376" s="110"/>
      <c r="AE376" s="110"/>
      <c r="AF376" s="110"/>
      <c r="AG376" s="110"/>
      <c r="AH376" s="110"/>
      <c r="AI376" s="110"/>
      <c r="AJ376" s="240"/>
      <c r="AK376" s="240"/>
      <c r="AL376" s="240"/>
      <c r="AM376" s="240"/>
      <c r="AN376" s="240"/>
      <c r="AO376" s="240"/>
      <c r="AP376" s="110"/>
      <c r="AQ376" s="110"/>
      <c r="AR376" s="110"/>
      <c r="AS376" s="110"/>
      <c r="AT376" s="110"/>
      <c r="AU376" s="110"/>
      <c r="AV376" s="240"/>
      <c r="AW376" s="240"/>
      <c r="AX376" s="240"/>
      <c r="AY376" s="110"/>
      <c r="AZ376" s="110"/>
      <c r="BA376" s="110"/>
      <c r="BB376" s="110"/>
      <c r="BC376" s="110"/>
      <c r="BD376" s="110"/>
      <c r="BE376" s="110"/>
      <c r="BF376" s="110"/>
      <c r="BG376" s="237"/>
      <c r="BH376" s="237"/>
      <c r="BI376" s="237">
        <v>83000</v>
      </c>
      <c r="BJ376" s="237">
        <v>100944.2</v>
      </c>
      <c r="BK376" s="237">
        <v>101975.23</v>
      </c>
      <c r="BL376" s="237">
        <v>102834.61</v>
      </c>
      <c r="BM376" s="237">
        <v>103228.64</v>
      </c>
      <c r="BN376" s="237">
        <v>104288.03</v>
      </c>
      <c r="BO376" s="237">
        <v>105447.91</v>
      </c>
      <c r="BP376" s="237">
        <v>106284.44</v>
      </c>
      <c r="BQ376" s="237">
        <v>107551.41</v>
      </c>
      <c r="BR376" s="237">
        <v>108351.52</v>
      </c>
      <c r="BS376" s="237">
        <v>78953.179999999993</v>
      </c>
      <c r="BT376" s="237">
        <v>0</v>
      </c>
      <c r="BU376" s="237">
        <v>0</v>
      </c>
      <c r="BV376" s="237">
        <v>0</v>
      </c>
      <c r="BW376" s="237">
        <v>0</v>
      </c>
      <c r="BX376" s="237">
        <v>0</v>
      </c>
      <c r="BY376" s="237">
        <v>0</v>
      </c>
      <c r="BZ376" s="237">
        <v>0</v>
      </c>
      <c r="CA376" s="237">
        <v>0</v>
      </c>
      <c r="CB376" s="237">
        <v>0</v>
      </c>
      <c r="CC376" s="237">
        <v>0</v>
      </c>
      <c r="CD376" s="237">
        <v>0</v>
      </c>
      <c r="CE376" s="237">
        <v>0</v>
      </c>
      <c r="CF376" s="237">
        <v>0</v>
      </c>
      <c r="CG376" s="237">
        <v>0</v>
      </c>
      <c r="CH376" s="30">
        <v>0</v>
      </c>
      <c r="CI376" s="30">
        <v>0</v>
      </c>
      <c r="CJ376" s="30" t="e">
        <f t="array" aca="1" ref="CJ376" ca="1">_xludf.XLOOKUP(C376,'PL TOTAL D0'!H:H,'PL TOTAL D0'!I:I,"")</f>
        <v>#NAME?</v>
      </c>
    </row>
    <row r="377" spans="1:88" ht="15.75" customHeight="1">
      <c r="A377" s="36" t="s">
        <v>2921</v>
      </c>
      <c r="B377" s="37" t="s">
        <v>2755</v>
      </c>
      <c r="C377" s="9">
        <v>582421</v>
      </c>
      <c r="D377" s="9" t="s">
        <v>19</v>
      </c>
      <c r="E377" s="9" t="s">
        <v>34</v>
      </c>
      <c r="F377" s="6" t="s">
        <v>262</v>
      </c>
      <c r="G377" s="7" t="e">
        <f t="shared" ca="1" si="4"/>
        <v>#NAME?</v>
      </c>
      <c r="H377" s="8" t="s">
        <v>161</v>
      </c>
      <c r="I377" s="24" t="s">
        <v>162</v>
      </c>
      <c r="J377" s="9" t="str">
        <f t="shared" si="6"/>
        <v>Não</v>
      </c>
      <c r="K377" s="107">
        <v>44781</v>
      </c>
      <c r="L377" s="261"/>
      <c r="M377" s="6" t="s">
        <v>42</v>
      </c>
      <c r="N377" s="10">
        <v>7.0000000000000001E-3</v>
      </c>
      <c r="O377" s="9" t="s">
        <v>25</v>
      </c>
      <c r="P377" s="234">
        <v>0</v>
      </c>
      <c r="Q377" s="23"/>
      <c r="R377" s="108" t="s">
        <v>3539</v>
      </c>
      <c r="S377" s="7" t="s">
        <v>145</v>
      </c>
      <c r="T377" s="6" t="s">
        <v>2758</v>
      </c>
      <c r="U377" s="6" t="s">
        <v>39</v>
      </c>
      <c r="V377" s="24" t="e">
        <f t="shared" ca="1" si="5"/>
        <v>#NAME?</v>
      </c>
      <c r="W377" s="24"/>
      <c r="X377" s="24"/>
      <c r="Y377" s="6" t="s">
        <v>253</v>
      </c>
      <c r="Z377" s="6"/>
      <c r="AA377" s="107">
        <v>44781</v>
      </c>
      <c r="AB377" s="6">
        <v>49075100005877</v>
      </c>
      <c r="AC377" s="110"/>
      <c r="AD377" s="110"/>
      <c r="AE377" s="110"/>
      <c r="AF377" s="110"/>
      <c r="AG377" s="110"/>
      <c r="AH377" s="110"/>
      <c r="AI377" s="110"/>
      <c r="AJ377" s="240"/>
      <c r="AK377" s="240"/>
      <c r="AL377" s="240"/>
      <c r="AM377" s="240"/>
      <c r="AN377" s="240"/>
      <c r="AO377" s="240"/>
      <c r="AP377" s="110"/>
      <c r="AQ377" s="110"/>
      <c r="AR377" s="110"/>
      <c r="AS377" s="110"/>
      <c r="AT377" s="110"/>
      <c r="AU377" s="110"/>
      <c r="AV377" s="240"/>
      <c r="AW377" s="240"/>
      <c r="AX377" s="240"/>
      <c r="AY377" s="110"/>
      <c r="AZ377" s="110"/>
      <c r="BA377" s="110"/>
      <c r="BB377" s="110"/>
      <c r="BC377" s="110"/>
      <c r="BD377" s="110"/>
      <c r="BE377" s="110"/>
      <c r="BF377" s="110"/>
      <c r="BG377" s="237"/>
      <c r="BH377" s="237"/>
      <c r="BI377" s="237">
        <v>0</v>
      </c>
      <c r="BJ377" s="237">
        <v>187347.20000000001</v>
      </c>
      <c r="BK377" s="237">
        <v>176053.2</v>
      </c>
      <c r="BL377" s="237">
        <v>177613.87</v>
      </c>
      <c r="BM377" s="237">
        <v>179150.41</v>
      </c>
      <c r="BN377" s="237">
        <v>140002.04999999999</v>
      </c>
      <c r="BO377" s="237">
        <v>141528.64000000001</v>
      </c>
      <c r="BP377" s="237">
        <v>0</v>
      </c>
      <c r="BQ377" s="237">
        <v>144050.43</v>
      </c>
      <c r="BR377" s="237">
        <v>0</v>
      </c>
      <c r="BS377" s="237">
        <v>0</v>
      </c>
      <c r="BT377" s="237">
        <v>0</v>
      </c>
      <c r="BU377" s="237">
        <v>0</v>
      </c>
      <c r="BV377" s="237">
        <v>0</v>
      </c>
      <c r="BW377" s="237">
        <v>0</v>
      </c>
      <c r="BX377" s="237">
        <v>0</v>
      </c>
      <c r="BY377" s="237">
        <v>0</v>
      </c>
      <c r="BZ377" s="237">
        <v>0</v>
      </c>
      <c r="CA377" s="237">
        <v>0</v>
      </c>
      <c r="CB377" s="237">
        <v>0</v>
      </c>
      <c r="CC377" s="237">
        <v>0</v>
      </c>
      <c r="CD377" s="237">
        <v>0</v>
      </c>
      <c r="CE377" s="237">
        <v>0</v>
      </c>
      <c r="CF377" s="237">
        <v>0</v>
      </c>
      <c r="CG377" s="237">
        <v>0</v>
      </c>
      <c r="CH377" s="30">
        <v>0</v>
      </c>
      <c r="CI377" s="30">
        <v>0</v>
      </c>
      <c r="CJ377" s="30" t="e">
        <f t="array" aca="1" ref="CJ377" ca="1">_xludf.XLOOKUP(C377,'PL TOTAL D0'!H:H,'PL TOTAL D0'!I:I,"")</f>
        <v>#NAME?</v>
      </c>
    </row>
    <row r="378" spans="1:88" ht="15.75" customHeight="1">
      <c r="A378" s="36" t="s">
        <v>2921</v>
      </c>
      <c r="B378" s="37" t="s">
        <v>3540</v>
      </c>
      <c r="C378" s="9">
        <v>358322</v>
      </c>
      <c r="D378" s="9" t="s">
        <v>19</v>
      </c>
      <c r="E378" s="9" t="s">
        <v>34</v>
      </c>
      <c r="F378" s="6" t="s">
        <v>2971</v>
      </c>
      <c r="G378" s="7" t="e">
        <f t="shared" ca="1" si="4"/>
        <v>#NAME?</v>
      </c>
      <c r="H378" s="8" t="s">
        <v>161</v>
      </c>
      <c r="I378" s="24" t="s">
        <v>162</v>
      </c>
      <c r="J378" s="9" t="str">
        <f t="shared" si="6"/>
        <v>Não</v>
      </c>
      <c r="K378" s="107"/>
      <c r="L378" s="261"/>
      <c r="M378" s="6" t="s">
        <v>42</v>
      </c>
      <c r="N378" s="10">
        <v>7.0000000000000001E-3</v>
      </c>
      <c r="O378" s="9" t="s">
        <v>25</v>
      </c>
      <c r="P378" s="234">
        <v>0</v>
      </c>
      <c r="Q378" s="108"/>
      <c r="R378" s="108"/>
      <c r="S378" s="7" t="s">
        <v>145</v>
      </c>
      <c r="T378" s="6" t="s">
        <v>3541</v>
      </c>
      <c r="U378" s="6" t="s">
        <v>39</v>
      </c>
      <c r="V378" s="24" t="e">
        <f t="shared" ca="1" si="5"/>
        <v>#NAME?</v>
      </c>
      <c r="W378" s="24"/>
      <c r="X378" s="24"/>
      <c r="Y378" s="6" t="s">
        <v>253</v>
      </c>
      <c r="Z378" s="6"/>
      <c r="AA378" s="6"/>
      <c r="AB378" s="6"/>
      <c r="AC378" s="110"/>
      <c r="AD378" s="110"/>
      <c r="AE378" s="110"/>
      <c r="AF378" s="110"/>
      <c r="AG378" s="110"/>
      <c r="AH378" s="110"/>
      <c r="AI378" s="110"/>
      <c r="AJ378" s="240"/>
      <c r="AK378" s="240"/>
      <c r="AL378" s="240"/>
      <c r="AM378" s="240"/>
      <c r="AN378" s="240"/>
      <c r="AO378" s="240"/>
      <c r="AP378" s="110"/>
      <c r="AQ378" s="110"/>
      <c r="AR378" s="110"/>
      <c r="AS378" s="110"/>
      <c r="AT378" s="110"/>
      <c r="AU378" s="110"/>
      <c r="AV378" s="240"/>
      <c r="AW378" s="240"/>
      <c r="AX378" s="240"/>
      <c r="AY378" s="110"/>
      <c r="AZ378" s="110"/>
      <c r="BA378" s="110"/>
      <c r="BB378" s="110"/>
      <c r="BC378" s="110"/>
      <c r="BD378" s="110"/>
      <c r="BE378" s="110"/>
      <c r="BF378" s="110"/>
      <c r="BG378" s="237"/>
      <c r="BH378" s="237"/>
      <c r="BI378" s="237"/>
      <c r="BJ378" s="237">
        <v>0</v>
      </c>
      <c r="BK378" s="237">
        <v>0</v>
      </c>
      <c r="BL378" s="237">
        <v>0</v>
      </c>
      <c r="BM378" s="237">
        <v>0</v>
      </c>
      <c r="BN378" s="237">
        <v>0</v>
      </c>
      <c r="BO378" s="237">
        <v>0</v>
      </c>
      <c r="BP378" s="237">
        <v>0</v>
      </c>
      <c r="BQ378" s="237">
        <v>0</v>
      </c>
      <c r="BR378" s="237">
        <v>0</v>
      </c>
      <c r="BS378" s="237">
        <v>0</v>
      </c>
      <c r="BT378" s="237">
        <v>0</v>
      </c>
      <c r="BU378" s="237">
        <v>0</v>
      </c>
      <c r="BV378" s="237">
        <v>0</v>
      </c>
      <c r="BW378" s="237">
        <v>0</v>
      </c>
      <c r="BX378" s="237">
        <v>0</v>
      </c>
      <c r="BY378" s="237">
        <v>0</v>
      </c>
      <c r="BZ378" s="237">
        <v>0</v>
      </c>
      <c r="CA378" s="237">
        <v>0</v>
      </c>
      <c r="CB378" s="237">
        <v>0</v>
      </c>
      <c r="CC378" s="237">
        <v>0</v>
      </c>
      <c r="CD378" s="237">
        <v>0</v>
      </c>
      <c r="CE378" s="237">
        <v>0</v>
      </c>
      <c r="CF378" s="237">
        <v>0</v>
      </c>
      <c r="CG378" s="237">
        <v>0</v>
      </c>
      <c r="CH378" s="30">
        <v>0</v>
      </c>
      <c r="CI378" s="30">
        <v>0</v>
      </c>
      <c r="CJ378" s="30" t="e">
        <f t="array" aca="1" ref="CJ378" ca="1">_xludf.XLOOKUP(C378,'PL TOTAL D0'!H:H,'PL TOTAL D0'!I:I,"")</f>
        <v>#NAME?</v>
      </c>
    </row>
    <row r="379" spans="1:88" ht="15.75" customHeight="1">
      <c r="A379" s="36" t="s">
        <v>2921</v>
      </c>
      <c r="B379" s="37" t="s">
        <v>3542</v>
      </c>
      <c r="C379" s="9">
        <v>296193</v>
      </c>
      <c r="D379" s="9" t="s">
        <v>19</v>
      </c>
      <c r="E379" s="9" t="s">
        <v>20</v>
      </c>
      <c r="F379" s="6" t="s">
        <v>3072</v>
      </c>
      <c r="G379" s="7" t="e">
        <f t="shared" ca="1" si="4"/>
        <v>#NAME?</v>
      </c>
      <c r="H379" s="8" t="s">
        <v>143</v>
      </c>
      <c r="I379" s="24" t="s">
        <v>25</v>
      </c>
      <c r="J379" s="9" t="str">
        <f t="shared" si="6"/>
        <v>Não</v>
      </c>
      <c r="K379" s="239">
        <v>43461</v>
      </c>
      <c r="L379" s="261">
        <v>43862</v>
      </c>
      <c r="M379" s="6" t="s">
        <v>200</v>
      </c>
      <c r="N379" s="10">
        <v>0.01</v>
      </c>
      <c r="O379" s="9" t="s">
        <v>37</v>
      </c>
      <c r="P379" s="234">
        <v>0.1</v>
      </c>
      <c r="Q379" s="108"/>
      <c r="R379" s="108"/>
      <c r="S379" s="7" t="s">
        <v>145</v>
      </c>
      <c r="T379" s="6" t="s">
        <v>3543</v>
      </c>
      <c r="U379" s="6" t="s">
        <v>20</v>
      </c>
      <c r="V379" s="24" t="e">
        <f t="shared" ca="1" si="5"/>
        <v>#NAME?</v>
      </c>
      <c r="W379" s="24"/>
      <c r="X379" s="24"/>
      <c r="Y379" s="6"/>
      <c r="Z379" s="6"/>
      <c r="AA379" s="6"/>
      <c r="AB379" s="6"/>
      <c r="AC379" s="110">
        <v>0</v>
      </c>
      <c r="AD379" s="110">
        <v>0</v>
      </c>
      <c r="AE379" s="110">
        <v>0</v>
      </c>
      <c r="AF379" s="110">
        <v>0</v>
      </c>
      <c r="AG379" s="110">
        <v>0</v>
      </c>
      <c r="AH379" s="110">
        <v>0</v>
      </c>
      <c r="AI379" s="110">
        <v>0</v>
      </c>
      <c r="AJ379" s="240"/>
      <c r="AK379" s="240"/>
      <c r="AL379" s="240"/>
      <c r="AM379" s="240"/>
      <c r="AN379" s="240"/>
      <c r="AO379" s="240"/>
      <c r="AP379" s="110"/>
      <c r="AQ379" s="110"/>
      <c r="AR379" s="110"/>
      <c r="AS379" s="110"/>
      <c r="AT379" s="110"/>
      <c r="AU379" s="110"/>
      <c r="AV379" s="240"/>
      <c r="AW379" s="240"/>
      <c r="AX379" s="240"/>
      <c r="AY379" s="110"/>
      <c r="AZ379" s="110"/>
      <c r="BA379" s="110"/>
      <c r="BB379" s="110"/>
      <c r="BC379" s="110"/>
      <c r="BD379" s="110">
        <v>0</v>
      </c>
      <c r="BE379" s="110">
        <v>0</v>
      </c>
      <c r="BF379" s="110">
        <v>0</v>
      </c>
      <c r="BG379" s="110" t="s">
        <v>2932</v>
      </c>
      <c r="BH379" s="110">
        <v>0</v>
      </c>
      <c r="BI379" s="110">
        <v>0</v>
      </c>
      <c r="BJ379" s="110">
        <v>0</v>
      </c>
      <c r="BK379" s="237">
        <v>0</v>
      </c>
      <c r="BL379" s="237">
        <v>0</v>
      </c>
      <c r="BM379" s="237">
        <v>0</v>
      </c>
      <c r="BN379" s="237">
        <v>0</v>
      </c>
      <c r="BO379" s="237">
        <v>0</v>
      </c>
      <c r="BP379" s="237">
        <v>0</v>
      </c>
      <c r="BQ379" s="237">
        <v>0</v>
      </c>
      <c r="BR379" s="237">
        <v>0</v>
      </c>
      <c r="BS379" s="237">
        <v>0</v>
      </c>
      <c r="BT379" s="237">
        <v>0</v>
      </c>
      <c r="BU379" s="237">
        <v>0</v>
      </c>
      <c r="BV379" s="237">
        <v>0</v>
      </c>
      <c r="BW379" s="237">
        <v>0</v>
      </c>
      <c r="BX379" s="237">
        <v>0</v>
      </c>
      <c r="BY379" s="237">
        <v>0</v>
      </c>
      <c r="BZ379" s="237">
        <v>0</v>
      </c>
      <c r="CA379" s="237">
        <v>0</v>
      </c>
      <c r="CB379" s="237">
        <v>0</v>
      </c>
      <c r="CC379" s="237">
        <v>0</v>
      </c>
      <c r="CD379" s="237">
        <v>0</v>
      </c>
      <c r="CE379" s="237">
        <v>0</v>
      </c>
      <c r="CF379" s="237">
        <v>0</v>
      </c>
      <c r="CG379" s="237">
        <v>0</v>
      </c>
      <c r="CH379" s="30">
        <v>0</v>
      </c>
      <c r="CI379" s="30">
        <v>0</v>
      </c>
      <c r="CJ379" s="30" t="e">
        <f t="array" aca="1" ref="CJ379" ca="1">_xludf.XLOOKUP(C379,'PL TOTAL D0'!H:H,'PL TOTAL D0'!I:I,"")</f>
        <v>#NAME?</v>
      </c>
    </row>
    <row r="380" spans="1:88" ht="15.75" customHeight="1">
      <c r="A380" s="36" t="s">
        <v>2921</v>
      </c>
      <c r="B380" s="3" t="s">
        <v>3544</v>
      </c>
      <c r="C380" s="9">
        <v>494175</v>
      </c>
      <c r="D380" s="9" t="s">
        <v>19</v>
      </c>
      <c r="E380" s="9" t="s">
        <v>34</v>
      </c>
      <c r="F380" s="6" t="s">
        <v>262</v>
      </c>
      <c r="G380" s="7" t="e">
        <f t="shared" ca="1" si="4"/>
        <v>#NAME?</v>
      </c>
      <c r="H380" s="8" t="s">
        <v>143</v>
      </c>
      <c r="I380" s="24" t="s">
        <v>25</v>
      </c>
      <c r="J380" s="9" t="str">
        <f t="shared" si="6"/>
        <v>Não</v>
      </c>
      <c r="K380" s="107">
        <v>44335</v>
      </c>
      <c r="L380" s="25">
        <v>44746</v>
      </c>
      <c r="M380" s="6" t="s">
        <v>200</v>
      </c>
      <c r="N380" s="10">
        <v>1.4999999999999999E-2</v>
      </c>
      <c r="O380" s="9" t="s">
        <v>37</v>
      </c>
      <c r="P380" s="234">
        <v>0.1</v>
      </c>
      <c r="Q380" s="28"/>
      <c r="R380" s="28"/>
      <c r="S380" s="7" t="s">
        <v>145</v>
      </c>
      <c r="T380" s="6" t="s">
        <v>3545</v>
      </c>
      <c r="U380" s="6" t="s">
        <v>39</v>
      </c>
      <c r="V380" s="24" t="e">
        <f t="shared" ca="1" si="5"/>
        <v>#NAME?</v>
      </c>
      <c r="W380" s="24"/>
      <c r="X380" s="24"/>
      <c r="Y380" s="6" t="s">
        <v>253</v>
      </c>
      <c r="Z380" s="6"/>
      <c r="AA380" s="6"/>
      <c r="AB380" s="6"/>
      <c r="AC380" s="132"/>
      <c r="AD380" s="132"/>
      <c r="AE380" s="132"/>
      <c r="AF380" s="132"/>
      <c r="AG380" s="132"/>
      <c r="AH380" s="132"/>
      <c r="AI380" s="132"/>
      <c r="AJ380" s="132"/>
      <c r="AK380" s="132"/>
      <c r="AL380" s="132"/>
      <c r="AM380" s="132"/>
      <c r="AN380" s="132"/>
      <c r="AO380" s="132"/>
      <c r="AP380" s="132"/>
      <c r="AQ380" s="110"/>
      <c r="AR380" s="110"/>
      <c r="AS380" s="110"/>
      <c r="AT380" s="132"/>
      <c r="AU380" s="132">
        <v>162252.64000000001</v>
      </c>
      <c r="AV380" s="110">
        <v>162120.22</v>
      </c>
      <c r="AW380" s="110">
        <v>160265.39000000001</v>
      </c>
      <c r="AX380" s="110">
        <v>157867.39000000001</v>
      </c>
      <c r="AY380" s="110">
        <v>136536.87</v>
      </c>
      <c r="AZ380" s="110">
        <v>151144.51</v>
      </c>
      <c r="BA380" s="110">
        <v>150086.85999999999</v>
      </c>
      <c r="BB380" s="110">
        <v>151343.42000000001</v>
      </c>
      <c r="BC380" s="110">
        <v>154477.4</v>
      </c>
      <c r="BD380" s="110">
        <v>65452.99</v>
      </c>
      <c r="BE380" s="110">
        <v>57707.360000000001</v>
      </c>
      <c r="BF380" s="110">
        <v>56444.7</v>
      </c>
      <c r="BG380" s="110">
        <v>55803.7</v>
      </c>
      <c r="BH380" s="110">
        <v>0</v>
      </c>
      <c r="BI380" s="110">
        <v>113.72</v>
      </c>
      <c r="BJ380" s="110">
        <v>0</v>
      </c>
      <c r="BK380" s="237">
        <v>0</v>
      </c>
      <c r="BL380" s="237">
        <v>0</v>
      </c>
      <c r="BM380" s="237">
        <v>0</v>
      </c>
      <c r="BN380" s="237">
        <v>0</v>
      </c>
      <c r="BO380" s="237">
        <v>0</v>
      </c>
      <c r="BP380" s="237">
        <v>0</v>
      </c>
      <c r="BQ380" s="237">
        <v>0</v>
      </c>
      <c r="BR380" s="237">
        <v>0</v>
      </c>
      <c r="BS380" s="237">
        <v>0</v>
      </c>
      <c r="BT380" s="237">
        <v>0</v>
      </c>
      <c r="BU380" s="237">
        <v>0</v>
      </c>
      <c r="BV380" s="237">
        <v>0</v>
      </c>
      <c r="BW380" s="237">
        <v>0</v>
      </c>
      <c r="BX380" s="237">
        <v>0</v>
      </c>
      <c r="BY380" s="237">
        <v>0</v>
      </c>
      <c r="BZ380" s="237">
        <v>0</v>
      </c>
      <c r="CA380" s="237">
        <v>0</v>
      </c>
      <c r="CB380" s="237">
        <v>0</v>
      </c>
      <c r="CC380" s="237">
        <v>0</v>
      </c>
      <c r="CD380" s="237">
        <v>0</v>
      </c>
      <c r="CE380" s="237">
        <v>0</v>
      </c>
      <c r="CF380" s="237">
        <v>0</v>
      </c>
      <c r="CG380" s="237">
        <v>0</v>
      </c>
      <c r="CH380" s="30">
        <v>0</v>
      </c>
      <c r="CI380" s="30">
        <v>0</v>
      </c>
      <c r="CJ380" s="30" t="e">
        <f t="array" aca="1" ref="CJ380" ca="1">_xludf.XLOOKUP(C380,'PL TOTAL D0'!H:H,'PL TOTAL D0'!I:I,"")</f>
        <v>#NAME?</v>
      </c>
    </row>
    <row r="381" spans="1:88" ht="15.75" customHeight="1">
      <c r="A381" s="36" t="s">
        <v>2921</v>
      </c>
      <c r="B381" s="37" t="s">
        <v>3546</v>
      </c>
      <c r="C381" s="9">
        <v>433204</v>
      </c>
      <c r="D381" s="9" t="s">
        <v>2923</v>
      </c>
      <c r="E381" s="9" t="s">
        <v>20</v>
      </c>
      <c r="F381" s="6" t="s">
        <v>2924</v>
      </c>
      <c r="G381" s="7" t="e">
        <f t="shared" ca="1" si="4"/>
        <v>#NAME?</v>
      </c>
      <c r="H381" s="8" t="s">
        <v>143</v>
      </c>
      <c r="I381" s="24" t="s">
        <v>25</v>
      </c>
      <c r="J381" s="9" t="str">
        <f t="shared" si="6"/>
        <v>Não</v>
      </c>
      <c r="K381" s="107">
        <v>43738</v>
      </c>
      <c r="L381" s="107">
        <v>44053</v>
      </c>
      <c r="M381" s="6" t="s">
        <v>87</v>
      </c>
      <c r="N381" s="10">
        <v>0.02</v>
      </c>
      <c r="O381" s="9" t="s">
        <v>183</v>
      </c>
      <c r="P381" s="234">
        <v>0.2</v>
      </c>
      <c r="Q381" s="108"/>
      <c r="R381" s="108"/>
      <c r="S381" s="7" t="s">
        <v>145</v>
      </c>
      <c r="T381" s="6" t="s">
        <v>3547</v>
      </c>
      <c r="U381" s="6" t="s">
        <v>20</v>
      </c>
      <c r="V381" s="24" t="e">
        <f t="shared" ca="1" si="5"/>
        <v>#NAME?</v>
      </c>
      <c r="W381" s="24"/>
      <c r="X381" s="24"/>
      <c r="Y381" s="6"/>
      <c r="Z381" s="6"/>
      <c r="AA381" s="6"/>
      <c r="AB381" s="6"/>
      <c r="AC381" s="110">
        <v>386485.02</v>
      </c>
      <c r="AD381" s="110">
        <v>364419.14</v>
      </c>
      <c r="AE381" s="110">
        <v>280299.83</v>
      </c>
      <c r="AF381" s="110">
        <v>216396.43</v>
      </c>
      <c r="AG381" s="110">
        <v>125696.53</v>
      </c>
      <c r="AH381" s="110">
        <v>0</v>
      </c>
      <c r="AI381" s="110">
        <v>0</v>
      </c>
      <c r="AJ381" s="240"/>
      <c r="AK381" s="240"/>
      <c r="AL381" s="240"/>
      <c r="AM381" s="240"/>
      <c r="AN381" s="240"/>
      <c r="AO381" s="240"/>
      <c r="AP381" s="110"/>
      <c r="AQ381" s="110"/>
      <c r="AR381" s="110"/>
      <c r="AS381" s="110"/>
      <c r="AT381" s="110"/>
      <c r="AU381" s="110"/>
      <c r="AV381" s="240"/>
      <c r="AW381" s="240"/>
      <c r="AX381" s="240"/>
      <c r="AY381" s="110"/>
      <c r="AZ381" s="110"/>
      <c r="BA381" s="110"/>
      <c r="BB381" s="110"/>
      <c r="BC381" s="110"/>
      <c r="BD381" s="110">
        <v>0</v>
      </c>
      <c r="BE381" s="110">
        <v>0</v>
      </c>
      <c r="BF381" s="110">
        <v>0</v>
      </c>
      <c r="BG381" s="110" t="s">
        <v>2932</v>
      </c>
      <c r="BH381" s="110">
        <v>0</v>
      </c>
      <c r="BI381" s="110">
        <v>0</v>
      </c>
      <c r="BJ381" s="110">
        <v>0</v>
      </c>
      <c r="BK381" s="237">
        <v>0</v>
      </c>
      <c r="BL381" s="237">
        <v>0</v>
      </c>
      <c r="BM381" s="237">
        <v>0</v>
      </c>
      <c r="BN381" s="237">
        <v>0</v>
      </c>
      <c r="BO381" s="237">
        <v>0</v>
      </c>
      <c r="BP381" s="237">
        <v>0</v>
      </c>
      <c r="BQ381" s="237">
        <v>0</v>
      </c>
      <c r="BR381" s="237">
        <v>0</v>
      </c>
      <c r="BS381" s="237">
        <v>0</v>
      </c>
      <c r="BT381" s="237">
        <v>0</v>
      </c>
      <c r="BU381" s="237">
        <v>0</v>
      </c>
      <c r="BV381" s="237">
        <v>0</v>
      </c>
      <c r="BW381" s="237">
        <v>0</v>
      </c>
      <c r="BX381" s="237">
        <v>0</v>
      </c>
      <c r="BY381" s="237">
        <v>0</v>
      </c>
      <c r="BZ381" s="237">
        <v>0</v>
      </c>
      <c r="CA381" s="237">
        <v>0</v>
      </c>
      <c r="CB381" s="237">
        <v>0</v>
      </c>
      <c r="CC381" s="237">
        <v>0</v>
      </c>
      <c r="CD381" s="237">
        <v>0</v>
      </c>
      <c r="CE381" s="237">
        <v>0</v>
      </c>
      <c r="CF381" s="237">
        <v>0</v>
      </c>
      <c r="CG381" s="237">
        <v>0</v>
      </c>
      <c r="CH381" s="30">
        <v>0</v>
      </c>
      <c r="CI381" s="30">
        <v>0</v>
      </c>
      <c r="CJ381" s="30" t="e">
        <f t="array" aca="1" ref="CJ381" ca="1">_xludf.XLOOKUP(C381,'PL TOTAL D0'!H:H,'PL TOTAL D0'!I:I,"")</f>
        <v>#NAME?</v>
      </c>
    </row>
    <row r="382" spans="1:88" ht="15.75" customHeight="1">
      <c r="A382" s="36" t="s">
        <v>2921</v>
      </c>
      <c r="B382" s="37" t="s">
        <v>3548</v>
      </c>
      <c r="C382" s="9">
        <v>574599</v>
      </c>
      <c r="D382" s="9" t="s">
        <v>2923</v>
      </c>
      <c r="E382" s="9" t="s">
        <v>20</v>
      </c>
      <c r="F382" s="6" t="s">
        <v>2924</v>
      </c>
      <c r="G382" s="7" t="e">
        <f t="shared" ca="1" si="4"/>
        <v>#NAME?</v>
      </c>
      <c r="H382" s="8" t="s">
        <v>143</v>
      </c>
      <c r="I382" s="24" t="s">
        <v>25</v>
      </c>
      <c r="J382" s="9" t="str">
        <f t="shared" si="6"/>
        <v>Não</v>
      </c>
      <c r="K382" s="107">
        <v>43538</v>
      </c>
      <c r="L382" s="107">
        <v>44025</v>
      </c>
      <c r="M382" s="6" t="s">
        <v>200</v>
      </c>
      <c r="N382" s="10">
        <v>5.0000000000000001E-3</v>
      </c>
      <c r="O382" s="9" t="s">
        <v>37</v>
      </c>
      <c r="P382" s="234">
        <v>0.1</v>
      </c>
      <c r="Q382" s="108"/>
      <c r="R382" s="45"/>
      <c r="S382" s="7" t="s">
        <v>145</v>
      </c>
      <c r="T382" s="6" t="s">
        <v>3549</v>
      </c>
      <c r="U382" s="6" t="s">
        <v>20</v>
      </c>
      <c r="V382" s="24" t="e">
        <f t="shared" ca="1" si="5"/>
        <v>#NAME?</v>
      </c>
      <c r="W382" s="24"/>
      <c r="X382" s="24"/>
      <c r="Y382" s="6"/>
      <c r="Z382" s="6"/>
      <c r="AA382" s="6"/>
      <c r="AB382" s="6"/>
      <c r="AC382" s="110">
        <v>646888.15</v>
      </c>
      <c r="AD382" s="110">
        <v>667001.69999999995</v>
      </c>
      <c r="AE382" s="110">
        <v>1888.84</v>
      </c>
      <c r="AF382" s="110">
        <v>0</v>
      </c>
      <c r="AG382" s="110">
        <v>462.41</v>
      </c>
      <c r="AH382" s="110">
        <v>0</v>
      </c>
      <c r="AI382" s="110">
        <v>0</v>
      </c>
      <c r="AJ382" s="240"/>
      <c r="AK382" s="240"/>
      <c r="AL382" s="240"/>
      <c r="AM382" s="240"/>
      <c r="AN382" s="240"/>
      <c r="AO382" s="240"/>
      <c r="AP382" s="110">
        <v>232737.17</v>
      </c>
      <c r="AQ382" s="110">
        <v>233229.84</v>
      </c>
      <c r="AR382" s="110"/>
      <c r="AS382" s="110"/>
      <c r="AT382" s="110"/>
      <c r="AU382" s="110"/>
      <c r="AV382" s="240"/>
      <c r="AW382" s="240"/>
      <c r="AX382" s="240"/>
      <c r="AY382" s="110"/>
      <c r="AZ382" s="110"/>
      <c r="BA382" s="110"/>
      <c r="BB382" s="110"/>
      <c r="BC382" s="110"/>
      <c r="BD382" s="110">
        <v>0</v>
      </c>
      <c r="BE382" s="110">
        <v>0</v>
      </c>
      <c r="BF382" s="110">
        <v>0</v>
      </c>
      <c r="BG382" s="110" t="s">
        <v>2932</v>
      </c>
      <c r="BH382" s="110">
        <v>0</v>
      </c>
      <c r="BI382" s="110">
        <v>0</v>
      </c>
      <c r="BJ382" s="110">
        <v>0</v>
      </c>
      <c r="BK382" s="237">
        <v>0</v>
      </c>
      <c r="BL382" s="237">
        <v>0</v>
      </c>
      <c r="BM382" s="237">
        <v>0</v>
      </c>
      <c r="BN382" s="237">
        <v>0</v>
      </c>
      <c r="BO382" s="237">
        <v>0</v>
      </c>
      <c r="BP382" s="237">
        <v>0</v>
      </c>
      <c r="BQ382" s="237">
        <v>0</v>
      </c>
      <c r="BR382" s="237">
        <v>0</v>
      </c>
      <c r="BS382" s="237">
        <v>0</v>
      </c>
      <c r="BT382" s="237">
        <v>0</v>
      </c>
      <c r="BU382" s="237">
        <v>0</v>
      </c>
      <c r="BV382" s="237">
        <v>0</v>
      </c>
      <c r="BW382" s="237">
        <v>0</v>
      </c>
      <c r="BX382" s="237">
        <v>0</v>
      </c>
      <c r="BY382" s="237">
        <v>0</v>
      </c>
      <c r="BZ382" s="237">
        <v>0</v>
      </c>
      <c r="CA382" s="237">
        <v>0</v>
      </c>
      <c r="CB382" s="237">
        <v>0</v>
      </c>
      <c r="CC382" s="237">
        <v>0</v>
      </c>
      <c r="CD382" s="237">
        <v>0</v>
      </c>
      <c r="CE382" s="237">
        <v>0</v>
      </c>
      <c r="CF382" s="237">
        <v>0</v>
      </c>
      <c r="CG382" s="237">
        <v>0</v>
      </c>
      <c r="CH382" s="30">
        <v>0</v>
      </c>
      <c r="CI382" s="30">
        <v>0</v>
      </c>
      <c r="CJ382" s="30" t="e">
        <f t="array" aca="1" ref="CJ382" ca="1">_xludf.XLOOKUP(C382,'PL TOTAL D0'!H:H,'PL TOTAL D0'!I:I,"")</f>
        <v>#NAME?</v>
      </c>
    </row>
    <row r="383" spans="1:88" ht="15.75" customHeight="1">
      <c r="A383" s="36" t="s">
        <v>2921</v>
      </c>
      <c r="B383" s="37" t="s">
        <v>3548</v>
      </c>
      <c r="C383" s="9">
        <v>575296</v>
      </c>
      <c r="D383" s="9" t="s">
        <v>2923</v>
      </c>
      <c r="E383" s="9" t="s">
        <v>20</v>
      </c>
      <c r="F383" s="6" t="s">
        <v>2924</v>
      </c>
      <c r="G383" s="7" t="e">
        <f t="shared" ca="1" si="4"/>
        <v>#NAME?</v>
      </c>
      <c r="H383" s="8" t="s">
        <v>143</v>
      </c>
      <c r="I383" s="24" t="s">
        <v>25</v>
      </c>
      <c r="J383" s="9" t="str">
        <f t="shared" si="6"/>
        <v>Não</v>
      </c>
      <c r="K383" s="107">
        <v>43538</v>
      </c>
      <c r="L383" s="107">
        <v>44025</v>
      </c>
      <c r="M383" s="6" t="s">
        <v>87</v>
      </c>
      <c r="N383" s="10">
        <v>2.5000000000000001E-2</v>
      </c>
      <c r="O383" s="9" t="s">
        <v>183</v>
      </c>
      <c r="P383" s="234">
        <v>0.2</v>
      </c>
      <c r="Q383" s="108"/>
      <c r="R383" s="108"/>
      <c r="S383" s="7" t="s">
        <v>145</v>
      </c>
      <c r="T383" s="6" t="s">
        <v>3549</v>
      </c>
      <c r="U383" s="6" t="s">
        <v>20</v>
      </c>
      <c r="V383" s="24" t="e">
        <f t="shared" ca="1" si="5"/>
        <v>#NAME?</v>
      </c>
      <c r="W383" s="24"/>
      <c r="X383" s="24"/>
      <c r="Y383" s="6"/>
      <c r="Z383" s="6"/>
      <c r="AA383" s="6"/>
      <c r="AB383" s="6"/>
      <c r="AC383" s="110">
        <v>0</v>
      </c>
      <c r="AD383" s="110">
        <v>0</v>
      </c>
      <c r="AE383" s="110">
        <v>0</v>
      </c>
      <c r="AF383" s="110">
        <v>0</v>
      </c>
      <c r="AG383" s="110">
        <v>0</v>
      </c>
      <c r="AH383" s="110">
        <v>0</v>
      </c>
      <c r="AI383" s="110">
        <v>0</v>
      </c>
      <c r="AJ383" s="240"/>
      <c r="AK383" s="240"/>
      <c r="AL383" s="240"/>
      <c r="AM383" s="240"/>
      <c r="AN383" s="240"/>
      <c r="AO383" s="240"/>
      <c r="AP383" s="110"/>
      <c r="AQ383" s="110"/>
      <c r="AR383" s="110"/>
      <c r="AS383" s="110"/>
      <c r="AT383" s="110"/>
      <c r="AU383" s="110"/>
      <c r="AV383" s="240"/>
      <c r="AW383" s="240"/>
      <c r="AX383" s="240"/>
      <c r="AY383" s="110"/>
      <c r="AZ383" s="110"/>
      <c r="BA383" s="110"/>
      <c r="BB383" s="110"/>
      <c r="BC383" s="110"/>
      <c r="BD383" s="110">
        <v>0</v>
      </c>
      <c r="BE383" s="110">
        <v>0</v>
      </c>
      <c r="BF383" s="110">
        <v>0</v>
      </c>
      <c r="BG383" s="110" t="s">
        <v>2932</v>
      </c>
      <c r="BH383" s="110">
        <v>0</v>
      </c>
      <c r="BI383" s="110">
        <v>0</v>
      </c>
      <c r="BJ383" s="110">
        <v>0</v>
      </c>
      <c r="BK383" s="237">
        <v>0</v>
      </c>
      <c r="BL383" s="237">
        <v>0</v>
      </c>
      <c r="BM383" s="237">
        <v>0</v>
      </c>
      <c r="BN383" s="237">
        <v>0</v>
      </c>
      <c r="BO383" s="237">
        <v>0</v>
      </c>
      <c r="BP383" s="237">
        <v>0</v>
      </c>
      <c r="BQ383" s="237">
        <v>0</v>
      </c>
      <c r="BR383" s="237">
        <v>0</v>
      </c>
      <c r="BS383" s="237">
        <v>0</v>
      </c>
      <c r="BT383" s="237">
        <v>0</v>
      </c>
      <c r="BU383" s="237">
        <v>0</v>
      </c>
      <c r="BV383" s="237">
        <v>0</v>
      </c>
      <c r="BW383" s="237">
        <v>0</v>
      </c>
      <c r="BX383" s="237">
        <v>0</v>
      </c>
      <c r="BY383" s="237">
        <v>0</v>
      </c>
      <c r="BZ383" s="237">
        <v>0</v>
      </c>
      <c r="CA383" s="237">
        <v>0</v>
      </c>
      <c r="CB383" s="237">
        <v>0</v>
      </c>
      <c r="CC383" s="237">
        <v>0</v>
      </c>
      <c r="CD383" s="237">
        <v>0</v>
      </c>
      <c r="CE383" s="237">
        <v>0</v>
      </c>
      <c r="CF383" s="237">
        <v>0</v>
      </c>
      <c r="CG383" s="237">
        <v>0</v>
      </c>
      <c r="CH383" s="30">
        <v>0</v>
      </c>
      <c r="CI383" s="30">
        <v>0</v>
      </c>
      <c r="CJ383" s="30" t="e">
        <f t="array" aca="1" ref="CJ383" ca="1">_xludf.XLOOKUP(C383,'PL TOTAL D0'!H:H,'PL TOTAL D0'!I:I,"")</f>
        <v>#NAME?</v>
      </c>
    </row>
    <row r="384" spans="1:88" ht="15.75" customHeight="1">
      <c r="A384" s="36" t="s">
        <v>2921</v>
      </c>
      <c r="B384" s="3" t="s">
        <v>3550</v>
      </c>
      <c r="C384" s="9">
        <v>424312</v>
      </c>
      <c r="D384" s="9" t="s">
        <v>2923</v>
      </c>
      <c r="E384" s="9" t="s">
        <v>20</v>
      </c>
      <c r="F384" s="6" t="s">
        <v>2924</v>
      </c>
      <c r="G384" s="7" t="e">
        <f t="shared" ca="1" si="4"/>
        <v>#NAME?</v>
      </c>
      <c r="H384" s="8" t="s">
        <v>143</v>
      </c>
      <c r="I384" s="24" t="s">
        <v>25</v>
      </c>
      <c r="J384" s="9" t="str">
        <f t="shared" si="6"/>
        <v>Não</v>
      </c>
      <c r="K384" s="107">
        <v>43843</v>
      </c>
      <c r="L384" s="107">
        <v>44455</v>
      </c>
      <c r="M384" s="6" t="s">
        <v>58</v>
      </c>
      <c r="N384" s="10">
        <v>1.2E-2</v>
      </c>
      <c r="O384" s="9" t="s">
        <v>25</v>
      </c>
      <c r="P384" s="234">
        <v>0</v>
      </c>
      <c r="Q384" s="108"/>
      <c r="R384" s="108"/>
      <c r="S384" s="7" t="s">
        <v>145</v>
      </c>
      <c r="T384" s="6" t="s">
        <v>3551</v>
      </c>
      <c r="U384" s="6" t="s">
        <v>20</v>
      </c>
      <c r="V384" s="24" t="e">
        <f t="shared" ca="1" si="5"/>
        <v>#NAME?</v>
      </c>
      <c r="W384" s="24"/>
      <c r="X384" s="24"/>
      <c r="Y384" s="6"/>
      <c r="Z384" s="6"/>
      <c r="AA384" s="6"/>
      <c r="AB384" s="6"/>
      <c r="AC384" s="110">
        <v>109611.63</v>
      </c>
      <c r="AD384" s="110">
        <v>107961.36</v>
      </c>
      <c r="AE384" s="110">
        <v>104081.71</v>
      </c>
      <c r="AF384" s="110">
        <v>104855.32</v>
      </c>
      <c r="AG384" s="110">
        <v>105522.73</v>
      </c>
      <c r="AH384" s="110">
        <v>105886.34</v>
      </c>
      <c r="AI384" s="110">
        <v>107432.66</v>
      </c>
      <c r="AJ384" s="110">
        <v>106053.85</v>
      </c>
      <c r="AK384" s="110">
        <v>104717.5</v>
      </c>
      <c r="AL384" s="110">
        <v>104601.62</v>
      </c>
      <c r="AM384" s="110">
        <v>107063.13</v>
      </c>
      <c r="AN384" s="110">
        <v>108445.55</v>
      </c>
      <c r="AO384" s="110">
        <v>107142.67</v>
      </c>
      <c r="AP384" s="110">
        <v>105722.6</v>
      </c>
      <c r="AQ384" s="110">
        <v>105412.75</v>
      </c>
      <c r="AR384" s="110">
        <v>107078.35</v>
      </c>
      <c r="AS384" s="110">
        <v>108222.44</v>
      </c>
      <c r="AT384" s="110">
        <v>108105.33</v>
      </c>
      <c r="AU384" s="110">
        <v>108984.02</v>
      </c>
      <c r="AV384" s="110">
        <v>108716.13</v>
      </c>
      <c r="AW384" s="110">
        <v>108542.37</v>
      </c>
      <c r="AX384" s="110">
        <v>107666.91</v>
      </c>
      <c r="AY384" s="110">
        <v>107081.25</v>
      </c>
      <c r="AZ384" s="110">
        <v>106320.71</v>
      </c>
      <c r="BA384" s="110"/>
      <c r="BB384" s="110"/>
      <c r="BC384" s="110"/>
      <c r="BD384" s="110">
        <v>0</v>
      </c>
      <c r="BE384" s="110">
        <v>0</v>
      </c>
      <c r="BF384" s="110">
        <v>0</v>
      </c>
      <c r="BG384" s="110" t="s">
        <v>2932</v>
      </c>
      <c r="BH384" s="110">
        <v>0</v>
      </c>
      <c r="BI384" s="110">
        <v>0</v>
      </c>
      <c r="BJ384" s="110">
        <v>0</v>
      </c>
      <c r="BK384" s="237">
        <v>0</v>
      </c>
      <c r="BL384" s="237">
        <v>0</v>
      </c>
      <c r="BM384" s="237">
        <v>0</v>
      </c>
      <c r="BN384" s="237">
        <v>0</v>
      </c>
      <c r="BO384" s="237">
        <v>0</v>
      </c>
      <c r="BP384" s="237">
        <v>0</v>
      </c>
      <c r="BQ384" s="237">
        <v>0</v>
      </c>
      <c r="BR384" s="237">
        <v>0</v>
      </c>
      <c r="BS384" s="237">
        <v>0</v>
      </c>
      <c r="BT384" s="237">
        <v>0</v>
      </c>
      <c r="BU384" s="237">
        <v>0</v>
      </c>
      <c r="BV384" s="237">
        <v>0</v>
      </c>
      <c r="BW384" s="237">
        <v>0</v>
      </c>
      <c r="BX384" s="237">
        <v>0</v>
      </c>
      <c r="BY384" s="237">
        <v>0</v>
      </c>
      <c r="BZ384" s="237">
        <v>0</v>
      </c>
      <c r="CA384" s="237">
        <v>0</v>
      </c>
      <c r="CB384" s="237">
        <v>0</v>
      </c>
      <c r="CC384" s="237">
        <v>0</v>
      </c>
      <c r="CD384" s="237">
        <v>0</v>
      </c>
      <c r="CE384" s="237">
        <v>0</v>
      </c>
      <c r="CF384" s="237">
        <v>0</v>
      </c>
      <c r="CG384" s="237">
        <v>0</v>
      </c>
      <c r="CH384" s="30">
        <v>0</v>
      </c>
      <c r="CI384" s="30">
        <v>0</v>
      </c>
      <c r="CJ384" s="30" t="e">
        <f t="array" aca="1" ref="CJ384" ca="1">_xludf.XLOOKUP(C384,'PL TOTAL D0'!H:H,'PL TOTAL D0'!I:I,"")</f>
        <v>#NAME?</v>
      </c>
    </row>
    <row r="385" spans="1:88" ht="15.75" customHeight="1">
      <c r="A385" s="36" t="s">
        <v>2921</v>
      </c>
      <c r="B385" s="106" t="s">
        <v>3552</v>
      </c>
      <c r="C385" s="9">
        <v>47922</v>
      </c>
      <c r="D385" s="9" t="s">
        <v>19</v>
      </c>
      <c r="E385" s="9" t="s">
        <v>34</v>
      </c>
      <c r="F385" s="9" t="s">
        <v>262</v>
      </c>
      <c r="G385" s="7" t="e">
        <f t="shared" ca="1" si="4"/>
        <v>#NAME?</v>
      </c>
      <c r="H385" s="8" t="s">
        <v>161</v>
      </c>
      <c r="I385" s="24" t="s">
        <v>162</v>
      </c>
      <c r="J385" s="9" t="str">
        <f t="shared" si="6"/>
        <v>Não</v>
      </c>
      <c r="K385" s="107">
        <v>44273</v>
      </c>
      <c r="L385" s="7"/>
      <c r="M385" s="6" t="s">
        <v>200</v>
      </c>
      <c r="N385" s="10">
        <v>1.2E-2</v>
      </c>
      <c r="O385" s="9" t="s">
        <v>37</v>
      </c>
      <c r="P385" s="234">
        <v>0.1</v>
      </c>
      <c r="Q385" s="108"/>
      <c r="R385" s="108"/>
      <c r="S385" s="7" t="s">
        <v>145</v>
      </c>
      <c r="T385" s="9" t="s">
        <v>3553</v>
      </c>
      <c r="U385" s="6" t="s">
        <v>39</v>
      </c>
      <c r="V385" s="24" t="e">
        <f t="shared" ca="1" si="5"/>
        <v>#NAME?</v>
      </c>
      <c r="W385" s="24"/>
      <c r="X385" s="24"/>
      <c r="Y385" s="6" t="s">
        <v>253</v>
      </c>
      <c r="Z385" s="6"/>
      <c r="AA385" s="107">
        <v>44273</v>
      </c>
      <c r="AB385" s="6">
        <v>49075100004900</v>
      </c>
      <c r="AC385" s="240"/>
      <c r="AD385" s="240"/>
      <c r="AE385" s="240"/>
      <c r="AF385" s="240"/>
      <c r="AG385" s="240"/>
      <c r="AH385" s="240"/>
      <c r="AI385" s="240"/>
      <c r="AJ385" s="240"/>
      <c r="AK385" s="240"/>
      <c r="AL385" s="240"/>
      <c r="AM385" s="240"/>
      <c r="AN385" s="240"/>
      <c r="AO385" s="240"/>
      <c r="AP385" s="110"/>
      <c r="AQ385" s="236">
        <v>295500</v>
      </c>
      <c r="AR385" s="236">
        <v>293919.3</v>
      </c>
      <c r="AS385" s="236"/>
      <c r="AT385" s="236">
        <v>96359.51</v>
      </c>
      <c r="AU385" s="236">
        <v>98018.91</v>
      </c>
      <c r="AV385" s="110">
        <v>97659.97</v>
      </c>
      <c r="AW385" s="110">
        <v>96671.15</v>
      </c>
      <c r="AX385" s="110">
        <v>94590.76</v>
      </c>
      <c r="AY385" s="110">
        <v>93260.87</v>
      </c>
      <c r="AZ385" s="110">
        <v>90581.97</v>
      </c>
      <c r="BA385" s="110">
        <v>89659.09</v>
      </c>
      <c r="BB385" s="110">
        <v>90000.48</v>
      </c>
      <c r="BC385" s="110">
        <v>92231.5</v>
      </c>
      <c r="BD385" s="110">
        <v>92773.75</v>
      </c>
      <c r="BE385" s="110">
        <v>96610.36</v>
      </c>
      <c r="BF385" s="110">
        <v>95093.41</v>
      </c>
      <c r="BG385" s="237">
        <v>94883.7</v>
      </c>
      <c r="BH385" s="237">
        <v>94280.35</v>
      </c>
      <c r="BI385" s="237">
        <v>95513.04</v>
      </c>
      <c r="BJ385" s="237">
        <v>96775.12</v>
      </c>
      <c r="BK385" s="237">
        <v>97609.54</v>
      </c>
      <c r="BL385" s="237">
        <v>100656.17</v>
      </c>
      <c r="BM385" s="237">
        <v>99771.72</v>
      </c>
      <c r="BN385" s="237">
        <v>100669.91</v>
      </c>
      <c r="BO385" s="237">
        <v>102001.86</v>
      </c>
      <c r="BP385" s="237">
        <v>102836.26</v>
      </c>
      <c r="BQ385" s="237">
        <v>14480.79</v>
      </c>
      <c r="BR385" s="237">
        <v>0</v>
      </c>
      <c r="BS385" s="237">
        <v>0.25</v>
      </c>
      <c r="BT385" s="237">
        <v>0</v>
      </c>
      <c r="BU385" s="237">
        <v>0</v>
      </c>
      <c r="BV385" s="237">
        <v>0</v>
      </c>
      <c r="BW385" s="237">
        <v>0</v>
      </c>
      <c r="BX385" s="237">
        <v>0</v>
      </c>
      <c r="BY385" s="237">
        <v>0</v>
      </c>
      <c r="BZ385" s="237">
        <v>0</v>
      </c>
      <c r="CA385" s="237">
        <v>0</v>
      </c>
      <c r="CB385" s="237">
        <v>0</v>
      </c>
      <c r="CC385" s="237">
        <v>0</v>
      </c>
      <c r="CD385" s="237">
        <v>0</v>
      </c>
      <c r="CE385" s="237">
        <v>0</v>
      </c>
      <c r="CF385" s="237">
        <v>0</v>
      </c>
      <c r="CG385" s="237">
        <v>0</v>
      </c>
      <c r="CH385" s="30">
        <v>0</v>
      </c>
      <c r="CI385" s="30">
        <v>0</v>
      </c>
      <c r="CJ385" s="30" t="e">
        <f t="array" aca="1" ref="CJ385" ca="1">_xludf.XLOOKUP(C385,'PL TOTAL D0'!H:H,'PL TOTAL D0'!I:I,"")</f>
        <v>#NAME?</v>
      </c>
    </row>
    <row r="386" spans="1:88" ht="15.75" customHeight="1">
      <c r="A386" s="36" t="s">
        <v>2921</v>
      </c>
      <c r="B386" s="3" t="s">
        <v>3554</v>
      </c>
      <c r="C386" s="9">
        <v>467548</v>
      </c>
      <c r="D386" s="9" t="s">
        <v>19</v>
      </c>
      <c r="E386" s="9" t="s">
        <v>34</v>
      </c>
      <c r="F386" s="9" t="s">
        <v>2971</v>
      </c>
      <c r="G386" s="7" t="e">
        <f t="shared" ca="1" si="4"/>
        <v>#NAME?</v>
      </c>
      <c r="H386" s="8" t="s">
        <v>143</v>
      </c>
      <c r="I386" s="24" t="s">
        <v>25</v>
      </c>
      <c r="J386" s="9" t="str">
        <f t="shared" si="6"/>
        <v>Não</v>
      </c>
      <c r="K386" s="107">
        <v>44267</v>
      </c>
      <c r="L386" s="79">
        <v>44908</v>
      </c>
      <c r="M386" s="6" t="s">
        <v>200</v>
      </c>
      <c r="N386" s="10">
        <v>1.4999999999999999E-2</v>
      </c>
      <c r="O386" s="9" t="s">
        <v>37</v>
      </c>
      <c r="P386" s="234">
        <v>0.1</v>
      </c>
      <c r="Q386" s="235"/>
      <c r="R386" s="108" t="s">
        <v>3555</v>
      </c>
      <c r="S386" s="7" t="s">
        <v>145</v>
      </c>
      <c r="T386" s="6" t="s">
        <v>3556</v>
      </c>
      <c r="U386" s="6" t="s">
        <v>39</v>
      </c>
      <c r="V386" s="24" t="e">
        <f t="shared" ca="1" si="5"/>
        <v>#NAME?</v>
      </c>
      <c r="W386" s="24"/>
      <c r="X386" s="24"/>
      <c r="Y386" s="6" t="s">
        <v>253</v>
      </c>
      <c r="Z386" s="6"/>
      <c r="AA386" s="6"/>
      <c r="AB386" s="6"/>
      <c r="AC386" s="240"/>
      <c r="AD386" s="240"/>
      <c r="AE386" s="240"/>
      <c r="AF386" s="240"/>
      <c r="AG386" s="240"/>
      <c r="AH386" s="240"/>
      <c r="AI386" s="240"/>
      <c r="AJ386" s="240"/>
      <c r="AK386" s="240"/>
      <c r="AL386" s="240"/>
      <c r="AM386" s="240"/>
      <c r="AN386" s="240"/>
      <c r="AO386" s="240"/>
      <c r="AP386" s="110"/>
      <c r="AQ386" s="236">
        <v>308627.75</v>
      </c>
      <c r="AR386" s="236">
        <v>314732.39</v>
      </c>
      <c r="AS386" s="236"/>
      <c r="AT386" s="236">
        <v>318794.19</v>
      </c>
      <c r="AU386" s="236">
        <v>326027.34000000003</v>
      </c>
      <c r="AV386" s="110">
        <v>324095.86</v>
      </c>
      <c r="AW386" s="110">
        <v>318675.94</v>
      </c>
      <c r="AX386" s="110">
        <v>303444.86</v>
      </c>
      <c r="AY386" s="110">
        <v>296222.95</v>
      </c>
      <c r="AZ386" s="110">
        <v>283524.06</v>
      </c>
      <c r="BA386" s="110">
        <v>276998.58</v>
      </c>
      <c r="BB386" s="110">
        <v>276712.21999999997</v>
      </c>
      <c r="BC386" s="110">
        <v>274501.90000000002</v>
      </c>
      <c r="BD386" s="110">
        <v>275832.73</v>
      </c>
      <c r="BE386" s="110">
        <v>289042.2</v>
      </c>
      <c r="BF386" s="110">
        <v>281175.94</v>
      </c>
      <c r="BG386" s="237">
        <v>279257.59000000003</v>
      </c>
      <c r="BH386" s="237">
        <v>270445.53000000003</v>
      </c>
      <c r="BI386" s="237">
        <v>276038.02</v>
      </c>
      <c r="BJ386" s="237">
        <v>279352.55</v>
      </c>
      <c r="BK386" s="237">
        <v>282382</v>
      </c>
      <c r="BL386" s="237">
        <v>70026.759999999995</v>
      </c>
      <c r="BM386" s="237">
        <v>16670.41</v>
      </c>
      <c r="BN386" s="237">
        <v>16733.54</v>
      </c>
      <c r="BO386" s="237">
        <v>24338.57</v>
      </c>
      <c r="BP386" s="237">
        <v>54363.6</v>
      </c>
      <c r="BQ386" s="237">
        <v>0</v>
      </c>
      <c r="BR386" s="237">
        <v>0</v>
      </c>
      <c r="BS386" s="237">
        <v>0</v>
      </c>
      <c r="BT386" s="237">
        <v>0</v>
      </c>
      <c r="BU386" s="237">
        <v>0</v>
      </c>
      <c r="BV386" s="237">
        <v>0</v>
      </c>
      <c r="BW386" s="237">
        <v>0</v>
      </c>
      <c r="BX386" s="237">
        <v>0</v>
      </c>
      <c r="BY386" s="237">
        <v>0</v>
      </c>
      <c r="BZ386" s="237">
        <v>0</v>
      </c>
      <c r="CA386" s="237">
        <v>0</v>
      </c>
      <c r="CB386" s="237">
        <v>0</v>
      </c>
      <c r="CC386" s="237">
        <v>0</v>
      </c>
      <c r="CD386" s="237">
        <v>0</v>
      </c>
      <c r="CE386" s="237">
        <v>0</v>
      </c>
      <c r="CF386" s="237">
        <v>0</v>
      </c>
      <c r="CG386" s="237">
        <v>0</v>
      </c>
      <c r="CH386" s="30">
        <v>0</v>
      </c>
      <c r="CI386" s="30">
        <v>0</v>
      </c>
      <c r="CJ386" s="30" t="e">
        <f t="array" aca="1" ref="CJ386" ca="1">_xludf.XLOOKUP(C386,'PL TOTAL D0'!H:H,'PL TOTAL D0'!I:I,"")</f>
        <v>#NAME?</v>
      </c>
    </row>
    <row r="387" spans="1:88" ht="15.75" customHeight="1">
      <c r="A387" s="36" t="s">
        <v>2921</v>
      </c>
      <c r="B387" s="37" t="s">
        <v>3554</v>
      </c>
      <c r="C387" s="9">
        <v>0</v>
      </c>
      <c r="D387" s="9" t="s">
        <v>19</v>
      </c>
      <c r="E387" s="9" t="s">
        <v>34</v>
      </c>
      <c r="F387" s="9" t="s">
        <v>2971</v>
      </c>
      <c r="G387" s="7" t="e">
        <f t="shared" ca="1" si="4"/>
        <v>#NAME?</v>
      </c>
      <c r="H387" s="8" t="s">
        <v>143</v>
      </c>
      <c r="I387" s="24" t="s">
        <v>25</v>
      </c>
      <c r="J387" s="9" t="str">
        <f t="shared" si="6"/>
        <v>Não</v>
      </c>
      <c r="K387" s="6"/>
      <c r="L387" s="239">
        <v>44908</v>
      </c>
      <c r="M387" s="7" t="s">
        <v>3148</v>
      </c>
      <c r="N387" s="233">
        <v>0.01</v>
      </c>
      <c r="O387" s="9" t="s">
        <v>25</v>
      </c>
      <c r="P387" s="234">
        <v>0</v>
      </c>
      <c r="Q387" s="108"/>
      <c r="R387" s="108"/>
      <c r="S387" s="7" t="s">
        <v>145</v>
      </c>
      <c r="T387" s="6" t="s">
        <v>3556</v>
      </c>
      <c r="U387" s="6" t="s">
        <v>39</v>
      </c>
      <c r="V387" s="24" t="e">
        <f t="shared" ca="1" si="5"/>
        <v>#NAME?</v>
      </c>
      <c r="W387" s="24"/>
      <c r="X387" s="24"/>
      <c r="Y387" s="6"/>
      <c r="Z387" s="6"/>
      <c r="AA387" s="6"/>
      <c r="AB387" s="6"/>
      <c r="AC387" s="240"/>
      <c r="AD387" s="240"/>
      <c r="AE387" s="240"/>
      <c r="AF387" s="240"/>
      <c r="AG387" s="240"/>
      <c r="AH387" s="240"/>
      <c r="AI387" s="240"/>
      <c r="AJ387" s="240"/>
      <c r="AK387" s="240"/>
      <c r="AL387" s="240"/>
      <c r="AM387" s="240"/>
      <c r="AN387" s="240"/>
      <c r="AO387" s="240"/>
      <c r="AP387" s="240"/>
      <c r="AQ387" s="110"/>
      <c r="AR387" s="110"/>
      <c r="AS387" s="110"/>
      <c r="AT387" s="110"/>
      <c r="AU387" s="110"/>
      <c r="AV387" s="110"/>
      <c r="AW387" s="110"/>
      <c r="AX387" s="110"/>
      <c r="AY387" s="110"/>
      <c r="AZ387" s="110"/>
      <c r="BA387" s="110">
        <v>49015.46</v>
      </c>
      <c r="BB387" s="110">
        <v>48735.19</v>
      </c>
      <c r="BC387" s="110">
        <v>50980.29</v>
      </c>
      <c r="BD387" s="110"/>
      <c r="BE387" s="110"/>
      <c r="BF387" s="110">
        <v>0</v>
      </c>
      <c r="BG387" s="237" t="s">
        <v>2932</v>
      </c>
      <c r="BH387" s="237">
        <v>0</v>
      </c>
      <c r="BI387" s="237">
        <v>0</v>
      </c>
      <c r="BJ387" s="237">
        <v>0</v>
      </c>
      <c r="BK387" s="237">
        <v>0</v>
      </c>
      <c r="BL387" s="237">
        <v>70026.759999999995</v>
      </c>
      <c r="BM387" s="237">
        <v>0</v>
      </c>
      <c r="BN387" s="237">
        <v>0</v>
      </c>
      <c r="BO387" s="237">
        <v>0</v>
      </c>
      <c r="BP387" s="237">
        <v>0</v>
      </c>
      <c r="BQ387" s="237">
        <v>0</v>
      </c>
      <c r="BR387" s="237">
        <v>0</v>
      </c>
      <c r="BS387" s="237">
        <v>0</v>
      </c>
      <c r="BT387" s="237">
        <v>0</v>
      </c>
      <c r="BU387" s="237">
        <v>0</v>
      </c>
      <c r="BV387" s="237">
        <v>0</v>
      </c>
      <c r="BW387" s="237">
        <v>0</v>
      </c>
      <c r="BX387" s="237">
        <v>0</v>
      </c>
      <c r="BY387" s="237">
        <v>0</v>
      </c>
      <c r="BZ387" s="237">
        <v>0</v>
      </c>
      <c r="CA387" s="237">
        <v>0</v>
      </c>
      <c r="CB387" s="237">
        <v>0</v>
      </c>
      <c r="CC387" s="237">
        <v>0</v>
      </c>
      <c r="CD387" s="237">
        <v>0</v>
      </c>
      <c r="CE387" s="237">
        <v>0</v>
      </c>
      <c r="CF387" s="237">
        <v>0</v>
      </c>
      <c r="CG387" s="237">
        <v>0</v>
      </c>
      <c r="CH387" s="30">
        <v>0</v>
      </c>
      <c r="CI387" s="30">
        <v>0</v>
      </c>
      <c r="CJ387" s="30" t="e">
        <f t="array" aca="1" ref="CJ387" ca="1">_xludf.XLOOKUP(C387,'PL TOTAL D0'!H:H,'PL TOTAL D0'!I:I,"")</f>
        <v>#NAME?</v>
      </c>
    </row>
    <row r="388" spans="1:88" ht="15.75" customHeight="1">
      <c r="A388" s="36" t="s">
        <v>2921</v>
      </c>
      <c r="B388" s="36" t="s">
        <v>3557</v>
      </c>
      <c r="C388" s="9">
        <v>577392</v>
      </c>
      <c r="D388" s="9" t="s">
        <v>2923</v>
      </c>
      <c r="E388" s="9" t="s">
        <v>20</v>
      </c>
      <c r="F388" s="9" t="s">
        <v>2924</v>
      </c>
      <c r="G388" s="7" t="e">
        <f t="shared" ca="1" si="4"/>
        <v>#NAME?</v>
      </c>
      <c r="H388" s="8" t="s">
        <v>161</v>
      </c>
      <c r="I388" s="24" t="s">
        <v>162</v>
      </c>
      <c r="J388" s="9" t="str">
        <f t="shared" si="6"/>
        <v>Não</v>
      </c>
      <c r="K388" s="232">
        <v>43567</v>
      </c>
      <c r="L388" s="6"/>
      <c r="M388" s="6" t="s">
        <v>200</v>
      </c>
      <c r="N388" s="233">
        <v>0.01</v>
      </c>
      <c r="O388" s="9" t="s">
        <v>37</v>
      </c>
      <c r="P388" s="234">
        <v>0.1</v>
      </c>
      <c r="Q388" s="36"/>
      <c r="R388" s="108" t="s">
        <v>3558</v>
      </c>
      <c r="S388" s="7" t="s">
        <v>145</v>
      </c>
      <c r="T388" s="9" t="s">
        <v>3559</v>
      </c>
      <c r="U388" s="6" t="s">
        <v>20</v>
      </c>
      <c r="V388" s="24" t="e">
        <f t="shared" ca="1" si="5"/>
        <v>#NAME?</v>
      </c>
      <c r="W388" s="24"/>
      <c r="X388" s="24"/>
      <c r="Y388" s="6" t="s">
        <v>253</v>
      </c>
      <c r="Z388" s="6"/>
      <c r="AA388" s="107">
        <v>43567</v>
      </c>
      <c r="AB388" s="6">
        <v>49075100011028</v>
      </c>
      <c r="AC388" s="110">
        <v>272123.15000000002</v>
      </c>
      <c r="AD388" s="110">
        <v>269477.65000000002</v>
      </c>
      <c r="AE388" s="110">
        <v>234023.17</v>
      </c>
      <c r="AF388" s="110">
        <v>236637.7</v>
      </c>
      <c r="AG388" s="110">
        <v>239746.38</v>
      </c>
      <c r="AH388" s="110">
        <v>242739.15</v>
      </c>
      <c r="AI388" s="110">
        <v>247056.74</v>
      </c>
      <c r="AJ388" s="110">
        <v>243834.84</v>
      </c>
      <c r="AK388" s="110">
        <v>227207.33</v>
      </c>
      <c r="AL388" s="110">
        <v>228633.96</v>
      </c>
      <c r="AM388" s="110">
        <v>205187.21</v>
      </c>
      <c r="AN388" s="110">
        <v>158268.14000000001</v>
      </c>
      <c r="AO388" s="110">
        <v>156455.1</v>
      </c>
      <c r="AP388" s="110">
        <v>198891.2</v>
      </c>
      <c r="AQ388" s="236">
        <v>198716.37</v>
      </c>
      <c r="AR388" s="236">
        <v>197540.84</v>
      </c>
      <c r="AS388" s="236">
        <v>202178.74</v>
      </c>
      <c r="AT388" s="236">
        <v>202436.68</v>
      </c>
      <c r="AU388" s="236">
        <v>204170.01</v>
      </c>
      <c r="AV388" s="110">
        <v>203953.72</v>
      </c>
      <c r="AW388" s="110">
        <v>203513.91</v>
      </c>
      <c r="AX388" s="110">
        <v>284596.45</v>
      </c>
      <c r="AY388" s="110">
        <v>269220.36</v>
      </c>
      <c r="AZ388" s="110">
        <v>280443</v>
      </c>
      <c r="BA388" s="110"/>
      <c r="BB388" s="110"/>
      <c r="BC388" s="110"/>
      <c r="BD388" s="110">
        <v>53049.83</v>
      </c>
      <c r="BE388" s="110">
        <v>55663.23</v>
      </c>
      <c r="BF388" s="110">
        <v>53571.59</v>
      </c>
      <c r="BG388" s="237">
        <v>53851.99</v>
      </c>
      <c r="BH388" s="237">
        <v>23513.4</v>
      </c>
      <c r="BI388" s="237">
        <v>953.62</v>
      </c>
      <c r="BJ388" s="237">
        <v>992.06</v>
      </c>
      <c r="BK388" s="237">
        <v>999.78</v>
      </c>
      <c r="BL388" s="237">
        <v>1007.16</v>
      </c>
      <c r="BM388" s="237">
        <v>1014.5</v>
      </c>
      <c r="BN388" s="237">
        <v>1022.72</v>
      </c>
      <c r="BO388" s="237">
        <v>1178.9100000000001</v>
      </c>
      <c r="BP388" s="237">
        <v>1185.6600000000001</v>
      </c>
      <c r="BQ388" s="237">
        <v>1192.3399999999999</v>
      </c>
      <c r="BR388" s="237">
        <v>1192.3800000000001</v>
      </c>
      <c r="BS388" s="237">
        <v>0.04</v>
      </c>
      <c r="BT388" s="237">
        <v>0</v>
      </c>
      <c r="BU388" s="237">
        <v>0</v>
      </c>
      <c r="BV388" s="237">
        <v>0</v>
      </c>
      <c r="BW388" s="237">
        <v>0</v>
      </c>
      <c r="BX388" s="237">
        <v>0</v>
      </c>
      <c r="BY388" s="237">
        <v>0</v>
      </c>
      <c r="BZ388" s="237">
        <v>0</v>
      </c>
      <c r="CA388" s="237">
        <v>0</v>
      </c>
      <c r="CB388" s="237">
        <v>0</v>
      </c>
      <c r="CC388" s="237">
        <v>0</v>
      </c>
      <c r="CD388" s="237">
        <v>0</v>
      </c>
      <c r="CE388" s="237">
        <v>0</v>
      </c>
      <c r="CF388" s="237">
        <v>0</v>
      </c>
      <c r="CG388" s="237">
        <v>0</v>
      </c>
      <c r="CH388" s="30">
        <v>0</v>
      </c>
      <c r="CI388" s="30">
        <v>0</v>
      </c>
      <c r="CJ388" s="30" t="e">
        <f t="array" aca="1" ref="CJ388" ca="1">_xludf.XLOOKUP(C388,'PL TOTAL D0'!H:H,'PL TOTAL D0'!I:I,"")</f>
        <v>#NAME?</v>
      </c>
    </row>
    <row r="389" spans="1:88" ht="15.75" customHeight="1">
      <c r="A389" s="36" t="s">
        <v>2921</v>
      </c>
      <c r="B389" s="106" t="s">
        <v>3560</v>
      </c>
      <c r="C389" s="9">
        <v>384538</v>
      </c>
      <c r="D389" s="9" t="s">
        <v>19</v>
      </c>
      <c r="E389" s="9" t="s">
        <v>20</v>
      </c>
      <c r="F389" s="9" t="s">
        <v>3159</v>
      </c>
      <c r="G389" s="7" t="e">
        <f t="shared" ca="1" si="4"/>
        <v>#NAME?</v>
      </c>
      <c r="H389" s="8" t="s">
        <v>161</v>
      </c>
      <c r="I389" s="24" t="s">
        <v>25</v>
      </c>
      <c r="J389" s="9" t="str">
        <f t="shared" si="6"/>
        <v>Não</v>
      </c>
      <c r="K389" s="232">
        <v>45106</v>
      </c>
      <c r="L389" s="6"/>
      <c r="M389" s="6" t="s">
        <v>200</v>
      </c>
      <c r="N389" s="233">
        <v>1.4999999999999999E-2</v>
      </c>
      <c r="O389" s="9" t="s">
        <v>37</v>
      </c>
      <c r="P389" s="234">
        <v>0.1</v>
      </c>
      <c r="Q389" s="108"/>
      <c r="R389" s="108"/>
      <c r="S389" s="7" t="s">
        <v>145</v>
      </c>
      <c r="T389" s="9" t="s">
        <v>3561</v>
      </c>
      <c r="U389" s="6" t="s">
        <v>46</v>
      </c>
      <c r="V389" s="24" t="e">
        <f t="shared" ca="1" si="5"/>
        <v>#NAME?</v>
      </c>
      <c r="W389" s="24"/>
      <c r="X389" s="24"/>
      <c r="Y389" s="6" t="s">
        <v>147</v>
      </c>
      <c r="Z389" s="6"/>
      <c r="AA389" s="107">
        <v>45106</v>
      </c>
      <c r="AB389" s="6">
        <v>49075100011036</v>
      </c>
      <c r="AC389" s="110"/>
      <c r="AD389" s="110"/>
      <c r="AE389" s="110"/>
      <c r="AF389" s="110"/>
      <c r="AG389" s="110"/>
      <c r="AH389" s="110"/>
      <c r="AI389" s="110"/>
      <c r="AJ389" s="110"/>
      <c r="AK389" s="110"/>
      <c r="AL389" s="110"/>
      <c r="AM389" s="110"/>
      <c r="AN389" s="110"/>
      <c r="AO389" s="110"/>
      <c r="AP389" s="110"/>
      <c r="AQ389" s="236"/>
      <c r="AR389" s="236"/>
      <c r="AS389" s="236"/>
      <c r="AT389" s="236"/>
      <c r="AU389" s="236"/>
      <c r="AV389" s="110"/>
      <c r="AW389" s="110"/>
      <c r="AX389" s="110"/>
      <c r="AY389" s="110"/>
      <c r="AZ389" s="110"/>
      <c r="BA389" s="110"/>
      <c r="BB389" s="110"/>
      <c r="BC389" s="110"/>
      <c r="BD389" s="110"/>
      <c r="BE389" s="110"/>
      <c r="BF389" s="110"/>
      <c r="BG389" s="237"/>
      <c r="BH389" s="237"/>
      <c r="BI389" s="237"/>
      <c r="BJ389" s="237"/>
      <c r="BK389" s="237"/>
      <c r="BL389" s="237"/>
      <c r="BM389" s="237"/>
      <c r="BN389" s="237"/>
      <c r="BO389" s="237"/>
      <c r="BP389" s="237"/>
      <c r="BQ389" s="237"/>
      <c r="BR389" s="237"/>
      <c r="BS389" s="237"/>
      <c r="BT389" s="237">
        <v>0</v>
      </c>
      <c r="BU389" s="237">
        <v>20022.05</v>
      </c>
      <c r="BV389" s="237">
        <v>20164.87</v>
      </c>
      <c r="BW389" s="237">
        <v>20040.2</v>
      </c>
      <c r="BX389" s="237">
        <v>19973.580000000002</v>
      </c>
      <c r="BY389" s="237">
        <v>20595.73</v>
      </c>
      <c r="BZ389" s="237">
        <v>32879.949999999997</v>
      </c>
      <c r="CA389" s="237">
        <v>33700.61</v>
      </c>
      <c r="CB389" s="237">
        <v>44041.59</v>
      </c>
      <c r="CC389" s="237">
        <v>42504</v>
      </c>
      <c r="CD389" s="237">
        <v>62426.46</v>
      </c>
      <c r="CE389" s="237">
        <v>75179.25</v>
      </c>
      <c r="CF389" s="237">
        <v>85556.93</v>
      </c>
      <c r="CG389" s="237">
        <v>63642.14</v>
      </c>
      <c r="CH389" s="30">
        <v>64236.59</v>
      </c>
      <c r="CI389" s="30">
        <v>78690.3</v>
      </c>
      <c r="CJ389" s="30" t="e">
        <f t="array" aca="1" ref="CJ389" ca="1">_xludf.XLOOKUP(C389,'PL TOTAL D0'!H:H,'PL TOTAL D0'!I:I,"")</f>
        <v>#NAME?</v>
      </c>
    </row>
    <row r="390" spans="1:88" ht="15.75" customHeight="1">
      <c r="A390" s="36" t="s">
        <v>2921</v>
      </c>
      <c r="B390" s="37" t="s">
        <v>2829</v>
      </c>
      <c r="C390" s="9">
        <v>576246</v>
      </c>
      <c r="D390" s="9" t="s">
        <v>19</v>
      </c>
      <c r="E390" s="9" t="s">
        <v>34</v>
      </c>
      <c r="F390" s="9" t="s">
        <v>35</v>
      </c>
      <c r="G390" s="7" t="e">
        <f t="shared" ca="1" si="4"/>
        <v>#NAME?</v>
      </c>
      <c r="H390" s="8" t="s">
        <v>161</v>
      </c>
      <c r="I390" s="24" t="s">
        <v>162</v>
      </c>
      <c r="J390" s="9" t="str">
        <f t="shared" si="6"/>
        <v>Não</v>
      </c>
      <c r="K390" s="107">
        <v>44599</v>
      </c>
      <c r="L390" s="6"/>
      <c r="M390" s="6" t="s">
        <v>200</v>
      </c>
      <c r="N390" s="233">
        <v>1.4999999999999999E-2</v>
      </c>
      <c r="O390" s="9" t="s">
        <v>37</v>
      </c>
      <c r="P390" s="234">
        <v>0.1</v>
      </c>
      <c r="Q390" s="28"/>
      <c r="R390" s="28"/>
      <c r="S390" s="7" t="s">
        <v>145</v>
      </c>
      <c r="T390" s="6" t="s">
        <v>2831</v>
      </c>
      <c r="U390" s="6" t="s">
        <v>39</v>
      </c>
      <c r="V390" s="24" t="e">
        <f t="shared" ca="1" si="5"/>
        <v>#NAME?</v>
      </c>
      <c r="W390" s="24"/>
      <c r="X390" s="24"/>
      <c r="Y390" s="6" t="s">
        <v>253</v>
      </c>
      <c r="Z390" s="6"/>
      <c r="AA390" s="107">
        <v>44599</v>
      </c>
      <c r="AB390" s="6">
        <v>49075100004927</v>
      </c>
      <c r="AC390" s="132"/>
      <c r="AD390" s="132"/>
      <c r="AE390" s="132"/>
      <c r="AF390" s="132"/>
      <c r="AG390" s="132"/>
      <c r="AH390" s="132"/>
      <c r="AI390" s="132"/>
      <c r="AJ390" s="132"/>
      <c r="AK390" s="132"/>
      <c r="AL390" s="132"/>
      <c r="AM390" s="132"/>
      <c r="AN390" s="132"/>
      <c r="AO390" s="132"/>
      <c r="AP390" s="240"/>
      <c r="AQ390" s="110"/>
      <c r="AR390" s="110"/>
      <c r="AS390" s="110"/>
      <c r="AT390" s="110"/>
      <c r="AU390" s="110"/>
      <c r="AV390" s="110"/>
      <c r="AW390" s="110"/>
      <c r="AX390" s="110"/>
      <c r="AY390" s="110"/>
      <c r="AZ390" s="110"/>
      <c r="BA390" s="110"/>
      <c r="BB390" s="110"/>
      <c r="BC390" s="110">
        <v>292422.39</v>
      </c>
      <c r="BD390" s="110">
        <v>292483.05</v>
      </c>
      <c r="BE390" s="110">
        <v>302991.76</v>
      </c>
      <c r="BF390" s="110">
        <v>299508.34000000003</v>
      </c>
      <c r="BG390" s="237">
        <v>299344.15000000002</v>
      </c>
      <c r="BH390" s="237">
        <v>298572.34999999998</v>
      </c>
      <c r="BI390" s="237">
        <v>300966.90000000002</v>
      </c>
      <c r="BJ390" s="237">
        <v>305046.06</v>
      </c>
      <c r="BK390" s="237">
        <v>307912.37</v>
      </c>
      <c r="BL390" s="237">
        <v>316541.65000000002</v>
      </c>
      <c r="BM390" s="237">
        <v>314552.76</v>
      </c>
      <c r="BN390" s="237">
        <v>317217.74</v>
      </c>
      <c r="BO390" s="237">
        <v>320640.90999999997</v>
      </c>
      <c r="BP390" s="237">
        <v>323152.65000000002</v>
      </c>
      <c r="BQ390" s="237">
        <v>5892.77</v>
      </c>
      <c r="BR390" s="237">
        <v>123.54</v>
      </c>
      <c r="BS390" s="237">
        <v>125.16</v>
      </c>
      <c r="BT390" s="237">
        <v>0</v>
      </c>
      <c r="BU390" s="237">
        <v>0</v>
      </c>
      <c r="BV390" s="237">
        <v>0</v>
      </c>
      <c r="BW390" s="237">
        <v>0</v>
      </c>
      <c r="BX390" s="237">
        <v>0</v>
      </c>
      <c r="BY390" s="237">
        <v>0</v>
      </c>
      <c r="BZ390" s="237">
        <v>0</v>
      </c>
      <c r="CA390" s="237">
        <v>0</v>
      </c>
      <c r="CB390" s="237">
        <v>0</v>
      </c>
      <c r="CC390" s="237">
        <v>0</v>
      </c>
      <c r="CD390" s="237">
        <v>0</v>
      </c>
      <c r="CE390" s="237">
        <v>0</v>
      </c>
      <c r="CF390" s="237">
        <v>0</v>
      </c>
      <c r="CG390" s="237">
        <v>0</v>
      </c>
      <c r="CH390" s="30">
        <v>0</v>
      </c>
      <c r="CI390" s="30">
        <v>0</v>
      </c>
      <c r="CJ390" s="30" t="e">
        <f t="array" aca="1" ref="CJ390" ca="1">_xludf.XLOOKUP(C390,'PL TOTAL D0'!H:H,'PL TOTAL D0'!I:I,"")</f>
        <v>#NAME?</v>
      </c>
    </row>
    <row r="391" spans="1:88" ht="15.75" customHeight="1">
      <c r="A391" s="36" t="s">
        <v>2921</v>
      </c>
      <c r="B391" s="37" t="s">
        <v>2829</v>
      </c>
      <c r="C391" s="9">
        <v>557385</v>
      </c>
      <c r="D391" s="9" t="s">
        <v>19</v>
      </c>
      <c r="E391" s="9" t="s">
        <v>34</v>
      </c>
      <c r="F391" s="9" t="s">
        <v>35</v>
      </c>
      <c r="G391" s="7" t="e">
        <f t="shared" ca="1" si="4"/>
        <v>#NAME?</v>
      </c>
      <c r="H391" s="8" t="s">
        <v>161</v>
      </c>
      <c r="I391" s="24" t="s">
        <v>162</v>
      </c>
      <c r="J391" s="9" t="str">
        <f t="shared" si="6"/>
        <v>Não</v>
      </c>
      <c r="K391" s="6"/>
      <c r="L391" s="6"/>
      <c r="M391" s="7" t="s">
        <v>3148</v>
      </c>
      <c r="N391" s="233">
        <v>0.01</v>
      </c>
      <c r="O391" s="9" t="s">
        <v>25</v>
      </c>
      <c r="P391" s="234">
        <v>0</v>
      </c>
      <c r="Q391" s="28"/>
      <c r="R391" s="28"/>
      <c r="S391" s="7" t="s">
        <v>145</v>
      </c>
      <c r="T391" s="6" t="s">
        <v>2831</v>
      </c>
      <c r="U391" s="6" t="s">
        <v>39</v>
      </c>
      <c r="V391" s="24" t="e">
        <f t="shared" ca="1" si="5"/>
        <v>#NAME?</v>
      </c>
      <c r="W391" s="24"/>
      <c r="X391" s="24"/>
      <c r="Y391" s="6" t="s">
        <v>253</v>
      </c>
      <c r="Z391" s="6"/>
      <c r="AA391" s="6"/>
      <c r="AB391" s="6"/>
      <c r="AC391" s="132"/>
      <c r="AD391" s="132"/>
      <c r="AE391" s="132"/>
      <c r="AF391" s="132"/>
      <c r="AG391" s="132"/>
      <c r="AH391" s="132"/>
      <c r="AI391" s="132"/>
      <c r="AJ391" s="132"/>
      <c r="AK391" s="132"/>
      <c r="AL391" s="132"/>
      <c r="AM391" s="132"/>
      <c r="AN391" s="132"/>
      <c r="AO391" s="132"/>
      <c r="AP391" s="240"/>
      <c r="AQ391" s="110"/>
      <c r="AR391" s="110"/>
      <c r="AS391" s="110"/>
      <c r="AT391" s="110"/>
      <c r="AU391" s="110"/>
      <c r="AV391" s="110"/>
      <c r="AW391" s="110"/>
      <c r="AX391" s="110"/>
      <c r="AY391" s="110"/>
      <c r="AZ391" s="110"/>
      <c r="BA391" s="110">
        <v>346341.61</v>
      </c>
      <c r="BB391" s="110">
        <v>348400.36</v>
      </c>
      <c r="BC391" s="110">
        <v>369612.9</v>
      </c>
      <c r="BD391" s="110">
        <v>0</v>
      </c>
      <c r="BE391" s="110">
        <v>0</v>
      </c>
      <c r="BF391" s="110">
        <v>0</v>
      </c>
      <c r="BG391" s="237" t="s">
        <v>2932</v>
      </c>
      <c r="BH391" s="237">
        <v>0</v>
      </c>
      <c r="BI391" s="237">
        <v>0</v>
      </c>
      <c r="BJ391" s="237">
        <v>0</v>
      </c>
      <c r="BK391" s="237">
        <v>0</v>
      </c>
      <c r="BL391" s="237">
        <v>316541.65000000002</v>
      </c>
      <c r="BM391" s="237">
        <v>0</v>
      </c>
      <c r="BN391" s="237">
        <v>0</v>
      </c>
      <c r="BO391" s="237">
        <v>0</v>
      </c>
      <c r="BP391" s="237">
        <v>0</v>
      </c>
      <c r="BQ391" s="237">
        <v>0</v>
      </c>
      <c r="BR391" s="237">
        <v>0</v>
      </c>
      <c r="BS391" s="237">
        <v>0</v>
      </c>
      <c r="BT391" s="237">
        <v>0</v>
      </c>
      <c r="BU391" s="237">
        <v>0</v>
      </c>
      <c r="BV391" s="237">
        <v>0</v>
      </c>
      <c r="BW391" s="237">
        <v>0</v>
      </c>
      <c r="BX391" s="237">
        <v>0</v>
      </c>
      <c r="BY391" s="237">
        <v>0</v>
      </c>
      <c r="BZ391" s="237">
        <v>0</v>
      </c>
      <c r="CA391" s="237">
        <v>0</v>
      </c>
      <c r="CB391" s="237">
        <v>0</v>
      </c>
      <c r="CC391" s="237">
        <v>0</v>
      </c>
      <c r="CD391" s="237">
        <v>0</v>
      </c>
      <c r="CE391" s="237">
        <v>0</v>
      </c>
      <c r="CF391" s="237">
        <v>0</v>
      </c>
      <c r="CG391" s="237">
        <v>0</v>
      </c>
      <c r="CH391" s="30">
        <v>0</v>
      </c>
      <c r="CI391" s="30">
        <v>0</v>
      </c>
      <c r="CJ391" s="30" t="e">
        <f t="array" aca="1" ref="CJ391" ca="1">_xludf.XLOOKUP(C391,'PL TOTAL D0'!H:H,'PL TOTAL D0'!I:I,"")</f>
        <v>#NAME?</v>
      </c>
    </row>
    <row r="392" spans="1:88" ht="15.75" customHeight="1">
      <c r="A392" s="36" t="s">
        <v>2921</v>
      </c>
      <c r="B392" s="37" t="s">
        <v>3562</v>
      </c>
      <c r="C392" s="9">
        <v>379727</v>
      </c>
      <c r="D392" s="9" t="s">
        <v>19</v>
      </c>
      <c r="E392" s="9" t="s">
        <v>20</v>
      </c>
      <c r="F392" s="9" t="s">
        <v>3159</v>
      </c>
      <c r="G392" s="7" t="e">
        <f t="shared" ca="1" si="4"/>
        <v>#NAME?</v>
      </c>
      <c r="H392" s="8" t="s">
        <v>152</v>
      </c>
      <c r="I392" s="24" t="s">
        <v>25</v>
      </c>
      <c r="J392" s="9" t="str">
        <f t="shared" si="6"/>
        <v>Não</v>
      </c>
      <c r="K392" s="107">
        <v>45021</v>
      </c>
      <c r="L392" s="6"/>
      <c r="M392" s="6" t="s">
        <v>200</v>
      </c>
      <c r="N392" s="233">
        <v>1.4999999999999999E-2</v>
      </c>
      <c r="O392" s="9" t="s">
        <v>37</v>
      </c>
      <c r="P392" s="234">
        <v>0.1</v>
      </c>
      <c r="Q392" s="28"/>
      <c r="R392" s="28"/>
      <c r="S392" s="7" t="s">
        <v>145</v>
      </c>
      <c r="T392" s="6" t="s">
        <v>3563</v>
      </c>
      <c r="U392" s="6" t="s">
        <v>46</v>
      </c>
      <c r="V392" s="24" t="e">
        <f t="shared" ca="1" si="5"/>
        <v>#NAME?</v>
      </c>
      <c r="W392" s="24"/>
      <c r="X392" s="24"/>
      <c r="Y392" s="6" t="s">
        <v>253</v>
      </c>
      <c r="Z392" s="6"/>
      <c r="AA392" s="107">
        <v>45021</v>
      </c>
      <c r="AB392" s="6">
        <v>49075100013985</v>
      </c>
      <c r="AC392" s="132"/>
      <c r="AD392" s="132"/>
      <c r="AE392" s="132"/>
      <c r="AF392" s="132"/>
      <c r="AG392" s="132"/>
      <c r="AH392" s="132"/>
      <c r="AI392" s="132"/>
      <c r="AJ392" s="132"/>
      <c r="AK392" s="132"/>
      <c r="AL392" s="132"/>
      <c r="AM392" s="132"/>
      <c r="AN392" s="132"/>
      <c r="AO392" s="132"/>
      <c r="AP392" s="240"/>
      <c r="AQ392" s="110"/>
      <c r="AR392" s="110"/>
      <c r="AS392" s="110"/>
      <c r="AT392" s="110"/>
      <c r="AU392" s="110"/>
      <c r="AV392" s="110"/>
      <c r="AW392" s="110"/>
      <c r="AX392" s="110"/>
      <c r="AY392" s="110"/>
      <c r="AZ392" s="110"/>
      <c r="BA392" s="110"/>
      <c r="BB392" s="110"/>
      <c r="BC392" s="110"/>
      <c r="BD392" s="110"/>
      <c r="BE392" s="110"/>
      <c r="BF392" s="110"/>
      <c r="BG392" s="237"/>
      <c r="BH392" s="237"/>
      <c r="BI392" s="237"/>
      <c r="BJ392" s="237"/>
      <c r="BK392" s="237"/>
      <c r="BL392" s="237"/>
      <c r="BM392" s="237"/>
      <c r="BN392" s="237"/>
      <c r="BO392" s="237"/>
      <c r="BP392" s="237"/>
      <c r="BQ392" s="237">
        <v>0</v>
      </c>
      <c r="BR392" s="237">
        <v>401338.47</v>
      </c>
      <c r="BS392" s="237">
        <v>407634.76</v>
      </c>
      <c r="BT392" s="237">
        <v>403198.74</v>
      </c>
      <c r="BU392" s="237">
        <v>329582.01</v>
      </c>
      <c r="BV392" s="237">
        <v>414536.08</v>
      </c>
      <c r="BW392" s="237">
        <v>393471.55</v>
      </c>
      <c r="BX392" s="237">
        <v>231333.12</v>
      </c>
      <c r="BY392" s="237">
        <v>241212.62</v>
      </c>
      <c r="BZ392" s="237">
        <v>246716.78</v>
      </c>
      <c r="CA392" s="237">
        <v>250412.46</v>
      </c>
      <c r="CB392" s="237">
        <v>262217.23</v>
      </c>
      <c r="CC392" s="237">
        <v>300485.7</v>
      </c>
      <c r="CD392" s="237">
        <v>362245.68</v>
      </c>
      <c r="CE392" s="237">
        <v>350847.82</v>
      </c>
      <c r="CF392" s="237">
        <v>347748.28</v>
      </c>
      <c r="CG392" s="237">
        <v>342557.94</v>
      </c>
      <c r="CH392" s="30">
        <v>276191.96999999997</v>
      </c>
      <c r="CI392" s="30">
        <v>304198.78999999998</v>
      </c>
      <c r="CJ392" s="30" t="e">
        <f t="array" aca="1" ref="CJ392" ca="1">_xludf.XLOOKUP(C392,'PL TOTAL D0'!H:H,'PL TOTAL D0'!I:I,"")</f>
        <v>#NAME?</v>
      </c>
    </row>
    <row r="393" spans="1:88" ht="15.75" customHeight="1">
      <c r="A393" s="36" t="s">
        <v>2921</v>
      </c>
      <c r="B393" s="3" t="s">
        <v>3564</v>
      </c>
      <c r="C393" s="9">
        <v>46143</v>
      </c>
      <c r="D393" s="9" t="s">
        <v>19</v>
      </c>
      <c r="E393" s="9" t="s">
        <v>34</v>
      </c>
      <c r="F393" s="9" t="s">
        <v>262</v>
      </c>
      <c r="G393" s="7" t="e">
        <f t="shared" ca="1" si="4"/>
        <v>#NAME?</v>
      </c>
      <c r="H393" s="8" t="s">
        <v>161</v>
      </c>
      <c r="I393" s="24" t="s">
        <v>162</v>
      </c>
      <c r="J393" s="9" t="str">
        <f t="shared" si="6"/>
        <v>Não</v>
      </c>
      <c r="K393" s="232">
        <v>44319</v>
      </c>
      <c r="L393" s="6"/>
      <c r="M393" s="6" t="s">
        <v>87</v>
      </c>
      <c r="N393" s="233">
        <v>2.5000000000000001E-2</v>
      </c>
      <c r="O393" s="9" t="s">
        <v>183</v>
      </c>
      <c r="P393" s="234">
        <v>0.2</v>
      </c>
      <c r="Q393" s="28"/>
      <c r="R393" s="28" t="s">
        <v>3565</v>
      </c>
      <c r="S393" s="7" t="s">
        <v>145</v>
      </c>
      <c r="T393" s="6" t="s">
        <v>3566</v>
      </c>
      <c r="U393" s="6" t="s">
        <v>39</v>
      </c>
      <c r="V393" s="24" t="e">
        <f t="shared" ca="1" si="5"/>
        <v>#NAME?</v>
      </c>
      <c r="W393" s="24"/>
      <c r="X393" s="24"/>
      <c r="Y393" s="6" t="s">
        <v>253</v>
      </c>
      <c r="Z393" s="6"/>
      <c r="AA393" s="107">
        <v>44319</v>
      </c>
      <c r="AB393" s="6">
        <v>49075100015317</v>
      </c>
      <c r="AC393" s="132"/>
      <c r="AD393" s="132"/>
      <c r="AE393" s="132"/>
      <c r="AF393" s="132"/>
      <c r="AG393" s="132"/>
      <c r="AH393" s="132"/>
      <c r="AI393" s="132"/>
      <c r="AJ393" s="132"/>
      <c r="AK393" s="132"/>
      <c r="AL393" s="132"/>
      <c r="AM393" s="132"/>
      <c r="AN393" s="132"/>
      <c r="AO393" s="132"/>
      <c r="AP393" s="240"/>
      <c r="AQ393" s="110"/>
      <c r="AR393" s="110"/>
      <c r="AS393" s="110"/>
      <c r="AT393" s="110"/>
      <c r="AU393" s="110">
        <v>443766.58</v>
      </c>
      <c r="AV393" s="110">
        <v>435930.07</v>
      </c>
      <c r="AW393" s="110">
        <v>422792.33</v>
      </c>
      <c r="AX393" s="110">
        <v>402115.31</v>
      </c>
      <c r="AY393" s="110">
        <v>382671.01</v>
      </c>
      <c r="AZ393" s="110">
        <v>358254.41</v>
      </c>
      <c r="BA393" s="110"/>
      <c r="BB393" s="110"/>
      <c r="BC393" s="110"/>
      <c r="BD393" s="110">
        <v>372267.36</v>
      </c>
      <c r="BE393" s="110">
        <v>399847.03</v>
      </c>
      <c r="BF393" s="110">
        <v>380185.27</v>
      </c>
      <c r="BG393" s="237">
        <v>277602.99</v>
      </c>
      <c r="BH393" s="237">
        <v>261490.33</v>
      </c>
      <c r="BI393" s="237">
        <v>272607.75</v>
      </c>
      <c r="BJ393" s="237">
        <v>281270.37</v>
      </c>
      <c r="BK393" s="237">
        <v>281431.84999999998</v>
      </c>
      <c r="BL393" s="237">
        <v>308409.67</v>
      </c>
      <c r="BM393" s="237">
        <v>298581.92</v>
      </c>
      <c r="BN393" s="237">
        <v>294391.81</v>
      </c>
      <c r="BO393" s="237">
        <v>294336.19</v>
      </c>
      <c r="BP393" s="237">
        <v>284792.33</v>
      </c>
      <c r="BQ393" s="237">
        <v>0</v>
      </c>
      <c r="BR393" s="237">
        <v>0</v>
      </c>
      <c r="BS393" s="237">
        <v>0</v>
      </c>
      <c r="BT393" s="237">
        <v>0</v>
      </c>
      <c r="BU393" s="237">
        <v>0</v>
      </c>
      <c r="BV393" s="237">
        <v>0</v>
      </c>
      <c r="BW393" s="237">
        <v>281261.39</v>
      </c>
      <c r="BX393" s="237">
        <v>269647.51</v>
      </c>
      <c r="BY393" s="237">
        <v>3513.86</v>
      </c>
      <c r="BZ393" s="237">
        <v>2842.53</v>
      </c>
      <c r="CA393" s="237">
        <v>2842.53</v>
      </c>
      <c r="CB393" s="237">
        <v>2842.53</v>
      </c>
      <c r="CC393" s="237">
        <v>2049.4899999999998</v>
      </c>
      <c r="CD393" s="237">
        <v>1326.87</v>
      </c>
      <c r="CE393" s="237">
        <v>1250.83</v>
      </c>
      <c r="CF393" s="237">
        <v>1250.83</v>
      </c>
      <c r="CG393" s="237">
        <v>1250.83</v>
      </c>
      <c r="CH393" s="30">
        <v>1250.83</v>
      </c>
      <c r="CI393" s="30">
        <v>1250.83</v>
      </c>
      <c r="CJ393" s="30" t="e">
        <f t="array" aca="1" ref="CJ393" ca="1">_xludf.XLOOKUP(C393,'PL TOTAL D0'!H:H,'PL TOTAL D0'!I:I,"")</f>
        <v>#NAME?</v>
      </c>
    </row>
    <row r="394" spans="1:88" ht="15.75" customHeight="1">
      <c r="A394" s="36" t="s">
        <v>2921</v>
      </c>
      <c r="B394" s="37" t="s">
        <v>3567</v>
      </c>
      <c r="C394" s="9">
        <v>443359</v>
      </c>
      <c r="D394" s="9" t="s">
        <v>19</v>
      </c>
      <c r="E394" s="9" t="s">
        <v>34</v>
      </c>
      <c r="F394" s="9" t="s">
        <v>262</v>
      </c>
      <c r="G394" s="7" t="e">
        <f t="shared" ca="1" si="4"/>
        <v>#NAME?</v>
      </c>
      <c r="H394" s="8" t="s">
        <v>161</v>
      </c>
      <c r="I394" s="24" t="s">
        <v>211</v>
      </c>
      <c r="J394" s="9" t="str">
        <f t="shared" si="6"/>
        <v>Não</v>
      </c>
      <c r="K394" s="232">
        <v>44651</v>
      </c>
      <c r="L394" s="6"/>
      <c r="M394" s="6" t="s">
        <v>200</v>
      </c>
      <c r="N394" s="233">
        <v>1.4999999999999999E-2</v>
      </c>
      <c r="O394" s="9" t="s">
        <v>37</v>
      </c>
      <c r="P394" s="234">
        <v>0.1</v>
      </c>
      <c r="Q394" s="108"/>
      <c r="R394" s="108"/>
      <c r="S394" s="7" t="s">
        <v>145</v>
      </c>
      <c r="T394" s="6" t="s">
        <v>3568</v>
      </c>
      <c r="U394" s="6" t="s">
        <v>39</v>
      </c>
      <c r="V394" s="24" t="e">
        <f t="shared" ca="1" si="5"/>
        <v>#NAME?</v>
      </c>
      <c r="W394" s="24"/>
      <c r="X394" s="24"/>
      <c r="Y394" s="6" t="s">
        <v>253</v>
      </c>
      <c r="Z394" s="6"/>
      <c r="AA394" s="6"/>
      <c r="AB394" s="6"/>
      <c r="AC394" s="240"/>
      <c r="AD394" s="240"/>
      <c r="AE394" s="240"/>
      <c r="AF394" s="240"/>
      <c r="AG394" s="240"/>
      <c r="AH394" s="240"/>
      <c r="AI394" s="240"/>
      <c r="AJ394" s="240"/>
      <c r="AK394" s="240"/>
      <c r="AL394" s="240"/>
      <c r="AM394" s="240"/>
      <c r="AN394" s="240"/>
      <c r="AO394" s="240"/>
      <c r="AP394" s="240"/>
      <c r="AQ394" s="110"/>
      <c r="AR394" s="110"/>
      <c r="AS394" s="110"/>
      <c r="AT394" s="110"/>
      <c r="AU394" s="110"/>
      <c r="AV394" s="110"/>
      <c r="AW394" s="110"/>
      <c r="AX394" s="110"/>
      <c r="AY394" s="110"/>
      <c r="AZ394" s="110"/>
      <c r="BA394" s="110"/>
      <c r="BB394" s="110"/>
      <c r="BC394" s="110"/>
      <c r="BD394" s="110"/>
      <c r="BE394" s="110">
        <v>157846</v>
      </c>
      <c r="BF394" s="110">
        <v>155682.04</v>
      </c>
      <c r="BG394" s="237">
        <v>155403.72</v>
      </c>
      <c r="BH394" s="237">
        <v>154194.66</v>
      </c>
      <c r="BI394" s="237">
        <v>156108.12</v>
      </c>
      <c r="BJ394" s="237">
        <v>157844.22</v>
      </c>
      <c r="BK394" s="237">
        <v>159790.92000000001</v>
      </c>
      <c r="BL394" s="237">
        <v>155345.94</v>
      </c>
      <c r="BM394" s="237">
        <v>199693.95</v>
      </c>
      <c r="BN394" s="237">
        <v>201489.33</v>
      </c>
      <c r="BO394" s="237">
        <v>203827.87</v>
      </c>
      <c r="BP394" s="237">
        <v>204853.56</v>
      </c>
      <c r="BQ394" s="237">
        <v>212310.89</v>
      </c>
      <c r="BR394" s="237">
        <v>218031.16</v>
      </c>
      <c r="BS394" s="237">
        <v>223651.37</v>
      </c>
      <c r="BT394" s="237">
        <v>226778.18</v>
      </c>
      <c r="BU394" s="237">
        <v>206497.91</v>
      </c>
      <c r="BV394" s="237">
        <v>16801.63</v>
      </c>
      <c r="BW394" s="237">
        <v>16791.990000000002</v>
      </c>
      <c r="BX394" s="237">
        <v>16939.66</v>
      </c>
      <c r="BY394" s="237">
        <v>0</v>
      </c>
      <c r="BZ394" s="237">
        <v>0</v>
      </c>
      <c r="CA394" s="237">
        <v>0</v>
      </c>
      <c r="CB394" s="237">
        <v>0</v>
      </c>
      <c r="CC394" s="237">
        <v>0</v>
      </c>
      <c r="CD394" s="237">
        <v>0</v>
      </c>
      <c r="CE394" s="237">
        <v>0</v>
      </c>
      <c r="CF394" s="237">
        <v>0</v>
      </c>
      <c r="CG394" s="237">
        <v>0</v>
      </c>
      <c r="CH394" s="30">
        <v>0</v>
      </c>
      <c r="CI394" s="30">
        <v>0</v>
      </c>
      <c r="CJ394" s="30" t="e">
        <f t="array" aca="1" ref="CJ394" ca="1">_xludf.XLOOKUP(C394,'PL TOTAL D0'!H:H,'PL TOTAL D0'!I:I,"")</f>
        <v>#NAME?</v>
      </c>
    </row>
    <row r="395" spans="1:88" ht="15.75" customHeight="1">
      <c r="A395" s="36" t="s">
        <v>2921</v>
      </c>
      <c r="B395" s="3" t="s">
        <v>3569</v>
      </c>
      <c r="C395" s="9">
        <v>478832</v>
      </c>
      <c r="D395" s="9" t="s">
        <v>19</v>
      </c>
      <c r="E395" s="9" t="s">
        <v>34</v>
      </c>
      <c r="F395" s="9" t="s">
        <v>262</v>
      </c>
      <c r="G395" s="7" t="e">
        <f t="shared" ca="1" si="4"/>
        <v>#NAME?</v>
      </c>
      <c r="H395" s="8" t="s">
        <v>161</v>
      </c>
      <c r="I395" s="24" t="s">
        <v>928</v>
      </c>
      <c r="J395" s="9" t="str">
        <f t="shared" si="6"/>
        <v>Não</v>
      </c>
      <c r="K395" s="232">
        <v>44291</v>
      </c>
      <c r="L395" s="7"/>
      <c r="M395" s="6" t="s">
        <v>200</v>
      </c>
      <c r="N395" s="233">
        <v>1.4999999999999999E-2</v>
      </c>
      <c r="O395" s="9" t="s">
        <v>37</v>
      </c>
      <c r="P395" s="234">
        <v>0.1</v>
      </c>
      <c r="Q395" s="108"/>
      <c r="R395" s="108"/>
      <c r="S395" s="7" t="s">
        <v>187</v>
      </c>
      <c r="T395" s="6" t="s">
        <v>3570</v>
      </c>
      <c r="U395" s="6" t="s">
        <v>39</v>
      </c>
      <c r="V395" s="24" t="e">
        <f t="shared" ca="1" si="5"/>
        <v>#NAME?</v>
      </c>
      <c r="W395" s="24"/>
      <c r="X395" s="24"/>
      <c r="Y395" s="6" t="s">
        <v>253</v>
      </c>
      <c r="Z395" s="6"/>
      <c r="AA395" s="107">
        <v>44291</v>
      </c>
      <c r="AB395" s="6">
        <v>49075100013993</v>
      </c>
      <c r="AC395" s="240"/>
      <c r="AD395" s="240"/>
      <c r="AE395" s="240"/>
      <c r="AF395" s="240"/>
      <c r="AG395" s="240"/>
      <c r="AH395" s="240"/>
      <c r="AI395" s="240"/>
      <c r="AJ395" s="240"/>
      <c r="AK395" s="240"/>
      <c r="AL395" s="240"/>
      <c r="AM395" s="240"/>
      <c r="AN395" s="240"/>
      <c r="AO395" s="240"/>
      <c r="AP395" s="240"/>
      <c r="AQ395" s="110"/>
      <c r="AR395" s="110">
        <v>349273.79</v>
      </c>
      <c r="AS395" s="110">
        <v>349112.26</v>
      </c>
      <c r="AT395" s="110">
        <v>350590.79</v>
      </c>
      <c r="AU395" s="110">
        <v>357097.85</v>
      </c>
      <c r="AV395" s="110">
        <v>355424.12</v>
      </c>
      <c r="AW395" s="110">
        <v>351629.74</v>
      </c>
      <c r="AX395" s="110">
        <v>345220.12</v>
      </c>
      <c r="AY395" s="110">
        <v>340486.75</v>
      </c>
      <c r="AZ395" s="110">
        <v>332908.61</v>
      </c>
      <c r="BA395" s="110">
        <v>330002.32</v>
      </c>
      <c r="BB395" s="110">
        <v>329784.52</v>
      </c>
      <c r="BC395" s="110">
        <v>337537.46</v>
      </c>
      <c r="BD395" s="110">
        <v>340008.2</v>
      </c>
      <c r="BE395" s="110">
        <v>351355.78</v>
      </c>
      <c r="BF395" s="110">
        <v>346070.38</v>
      </c>
      <c r="BG395" s="237">
        <v>345128.93</v>
      </c>
      <c r="BH395" s="237">
        <v>343400.35</v>
      </c>
      <c r="BI395" s="237">
        <v>349758.99</v>
      </c>
      <c r="BJ395" s="237">
        <v>453721.55</v>
      </c>
      <c r="BK395" s="237">
        <v>107957.64</v>
      </c>
      <c r="BL395" s="237">
        <v>108449.2</v>
      </c>
      <c r="BM395" s="237">
        <v>109167.21</v>
      </c>
      <c r="BN395" s="237">
        <v>109804.14</v>
      </c>
      <c r="BO395" s="237">
        <v>111389.18</v>
      </c>
      <c r="BP395" s="237">
        <v>111451.43</v>
      </c>
      <c r="BQ395" s="237">
        <v>112346.35</v>
      </c>
      <c r="BR395" s="237">
        <v>112946.91</v>
      </c>
      <c r="BS395" s="237">
        <v>114051.38</v>
      </c>
      <c r="BT395" s="237">
        <v>117215.37</v>
      </c>
      <c r="BU395" s="237">
        <v>118181.19</v>
      </c>
      <c r="BV395" s="237">
        <v>119773.64</v>
      </c>
      <c r="BW395" s="237">
        <v>64206.48</v>
      </c>
      <c r="BX395" s="237">
        <v>120042.64</v>
      </c>
      <c r="BY395" s="237">
        <v>61206.62</v>
      </c>
      <c r="BZ395" s="237">
        <v>61870.78</v>
      </c>
      <c r="CA395" s="237">
        <v>62677.66</v>
      </c>
      <c r="CB395" s="237">
        <v>62155.27</v>
      </c>
      <c r="CC395" s="237">
        <v>62932.38</v>
      </c>
      <c r="CD395" s="237">
        <v>63620.74</v>
      </c>
      <c r="CE395" s="237">
        <v>64428.69</v>
      </c>
      <c r="CF395" s="237">
        <v>65366.53</v>
      </c>
      <c r="CG395" s="237">
        <v>66197.06</v>
      </c>
      <c r="CH395" s="30">
        <v>66996.75</v>
      </c>
      <c r="CI395" s="30">
        <v>3148.2</v>
      </c>
      <c r="CJ395" s="30" t="e">
        <f t="array" aca="1" ref="CJ395" ca="1">_xludf.XLOOKUP(C395,'PL TOTAL D0'!H:H,'PL TOTAL D0'!I:I,"")</f>
        <v>#NAME?</v>
      </c>
    </row>
    <row r="396" spans="1:88" ht="15.75" customHeight="1">
      <c r="A396" s="242"/>
      <c r="B396" s="242"/>
      <c r="C396" s="62"/>
      <c r="D396" s="202"/>
      <c r="E396" s="202"/>
      <c r="F396" s="202"/>
      <c r="G396" s="119"/>
      <c r="H396" s="212"/>
      <c r="I396" s="119"/>
      <c r="J396" s="202"/>
      <c r="K396" s="202"/>
      <c r="L396" s="201"/>
      <c r="M396" s="201"/>
      <c r="N396" s="272"/>
      <c r="O396" s="272"/>
      <c r="P396" s="272"/>
      <c r="Q396" s="273"/>
      <c r="R396" s="273"/>
      <c r="S396" s="201"/>
      <c r="T396" s="202"/>
      <c r="U396" s="201"/>
      <c r="V396" s="201"/>
      <c r="W396" s="217"/>
      <c r="X396" s="217"/>
      <c r="Y396" s="201"/>
      <c r="Z396" s="201"/>
      <c r="AA396" s="201"/>
      <c r="AB396" s="201"/>
      <c r="AC396" s="274"/>
      <c r="AD396" s="274"/>
      <c r="AE396" s="274"/>
      <c r="AF396" s="274"/>
      <c r="AG396" s="274"/>
      <c r="AH396" s="274"/>
      <c r="AI396" s="274"/>
      <c r="AJ396" s="274"/>
      <c r="AK396" s="274"/>
      <c r="AL396" s="274"/>
      <c r="AM396" s="274"/>
      <c r="AN396" s="274"/>
      <c r="AO396" s="274"/>
      <c r="AP396" s="274"/>
      <c r="AQ396" s="274"/>
      <c r="AR396" s="274"/>
      <c r="AS396" s="274"/>
      <c r="AT396" s="274"/>
      <c r="AU396" s="274"/>
      <c r="AV396" s="274"/>
      <c r="AW396" s="274"/>
      <c r="AX396" s="274"/>
      <c r="AY396" s="274"/>
      <c r="AZ396" s="274"/>
      <c r="BA396" s="274"/>
      <c r="BB396" s="274"/>
      <c r="BC396" s="274"/>
      <c r="BD396" s="274"/>
      <c r="BE396" s="274"/>
      <c r="BF396" s="274"/>
      <c r="BG396" s="275"/>
      <c r="BH396" s="275"/>
      <c r="BI396" s="275"/>
      <c r="BJ396" s="275"/>
      <c r="BK396" s="275"/>
      <c r="BL396" s="275"/>
      <c r="BM396" s="275"/>
      <c r="BN396" s="275"/>
      <c r="BO396" s="275"/>
      <c r="BP396" s="275"/>
      <c r="BQ396" s="275"/>
      <c r="BR396" s="275"/>
      <c r="BS396" s="275"/>
      <c r="BT396" s="275"/>
      <c r="BU396" s="275"/>
      <c r="BV396" s="275"/>
      <c r="BW396" s="275"/>
      <c r="BX396" s="275"/>
      <c r="BY396" s="275"/>
      <c r="BZ396" s="275"/>
      <c r="CA396" s="275"/>
      <c r="CB396" s="275"/>
      <c r="CC396" s="275"/>
      <c r="CD396" s="275"/>
      <c r="CE396" s="275"/>
      <c r="CF396" s="275"/>
      <c r="CG396" s="275"/>
      <c r="CH396" s="275"/>
      <c r="CI396" s="275"/>
      <c r="CJ396" s="275"/>
    </row>
    <row r="397" spans="1:88" ht="15.75" customHeight="1">
      <c r="A397" s="276"/>
      <c r="B397" s="277" t="s">
        <v>2878</v>
      </c>
      <c r="C397" s="278">
        <f>COUNTIF(H:H,"Ativo")</f>
        <v>41</v>
      </c>
      <c r="D397" s="279"/>
      <c r="E397" s="279"/>
      <c r="F397" s="119"/>
      <c r="G397" s="119"/>
      <c r="H397" s="212"/>
      <c r="I397" s="119"/>
      <c r="J397" s="279"/>
      <c r="K397" s="279"/>
      <c r="L397" s="279"/>
      <c r="M397" s="279"/>
      <c r="N397" s="279"/>
      <c r="O397" s="279"/>
      <c r="P397" s="279"/>
      <c r="Q397" s="280"/>
      <c r="R397" s="280"/>
      <c r="S397" s="279"/>
      <c r="T397" s="201"/>
      <c r="U397" s="279"/>
      <c r="V397" s="279"/>
      <c r="W397" s="281"/>
      <c r="X397" s="281"/>
      <c r="Y397" s="279"/>
      <c r="Z397" s="279"/>
      <c r="AA397" s="279"/>
      <c r="AB397" s="279"/>
      <c r="AC397" s="282">
        <f t="shared" ref="AC397:BO397" si="7">SUM(AC3:AC395)</f>
        <v>32441336.699999988</v>
      </c>
      <c r="AD397" s="282">
        <f t="shared" si="7"/>
        <v>34905705.600000016</v>
      </c>
      <c r="AE397" s="282">
        <f t="shared" si="7"/>
        <v>32184030.729999986</v>
      </c>
      <c r="AF397" s="282">
        <f t="shared" si="7"/>
        <v>33876867.340000004</v>
      </c>
      <c r="AG397" s="282">
        <f t="shared" si="7"/>
        <v>34333699.900000006</v>
      </c>
      <c r="AH397" s="282">
        <f t="shared" si="7"/>
        <v>41299206.54999999</v>
      </c>
      <c r="AI397" s="282">
        <f t="shared" si="7"/>
        <v>58663189.899999976</v>
      </c>
      <c r="AJ397" s="282">
        <f t="shared" si="7"/>
        <v>52949921.980000019</v>
      </c>
      <c r="AK397" s="282">
        <f t="shared" si="7"/>
        <v>50377885.409999982</v>
      </c>
      <c r="AL397" s="282">
        <f t="shared" si="7"/>
        <v>48768160.659999989</v>
      </c>
      <c r="AM397" s="282">
        <f t="shared" si="7"/>
        <v>48328473.050000004</v>
      </c>
      <c r="AN397" s="282">
        <f t="shared" si="7"/>
        <v>49863517.49000001</v>
      </c>
      <c r="AO397" s="282">
        <f t="shared" si="7"/>
        <v>46666925.07000003</v>
      </c>
      <c r="AP397" s="282">
        <f t="shared" si="7"/>
        <v>43656750.300000012</v>
      </c>
      <c r="AQ397" s="282">
        <f t="shared" si="7"/>
        <v>83530383.470000044</v>
      </c>
      <c r="AR397" s="282">
        <f t="shared" si="7"/>
        <v>98496601.590000093</v>
      </c>
      <c r="AS397" s="282">
        <f t="shared" si="7"/>
        <v>47286245.140000001</v>
      </c>
      <c r="AT397" s="282">
        <f t="shared" si="7"/>
        <v>97651618.360000074</v>
      </c>
      <c r="AU397" s="282">
        <f t="shared" si="7"/>
        <v>124773500.28000009</v>
      </c>
      <c r="AV397" s="282">
        <f t="shared" si="7"/>
        <v>128563623.03</v>
      </c>
      <c r="AW397" s="282">
        <f t="shared" si="7"/>
        <v>128013078.01000005</v>
      </c>
      <c r="AX397" s="282">
        <f t="shared" si="7"/>
        <v>123649093.64000006</v>
      </c>
      <c r="AY397" s="282">
        <f t="shared" si="7"/>
        <v>115877875.13000003</v>
      </c>
      <c r="AZ397" s="282">
        <f t="shared" si="7"/>
        <v>110741172.75000007</v>
      </c>
      <c r="BA397" s="282">
        <f t="shared" si="7"/>
        <v>104936756.29000001</v>
      </c>
      <c r="BB397" s="282">
        <f t="shared" si="7"/>
        <v>103838404.14000012</v>
      </c>
      <c r="BC397" s="282">
        <f t="shared" si="7"/>
        <v>103873922.16000001</v>
      </c>
      <c r="BD397" s="282">
        <f t="shared" si="7"/>
        <v>103988106.30000004</v>
      </c>
      <c r="BE397" s="282">
        <f t="shared" si="7"/>
        <v>107723751.66000009</v>
      </c>
      <c r="BF397" s="282">
        <f t="shared" si="7"/>
        <v>113224168.20999986</v>
      </c>
      <c r="BG397" s="282">
        <f t="shared" si="7"/>
        <v>93638259.729999989</v>
      </c>
      <c r="BH397" s="282">
        <f t="shared" si="7"/>
        <v>95849391.10999997</v>
      </c>
      <c r="BI397" s="282">
        <f t="shared" si="7"/>
        <v>97924397.210000023</v>
      </c>
      <c r="BJ397" s="282">
        <f t="shared" si="7"/>
        <v>96618915.290000007</v>
      </c>
      <c r="BK397" s="282">
        <f t="shared" si="7"/>
        <v>95075852.840000004</v>
      </c>
      <c r="BL397" s="282">
        <f t="shared" si="7"/>
        <v>96562992.220000044</v>
      </c>
      <c r="BM397" s="282">
        <f t="shared" si="7"/>
        <v>92194871.520000026</v>
      </c>
      <c r="BN397" s="282">
        <f t="shared" si="7"/>
        <v>91201604.000000015</v>
      </c>
      <c r="BO397" s="282">
        <f t="shared" si="7"/>
        <v>90258199.550000012</v>
      </c>
      <c r="BP397" s="282">
        <f t="shared" ref="BP397:BS397" si="8">SUM(BP3:BP396)</f>
        <v>89585440.280000016</v>
      </c>
      <c r="BQ397" s="282">
        <f t="shared" si="8"/>
        <v>84062748.480000034</v>
      </c>
      <c r="BR397" s="282">
        <f t="shared" si="8"/>
        <v>60716129.539999992</v>
      </c>
      <c r="BS397" s="282">
        <f t="shared" si="8"/>
        <v>50232651.970000006</v>
      </c>
      <c r="BT397" s="282">
        <f t="shared" ref="BT397:CJ397" si="9">SUM(BT3:BT395)</f>
        <v>46503199.570000008</v>
      </c>
      <c r="BU397" s="283">
        <f t="shared" si="9"/>
        <v>41948834.409999974</v>
      </c>
      <c r="BV397" s="283">
        <f t="shared" si="9"/>
        <v>35532207.759999998</v>
      </c>
      <c r="BW397" s="283">
        <f t="shared" si="9"/>
        <v>33732373.670000002</v>
      </c>
      <c r="BX397" s="283">
        <f t="shared" si="9"/>
        <v>29769253.07</v>
      </c>
      <c r="BY397" s="283">
        <f t="shared" si="9"/>
        <v>24301285.020000022</v>
      </c>
      <c r="BZ397" s="283">
        <f t="shared" si="9"/>
        <v>22315793.080000009</v>
      </c>
      <c r="CA397" s="283">
        <f t="shared" si="9"/>
        <v>20623662.730000012</v>
      </c>
      <c r="CB397" s="283">
        <f t="shared" si="9"/>
        <v>19534663.280000001</v>
      </c>
      <c r="CC397" s="283">
        <f t="shared" si="9"/>
        <v>17533313.230000004</v>
      </c>
      <c r="CD397" s="283">
        <f t="shared" si="9"/>
        <v>18123650.280000001</v>
      </c>
      <c r="CE397" s="283">
        <f t="shared" si="9"/>
        <v>17255985.080000002</v>
      </c>
      <c r="CF397" s="283">
        <f t="shared" si="9"/>
        <v>17736140.360000003</v>
      </c>
      <c r="CG397" s="283">
        <f t="shared" si="9"/>
        <v>17552161.669999994</v>
      </c>
      <c r="CH397" s="283">
        <f t="shared" si="9"/>
        <v>17304917.789999988</v>
      </c>
      <c r="CI397" s="283">
        <f t="shared" si="9"/>
        <v>16748432.869999995</v>
      </c>
      <c r="CJ397" s="283" t="e">
        <f t="shared" ca="1" si="9"/>
        <v>#NAME?</v>
      </c>
    </row>
    <row r="398" spans="1:88" ht="15.75" customHeight="1">
      <c r="A398" s="284"/>
      <c r="B398" s="215" t="s">
        <v>2880</v>
      </c>
      <c r="C398" s="285">
        <f>COUNTIF(H:H,"Encerrado")</f>
        <v>173</v>
      </c>
      <c r="D398" s="119"/>
      <c r="E398" s="119"/>
      <c r="G398" s="119"/>
      <c r="H398" s="212"/>
      <c r="I398" s="119"/>
      <c r="J398" s="119"/>
      <c r="K398" s="119"/>
      <c r="L398" s="119"/>
      <c r="M398" s="119"/>
      <c r="N398" s="205"/>
      <c r="O398" s="205"/>
      <c r="P398" s="205"/>
      <c r="Q398" s="82"/>
      <c r="R398" s="82"/>
      <c r="S398" s="201"/>
      <c r="T398" s="201"/>
      <c r="U398" s="201"/>
      <c r="V398" s="201"/>
      <c r="W398" s="217"/>
      <c r="X398" s="217"/>
      <c r="Y398" s="201"/>
      <c r="Z398" s="201"/>
      <c r="AA398" s="201"/>
      <c r="AB398" s="201"/>
      <c r="AC398" s="286"/>
      <c r="AD398" s="286"/>
      <c r="AE398" s="286"/>
      <c r="AF398" s="286"/>
      <c r="AG398" s="286"/>
      <c r="AH398" s="286"/>
      <c r="AI398" s="286"/>
      <c r="AJ398" s="286"/>
      <c r="AK398" s="286"/>
      <c r="AL398" s="286"/>
      <c r="AM398" s="286"/>
      <c r="AN398" s="286"/>
      <c r="AO398" s="286"/>
      <c r="AP398" s="286"/>
      <c r="AQ398" s="286"/>
      <c r="AR398" s="286"/>
      <c r="AS398" s="286"/>
      <c r="AT398" s="286"/>
      <c r="AU398" s="286"/>
      <c r="AV398" s="286"/>
      <c r="AW398" s="286"/>
      <c r="AX398" s="286"/>
      <c r="AY398" s="286"/>
      <c r="AZ398" s="286"/>
      <c r="BA398" s="286"/>
      <c r="BB398" s="286"/>
      <c r="BC398" s="286"/>
      <c r="BD398" s="286"/>
      <c r="BE398" s="286"/>
      <c r="BF398" s="286"/>
      <c r="BG398" s="286"/>
      <c r="BH398" s="286"/>
      <c r="BI398" s="286"/>
      <c r="BJ398" s="286"/>
      <c r="BK398" s="286"/>
      <c r="BL398" s="286"/>
      <c r="BM398" s="286"/>
      <c r="BN398" s="286"/>
      <c r="BO398" s="286"/>
      <c r="BP398" s="286"/>
      <c r="BQ398" s="286"/>
      <c r="BR398" s="286"/>
      <c r="BS398" s="286"/>
      <c r="BT398" s="286"/>
      <c r="BU398" s="286"/>
      <c r="BV398" s="286"/>
      <c r="BW398" s="286"/>
      <c r="BX398" s="286"/>
      <c r="BY398" s="286"/>
      <c r="BZ398" s="286"/>
      <c r="CA398" s="286"/>
      <c r="CB398" s="286"/>
      <c r="CC398" s="286"/>
      <c r="CD398" s="286"/>
      <c r="CE398" s="286"/>
      <c r="CF398" s="286"/>
      <c r="CG398" s="286"/>
      <c r="CH398" s="286"/>
      <c r="CI398" s="286"/>
      <c r="CJ398" s="286"/>
    </row>
    <row r="399" spans="1:88" ht="15.75" customHeight="1">
      <c r="A399" s="284"/>
      <c r="B399" s="215" t="s">
        <v>3571</v>
      </c>
      <c r="C399" s="285">
        <f>COUNTIF(H:H,"Inativo")</f>
        <v>179</v>
      </c>
      <c r="D399" s="119"/>
      <c r="E399" s="119"/>
      <c r="F399" s="119"/>
      <c r="G399" s="119"/>
      <c r="H399" s="212"/>
      <c r="I399" s="119"/>
      <c r="J399" s="119"/>
      <c r="K399" s="119"/>
      <c r="L399" s="119"/>
      <c r="M399" s="119"/>
      <c r="N399" s="119"/>
      <c r="O399" s="119"/>
      <c r="P399" s="119"/>
      <c r="Q399" s="82"/>
      <c r="R399" s="82"/>
      <c r="S399" s="201"/>
      <c r="T399" s="201"/>
      <c r="U399" s="201"/>
      <c r="V399" s="201"/>
      <c r="W399" s="217"/>
      <c r="X399" s="217"/>
      <c r="Y399" s="201"/>
      <c r="Z399" s="201"/>
      <c r="AA399" s="201"/>
      <c r="AB399" s="201"/>
      <c r="AC399" s="286"/>
      <c r="AD399" s="286"/>
      <c r="AE399" s="286"/>
      <c r="AF399" s="286"/>
      <c r="AG399" s="286"/>
      <c r="AH399" s="286"/>
      <c r="AI399" s="286"/>
      <c r="AJ399" s="286"/>
      <c r="AK399" s="286"/>
      <c r="AL399" s="286"/>
      <c r="AM399" s="286"/>
      <c r="AN399" s="286"/>
      <c r="AO399" s="286"/>
      <c r="AP399" s="286"/>
      <c r="AQ399" s="286"/>
      <c r="AR399" s="286"/>
      <c r="AS399" s="286"/>
      <c r="AT399" s="286"/>
      <c r="AU399" s="286"/>
      <c r="AV399" s="286"/>
      <c r="AW399" s="286"/>
      <c r="AX399" s="286"/>
      <c r="AY399" s="286"/>
      <c r="AZ399" s="286"/>
      <c r="BA399" s="286"/>
      <c r="BB399" s="286"/>
      <c r="BC399" s="286"/>
      <c r="BD399" s="286"/>
      <c r="BE399" s="286"/>
      <c r="BF399" s="286"/>
      <c r="BG399" s="286"/>
      <c r="BH399" s="286"/>
      <c r="BI399" s="286"/>
      <c r="BJ399" s="286"/>
      <c r="BK399" s="286"/>
      <c r="BL399" s="286"/>
      <c r="BM399" s="286"/>
      <c r="BN399" s="286"/>
      <c r="BO399" s="286"/>
      <c r="BP399" s="286"/>
      <c r="BQ399" s="286"/>
      <c r="BR399" s="286"/>
      <c r="BS399" s="286"/>
      <c r="BT399" s="286"/>
      <c r="BU399" s="286"/>
      <c r="BV399" s="286"/>
      <c r="BW399" s="286"/>
      <c r="BX399" s="286"/>
      <c r="BY399" s="286"/>
      <c r="BZ399" s="286"/>
      <c r="CA399" s="286"/>
      <c r="CB399" s="286"/>
      <c r="CC399" s="286"/>
      <c r="CD399" s="286"/>
      <c r="CE399" s="286"/>
      <c r="CF399" s="286"/>
      <c r="CG399" s="286"/>
      <c r="CH399" s="286"/>
      <c r="CI399" s="286"/>
      <c r="CJ399" s="286"/>
    </row>
    <row r="400" spans="1:88" ht="15.75" customHeight="1">
      <c r="A400" s="287"/>
      <c r="B400" s="221" t="s">
        <v>2881</v>
      </c>
      <c r="C400" s="288">
        <f>COUNTIF(H:H,"Pode operar")</f>
        <v>0</v>
      </c>
      <c r="D400" s="119"/>
      <c r="E400" s="119"/>
      <c r="F400" s="119"/>
      <c r="G400" s="119"/>
      <c r="H400" s="212"/>
      <c r="I400" s="119"/>
      <c r="J400" s="119"/>
      <c r="K400" s="119"/>
      <c r="L400" s="119"/>
      <c r="M400" s="119"/>
      <c r="N400" s="205"/>
      <c r="O400" s="205"/>
      <c r="P400" s="205"/>
      <c r="Q400" s="82"/>
      <c r="R400" s="82"/>
      <c r="S400" s="201"/>
      <c r="T400" s="201"/>
      <c r="U400" s="201"/>
      <c r="V400" s="201"/>
      <c r="W400" s="217"/>
      <c r="X400" s="217"/>
      <c r="Y400" s="201"/>
      <c r="Z400" s="201"/>
      <c r="AA400" s="201"/>
      <c r="AB400" s="201"/>
      <c r="AC400" s="286"/>
      <c r="AD400" s="286"/>
      <c r="AE400" s="286"/>
      <c r="AF400" s="286"/>
      <c r="AG400" s="286"/>
      <c r="AH400" s="286"/>
      <c r="AI400" s="286"/>
      <c r="AJ400" s="286"/>
      <c r="AK400" s="286"/>
      <c r="AL400" s="286"/>
      <c r="AM400" s="286"/>
      <c r="AN400" s="286"/>
      <c r="AO400" s="286"/>
      <c r="AP400" s="286"/>
      <c r="AQ400" s="286"/>
      <c r="AR400" s="286"/>
      <c r="AS400" s="286"/>
      <c r="AT400" s="286"/>
      <c r="AU400" s="286"/>
      <c r="AV400" s="286"/>
      <c r="AW400" s="286"/>
      <c r="AX400" s="286"/>
      <c r="AY400" s="286"/>
      <c r="AZ400" s="286"/>
      <c r="BA400" s="286"/>
      <c r="BB400" s="286"/>
      <c r="BC400" s="286"/>
      <c r="BD400" s="286"/>
      <c r="BE400" s="286"/>
      <c r="BF400" s="286"/>
      <c r="BG400" s="286"/>
      <c r="BH400" s="286"/>
      <c r="BI400" s="286"/>
      <c r="BJ400" s="286"/>
      <c r="BK400" s="286"/>
      <c r="BL400" s="286"/>
      <c r="BM400" s="286"/>
      <c r="BN400" s="286"/>
      <c r="BO400" s="286"/>
      <c r="BP400" s="286"/>
      <c r="BQ400" s="286"/>
      <c r="BR400" s="286"/>
      <c r="BS400" s="286"/>
      <c r="BT400" s="286"/>
      <c r="BU400" s="286"/>
      <c r="BV400" s="286"/>
      <c r="BW400" s="286"/>
      <c r="BX400" s="286"/>
      <c r="BY400" s="286"/>
      <c r="BZ400" s="286"/>
      <c r="CA400" s="286"/>
      <c r="CB400" s="286"/>
      <c r="CC400" s="286"/>
      <c r="CD400" s="286"/>
      <c r="CE400" s="286"/>
      <c r="CF400" s="286"/>
      <c r="CG400" s="286"/>
      <c r="CH400" s="286"/>
      <c r="CI400" s="286"/>
      <c r="CJ400" s="286"/>
    </row>
    <row r="401" spans="1:88" ht="15.75" customHeight="1">
      <c r="A401" s="289"/>
      <c r="B401" s="289"/>
      <c r="C401" s="290"/>
      <c r="D401" s="119"/>
      <c r="E401" s="119"/>
      <c r="F401" s="119"/>
      <c r="G401" s="119"/>
      <c r="H401" s="212"/>
      <c r="I401" s="119"/>
      <c r="J401" s="119"/>
      <c r="K401" s="119"/>
      <c r="L401" s="119"/>
      <c r="M401" s="119"/>
      <c r="N401" s="205"/>
      <c r="O401" s="205"/>
      <c r="P401" s="205"/>
      <c r="Q401" s="82"/>
      <c r="R401" s="82"/>
      <c r="S401" s="201"/>
      <c r="T401" s="201"/>
      <c r="U401" s="201"/>
      <c r="V401" s="201"/>
      <c r="W401" s="217"/>
      <c r="X401" s="217"/>
      <c r="Y401" s="201"/>
      <c r="Z401" s="201"/>
      <c r="AA401" s="201"/>
      <c r="AB401" s="201"/>
      <c r="AC401" s="286"/>
      <c r="AD401" s="286"/>
      <c r="AE401" s="286"/>
      <c r="AF401" s="286"/>
      <c r="AG401" s="286"/>
      <c r="AH401" s="286"/>
      <c r="AI401" s="286"/>
      <c r="AJ401" s="286"/>
      <c r="AK401" s="286"/>
      <c r="AL401" s="286"/>
      <c r="AM401" s="286"/>
      <c r="AN401" s="286"/>
      <c r="AO401" s="286"/>
      <c r="AP401" s="286"/>
      <c r="AQ401" s="286"/>
      <c r="AR401" s="286"/>
      <c r="AS401" s="286"/>
      <c r="AT401" s="286"/>
      <c r="AU401" s="286"/>
      <c r="AV401" s="286"/>
      <c r="AW401" s="286"/>
      <c r="AX401" s="286"/>
      <c r="AY401" s="286"/>
      <c r="AZ401" s="286"/>
      <c r="BA401" s="286"/>
      <c r="BB401" s="286"/>
      <c r="BC401" s="286"/>
      <c r="BD401" s="286"/>
      <c r="BE401" s="286"/>
      <c r="BF401" s="286"/>
      <c r="BG401" s="286"/>
      <c r="BH401" s="286"/>
      <c r="BI401" s="286"/>
      <c r="BJ401" s="286"/>
      <c r="BK401" s="286"/>
      <c r="BL401" s="286"/>
      <c r="BM401" s="286"/>
      <c r="BN401" s="286"/>
      <c r="BO401" s="286"/>
      <c r="BP401" s="286"/>
      <c r="BQ401" s="286"/>
      <c r="BR401" s="286"/>
      <c r="BS401" s="286"/>
      <c r="BT401" s="286"/>
      <c r="BU401" s="286"/>
      <c r="BV401" s="286"/>
      <c r="BW401" s="286"/>
      <c r="BX401" s="286"/>
      <c r="BY401" s="286"/>
      <c r="BZ401" s="286"/>
      <c r="CA401" s="286"/>
      <c r="CB401" s="286"/>
      <c r="CC401" s="286"/>
      <c r="CD401" s="286"/>
      <c r="CE401" s="286"/>
      <c r="CF401" s="286"/>
      <c r="CG401" s="286"/>
      <c r="CH401" s="286"/>
      <c r="CI401" s="286"/>
      <c r="CJ401" s="286"/>
    </row>
    <row r="402" spans="1:88" ht="15.75" customHeight="1">
      <c r="A402" s="289"/>
      <c r="B402" s="289"/>
      <c r="C402" s="290"/>
      <c r="D402" s="119"/>
      <c r="E402" s="119"/>
      <c r="F402" s="119"/>
      <c r="G402" s="119"/>
      <c r="H402" s="212"/>
      <c r="I402" s="119"/>
      <c r="J402" s="119"/>
      <c r="K402" s="119"/>
      <c r="L402" s="119"/>
      <c r="M402" s="119"/>
      <c r="N402" s="205"/>
      <c r="O402" s="205"/>
      <c r="P402" s="205"/>
      <c r="Q402" s="82"/>
      <c r="R402" s="82"/>
      <c r="S402" s="201"/>
      <c r="T402" s="119"/>
      <c r="U402" s="201"/>
      <c r="V402" s="201"/>
      <c r="W402" s="217"/>
      <c r="X402" s="217"/>
      <c r="Y402" s="201"/>
      <c r="Z402" s="201"/>
      <c r="AA402" s="201"/>
      <c r="AB402" s="201"/>
      <c r="AC402" s="286"/>
      <c r="AD402" s="286"/>
      <c r="AE402" s="286"/>
      <c r="AF402" s="286"/>
      <c r="AG402" s="286"/>
      <c r="AH402" s="286"/>
      <c r="AI402" s="286"/>
      <c r="AJ402" s="286"/>
      <c r="AK402" s="286"/>
      <c r="AL402" s="286"/>
      <c r="AM402" s="286"/>
      <c r="AN402" s="286"/>
      <c r="AO402" s="286"/>
      <c r="AP402" s="286"/>
      <c r="AQ402" s="286"/>
      <c r="AR402" s="286"/>
      <c r="AS402" s="286"/>
      <c r="AT402" s="286"/>
      <c r="AU402" s="286"/>
      <c r="AV402" s="286"/>
      <c r="AW402" s="286"/>
      <c r="AX402" s="286"/>
      <c r="AY402" s="286"/>
      <c r="AZ402" s="286"/>
      <c r="BA402" s="286"/>
      <c r="BB402" s="286"/>
      <c r="BC402" s="286"/>
      <c r="BD402" s="286"/>
      <c r="BE402" s="286"/>
      <c r="BF402" s="286"/>
      <c r="BG402" s="286"/>
      <c r="BH402" s="286"/>
      <c r="BI402" s="286"/>
      <c r="BJ402" s="286"/>
      <c r="BK402" s="286"/>
      <c r="BL402" s="286"/>
      <c r="BM402" s="286"/>
      <c r="BN402" s="286"/>
      <c r="BO402" s="286"/>
      <c r="BP402" s="286"/>
      <c r="BQ402" s="286"/>
      <c r="BR402" s="286"/>
      <c r="BS402" s="286"/>
      <c r="BT402" s="286"/>
      <c r="BU402" s="286"/>
      <c r="BV402" s="286"/>
      <c r="BW402" s="286"/>
      <c r="BX402" s="286"/>
      <c r="BY402" s="286"/>
      <c r="BZ402" s="286"/>
      <c r="CA402" s="286"/>
      <c r="CB402" s="286"/>
      <c r="CC402" s="286"/>
      <c r="CD402" s="286"/>
      <c r="CE402" s="286"/>
      <c r="CF402" s="286"/>
      <c r="CG402" s="286"/>
      <c r="CH402" s="286"/>
      <c r="CI402" s="286"/>
      <c r="CJ402" s="286"/>
    </row>
    <row r="403" spans="1:88" ht="15.75" customHeight="1">
      <c r="A403" s="289"/>
      <c r="B403" s="289"/>
      <c r="C403" s="290"/>
      <c r="D403" s="119"/>
      <c r="E403" s="119"/>
      <c r="F403" s="119"/>
      <c r="G403" s="119"/>
      <c r="H403" s="212"/>
      <c r="I403" s="119"/>
      <c r="J403" s="119"/>
      <c r="K403" s="119"/>
      <c r="L403" s="119"/>
      <c r="M403" s="119"/>
      <c r="N403" s="205"/>
      <c r="O403" s="205"/>
      <c r="P403" s="205"/>
      <c r="Q403" s="82"/>
      <c r="R403" s="82"/>
      <c r="S403" s="201"/>
      <c r="T403" s="119"/>
      <c r="U403" s="201"/>
      <c r="V403" s="201"/>
      <c r="W403" s="217"/>
      <c r="X403" s="217"/>
      <c r="Y403" s="201"/>
      <c r="Z403" s="201"/>
      <c r="AA403" s="201"/>
      <c r="AB403" s="201"/>
      <c r="AC403" s="286"/>
      <c r="AD403" s="286"/>
      <c r="AE403" s="286"/>
      <c r="AF403" s="286"/>
      <c r="AG403" s="286"/>
      <c r="AH403" s="286"/>
      <c r="AI403" s="286"/>
      <c r="AJ403" s="286"/>
      <c r="AK403" s="286"/>
      <c r="AL403" s="286"/>
      <c r="AM403" s="286"/>
      <c r="AN403" s="286"/>
      <c r="AO403" s="286"/>
      <c r="AP403" s="286"/>
      <c r="AQ403" s="286"/>
      <c r="AR403" s="286"/>
      <c r="AS403" s="286"/>
      <c r="AT403" s="286"/>
      <c r="AU403" s="286"/>
      <c r="AV403" s="286"/>
      <c r="AW403" s="286"/>
      <c r="AX403" s="286"/>
      <c r="AY403" s="286"/>
      <c r="AZ403" s="286"/>
      <c r="BA403" s="286"/>
      <c r="BB403" s="286"/>
      <c r="BC403" s="286"/>
      <c r="BD403" s="286"/>
      <c r="BE403" s="286"/>
      <c r="BF403" s="286"/>
      <c r="BG403" s="286"/>
      <c r="BH403" s="286"/>
      <c r="BI403" s="286"/>
      <c r="BJ403" s="286"/>
      <c r="BK403" s="286"/>
      <c r="BL403" s="286"/>
      <c r="BM403" s="286"/>
      <c r="BN403" s="286"/>
      <c r="BO403" s="286"/>
      <c r="BP403" s="286"/>
      <c r="BQ403" s="286"/>
      <c r="BR403" s="286"/>
      <c r="BS403" s="286"/>
      <c r="BT403" s="286"/>
      <c r="BU403" s="286"/>
      <c r="BV403" s="286"/>
      <c r="BW403" s="286"/>
      <c r="BX403" s="286"/>
      <c r="BY403" s="286"/>
      <c r="BZ403" s="286"/>
      <c r="CA403" s="286"/>
      <c r="CB403" s="286"/>
      <c r="CC403" s="286"/>
      <c r="CD403" s="286"/>
      <c r="CE403" s="286"/>
      <c r="CF403" s="286"/>
      <c r="CG403" s="286"/>
      <c r="CH403" s="286"/>
      <c r="CI403" s="286"/>
      <c r="CJ403" s="286"/>
    </row>
  </sheetData>
  <customSheetViews>
    <customSheetView guid="{87E4A958-CDC6-4EF1-BDE3-FF72B2C36669}" filter="1" showAutoFilter="1">
      <pageMargins left="0.511811024" right="0.511811024" top="0.78740157499999996" bottom="0.78740157499999996" header="0.31496062000000002" footer="0.31496062000000002"/>
      <autoFilter ref="A2:BZ395" xr:uid="{58B79BC2-8F0A-4B34-A79F-B1A7D925914B}"/>
    </customSheetView>
    <customSheetView guid="{DA1DD12B-B65C-4A90-B1E2-8ABE762F9B33}" filter="1" showAutoFilter="1">
      <pageMargins left="0.511811024" right="0.511811024" top="0.78740157499999996" bottom="0.78740157499999996" header="0.31496062000000002" footer="0.31496062000000002"/>
      <autoFilter ref="A1:CC395" xr:uid="{A3559E90-7F82-422A-9D6D-B2EF2A6DA114}">
        <filterColumn colId="3">
          <filters>
            <filter val="Bluemetrix"/>
          </filters>
        </filterColumn>
        <filterColumn colId="4">
          <filters>
            <filter val="BH"/>
            <filter val="GO"/>
            <filter val="SUL"/>
            <filter val="UF"/>
          </filters>
        </filterColumn>
        <filterColumn colId="5">
          <filters>
            <filter val="Assessor"/>
            <filter val="Bruno Henrique"/>
            <filter val="Bruno Jaime"/>
            <filter val="Conquest"/>
            <filter val="Felipe Estevam"/>
            <filter val="Guilherme Sales"/>
            <filter val="Hugo Motta"/>
            <filter val="Juliana Farias"/>
            <filter val="Karla"/>
            <filter val="Lucas Nascimento"/>
            <filter val="Lucas Zambrin"/>
            <filter val="Matrice"/>
            <filter val="Norton Fritzsche"/>
            <filter val="Rafael"/>
            <filter val="Rafael Vilela"/>
            <filter val="Renan Silva"/>
            <filter val="Rodger"/>
            <filter val="Tatiane Cavalcante"/>
            <filter val="Vitor Mafra"/>
          </filters>
        </filterColumn>
        <filterColumn colId="7">
          <filters>
            <filter val="Status"/>
            <filter val="Ativo"/>
          </filters>
        </filterColumn>
      </autoFilter>
    </customSheetView>
    <customSheetView guid="{37E2DCA0-870F-45B5-8ADA-2998F27F6F0D}" filter="1" showAutoFilter="1">
      <pageMargins left="0.511811024" right="0.511811024" top="0.78740157499999996" bottom="0.78740157499999996" header="0.31496062000000002" footer="0.31496062000000002"/>
      <autoFilter ref="B2:BQ395" xr:uid="{46FD33AE-11A1-4D82-861F-A50809290A58}"/>
    </customSheetView>
    <customSheetView guid="{FA344799-C027-418F-BEA1-82C5C82A4E24}" filter="1" showAutoFilter="1">
      <pageMargins left="0.511811024" right="0.511811024" top="0.78740157499999996" bottom="0.78740157499999996" header="0.31496062000000002" footer="0.31496062000000002"/>
      <autoFilter ref="A1:CA395" xr:uid="{074CF960-5B29-4FF2-97BA-28E65F7AAB9D}"/>
    </customSheetView>
    <customSheetView guid="{14FDAB6E-4950-4297-AFB6-3D0254510B44}" filter="1" showAutoFilter="1">
      <pageMargins left="0.511811024" right="0.511811024" top="0.78740157499999996" bottom="0.78740157499999996" header="0.31496062000000002" footer="0.31496062000000002"/>
      <autoFilter ref="A2:CA395" xr:uid="{32E39BE8-10C4-4C8A-8857-369E52F2F566}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Bruno Henrique"/>
            <filter val="Bruno Jaim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Karla"/>
            <filter val="Leonardo Jardim"/>
            <filter val="Luca Bueno"/>
            <filter val="Matheus Vilar"/>
            <filter val="Matrice"/>
            <filter val="Norton Fritzsche"/>
            <filter val="Norton Jr."/>
            <filter val="Rafael"/>
            <filter val="Rafael Vilela"/>
            <filter val="Renan Silva"/>
            <filter val="Rodger"/>
            <filter val="Rodrigo Milanez"/>
            <filter val="Tatiane Cavalcante"/>
            <filter val="Thiago Canabrava"/>
            <filter val="Vitor Mafra"/>
          </filters>
        </filterColumn>
        <filterColumn colId="20">
          <filters blank="1">
            <filter val="Pr"/>
          </filters>
        </filterColumn>
      </autoFilter>
    </customSheetView>
    <customSheetView guid="{784428B3-B63A-40CE-BD93-DE3A100A7773}" filter="1" showAutoFilter="1">
      <pageMargins left="0.511811024" right="0.511811024" top="0.78740157499999996" bottom="0.78740157499999996" header="0.31496062000000002" footer="0.31496062000000002"/>
      <autoFilter ref="A1:CA395" xr:uid="{0FE30814-E04C-4109-910A-28BF96C98B5F}">
        <filterColumn colId="3">
          <filters>
            <filter val="Bluemetrix"/>
            <filter val="Escritório"/>
          </filters>
        </filterColumn>
        <filterColumn colId="4">
          <filters>
            <filter val="BH"/>
            <filter val="DF"/>
            <filter val="GO"/>
            <filter val="UF"/>
          </filters>
        </filterColumn>
        <filterColumn colId="20">
          <filters blank="1">
            <filter val="BH"/>
            <filter val="Pr"/>
          </filters>
        </filterColumn>
      </autoFilter>
    </customSheetView>
    <customSheetView guid="{DA07D26C-8134-4098-9060-4124AE59455C}" filter="1" showAutoFilter="1">
      <pageMargins left="0.511811024" right="0.511811024" top="0.78740157499999996" bottom="0.78740157499999996" header="0.31496062000000002" footer="0.31496062000000002"/>
      <autoFilter ref="B2:BP395" xr:uid="{7C90C933-1F96-4217-AA20-1FFEB97B295A}"/>
    </customSheetView>
    <customSheetView guid="{BB552302-83D7-4E75-9721-4A908E1DD9C4}" filter="1" showAutoFilter="1">
      <pageMargins left="0.511811024" right="0.511811024" top="0.78740157499999996" bottom="0.78740157499999996" header="0.31496062000000002" footer="0.31496062000000002"/>
      <autoFilter ref="K2:P241" xr:uid="{6350C953-0BFB-4390-89EE-DC36845DCB2B}">
        <filterColumn colId="0">
          <filters>
            <filter val="02/05/2024"/>
            <filter val="03/04/2020"/>
            <filter val="04/04/2023"/>
            <filter val="05/04/2023"/>
            <filter val="08/02/2024"/>
            <filter val="08/08/2023"/>
            <filter val="09/02/2024"/>
            <filter val="09/04/2020"/>
            <filter val="13/02/2023"/>
            <filter val="14/02/2023"/>
            <filter val="14/03/2023"/>
            <filter val="21/05/2019"/>
            <filter val="21/06/2023"/>
            <filter val="25/05/2022"/>
            <filter val="26/10/2023"/>
            <filter val="27/11/2019"/>
            <filter val="28/03/2023"/>
            <filter val="29/12/2021"/>
          </filters>
        </filterColumn>
      </autoFilter>
    </customSheetView>
    <customSheetView guid="{B72A137F-6618-472B-B31F-A228496BFEFE}" filter="1" showAutoFilter="1">
      <pageMargins left="0.511811024" right="0.511811024" top="0.78740157499999996" bottom="0.78740157499999996" header="0.31496062000000002" footer="0.31496062000000002"/>
      <autoFilter ref="B2:BQ395" xr:uid="{D1E0724A-0122-4644-90D3-3D1D7F046516}">
        <filterColumn colId="4">
          <filters>
            <filter val="Bruno Henrique"/>
            <filter val="Guilherme dos Santos"/>
            <filter val="Luca Bueno"/>
            <filter val="Matheus Vilar"/>
            <filter val="Rodrigo Milanez"/>
          </filters>
        </filterColumn>
      </autoFilter>
    </customSheetView>
    <customSheetView guid="{ED1070BE-D844-4B37-B23D-CEFF997DFBD9}" filter="1" showAutoFilter="1">
      <pageMargins left="0.511811024" right="0.511811024" top="0.78740157499999996" bottom="0.78740157499999996" header="0.31496062000000002" footer="0.31496062000000002"/>
      <autoFilter ref="A2:BZ395" xr:uid="{67E30798-8FB4-40F2-AFBF-51D9CFAF00CE}"/>
    </customSheetView>
    <customSheetView guid="{B2BFE901-B4B4-4393-861D-055AD1BB086D}" filter="1" showAutoFilter="1">
      <pageMargins left="0.511811024" right="0.511811024" top="0.78740157499999996" bottom="0.78740157499999996" header="0.31496062000000002" footer="0.31496062000000002"/>
      <autoFilter ref="K2:P403" xr:uid="{906C9E0B-EF61-4748-82B1-EAA4D594A9A8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8058A662-82B6-4306-B12A-EF8751CB0A4F}" filter="1" showAutoFilter="1">
      <pageMargins left="0.511811024" right="0.511811024" top="0.78740157499999996" bottom="0.78740157499999996" header="0.31496062000000002" footer="0.31496062000000002"/>
      <autoFilter ref="B2:P403" xr:uid="{9D10AB1D-C41B-40EA-9513-B8289899D7B4}">
        <filterColumn colId="9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87DE2AE3-A5F0-4587-9B4E-271A7BB8EB3E}" filter="1" showAutoFilter="1">
      <pageMargins left="0.511811024" right="0.511811024" top="0.78740157499999996" bottom="0.78740157499999996" header="0.31496062000000002" footer="0.31496062000000002"/>
      <autoFilter ref="A1:BY403" xr:uid="{E8EF7FAE-0109-4C8A-807B-5B05D202D9B2}">
        <filterColumn colId="7">
          <filters>
            <filter val="Encerrado"/>
            <filter val="Ativo"/>
          </filters>
        </filterColumn>
      </autoFilter>
    </customSheetView>
    <customSheetView guid="{187F2E37-1D08-401F-B6CA-29F69C34600B}" filter="1" showAutoFilter="1">
      <pageMargins left="0.511811024" right="0.511811024" top="0.78740157499999996" bottom="0.78740157499999996" header="0.31496062000000002" footer="0.31496062000000002"/>
      <autoFilter ref="A1:CC395" xr:uid="{D6CDFA24-5D3E-4AF7-801E-29C0C7432698}">
        <filterColumn colId="3">
          <filters>
            <filter val="Bluemetrix"/>
            <filter val="Escritório"/>
            <filter val="Voga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Juliana Farias"/>
            <filter val="Lucas Nascimento"/>
            <filter val="Lucas Zambrin"/>
            <filter val="Matrice"/>
            <filter val="Norton Jr."/>
            <filter val="Rafael"/>
            <filter val="Rafael Vilela"/>
            <filter val="Rodrigo Milanez"/>
          </filters>
        </filterColumn>
        <filterColumn colId="7">
          <filters>
            <filter val="Inativo"/>
          </filters>
        </filterColumn>
      </autoFilter>
    </customSheetView>
    <customSheetView guid="{95D3FD1A-2488-4FF8-95B0-57F346C71938}" filter="1" showAutoFilter="1">
      <pageMargins left="0.511811024" right="0.511811024" top="0.78740157499999996" bottom="0.78740157499999996" header="0.31496062000000002" footer="0.31496062000000002"/>
      <autoFilter ref="A1:BZ395" xr:uid="{2579A11A-D92E-4036-8CC5-32545C7C10B9}"/>
    </customSheetView>
    <customSheetView guid="{FED3AFF5-95F7-435E-BE96-CF348CF9100A}" filter="1" showAutoFilter="1">
      <pageMargins left="0.511811024" right="0.511811024" top="0.78740157499999996" bottom="0.78740157499999996" header="0.31496062000000002" footer="0.31496062000000002"/>
      <autoFilter ref="B2:BQ395" xr:uid="{F2F2D609-7A90-483C-A2DF-B79028CCC06E}"/>
    </customSheetView>
    <customSheetView guid="{4D257AC7-7FC0-4C45-95A3-E076280BB1F8}" filter="1" showAutoFilter="1">
      <pageMargins left="0.511811024" right="0.511811024" top="0.78740157499999996" bottom="0.78740157499999996" header="0.31496062000000002" footer="0.31496062000000002"/>
      <autoFilter ref="K2:K403" xr:uid="{822574A2-51F4-4E80-86EA-5E59DA73CFB0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9E552739-72DD-45E8-8C7B-29F9FBD3645B}" filter="1" showAutoFilter="1">
      <pageMargins left="0.511811024" right="0.511811024" top="0.78740157499999996" bottom="0.78740157499999996" header="0.31496062000000002" footer="0.31496062000000002"/>
      <autoFilter ref="B2:BP395" xr:uid="{4E1A9A85-44EE-4FE8-B9B4-06555A42981D}"/>
    </customSheetView>
    <customSheetView guid="{1B5B7370-FC19-475F-8306-B7882B20A8EE}" filter="1" showAutoFilter="1">
      <pageMargins left="0.511811024" right="0.511811024" top="0.78740157499999996" bottom="0.78740157499999996" header="0.31496062000000002" footer="0.31496062000000002"/>
      <autoFilter ref="A2:CB395" xr:uid="{89FB78BB-61A9-400C-AE65-7FB607F0EB40}">
        <filterColumn colId="7">
          <filters>
            <filter val="Inativo"/>
          </filters>
        </filterColumn>
      </autoFilter>
    </customSheetView>
    <customSheetView guid="{02DB027B-88D5-4067-9DF3-1E71C48C0F90}" filter="1" showAutoFilter="1">
      <pageMargins left="0.511811024" right="0.511811024" top="0.78740157499999996" bottom="0.78740157499999996" header="0.31496062000000002" footer="0.31496062000000002"/>
      <autoFilter ref="K2:K403" xr:uid="{7F8DE39A-2005-42A4-874F-EF566CBAD436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5E868580-8693-4844-A1C7-BEB3B7E251C9}" filter="1" showAutoFilter="1">
      <pageMargins left="0.511811024" right="0.511811024" top="0.78740157499999996" bottom="0.78740157499999996" header="0.31496062000000002" footer="0.31496062000000002"/>
      <autoFilter ref="K2:K403" xr:uid="{82E98D6C-78DF-4B43-A26D-B211B37796DF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12AA7277-456D-451B-A499-389B87C6D872}" filter="1" showAutoFilter="1">
      <pageMargins left="0.511811024" right="0.511811024" top="0.78740157499999996" bottom="0.78740157499999996" header="0.31496062000000002" footer="0.31496062000000002"/>
      <autoFilter ref="K2:K403" xr:uid="{6DFFCEEE-A428-4A05-9111-10DFC1B8A5F7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2FCABD4C-1224-414F-A616-D681368D7A4F}" filter="1" showAutoFilter="1">
      <pageMargins left="0.511811024" right="0.511811024" top="0.78740157499999996" bottom="0.78740157499999996" header="0.31496062000000002" footer="0.31496062000000002"/>
      <autoFilter ref="B2:BU395" xr:uid="{CD9FA5F7-C3FB-4DAE-9FF3-C6AD896B6760}"/>
    </customSheetView>
    <customSheetView guid="{4DC4A6A4-A2D6-4D5D-9D2E-378E1B8AB498}" filter="1" showAutoFilter="1">
      <pageMargins left="0.511811024" right="0.511811024" top="0.78740157499999996" bottom="0.78740157499999996" header="0.31496062000000002" footer="0.31496062000000002"/>
      <autoFilter ref="K2:K403" xr:uid="{D95C7BF0-7DC9-456C-B39F-F8749C5C68CE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8F9D2EE2-2BA6-4218-ABAC-59A49CE16850}" filter="1" showAutoFilter="1">
      <pageMargins left="0.511811024" right="0.511811024" top="0.78740157499999996" bottom="0.78740157499999996" header="0.31496062000000002" footer="0.31496062000000002"/>
      <autoFilter ref="B2:BS403" xr:uid="{D67BD756-803D-4B44-9A19-AC566B71AD2C}"/>
    </customSheetView>
    <customSheetView guid="{4ACE3FD7-7E6D-49A5-BA7A-7BB17F4DBD51}" filter="1" showAutoFilter="1">
      <pageMargins left="0.511811024" right="0.511811024" top="0.78740157499999996" bottom="0.78740157499999996" header="0.31496062000000002" footer="0.31496062000000002"/>
      <autoFilter ref="A1:CC395" xr:uid="{06F5829A-AD8D-4F8C-ACB7-2C41E3A2FC8A}">
        <filterColumn colId="3">
          <filters>
            <filter val="Bluemetrix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Hugo Motta"/>
            <filter val="Juliana Farias"/>
            <filter val="Karla"/>
            <filter val="Lucas Nascimento"/>
            <filter val="Lucas Zambrin"/>
            <filter val="Matrice"/>
            <filter val="Rafael"/>
            <filter val="Rafael Vilela"/>
            <filter val="Rodger"/>
            <filter val="Rodrigo Milanez"/>
            <filter val="Vitor Mafra"/>
          </filters>
        </filterColumn>
      </autoFilter>
    </customSheetView>
    <customSheetView guid="{8380BBA0-DD8B-4D15-9E68-25A55EF1EE83}" filter="1" showAutoFilter="1">
      <pageMargins left="0.511811024" right="0.511811024" top="0.78740157499999996" bottom="0.78740157499999996" header="0.31496062000000002" footer="0.31496062000000002"/>
      <autoFilter ref="K2:K403" xr:uid="{7D8F065E-129E-42AC-8A30-BDCBCDF1C14D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49792FEA-CF16-44D8-A830-4C89AED8A6DE}" filter="1" showAutoFilter="1">
      <pageMargins left="0.511811024" right="0.511811024" top="0.78740157499999996" bottom="0.78740157499999996" header="0.31496062000000002" footer="0.31496062000000002"/>
      <autoFilter ref="B2:P403" xr:uid="{4A2946BF-F3DB-4BB7-B460-4BA3ACF765E9}"/>
    </customSheetView>
    <customSheetView guid="{BBB60758-302D-42F3-99C1-27EE80466B7D}" filter="1" showAutoFilter="1">
      <pageMargins left="0.511811024" right="0.511811024" top="0.78740157499999996" bottom="0.78740157499999996" header="0.31496062000000002" footer="0.31496062000000002"/>
      <autoFilter ref="K2:K403" xr:uid="{E8FBF0E9-1240-4EC7-BE92-CBE2D3A093F2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31BAD605-5612-4733-8F02-7FA30239EFFB}" filter="1" showAutoFilter="1">
      <pageMargins left="0.511811024" right="0.511811024" top="0.78740157499999996" bottom="0.78740157499999996" header="0.31496062000000002" footer="0.31496062000000002"/>
      <autoFilter ref="L2:L403" xr:uid="{1195A234-C63D-4BCA-A954-666BA46D5163}">
        <filterColumn colId="0">
          <filters>
            <filter val="01/06/2022"/>
            <filter val="03/03/2023"/>
            <filter val="08/02/2023"/>
            <filter val="08/09/2022"/>
            <filter val="08/12/2022"/>
            <filter val="09/02/2023"/>
            <filter val="09/03/2020"/>
            <filter val="10/01/2023"/>
            <filter val="11/01/2023"/>
            <filter val="11/03/2022"/>
            <filter val="12/12/2022"/>
            <filter val="13/02/2023"/>
            <filter val="13/10/2022"/>
            <filter val="13/12/2022"/>
            <filter val="15/02/2023"/>
            <filter val="15/03/2023"/>
            <filter val="15/05/2020"/>
            <filter val="15/05/2023"/>
            <filter val="16/08/2023"/>
            <filter val="16/12/2022"/>
            <filter val="17/09/2024"/>
            <filter val="22/03/2023"/>
            <filter val="22/07/2024"/>
            <filter val="23/01/2023"/>
            <filter val="23/03/2023"/>
            <filter val="24/01/2023"/>
            <filter val="24/05/2022"/>
            <filter val="24/10/2022"/>
            <filter val="26/01/2023"/>
            <filter val="27/09/2022"/>
            <filter val="30/03/2023"/>
            <filter val="31/10/2022"/>
            <filter val="August/2020"/>
          </filters>
        </filterColumn>
      </autoFilter>
    </customSheetView>
    <customSheetView guid="{82ED4851-3DA2-4458-BD2D-989931D72E98}" filter="1" showAutoFilter="1">
      <pageMargins left="0.511811024" right="0.511811024" top="0.78740157499999996" bottom="0.78740157499999996" header="0.31496062000000002" footer="0.31496062000000002"/>
      <autoFilter ref="A2:CB395" xr:uid="{78179DB4-13B2-4C60-B35C-C6609C66DA8D}">
        <filterColumn colId="7">
          <filters>
            <filter val="Encerrado"/>
          </filters>
        </filterColumn>
        <filterColumn colId="11">
          <filters blank="1">
            <filter val="03/03/2023"/>
            <filter val="09/03/2020"/>
            <filter val="13/02/2023"/>
            <filter val="15/03/2023"/>
            <filter val="17/09/2024"/>
            <filter val="22/07/2024"/>
            <filter val="24/05/2022"/>
            <filter val="26/01/2023"/>
            <filter val="30/03/2023"/>
            <filter val="August/2020"/>
          </filters>
        </filterColumn>
      </autoFilter>
    </customSheetView>
    <customSheetView guid="{1690DE4E-F726-4612-9469-601C6561985D}" filter="1" showAutoFilter="1">
      <pageMargins left="0.511811024" right="0.511811024" top="0.78740157499999996" bottom="0.78740157499999996" header="0.31496062000000002" footer="0.31496062000000002"/>
      <autoFilter ref="B2:P403" xr:uid="{1D0034D3-C04C-468D-BA7B-E107DB9E5427}">
        <filterColumn colId="9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3CEB32DC-FC34-404B-9B1D-F4349E9B14A2}" filter="1" showAutoFilter="1">
      <pageMargins left="0.511811024" right="0.511811024" top="0.78740157499999996" bottom="0.78740157499999996" header="0.31496062000000002" footer="0.31496062000000002"/>
      <autoFilter ref="K2:P403" xr:uid="{1DA94C95-6FF7-49D0-A486-F6996C8D1C8E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2FF8F613-A7E1-45DF-8A10-A57931A18845}" filter="1" showAutoFilter="1">
      <pageMargins left="0.511811024" right="0.511811024" top="0.78740157499999996" bottom="0.78740157499999996" header="0.31496062000000002" footer="0.31496062000000002"/>
      <autoFilter ref="K2:K403" xr:uid="{E219CF92-BE03-45A3-AFC3-5E3AE48A60D2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A9887CDC-6F11-42B2-AB6A-FEBD00A3638F}" filter="1" showAutoFilter="1">
      <pageMargins left="0.511811024" right="0.511811024" top="0.78740157499999996" bottom="0.78740157499999996" header="0.31496062000000002" footer="0.31496062000000002"/>
      <autoFilter ref="K2:K403" xr:uid="{CD386362-435D-4B7B-B4C0-805D62EA2DA0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F22">
    <cfRule type="cellIs" dxfId="267" priority="13" operator="equal">
      <formula>"Conquest"</formula>
    </cfRule>
    <cfRule type="cellIs" dxfId="266" priority="14" operator="equal">
      <formula>"Voga"</formula>
    </cfRule>
  </conditionalFormatting>
  <conditionalFormatting sqref="F25:F26 F28:F29 F81 F102:F103 F109:F110">
    <cfRule type="cellIs" dxfId="265" priority="2" operator="equal">
      <formula>"Voga"</formula>
    </cfRule>
    <cfRule type="cellIs" dxfId="264" priority="1" operator="equal">
      <formula>"Conquest"</formula>
    </cfRule>
  </conditionalFormatting>
  <conditionalFormatting sqref="F48">
    <cfRule type="cellIs" dxfId="263" priority="33" operator="equal">
      <formula>"Conquest"</formula>
    </cfRule>
    <cfRule type="cellIs" dxfId="262" priority="34" operator="equal">
      <formula>"Voga"</formula>
    </cfRule>
  </conditionalFormatting>
  <conditionalFormatting sqref="F55">
    <cfRule type="cellIs" dxfId="261" priority="31" operator="equal">
      <formula>"Voga"</formula>
    </cfRule>
    <cfRule type="cellIs" dxfId="260" priority="32" operator="equal">
      <formula>"Conquest"</formula>
    </cfRule>
  </conditionalFormatting>
  <conditionalFormatting sqref="F58:F60">
    <cfRule type="cellIs" dxfId="259" priority="62" operator="equal">
      <formula>"Voga"</formula>
    </cfRule>
    <cfRule type="cellIs" dxfId="258" priority="61" operator="equal">
      <formula>"Conquest"</formula>
    </cfRule>
  </conditionalFormatting>
  <conditionalFormatting sqref="F59">
    <cfRule type="cellIs" dxfId="257" priority="90" operator="equal">
      <formula>"Bluemetrix"</formula>
    </cfRule>
  </conditionalFormatting>
  <conditionalFormatting sqref="F65 F69">
    <cfRule type="cellIs" dxfId="256" priority="25" operator="equal">
      <formula>"Conquest"</formula>
    </cfRule>
    <cfRule type="cellIs" dxfId="255" priority="26" operator="equal">
      <formula>"Voga"</formula>
    </cfRule>
  </conditionalFormatting>
  <conditionalFormatting sqref="F75 F289:F290 F294 F304">
    <cfRule type="cellIs" dxfId="254" priority="64" operator="equal">
      <formula>"Voga"</formula>
    </cfRule>
    <cfRule type="cellIs" dxfId="253" priority="63" operator="equal">
      <formula>"Conquest"</formula>
    </cfRule>
  </conditionalFormatting>
  <conditionalFormatting sqref="F78">
    <cfRule type="cellIs" dxfId="252" priority="59" operator="equal">
      <formula>"Conquest"</formula>
    </cfRule>
    <cfRule type="cellIs" dxfId="251" priority="60" operator="equal">
      <formula>"Voga"</formula>
    </cfRule>
  </conditionalFormatting>
  <conditionalFormatting sqref="F84:F85">
    <cfRule type="cellIs" dxfId="250" priority="50" operator="equal">
      <formula>"Voga"</formula>
    </cfRule>
    <cfRule type="cellIs" dxfId="249" priority="49" operator="equal">
      <formula>"Conquest"</formula>
    </cfRule>
  </conditionalFormatting>
  <conditionalFormatting sqref="F94">
    <cfRule type="cellIs" dxfId="248" priority="38" operator="equal">
      <formula>"Voga"</formula>
    </cfRule>
    <cfRule type="cellIs" dxfId="247" priority="37" operator="equal">
      <formula>"Conquest"</formula>
    </cfRule>
  </conditionalFormatting>
  <conditionalFormatting sqref="F106">
    <cfRule type="cellIs" dxfId="246" priority="96" operator="equal">
      <formula>"Bluemetrix"</formula>
    </cfRule>
    <cfRule type="cellIs" dxfId="245" priority="95" operator="equal">
      <formula>"Voga"</formula>
    </cfRule>
    <cfRule type="cellIs" dxfId="244" priority="94" operator="equal">
      <formula>"Conquest"</formula>
    </cfRule>
  </conditionalFormatting>
  <conditionalFormatting sqref="F115:F116 F230:F231 F319">
    <cfRule type="cellIs" dxfId="243" priority="11" operator="equal">
      <formula>"Conquest"</formula>
    </cfRule>
    <cfRule type="cellIs" dxfId="242" priority="12" operator="equal">
      <formula>"Voga"</formula>
    </cfRule>
  </conditionalFormatting>
  <conditionalFormatting sqref="F124">
    <cfRule type="cellIs" dxfId="241" priority="47" operator="equal">
      <formula>"Conquest"</formula>
    </cfRule>
    <cfRule type="cellIs" dxfId="240" priority="48" operator="equal">
      <formula>"Voga"</formula>
    </cfRule>
  </conditionalFormatting>
  <conditionalFormatting sqref="F127">
    <cfRule type="cellIs" dxfId="239" priority="84" operator="equal">
      <formula>"Bluemetrix"</formula>
    </cfRule>
    <cfRule type="cellIs" dxfId="238" priority="83" operator="equal">
      <formula>"Voga"</formula>
    </cfRule>
    <cfRule type="cellIs" dxfId="237" priority="82" operator="equal">
      <formula>"Conquest"</formula>
    </cfRule>
  </conditionalFormatting>
  <conditionalFormatting sqref="F144:F149">
    <cfRule type="cellIs" dxfId="236" priority="15" operator="equal">
      <formula>"Conquest"</formula>
    </cfRule>
    <cfRule type="cellIs" dxfId="235" priority="16" operator="equal">
      <formula>"Voga"</formula>
    </cfRule>
  </conditionalFormatting>
  <conditionalFormatting sqref="F149">
    <cfRule type="cellIs" dxfId="234" priority="93" operator="equal">
      <formula>"Bluemetrix"</formula>
    </cfRule>
  </conditionalFormatting>
  <conditionalFormatting sqref="F162">
    <cfRule type="cellIs" dxfId="233" priority="40" operator="equal">
      <formula>"Voga"</formula>
    </cfRule>
    <cfRule type="cellIs" dxfId="232" priority="39" operator="equal">
      <formula>"Conquest"</formula>
    </cfRule>
  </conditionalFormatting>
  <conditionalFormatting sqref="F170">
    <cfRule type="cellIs" dxfId="231" priority="17" operator="equal">
      <formula>"Conquest"</formula>
    </cfRule>
    <cfRule type="cellIs" dxfId="230" priority="18" operator="equal">
      <formula>"Voga"</formula>
    </cfRule>
  </conditionalFormatting>
  <conditionalFormatting sqref="F183">
    <cfRule type="cellIs" dxfId="229" priority="75" operator="equal">
      <formula>"Conquest"</formula>
    </cfRule>
    <cfRule type="cellIs" dxfId="228" priority="74" operator="equal">
      <formula>"Voga"</formula>
    </cfRule>
    <cfRule type="cellIs" dxfId="227" priority="73" operator="equal">
      <formula>"Bluemetrix"</formula>
    </cfRule>
  </conditionalFormatting>
  <conditionalFormatting sqref="F189 F191">
    <cfRule type="cellIs" dxfId="226" priority="70" operator="equal">
      <formula>"Bluemetrix"</formula>
    </cfRule>
    <cfRule type="cellIs" dxfId="225" priority="72" operator="equal">
      <formula>"Conquest"</formula>
    </cfRule>
    <cfRule type="cellIs" dxfId="224" priority="71" operator="equal">
      <formula>"Voga"</formula>
    </cfRule>
  </conditionalFormatting>
  <conditionalFormatting sqref="F202">
    <cfRule type="cellIs" dxfId="223" priority="87" operator="equal">
      <formula>"Bluemetrix"</formula>
    </cfRule>
    <cfRule type="cellIs" dxfId="222" priority="86" operator="equal">
      <formula>"Voga"</formula>
    </cfRule>
    <cfRule type="cellIs" dxfId="221" priority="85" operator="equal">
      <formula>"Conquest"</formula>
    </cfRule>
  </conditionalFormatting>
  <conditionalFormatting sqref="F204">
    <cfRule type="cellIs" dxfId="220" priority="27" operator="equal">
      <formula>"Conquest"</formula>
    </cfRule>
    <cfRule type="cellIs" dxfId="219" priority="28" operator="equal">
      <formula>"Voga"</formula>
    </cfRule>
  </conditionalFormatting>
  <conditionalFormatting sqref="F220">
    <cfRule type="cellIs" dxfId="218" priority="43" operator="equal">
      <formula>"Conquest"</formula>
    </cfRule>
    <cfRule type="cellIs" dxfId="217" priority="44" operator="equal">
      <formula>"Voga"</formula>
    </cfRule>
  </conditionalFormatting>
  <conditionalFormatting sqref="F233:F234">
    <cfRule type="cellIs" dxfId="216" priority="67" operator="equal">
      <formula>"Conquest"</formula>
    </cfRule>
    <cfRule type="cellIs" dxfId="215" priority="68" operator="equal">
      <formula>"Voga"</formula>
    </cfRule>
    <cfRule type="cellIs" dxfId="214" priority="69" operator="equal">
      <formula>"Bluemetrix"</formula>
    </cfRule>
  </conditionalFormatting>
  <conditionalFormatting sqref="F236">
    <cfRule type="cellIs" dxfId="213" priority="10" operator="equal">
      <formula>"Conquest"</formula>
    </cfRule>
    <cfRule type="cellIs" dxfId="212" priority="9" operator="equal">
      <formula>"Voga"</formula>
    </cfRule>
  </conditionalFormatting>
  <conditionalFormatting sqref="F248">
    <cfRule type="cellIs" dxfId="211" priority="51" operator="equal">
      <formula>"Conquest"</formula>
    </cfRule>
    <cfRule type="cellIs" dxfId="210" priority="52" operator="equal">
      <formula>"Voga"</formula>
    </cfRule>
  </conditionalFormatting>
  <conditionalFormatting sqref="F250">
    <cfRule type="cellIs" dxfId="209" priority="99" operator="equal">
      <formula>"Bluemetrix"</formula>
    </cfRule>
    <cfRule type="cellIs" dxfId="208" priority="97" operator="equal">
      <formula>"Conquest"</formula>
    </cfRule>
    <cfRule type="cellIs" dxfId="207" priority="98" operator="equal">
      <formula>"Voga"</formula>
    </cfRule>
  </conditionalFormatting>
  <conditionalFormatting sqref="F257">
    <cfRule type="cellIs" dxfId="206" priority="53" operator="equal">
      <formula>"Conquest"</formula>
    </cfRule>
    <cfRule type="cellIs" dxfId="205" priority="54" operator="equal">
      <formula>"Voga"</formula>
    </cfRule>
  </conditionalFormatting>
  <conditionalFormatting sqref="F277 F285:F286">
    <cfRule type="cellIs" dxfId="204" priority="5" operator="equal">
      <formula>"Conquest"</formula>
    </cfRule>
    <cfRule type="cellIs" dxfId="203" priority="6" operator="equal">
      <formula>"Voga"</formula>
    </cfRule>
  </conditionalFormatting>
  <conditionalFormatting sqref="F283">
    <cfRule type="cellIs" dxfId="202" priority="41" operator="equal">
      <formula>"Conquest"</formula>
    </cfRule>
    <cfRule type="cellIs" dxfId="201" priority="42" operator="equal">
      <formula>"Voga"</formula>
    </cfRule>
  </conditionalFormatting>
  <conditionalFormatting sqref="F317">
    <cfRule type="cellIs" dxfId="200" priority="46" operator="equal">
      <formula>"Voga"</formula>
    </cfRule>
    <cfRule type="cellIs" dxfId="199" priority="45" operator="equal">
      <formula>"Conquest"</formula>
    </cfRule>
  </conditionalFormatting>
  <conditionalFormatting sqref="F332">
    <cfRule type="cellIs" dxfId="198" priority="24" operator="equal">
      <formula>"Voga"</formula>
    </cfRule>
    <cfRule type="cellIs" dxfId="197" priority="23" operator="equal">
      <formula>"Conquest"</formula>
    </cfRule>
  </conditionalFormatting>
  <conditionalFormatting sqref="F345:F346">
    <cfRule type="cellIs" dxfId="196" priority="21" operator="equal">
      <formula>"Conquest"</formula>
    </cfRule>
    <cfRule type="cellIs" dxfId="195" priority="22" operator="equal">
      <formula>"Voga"</formula>
    </cfRule>
  </conditionalFormatting>
  <conditionalFormatting sqref="F352">
    <cfRule type="cellIs" dxfId="194" priority="35" operator="equal">
      <formula>"Conquest"</formula>
    </cfRule>
    <cfRule type="cellIs" dxfId="193" priority="36" operator="equal">
      <formula>"Voga"</formula>
    </cfRule>
  </conditionalFormatting>
  <conditionalFormatting sqref="F354">
    <cfRule type="cellIs" dxfId="192" priority="56" operator="equal">
      <formula>"Voga"</formula>
    </cfRule>
    <cfRule type="cellIs" dxfId="191" priority="55" operator="equal">
      <formula>"Conquest"</formula>
    </cfRule>
  </conditionalFormatting>
  <conditionalFormatting sqref="F357">
    <cfRule type="cellIs" dxfId="190" priority="3" operator="equal">
      <formula>"Conquest"</formula>
    </cfRule>
    <cfRule type="cellIs" dxfId="189" priority="4" operator="equal">
      <formula>"Voga"</formula>
    </cfRule>
  </conditionalFormatting>
  <conditionalFormatting sqref="F367">
    <cfRule type="cellIs" dxfId="188" priority="80" operator="equal">
      <formula>"Conquest"</formula>
    </cfRule>
    <cfRule type="cellIs" dxfId="187" priority="81" operator="equal">
      <formula>"Voga"</formula>
    </cfRule>
    <cfRule type="cellIs" dxfId="186" priority="79" operator="equal">
      <formula>"Bluemetrix"</formula>
    </cfRule>
  </conditionalFormatting>
  <conditionalFormatting sqref="F378">
    <cfRule type="cellIs" dxfId="185" priority="76" operator="equal">
      <formula>"Bluemetrix"</formula>
    </cfRule>
    <cfRule type="cellIs" dxfId="184" priority="77" operator="equal">
      <formula>"Voga"</formula>
    </cfRule>
    <cfRule type="cellIs" dxfId="183" priority="78" operator="equal">
      <formula>"Conquest"</formula>
    </cfRule>
  </conditionalFormatting>
  <dataValidations count="10">
    <dataValidation type="list" allowBlank="1" showErrorMessage="1" sqref="E3:E395" xr:uid="{00000000-0002-0000-0200-000000000000}">
      <formula1>"DF,SUL,GO,BH"</formula1>
    </dataValidation>
    <dataValidation type="list" allowBlank="1" showErrorMessage="1" sqref="I3:I395" xr:uid="{00000000-0002-0000-0200-000001000000}">
      <formula1>"------,Sem Saldo,STVM Entrada,STVM Saída,Alteração de C.A,Monitoramento,Bloqueado,Resgate,Resgate Total,Troca de Assessoria,Distrato"</formula1>
    </dataValidation>
    <dataValidation type="list" allowBlank="1" showErrorMessage="1" sqref="W3:X395" xr:uid="{00000000-0002-0000-0200-000002000000}">
      <formula1>"Conservador,Moderado,Arrojado"</formula1>
    </dataValidation>
    <dataValidation type="list" allowBlank="1" showErrorMessage="1" sqref="V3:V395" xr:uid="{00000000-0002-0000-0200-000003000000}">
      <formula1>"Ativo,Inativo,Encerrado"</formula1>
    </dataValidation>
    <dataValidation type="list" allowBlank="1" showErrorMessage="1" sqref="D3:D395" xr:uid="{00000000-0002-0000-0200-000004000000}">
      <formula1>"Bluemetrix,Blanchor,Conquest,Voga,Matrice"</formula1>
    </dataValidation>
    <dataValidation type="list" allowBlank="1" showErrorMessage="1" sqref="P3:P210 P213:P395" xr:uid="{00000000-0002-0000-0200-000005000000}">
      <formula1>"0%,10%,15%,20%"</formula1>
    </dataValidation>
    <dataValidation type="list" allowBlank="1" showErrorMessage="1" sqref="O3:O230 O232:O395" xr:uid="{00000000-0002-0000-0200-000006000000}">
      <formula1>"CDI,IBOVESPA,IFIX,SMLL,S&amp;P500,------"</formula1>
    </dataValidation>
    <dataValidation type="list" allowBlank="1" showErrorMessage="1" sqref="H3:H395" xr:uid="{00000000-0002-0000-0200-000007000000}">
      <formula1>"Pode Operar,Ativo,Inativo,Encerrado"</formula1>
    </dataValidation>
    <dataValidation type="list" allowBlank="1" showErrorMessage="1" sqref="O231" xr:uid="{00000000-0002-0000-0200-000008000000}">
      <formula1>"IBOV,CDI,------,IFIX,SMALL,S&amp;P 500"</formula1>
    </dataValidation>
    <dataValidation type="list" allowBlank="1" showErrorMessage="1" sqref="S3:S395" xr:uid="{00000000-0002-0000-02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D966"/>
    <outlinePr summaryBelow="0" summaryRight="0"/>
    <pageSetUpPr fitToPage="1"/>
  </sheetPr>
  <dimension ref="A1:AW26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42578125" customWidth="1"/>
    <col min="2" max="2" width="27.42578125" customWidth="1"/>
    <col min="3" max="3" width="7.5703125" customWidth="1"/>
    <col min="4" max="4" width="11" customWidth="1"/>
    <col min="5" max="5" width="5.5703125" customWidth="1"/>
    <col min="6" max="6" width="17.42578125" customWidth="1"/>
    <col min="7" max="7" width="14.28515625" customWidth="1"/>
    <col min="8" max="8" width="13.140625" customWidth="1"/>
    <col min="9" max="9" width="11" customWidth="1"/>
    <col min="10" max="10" width="8.42578125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53.28515625" customWidth="1"/>
    <col min="18" max="18" width="31.85546875" customWidth="1"/>
    <col min="19" max="19" width="6.710937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29" width="12.28515625" hidden="1" customWidth="1"/>
    <col min="30" max="32" width="13" hidden="1" customWidth="1"/>
    <col min="33" max="34" width="13" customWidth="1"/>
    <col min="35" max="49" width="12.85546875" customWidth="1"/>
  </cols>
  <sheetData>
    <row r="1" spans="1:49" ht="15.75" customHeight="1">
      <c r="A1" s="654" t="s">
        <v>92</v>
      </c>
      <c r="B1" s="647"/>
      <c r="C1" s="647"/>
      <c r="D1" s="647"/>
      <c r="E1" s="647"/>
      <c r="F1" s="647"/>
      <c r="G1" s="16" t="s">
        <v>93</v>
      </c>
      <c r="H1" s="648" t="s">
        <v>94</v>
      </c>
      <c r="I1" s="647"/>
      <c r="J1" s="646" t="s">
        <v>92</v>
      </c>
      <c r="K1" s="647"/>
      <c r="L1" s="647"/>
      <c r="M1" s="647"/>
      <c r="N1" s="647"/>
      <c r="O1" s="647"/>
      <c r="P1" s="647"/>
      <c r="Q1" s="291" t="s">
        <v>2883</v>
      </c>
      <c r="R1" s="17" t="s">
        <v>2882</v>
      </c>
      <c r="S1" s="655" t="s">
        <v>95</v>
      </c>
      <c r="T1" s="647"/>
      <c r="U1" s="647"/>
      <c r="V1" s="647"/>
      <c r="W1" s="647"/>
      <c r="X1" s="647"/>
      <c r="Y1" s="647"/>
      <c r="Z1" s="18"/>
      <c r="AA1" s="18"/>
      <c r="AB1" s="18"/>
      <c r="AC1" s="19" t="s">
        <v>96</v>
      </c>
      <c r="AD1" s="19" t="s">
        <v>96</v>
      </c>
      <c r="AE1" s="19" t="s">
        <v>96</v>
      </c>
      <c r="AF1" s="19" t="s">
        <v>96</v>
      </c>
      <c r="AG1" s="19" t="s">
        <v>96</v>
      </c>
      <c r="AH1" s="19" t="s">
        <v>96</v>
      </c>
      <c r="AI1" s="19" t="s">
        <v>96</v>
      </c>
      <c r="AJ1" s="19" t="s">
        <v>96</v>
      </c>
      <c r="AK1" s="19" t="s">
        <v>96</v>
      </c>
      <c r="AL1" s="19" t="s">
        <v>96</v>
      </c>
      <c r="AM1" s="19" t="s">
        <v>96</v>
      </c>
      <c r="AN1" s="19" t="s">
        <v>96</v>
      </c>
      <c r="AO1" s="19" t="s">
        <v>96</v>
      </c>
      <c r="AP1" s="19" t="s">
        <v>96</v>
      </c>
      <c r="AQ1" s="19" t="s">
        <v>96</v>
      </c>
      <c r="AR1" s="19" t="s">
        <v>96</v>
      </c>
      <c r="AS1" s="19" t="s">
        <v>96</v>
      </c>
      <c r="AT1" s="19" t="s">
        <v>96</v>
      </c>
      <c r="AU1" s="19" t="s">
        <v>96</v>
      </c>
      <c r="AV1" s="19" t="s">
        <v>96</v>
      </c>
      <c r="AW1" s="19" t="s">
        <v>96</v>
      </c>
    </row>
    <row r="2" spans="1:49" ht="15.75" customHeight="1">
      <c r="A2" s="20" t="s">
        <v>2</v>
      </c>
      <c r="B2" s="20" t="s">
        <v>97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98</v>
      </c>
      <c r="H2" s="20" t="s">
        <v>99</v>
      </c>
      <c r="I2" s="20" t="s">
        <v>100</v>
      </c>
      <c r="J2" s="20" t="s">
        <v>101</v>
      </c>
      <c r="K2" s="20" t="s">
        <v>102</v>
      </c>
      <c r="L2" s="20" t="s">
        <v>103</v>
      </c>
      <c r="M2" s="20" t="s">
        <v>8</v>
      </c>
      <c r="N2" s="20" t="s">
        <v>104</v>
      </c>
      <c r="O2" s="20" t="s">
        <v>105</v>
      </c>
      <c r="P2" s="20" t="s">
        <v>11</v>
      </c>
      <c r="Q2" s="21" t="s">
        <v>7</v>
      </c>
      <c r="R2" s="21" t="s">
        <v>106</v>
      </c>
      <c r="S2" s="20" t="s">
        <v>107</v>
      </c>
      <c r="T2" s="20" t="s">
        <v>12</v>
      </c>
      <c r="U2" s="20" t="s">
        <v>13</v>
      </c>
      <c r="V2" s="22" t="s">
        <v>108</v>
      </c>
      <c r="W2" s="20" t="s">
        <v>109</v>
      </c>
      <c r="X2" s="20" t="s">
        <v>110</v>
      </c>
      <c r="Y2" s="20" t="s">
        <v>111</v>
      </c>
      <c r="Z2" s="20" t="s">
        <v>112</v>
      </c>
      <c r="AA2" s="20" t="s">
        <v>113</v>
      </c>
      <c r="AB2" s="20" t="s">
        <v>114</v>
      </c>
      <c r="AC2" s="20" t="s">
        <v>120</v>
      </c>
      <c r="AD2" s="20" t="s">
        <v>121</v>
      </c>
      <c r="AE2" s="20" t="s">
        <v>122</v>
      </c>
      <c r="AF2" s="20" t="s">
        <v>123</v>
      </c>
      <c r="AG2" s="20" t="s">
        <v>124</v>
      </c>
      <c r="AH2" s="231" t="s">
        <v>125</v>
      </c>
      <c r="AI2" s="231" t="s">
        <v>126</v>
      </c>
      <c r="AJ2" s="231" t="s">
        <v>127</v>
      </c>
      <c r="AK2" s="231" t="s">
        <v>128</v>
      </c>
      <c r="AL2" s="231" t="s">
        <v>129</v>
      </c>
      <c r="AM2" s="231" t="s">
        <v>130</v>
      </c>
      <c r="AN2" s="231" t="s">
        <v>131</v>
      </c>
      <c r="AO2" s="231" t="s">
        <v>132</v>
      </c>
      <c r="AP2" s="231" t="s">
        <v>133</v>
      </c>
      <c r="AQ2" s="231" t="s">
        <v>134</v>
      </c>
      <c r="AR2" s="231" t="s">
        <v>135</v>
      </c>
      <c r="AS2" s="231" t="s">
        <v>136</v>
      </c>
      <c r="AT2" s="231" t="s">
        <v>137</v>
      </c>
      <c r="AU2" s="231" t="s">
        <v>138</v>
      </c>
      <c r="AV2" s="231" t="s">
        <v>3572</v>
      </c>
      <c r="AW2" s="231" t="s">
        <v>139</v>
      </c>
    </row>
    <row r="3" spans="1:49" ht="15.75" customHeight="1">
      <c r="A3" s="122" t="s">
        <v>3573</v>
      </c>
      <c r="B3" s="122" t="s">
        <v>3574</v>
      </c>
      <c r="C3" s="292">
        <v>11005560</v>
      </c>
      <c r="D3" s="9" t="s">
        <v>19</v>
      </c>
      <c r="E3" s="9" t="s">
        <v>20</v>
      </c>
      <c r="F3" s="293" t="s">
        <v>199</v>
      </c>
      <c r="G3" s="293" t="s">
        <v>3575</v>
      </c>
      <c r="H3" s="24" t="s">
        <v>152</v>
      </c>
      <c r="I3" s="24" t="s">
        <v>25</v>
      </c>
      <c r="J3" s="9" t="str">
        <f t="shared" ref="J3:J15" si="0">IF(Q3=0,"Não","Sim")</f>
        <v>Não</v>
      </c>
      <c r="K3" s="294">
        <v>45007</v>
      </c>
      <c r="L3" s="7"/>
      <c r="M3" s="125" t="s">
        <v>42</v>
      </c>
      <c r="N3" s="124">
        <v>1.2E-2</v>
      </c>
      <c r="O3" s="6" t="s">
        <v>25</v>
      </c>
      <c r="P3" s="11">
        <v>0</v>
      </c>
      <c r="Q3" s="167"/>
      <c r="R3" s="28"/>
      <c r="S3" s="7" t="s">
        <v>145</v>
      </c>
      <c r="T3" s="292" t="s">
        <v>3576</v>
      </c>
      <c r="U3" s="6" t="s">
        <v>20</v>
      </c>
      <c r="V3" s="295" t="e">
        <f t="shared" ref="V3:V15" ca="1" si="1">_xludf.IFS(H:H="Encerrado","Encerrado",COUNTBLANK(AH3:AS3)&gt;0,"Ativo",SUM(AH3:AS3)=0,"Inativo",SUM(AH3:AS3)&gt;0,"Ativo")</f>
        <v>#NAME?</v>
      </c>
      <c r="W3" s="7"/>
      <c r="X3" s="7"/>
      <c r="Y3" s="7" t="s">
        <v>253</v>
      </c>
      <c r="Z3" s="7"/>
      <c r="AA3" s="25">
        <v>45007</v>
      </c>
      <c r="AB3" s="7">
        <v>49075100014728</v>
      </c>
      <c r="AC3" s="110">
        <v>868190.39</v>
      </c>
      <c r="AD3" s="110">
        <v>3483945.75</v>
      </c>
      <c r="AE3" s="110">
        <v>1906831.93</v>
      </c>
      <c r="AF3" s="296">
        <v>1908117.71</v>
      </c>
      <c r="AG3" s="296">
        <v>1935545.71</v>
      </c>
      <c r="AH3" s="110">
        <v>1960342.01</v>
      </c>
      <c r="AI3" s="110">
        <v>1960342.01</v>
      </c>
      <c r="AJ3" s="110">
        <v>2176208.41</v>
      </c>
      <c r="AK3" s="110">
        <v>2192264.86</v>
      </c>
      <c r="AL3" s="110">
        <v>2199647.56</v>
      </c>
      <c r="AM3" s="110">
        <v>2414145.46</v>
      </c>
      <c r="AN3" s="110">
        <v>2430373.9700000002</v>
      </c>
      <c r="AO3" s="110">
        <v>2451622</v>
      </c>
      <c r="AP3" s="110">
        <v>2433506.3199999998</v>
      </c>
      <c r="AQ3" s="110">
        <v>2455318.98</v>
      </c>
      <c r="AR3" s="110">
        <v>2996978.63</v>
      </c>
      <c r="AS3" s="110">
        <v>3022738.93</v>
      </c>
      <c r="AT3" s="110">
        <v>3040066.07</v>
      </c>
      <c r="AU3" s="110">
        <v>3233433.45</v>
      </c>
      <c r="AV3" s="110">
        <v>3343931.54</v>
      </c>
      <c r="AW3" s="110" t="e">
        <f t="array" aca="1" ref="AW3" ca="1">_xludf.XLOOKUP(C3,'PL TOTAL D0'!K:K,'PL TOTAL D0'!L:L,"")</f>
        <v>#NAME?</v>
      </c>
    </row>
    <row r="4" spans="1:49" ht="25.5">
      <c r="A4" s="122" t="s">
        <v>3573</v>
      </c>
      <c r="B4" s="122" t="s">
        <v>3577</v>
      </c>
      <c r="C4" s="292">
        <v>10940590</v>
      </c>
      <c r="D4" s="293" t="s">
        <v>19</v>
      </c>
      <c r="E4" s="293" t="s">
        <v>20</v>
      </c>
      <c r="F4" s="293" t="s">
        <v>449</v>
      </c>
      <c r="G4" s="293" t="s">
        <v>3575</v>
      </c>
      <c r="H4" s="297" t="s">
        <v>152</v>
      </c>
      <c r="I4" s="24" t="s">
        <v>25</v>
      </c>
      <c r="J4" s="293" t="str">
        <f t="shared" si="0"/>
        <v>Sim</v>
      </c>
      <c r="K4" s="298">
        <v>45034</v>
      </c>
      <c r="L4" s="299"/>
      <c r="M4" s="300" t="s">
        <v>345</v>
      </c>
      <c r="N4" s="301">
        <v>0.02</v>
      </c>
      <c r="O4" s="292" t="s">
        <v>37</v>
      </c>
      <c r="P4" s="302">
        <v>0.2</v>
      </c>
      <c r="Q4" s="167" t="s">
        <v>3578</v>
      </c>
      <c r="R4" s="28"/>
      <c r="S4" s="7" t="s">
        <v>145</v>
      </c>
      <c r="T4" s="292" t="s">
        <v>3026</v>
      </c>
      <c r="U4" s="6" t="s">
        <v>20</v>
      </c>
      <c r="V4" s="295" t="e">
        <f t="shared" ca="1" si="1"/>
        <v>#NAME?</v>
      </c>
      <c r="W4" s="7"/>
      <c r="X4" s="7"/>
      <c r="Y4" s="7" t="s">
        <v>253</v>
      </c>
      <c r="Z4" s="7"/>
      <c r="AA4" s="25">
        <v>45034</v>
      </c>
      <c r="AB4" s="7">
        <v>49075100014752</v>
      </c>
      <c r="AC4" s="110">
        <v>0</v>
      </c>
      <c r="AD4" s="110">
        <v>546727.25</v>
      </c>
      <c r="AE4" s="110">
        <v>599473.92000000004</v>
      </c>
      <c r="AF4" s="296">
        <v>607825.55000000005</v>
      </c>
      <c r="AG4" s="296">
        <v>789504.54</v>
      </c>
      <c r="AH4" s="110">
        <v>738358.46</v>
      </c>
      <c r="AI4" s="110">
        <v>738358.46</v>
      </c>
      <c r="AJ4" s="110">
        <v>799452.14</v>
      </c>
      <c r="AK4" s="110">
        <v>863626.59</v>
      </c>
      <c r="AL4" s="110">
        <v>947228.39</v>
      </c>
      <c r="AM4" s="110">
        <v>898539.27</v>
      </c>
      <c r="AN4" s="110">
        <v>761428.71</v>
      </c>
      <c r="AO4" s="110">
        <v>648324.12</v>
      </c>
      <c r="AP4" s="110">
        <v>874068.82</v>
      </c>
      <c r="AQ4" s="110">
        <v>779748.26</v>
      </c>
      <c r="AR4" s="110">
        <v>779342.44</v>
      </c>
      <c r="AS4" s="110">
        <v>850329.2</v>
      </c>
      <c r="AT4" s="110">
        <v>825551.31</v>
      </c>
      <c r="AU4" s="110">
        <v>788325.22</v>
      </c>
      <c r="AV4" s="110">
        <v>776723.97</v>
      </c>
      <c r="AW4" s="110" t="e">
        <f t="array" aca="1" ref="AW4" ca="1">_xludf.XLOOKUP(C4,'PL TOTAL D0'!K:K,'PL TOTAL D0'!L:L,"")</f>
        <v>#NAME?</v>
      </c>
    </row>
    <row r="5" spans="1:49" ht="15.75" customHeight="1">
      <c r="A5" s="122" t="s">
        <v>3573</v>
      </c>
      <c r="B5" s="161" t="s">
        <v>3579</v>
      </c>
      <c r="C5" s="292" t="s">
        <v>3580</v>
      </c>
      <c r="D5" s="9" t="s">
        <v>19</v>
      </c>
      <c r="E5" s="9" t="s">
        <v>20</v>
      </c>
      <c r="F5" s="292" t="s">
        <v>19</v>
      </c>
      <c r="G5" s="293" t="s">
        <v>3575</v>
      </c>
      <c r="H5" s="24" t="s">
        <v>152</v>
      </c>
      <c r="I5" s="24" t="s">
        <v>25</v>
      </c>
      <c r="J5" s="9" t="str">
        <f t="shared" si="0"/>
        <v>Não</v>
      </c>
      <c r="K5" s="298">
        <v>44992</v>
      </c>
      <c r="L5" s="7"/>
      <c r="M5" s="300" t="s">
        <v>200</v>
      </c>
      <c r="N5" s="301">
        <v>1.4999999999999999E-2</v>
      </c>
      <c r="O5" s="6" t="s">
        <v>37</v>
      </c>
      <c r="P5" s="11">
        <v>0.1</v>
      </c>
      <c r="Q5" s="167"/>
      <c r="R5" s="28"/>
      <c r="S5" s="7" t="s">
        <v>187</v>
      </c>
      <c r="T5" s="293" t="s">
        <v>3581</v>
      </c>
      <c r="U5" s="6" t="s">
        <v>20</v>
      </c>
      <c r="V5" s="295" t="e">
        <f t="shared" ca="1" si="1"/>
        <v>#NAME?</v>
      </c>
      <c r="W5" s="7"/>
      <c r="X5" s="7"/>
      <c r="Y5" s="7" t="s">
        <v>253</v>
      </c>
      <c r="Z5" s="7"/>
      <c r="AA5" s="25">
        <v>44992</v>
      </c>
      <c r="AB5" s="7">
        <v>49075100014698</v>
      </c>
      <c r="AC5" s="110">
        <v>0</v>
      </c>
      <c r="AD5" s="110">
        <v>0</v>
      </c>
      <c r="AE5" s="110">
        <v>0</v>
      </c>
      <c r="AF5" s="296">
        <v>0</v>
      </c>
      <c r="AG5" s="296">
        <v>0</v>
      </c>
      <c r="AH5" s="110">
        <v>0</v>
      </c>
      <c r="AI5" s="110">
        <v>0</v>
      </c>
      <c r="AJ5" s="110">
        <v>0</v>
      </c>
      <c r="AK5" s="110">
        <v>0</v>
      </c>
      <c r="AL5" s="110">
        <v>0</v>
      </c>
      <c r="AM5" s="110">
        <v>0</v>
      </c>
      <c r="AN5" s="110">
        <v>0</v>
      </c>
      <c r="AO5" s="110">
        <v>0</v>
      </c>
      <c r="AP5" s="110">
        <v>0</v>
      </c>
      <c r="AQ5" s="110">
        <v>0</v>
      </c>
      <c r="AR5" s="110">
        <v>108786.93</v>
      </c>
      <c r="AS5" s="110">
        <v>75497.14</v>
      </c>
      <c r="AT5" s="110">
        <v>61256.14</v>
      </c>
      <c r="AU5" s="110">
        <v>50479.35</v>
      </c>
      <c r="AV5" s="110">
        <v>40950.050000000003</v>
      </c>
      <c r="AW5" s="110" t="e">
        <f t="array" aca="1" ref="AW5" ca="1">_xludf.XLOOKUP(C5,'PL TOTAL D0'!K:K,'PL TOTAL D0'!L:L,"")</f>
        <v>#NAME?</v>
      </c>
    </row>
    <row r="6" spans="1:49" ht="15.75" customHeight="1">
      <c r="A6" s="122" t="s">
        <v>3573</v>
      </c>
      <c r="B6" s="122" t="s">
        <v>3582</v>
      </c>
      <c r="C6" s="292">
        <v>10982276</v>
      </c>
      <c r="D6" s="9" t="s">
        <v>19</v>
      </c>
      <c r="E6" s="9" t="s">
        <v>20</v>
      </c>
      <c r="F6" s="293" t="s">
        <v>3583</v>
      </c>
      <c r="G6" s="293" t="s">
        <v>3575</v>
      </c>
      <c r="H6" s="24" t="s">
        <v>161</v>
      </c>
      <c r="I6" s="24" t="s">
        <v>162</v>
      </c>
      <c r="J6" s="9" t="str">
        <f t="shared" si="0"/>
        <v>Não</v>
      </c>
      <c r="K6" s="298">
        <v>45019</v>
      </c>
      <c r="L6" s="7"/>
      <c r="M6" s="125" t="s">
        <v>42</v>
      </c>
      <c r="N6" s="301">
        <v>1.2E-2</v>
      </c>
      <c r="O6" s="6" t="s">
        <v>25</v>
      </c>
      <c r="P6" s="11">
        <v>0</v>
      </c>
      <c r="Q6" s="167"/>
      <c r="R6" s="28"/>
      <c r="S6" s="7" t="s">
        <v>187</v>
      </c>
      <c r="T6" s="9" t="s">
        <v>1395</v>
      </c>
      <c r="U6" s="6" t="s">
        <v>46</v>
      </c>
      <c r="V6" s="295" t="e">
        <f t="shared" ca="1" si="1"/>
        <v>#NAME?</v>
      </c>
      <c r="W6" s="7"/>
      <c r="X6" s="7"/>
      <c r="Y6" s="7" t="s">
        <v>253</v>
      </c>
      <c r="Z6" s="7"/>
      <c r="AA6" s="25">
        <v>45019</v>
      </c>
      <c r="AB6" s="7">
        <v>49075100014736</v>
      </c>
      <c r="AC6" s="110">
        <v>0</v>
      </c>
      <c r="AD6" s="110">
        <v>11275231.16</v>
      </c>
      <c r="AE6" s="110">
        <v>11316351.199999999</v>
      </c>
      <c r="AF6" s="296">
        <v>11184641.74</v>
      </c>
      <c r="AG6" s="296">
        <v>11187314.18</v>
      </c>
      <c r="AH6" s="110">
        <v>11292226.02</v>
      </c>
      <c r="AI6" s="110">
        <v>11292226.02</v>
      </c>
      <c r="AJ6" s="110">
        <v>10639542.869999999</v>
      </c>
      <c r="AK6" s="110">
        <v>9894525.5899999999</v>
      </c>
      <c r="AL6" s="110">
        <v>9838685.4600000009</v>
      </c>
      <c r="AM6" s="110">
        <v>9590204.7400000002</v>
      </c>
      <c r="AN6" s="110">
        <v>0</v>
      </c>
      <c r="AO6" s="110">
        <v>0</v>
      </c>
      <c r="AP6" s="110">
        <v>0</v>
      </c>
      <c r="AQ6" s="110">
        <v>0</v>
      </c>
      <c r="AR6" s="110">
        <v>0</v>
      </c>
      <c r="AS6" s="110">
        <v>0</v>
      </c>
      <c r="AT6" s="110">
        <v>0</v>
      </c>
      <c r="AU6" s="110">
        <v>0</v>
      </c>
      <c r="AV6" s="110">
        <v>0</v>
      </c>
      <c r="AW6" s="110" t="e">
        <f t="array" aca="1" ref="AW6" ca="1">_xludf.XLOOKUP(C6,'PL TOTAL D0'!K:K,'PL TOTAL D0'!L:L,"")</f>
        <v>#NAME?</v>
      </c>
    </row>
    <row r="7" spans="1:49" ht="15.75" customHeight="1">
      <c r="A7" s="122" t="s">
        <v>3573</v>
      </c>
      <c r="B7" s="106" t="s">
        <v>1520</v>
      </c>
      <c r="C7" s="292" t="s">
        <v>3584</v>
      </c>
      <c r="D7" s="9" t="s">
        <v>19</v>
      </c>
      <c r="E7" s="9" t="s">
        <v>20</v>
      </c>
      <c r="F7" s="293" t="s">
        <v>449</v>
      </c>
      <c r="G7" s="293" t="s">
        <v>3575</v>
      </c>
      <c r="H7" s="24" t="s">
        <v>152</v>
      </c>
      <c r="I7" s="24" t="s">
        <v>25</v>
      </c>
      <c r="J7" s="9" t="str">
        <f t="shared" si="0"/>
        <v>Não</v>
      </c>
      <c r="K7" s="298">
        <v>45337</v>
      </c>
      <c r="L7" s="7"/>
      <c r="M7" s="300" t="s">
        <v>42</v>
      </c>
      <c r="N7" s="301">
        <v>1.2E-2</v>
      </c>
      <c r="O7" s="6" t="s">
        <v>25</v>
      </c>
      <c r="P7" s="11">
        <v>0</v>
      </c>
      <c r="Q7" s="167"/>
      <c r="R7" s="28"/>
      <c r="S7" s="7" t="s">
        <v>145</v>
      </c>
      <c r="T7" s="6" t="s">
        <v>1522</v>
      </c>
      <c r="U7" s="6" t="s">
        <v>46</v>
      </c>
      <c r="V7" s="295" t="e">
        <f t="shared" ca="1" si="1"/>
        <v>#NAME?</v>
      </c>
      <c r="W7" s="7"/>
      <c r="X7" s="7"/>
      <c r="Y7" s="7" t="s">
        <v>147</v>
      </c>
      <c r="Z7" s="7"/>
      <c r="AA7" s="25">
        <v>45337</v>
      </c>
      <c r="AB7" s="7">
        <v>49075100014817</v>
      </c>
      <c r="AC7" s="110"/>
      <c r="AD7" s="110"/>
      <c r="AE7" s="110"/>
      <c r="AF7" s="296"/>
      <c r="AG7" s="296"/>
      <c r="AH7" s="110"/>
      <c r="AI7" s="110"/>
      <c r="AJ7" s="110"/>
      <c r="AK7" s="110"/>
      <c r="AL7" s="110"/>
      <c r="AM7" s="110"/>
      <c r="AN7" s="110">
        <v>9485015.5399999991</v>
      </c>
      <c r="AO7" s="110">
        <v>9409147.7400000002</v>
      </c>
      <c r="AP7" s="110">
        <v>9357271.2699999996</v>
      </c>
      <c r="AQ7" s="110">
        <v>9353741.9399999995</v>
      </c>
      <c r="AR7" s="110">
        <v>9436856.2300000004</v>
      </c>
      <c r="AS7" s="110">
        <v>9518113.0800000001</v>
      </c>
      <c r="AT7" s="110">
        <v>10132994.09</v>
      </c>
      <c r="AU7" s="110">
        <v>9870325.1099999994</v>
      </c>
      <c r="AV7" s="110">
        <v>9822338.0500000007</v>
      </c>
      <c r="AW7" s="110" t="e">
        <f t="array" aca="1" ref="AW7" ca="1">_xludf.XLOOKUP(C7,'PL TOTAL D0'!K:K,'PL TOTAL D0'!L:L,"")</f>
        <v>#NAME?</v>
      </c>
    </row>
    <row r="8" spans="1:49" ht="15.75" customHeight="1">
      <c r="A8" s="122" t="s">
        <v>3573</v>
      </c>
      <c r="B8" s="161" t="s">
        <v>3585</v>
      </c>
      <c r="C8" s="292">
        <v>3844136</v>
      </c>
      <c r="D8" s="9" t="s">
        <v>19</v>
      </c>
      <c r="E8" s="9" t="s">
        <v>60</v>
      </c>
      <c r="F8" s="292" t="s">
        <v>661</v>
      </c>
      <c r="G8" s="293" t="s">
        <v>3575</v>
      </c>
      <c r="H8" s="24" t="s">
        <v>152</v>
      </c>
      <c r="I8" s="24" t="s">
        <v>25</v>
      </c>
      <c r="J8" s="9" t="str">
        <f t="shared" si="0"/>
        <v>Sim</v>
      </c>
      <c r="K8" s="298">
        <v>45022</v>
      </c>
      <c r="L8" s="7"/>
      <c r="M8" s="300" t="s">
        <v>200</v>
      </c>
      <c r="N8" s="301">
        <v>1.4999999999999999E-2</v>
      </c>
      <c r="O8" s="6" t="s">
        <v>37</v>
      </c>
      <c r="P8" s="11">
        <v>0.1</v>
      </c>
      <c r="Q8" s="167" t="s">
        <v>3586</v>
      </c>
      <c r="R8" s="28"/>
      <c r="S8" s="7" t="s">
        <v>145</v>
      </c>
      <c r="T8" s="293" t="s">
        <v>3587</v>
      </c>
      <c r="U8" s="6" t="s">
        <v>60</v>
      </c>
      <c r="V8" s="295" t="e">
        <f t="shared" ca="1" si="1"/>
        <v>#NAME?</v>
      </c>
      <c r="W8" s="7"/>
      <c r="X8" s="7"/>
      <c r="Y8" s="7" t="s">
        <v>253</v>
      </c>
      <c r="Z8" s="7"/>
      <c r="AA8" s="25">
        <v>45022</v>
      </c>
      <c r="AB8" s="7">
        <v>49075100014744</v>
      </c>
      <c r="AC8" s="110">
        <v>0</v>
      </c>
      <c r="AD8" s="110">
        <v>49186.720000000001</v>
      </c>
      <c r="AE8" s="110">
        <v>49605.11</v>
      </c>
      <c r="AF8" s="296">
        <v>48654.91</v>
      </c>
      <c r="AG8" s="296">
        <v>49282.48</v>
      </c>
      <c r="AH8" s="110">
        <v>49637.43</v>
      </c>
      <c r="AI8" s="110">
        <v>49637.43</v>
      </c>
      <c r="AJ8" s="110">
        <v>52206.93</v>
      </c>
      <c r="AK8" s="110">
        <v>53285.75</v>
      </c>
      <c r="AL8" s="110">
        <v>54409.29</v>
      </c>
      <c r="AM8" s="110">
        <v>53031.71</v>
      </c>
      <c r="AN8" s="110">
        <v>53591.9</v>
      </c>
      <c r="AO8" s="110">
        <v>51530.6</v>
      </c>
      <c r="AP8" s="110">
        <v>53104.57</v>
      </c>
      <c r="AQ8" s="110">
        <v>53023.21</v>
      </c>
      <c r="AR8" s="110">
        <v>54108.37</v>
      </c>
      <c r="AS8" s="110">
        <v>53837.04</v>
      </c>
      <c r="AT8" s="110">
        <v>54919.18</v>
      </c>
      <c r="AU8" s="110">
        <v>54533.94</v>
      </c>
      <c r="AV8" s="110">
        <v>54556.2</v>
      </c>
      <c r="AW8" s="110" t="e">
        <f t="array" aca="1" ref="AW8" ca="1">_xludf.XLOOKUP(C8,'PL TOTAL D0'!K:K,'PL TOTAL D0'!L:L,"")</f>
        <v>#NAME?</v>
      </c>
    </row>
    <row r="9" spans="1:49" ht="15.75" customHeight="1">
      <c r="A9" s="122" t="s">
        <v>3573</v>
      </c>
      <c r="B9" s="122" t="s">
        <v>1865</v>
      </c>
      <c r="C9" s="292">
        <v>10936630</v>
      </c>
      <c r="D9" s="9" t="s">
        <v>19</v>
      </c>
      <c r="E9" s="9" t="s">
        <v>20</v>
      </c>
      <c r="F9" s="293" t="s">
        <v>800</v>
      </c>
      <c r="G9" s="293" t="s">
        <v>3575</v>
      </c>
      <c r="H9" s="24" t="s">
        <v>161</v>
      </c>
      <c r="I9" s="24" t="s">
        <v>162</v>
      </c>
      <c r="J9" s="9" t="str">
        <f t="shared" si="0"/>
        <v>Não</v>
      </c>
      <c r="K9" s="298">
        <v>45034</v>
      </c>
      <c r="L9" s="7"/>
      <c r="M9" s="125" t="s">
        <v>42</v>
      </c>
      <c r="N9" s="301">
        <v>7.0000000000000001E-3</v>
      </c>
      <c r="O9" s="6" t="s">
        <v>25</v>
      </c>
      <c r="P9" s="11">
        <v>0</v>
      </c>
      <c r="Q9" s="167"/>
      <c r="R9" s="28"/>
      <c r="S9" s="7" t="s">
        <v>145</v>
      </c>
      <c r="T9" s="292" t="s">
        <v>1868</v>
      </c>
      <c r="U9" s="6" t="s">
        <v>20</v>
      </c>
      <c r="V9" s="295" t="e">
        <f t="shared" ca="1" si="1"/>
        <v>#NAME?</v>
      </c>
      <c r="W9" s="7"/>
      <c r="X9" s="7"/>
      <c r="Y9" s="7" t="s">
        <v>253</v>
      </c>
      <c r="Z9" s="7"/>
      <c r="AA9" s="25">
        <v>45034</v>
      </c>
      <c r="AB9" s="7">
        <v>49075100014787</v>
      </c>
      <c r="AC9" s="110">
        <v>0</v>
      </c>
      <c r="AD9" s="110">
        <v>0</v>
      </c>
      <c r="AE9" s="110">
        <v>644965.12</v>
      </c>
      <c r="AF9" s="296">
        <v>652129.16</v>
      </c>
      <c r="AG9" s="296">
        <v>658117.34</v>
      </c>
      <c r="AH9" s="110">
        <v>664387.5</v>
      </c>
      <c r="AI9" s="110">
        <v>664387.5</v>
      </c>
      <c r="AJ9" s="110">
        <v>0</v>
      </c>
      <c r="AK9" s="110">
        <v>0</v>
      </c>
      <c r="AL9" s="110">
        <v>0</v>
      </c>
      <c r="AM9" s="110">
        <v>0</v>
      </c>
      <c r="AN9" s="110">
        <v>0</v>
      </c>
      <c r="AO9" s="110">
        <v>0</v>
      </c>
      <c r="AP9" s="110">
        <v>0</v>
      </c>
      <c r="AQ9" s="110">
        <v>0</v>
      </c>
      <c r="AR9" s="110">
        <v>0</v>
      </c>
      <c r="AS9" s="110">
        <v>0</v>
      </c>
      <c r="AT9" s="110">
        <v>0</v>
      </c>
      <c r="AU9" s="110">
        <v>984.32</v>
      </c>
      <c r="AV9" s="110">
        <v>0</v>
      </c>
      <c r="AW9" s="110" t="e">
        <f t="array" aca="1" ref="AW9" ca="1">_xludf.XLOOKUP(C9,'PL TOTAL D0'!K:K,'PL TOTAL D0'!L:L,"")</f>
        <v>#NAME?</v>
      </c>
    </row>
    <row r="10" spans="1:49" ht="15.75" customHeight="1">
      <c r="A10" s="122" t="s">
        <v>3573</v>
      </c>
      <c r="B10" s="122" t="s">
        <v>1865</v>
      </c>
      <c r="C10" s="292">
        <v>10944986</v>
      </c>
      <c r="D10" s="9" t="s">
        <v>19</v>
      </c>
      <c r="E10" s="9" t="s">
        <v>20</v>
      </c>
      <c r="F10" s="293" t="s">
        <v>800</v>
      </c>
      <c r="G10" s="293" t="s">
        <v>3575</v>
      </c>
      <c r="H10" s="24" t="s">
        <v>161</v>
      </c>
      <c r="I10" s="24" t="s">
        <v>162</v>
      </c>
      <c r="J10" s="9" t="str">
        <f t="shared" si="0"/>
        <v>Não</v>
      </c>
      <c r="K10" s="298">
        <v>45000</v>
      </c>
      <c r="L10" s="7"/>
      <c r="M10" s="300" t="s">
        <v>87</v>
      </c>
      <c r="N10" s="301">
        <v>1.4999999999999999E-2</v>
      </c>
      <c r="O10" s="6" t="s">
        <v>25</v>
      </c>
      <c r="P10" s="11">
        <v>0</v>
      </c>
      <c r="Q10" s="167"/>
      <c r="R10" s="69" t="s">
        <v>3588</v>
      </c>
      <c r="S10" s="7" t="s">
        <v>145</v>
      </c>
      <c r="T10" s="292" t="s">
        <v>1868</v>
      </c>
      <c r="U10" s="6" t="s">
        <v>20</v>
      </c>
      <c r="V10" s="295" t="e">
        <f t="shared" ca="1" si="1"/>
        <v>#NAME?</v>
      </c>
      <c r="W10" s="7"/>
      <c r="X10" s="7"/>
      <c r="Y10" s="7" t="s">
        <v>253</v>
      </c>
      <c r="Z10" s="7"/>
      <c r="AA10" s="25">
        <v>45000</v>
      </c>
      <c r="AB10" s="7">
        <v>49075100014711</v>
      </c>
      <c r="AC10" s="110">
        <v>1461495.56</v>
      </c>
      <c r="AD10" s="110">
        <v>4576147.96</v>
      </c>
      <c r="AE10" s="110">
        <v>5238742.95</v>
      </c>
      <c r="AF10" s="296">
        <v>6535939.6200000001</v>
      </c>
      <c r="AG10" s="296">
        <v>6374183.5800000001</v>
      </c>
      <c r="AH10" s="110">
        <v>6619418.1100000003</v>
      </c>
      <c r="AI10" s="110">
        <v>6619418.1100000003</v>
      </c>
      <c r="AJ10" s="110">
        <v>5546929.1299999999</v>
      </c>
      <c r="AK10" s="110">
        <v>6012373.2400000002</v>
      </c>
      <c r="AL10" s="110">
        <v>6324709.0499999998</v>
      </c>
      <c r="AM10" s="110">
        <v>5894011.0499999998</v>
      </c>
      <c r="AN10" s="110">
        <v>0</v>
      </c>
      <c r="AO10" s="110">
        <v>0</v>
      </c>
      <c r="AP10" s="110">
        <v>0</v>
      </c>
      <c r="AQ10" s="110">
        <v>0</v>
      </c>
      <c r="AR10" s="110">
        <v>0</v>
      </c>
      <c r="AS10" s="110">
        <v>0</v>
      </c>
      <c r="AT10" s="110">
        <v>0</v>
      </c>
      <c r="AU10" s="110">
        <v>0</v>
      </c>
      <c r="AV10" s="110">
        <v>0</v>
      </c>
      <c r="AW10" s="110" t="e">
        <f t="array" aca="1" ref="AW10" ca="1">_xludf.XLOOKUP(C10,'PL TOTAL D0'!K:K,'PL TOTAL D0'!L:L,"")</f>
        <v>#NAME?</v>
      </c>
    </row>
    <row r="11" spans="1:49" ht="15.75" customHeight="1">
      <c r="A11" s="122" t="s">
        <v>3573</v>
      </c>
      <c r="B11" s="122" t="s">
        <v>3353</v>
      </c>
      <c r="C11" s="292">
        <v>11071318</v>
      </c>
      <c r="D11" s="9" t="s">
        <v>19</v>
      </c>
      <c r="E11" s="9" t="s">
        <v>20</v>
      </c>
      <c r="F11" s="293" t="s">
        <v>199</v>
      </c>
      <c r="G11" s="293" t="s">
        <v>3575</v>
      </c>
      <c r="H11" s="24" t="s">
        <v>152</v>
      </c>
      <c r="I11" s="24" t="s">
        <v>25</v>
      </c>
      <c r="J11" s="9" t="str">
        <f t="shared" si="0"/>
        <v>Não</v>
      </c>
      <c r="K11" s="298">
        <v>45218</v>
      </c>
      <c r="L11" s="7"/>
      <c r="M11" s="300" t="s">
        <v>58</v>
      </c>
      <c r="N11" s="301">
        <v>1.2E-2</v>
      </c>
      <c r="O11" s="6" t="s">
        <v>25</v>
      </c>
      <c r="P11" s="11">
        <v>0</v>
      </c>
      <c r="Q11" s="167"/>
      <c r="R11" s="69"/>
      <c r="S11" s="7" t="s">
        <v>145</v>
      </c>
      <c r="T11" s="292" t="s">
        <v>3354</v>
      </c>
      <c r="U11" s="6" t="s">
        <v>20</v>
      </c>
      <c r="V11" s="295" t="e">
        <f t="shared" ca="1" si="1"/>
        <v>#NAME?</v>
      </c>
      <c r="W11" s="7"/>
      <c r="X11" s="7"/>
      <c r="Y11" s="7" t="s">
        <v>253</v>
      </c>
      <c r="Z11" s="7"/>
      <c r="AA11" s="25">
        <v>45218</v>
      </c>
      <c r="AB11" s="7">
        <v>49075100014809</v>
      </c>
      <c r="AC11" s="110">
        <v>0</v>
      </c>
      <c r="AD11" s="110">
        <v>0</v>
      </c>
      <c r="AE11" s="110">
        <v>0</v>
      </c>
      <c r="AF11" s="296">
        <v>0</v>
      </c>
      <c r="AG11" s="296">
        <v>0</v>
      </c>
      <c r="AH11" s="110">
        <v>0</v>
      </c>
      <c r="AI11" s="110">
        <v>0</v>
      </c>
      <c r="AJ11" s="110">
        <v>199581.68</v>
      </c>
      <c r="AK11" s="110">
        <v>286308.63</v>
      </c>
      <c r="AL11" s="110">
        <v>341173.07</v>
      </c>
      <c r="AM11" s="110">
        <v>339524.4</v>
      </c>
      <c r="AN11" s="110">
        <v>351764.39</v>
      </c>
      <c r="AO11" s="110">
        <v>354294.16</v>
      </c>
      <c r="AP11" s="110">
        <v>352174.69</v>
      </c>
      <c r="AQ11" s="110">
        <v>346714.04</v>
      </c>
      <c r="AR11" s="110">
        <v>353876.67</v>
      </c>
      <c r="AS11" s="110">
        <v>314604.34000000003</v>
      </c>
      <c r="AT11" s="110">
        <v>359419.35</v>
      </c>
      <c r="AU11" s="110">
        <v>357975.07</v>
      </c>
      <c r="AV11" s="110">
        <v>360906.66</v>
      </c>
      <c r="AW11" s="110" t="e">
        <f t="array" aca="1" ref="AW11" ca="1">_xludf.XLOOKUP(C11,'PL TOTAL D0'!K:K,'PL TOTAL D0'!L:L,"")</f>
        <v>#NAME?</v>
      </c>
    </row>
    <row r="12" spans="1:49" ht="15.75" customHeight="1">
      <c r="A12" s="122" t="s">
        <v>3573</v>
      </c>
      <c r="B12" s="122" t="s">
        <v>1897</v>
      </c>
      <c r="C12" s="292" t="s">
        <v>3589</v>
      </c>
      <c r="D12" s="9" t="s">
        <v>19</v>
      </c>
      <c r="E12" s="9" t="s">
        <v>20</v>
      </c>
      <c r="F12" s="293" t="s">
        <v>21</v>
      </c>
      <c r="G12" s="293" t="s">
        <v>3575</v>
      </c>
      <c r="H12" s="24" t="s">
        <v>161</v>
      </c>
      <c r="I12" s="24" t="s">
        <v>162</v>
      </c>
      <c r="J12" s="9" t="str">
        <f t="shared" si="0"/>
        <v>Sim</v>
      </c>
      <c r="K12" s="298">
        <v>44994</v>
      </c>
      <c r="L12" s="7"/>
      <c r="M12" s="125" t="s">
        <v>42</v>
      </c>
      <c r="N12" s="301">
        <v>1.2E-2</v>
      </c>
      <c r="O12" s="6" t="s">
        <v>25</v>
      </c>
      <c r="P12" s="11">
        <v>0</v>
      </c>
      <c r="Q12" s="167" t="s">
        <v>3590</v>
      </c>
      <c r="R12" s="28"/>
      <c r="S12" s="7" t="s">
        <v>145</v>
      </c>
      <c r="T12" s="292" t="s">
        <v>1900</v>
      </c>
      <c r="U12" s="6" t="s">
        <v>20</v>
      </c>
      <c r="V12" s="295" t="e">
        <f t="shared" ca="1" si="1"/>
        <v>#NAME?</v>
      </c>
      <c r="W12" s="7"/>
      <c r="X12" s="7"/>
      <c r="Y12" s="7" t="s">
        <v>253</v>
      </c>
      <c r="Z12" s="7"/>
      <c r="AA12" s="25">
        <v>44994</v>
      </c>
      <c r="AB12" s="7">
        <v>49075100014701</v>
      </c>
      <c r="AC12" s="110">
        <v>0</v>
      </c>
      <c r="AD12" s="110">
        <v>89034.5</v>
      </c>
      <c r="AE12" s="110">
        <v>63466.98</v>
      </c>
      <c r="AF12" s="296">
        <v>64106.84</v>
      </c>
      <c r="AG12" s="296">
        <v>117004.67</v>
      </c>
      <c r="AH12" s="110">
        <v>0</v>
      </c>
      <c r="AI12" s="110">
        <v>0</v>
      </c>
      <c r="AJ12" s="110">
        <v>0</v>
      </c>
      <c r="AK12" s="110">
        <v>0</v>
      </c>
      <c r="AL12" s="110">
        <v>0</v>
      </c>
      <c r="AM12" s="110">
        <v>0</v>
      </c>
      <c r="AN12" s="110">
        <v>0</v>
      </c>
      <c r="AO12" s="110">
        <v>0</v>
      </c>
      <c r="AP12" s="110">
        <v>0</v>
      </c>
      <c r="AQ12" s="110">
        <v>0</v>
      </c>
      <c r="AR12" s="110">
        <v>0</v>
      </c>
      <c r="AS12" s="110">
        <v>0</v>
      </c>
      <c r="AT12" s="110">
        <v>0</v>
      </c>
      <c r="AU12" s="110">
        <v>0</v>
      </c>
      <c r="AV12" s="110">
        <v>0</v>
      </c>
      <c r="AW12" s="110" t="e">
        <f t="array" aca="1" ref="AW12" ca="1">_xludf.XLOOKUP(C12,'PL TOTAL D0'!K:K,'PL TOTAL D0'!L:L,"")</f>
        <v>#NAME?</v>
      </c>
    </row>
    <row r="13" spans="1:49" ht="15.75" customHeight="1">
      <c r="A13" s="122" t="s">
        <v>3573</v>
      </c>
      <c r="B13" s="122" t="s">
        <v>3414</v>
      </c>
      <c r="C13" s="292">
        <v>11026371</v>
      </c>
      <c r="D13" s="9" t="s">
        <v>19</v>
      </c>
      <c r="E13" s="9" t="s">
        <v>20</v>
      </c>
      <c r="F13" s="293" t="s">
        <v>800</v>
      </c>
      <c r="G13" s="293" t="s">
        <v>3575</v>
      </c>
      <c r="H13" s="24" t="s">
        <v>152</v>
      </c>
      <c r="I13" s="24" t="s">
        <v>25</v>
      </c>
      <c r="J13" s="9" t="str">
        <f t="shared" si="0"/>
        <v>Sim</v>
      </c>
      <c r="K13" s="298">
        <v>45034</v>
      </c>
      <c r="L13" s="25"/>
      <c r="M13" s="300" t="s">
        <v>200</v>
      </c>
      <c r="N13" s="301">
        <v>1.4999999999999999E-2</v>
      </c>
      <c r="O13" s="6" t="s">
        <v>37</v>
      </c>
      <c r="P13" s="11">
        <v>0.1</v>
      </c>
      <c r="Q13" s="167" t="s">
        <v>3591</v>
      </c>
      <c r="R13" s="303"/>
      <c r="S13" s="7" t="s">
        <v>145</v>
      </c>
      <c r="T13" s="292" t="s">
        <v>3416</v>
      </c>
      <c r="U13" s="6" t="s">
        <v>49</v>
      </c>
      <c r="V13" s="295" t="e">
        <f t="shared" ca="1" si="1"/>
        <v>#NAME?</v>
      </c>
      <c r="W13" s="7"/>
      <c r="X13" s="7"/>
      <c r="Y13" s="7" t="s">
        <v>253</v>
      </c>
      <c r="Z13" s="7"/>
      <c r="AA13" s="25">
        <v>45034</v>
      </c>
      <c r="AB13" s="7">
        <v>49075100014779</v>
      </c>
      <c r="AC13" s="110">
        <v>0</v>
      </c>
      <c r="AD13" s="110">
        <v>615914.71</v>
      </c>
      <c r="AE13" s="110">
        <v>889929.82</v>
      </c>
      <c r="AF13" s="296">
        <v>1101862.1399999999</v>
      </c>
      <c r="AG13" s="296">
        <v>1321354.8899999999</v>
      </c>
      <c r="AH13" s="110">
        <v>1513218.96</v>
      </c>
      <c r="AI13" s="110">
        <v>1513218.96</v>
      </c>
      <c r="AJ13" s="110">
        <v>1663065.8</v>
      </c>
      <c r="AK13" s="110">
        <v>1729871.97</v>
      </c>
      <c r="AL13" s="110">
        <v>1801117.42</v>
      </c>
      <c r="AM13" s="110">
        <v>1820821.24</v>
      </c>
      <c r="AN13" s="110">
        <v>1920257.67</v>
      </c>
      <c r="AO13" s="110">
        <v>1953987.43</v>
      </c>
      <c r="AP13" s="110">
        <v>1966087.2</v>
      </c>
      <c r="AQ13" s="110">
        <v>1998596.07</v>
      </c>
      <c r="AR13" s="110">
        <v>2054426.64</v>
      </c>
      <c r="AS13" s="110">
        <v>2377177.14</v>
      </c>
      <c r="AT13" s="110">
        <v>2452966.35</v>
      </c>
      <c r="AU13" s="110">
        <v>2491615.8199999998</v>
      </c>
      <c r="AV13" s="110">
        <v>2863045.88</v>
      </c>
      <c r="AW13" s="110" t="e">
        <f t="array" aca="1" ref="AW13" ca="1">_xludf.XLOOKUP(C13,'PL TOTAL D0'!K:K,'PL TOTAL D0'!L:L,"")</f>
        <v>#NAME?</v>
      </c>
    </row>
    <row r="14" spans="1:49" ht="15.75" customHeight="1">
      <c r="A14" s="122" t="s">
        <v>3573</v>
      </c>
      <c r="B14" s="161" t="s">
        <v>2587</v>
      </c>
      <c r="C14" s="292" t="s">
        <v>3592</v>
      </c>
      <c r="D14" s="9" t="s">
        <v>19</v>
      </c>
      <c r="E14" s="9" t="s">
        <v>20</v>
      </c>
      <c r="F14" s="293" t="s">
        <v>449</v>
      </c>
      <c r="G14" s="293" t="s">
        <v>3575</v>
      </c>
      <c r="H14" s="24" t="s">
        <v>152</v>
      </c>
      <c r="I14" s="24" t="s">
        <v>25</v>
      </c>
      <c r="J14" s="9" t="str">
        <f t="shared" si="0"/>
        <v>Não</v>
      </c>
      <c r="K14" s="298">
        <v>45140</v>
      </c>
      <c r="L14" s="25"/>
      <c r="M14" s="300" t="s">
        <v>200</v>
      </c>
      <c r="N14" s="301">
        <v>7.4999999999999997E-3</v>
      </c>
      <c r="O14" s="6" t="s">
        <v>37</v>
      </c>
      <c r="P14" s="11">
        <v>0.1</v>
      </c>
      <c r="Q14" s="167"/>
      <c r="R14" s="28"/>
      <c r="S14" s="7" t="s">
        <v>145</v>
      </c>
      <c r="T14" s="293" t="s">
        <v>2589</v>
      </c>
      <c r="U14" s="6" t="s">
        <v>20</v>
      </c>
      <c r="V14" s="295" t="e">
        <f t="shared" ca="1" si="1"/>
        <v>#NAME?</v>
      </c>
      <c r="W14" s="7"/>
      <c r="X14" s="7"/>
      <c r="Y14" s="7" t="s">
        <v>253</v>
      </c>
      <c r="Z14" s="7"/>
      <c r="AA14" s="25">
        <v>45140</v>
      </c>
      <c r="AB14" s="7">
        <v>49075100014795</v>
      </c>
      <c r="AC14" s="110">
        <v>0</v>
      </c>
      <c r="AD14" s="110">
        <v>0</v>
      </c>
      <c r="AE14" s="110">
        <v>0</v>
      </c>
      <c r="AF14" s="296">
        <v>0</v>
      </c>
      <c r="AG14" s="296">
        <v>0</v>
      </c>
      <c r="AH14" s="110">
        <v>263655.83</v>
      </c>
      <c r="AI14" s="110">
        <v>263655.83</v>
      </c>
      <c r="AJ14" s="110">
        <v>267440.57</v>
      </c>
      <c r="AK14" s="110">
        <v>268433.12</v>
      </c>
      <c r="AL14" s="110">
        <v>244659.18</v>
      </c>
      <c r="AM14" s="110">
        <v>694886.38</v>
      </c>
      <c r="AN14" s="110">
        <v>587497.11</v>
      </c>
      <c r="AO14" s="110">
        <v>590314.88</v>
      </c>
      <c r="AP14" s="110">
        <v>585690.14</v>
      </c>
      <c r="AQ14" s="110">
        <v>582657.73</v>
      </c>
      <c r="AR14" s="110">
        <v>483957.19</v>
      </c>
      <c r="AS14" s="110">
        <v>489890.83</v>
      </c>
      <c r="AT14" s="110">
        <v>495746.94</v>
      </c>
      <c r="AU14" s="110">
        <v>492042.04</v>
      </c>
      <c r="AV14" s="110">
        <v>490532.57</v>
      </c>
      <c r="AW14" s="110" t="e">
        <f t="array" aca="1" ref="AW14" ca="1">_xludf.XLOOKUP(C14,'PL TOTAL D0'!K:K,'PL TOTAL D0'!L:L,"")</f>
        <v>#NAME?</v>
      </c>
    </row>
    <row r="15" spans="1:49" ht="15.75" customHeight="1">
      <c r="A15" s="122" t="s">
        <v>3573</v>
      </c>
      <c r="B15" s="122" t="s">
        <v>3593</v>
      </c>
      <c r="C15" s="292" t="s">
        <v>3594</v>
      </c>
      <c r="D15" s="9" t="s">
        <v>19</v>
      </c>
      <c r="E15" s="9" t="s">
        <v>20</v>
      </c>
      <c r="F15" s="293" t="s">
        <v>2955</v>
      </c>
      <c r="G15" s="293" t="s">
        <v>3575</v>
      </c>
      <c r="H15" s="24" t="s">
        <v>152</v>
      </c>
      <c r="I15" s="24" t="s">
        <v>25</v>
      </c>
      <c r="J15" s="9" t="str">
        <f t="shared" si="0"/>
        <v>Sim</v>
      </c>
      <c r="K15" s="298">
        <v>45034</v>
      </c>
      <c r="L15" s="7"/>
      <c r="M15" s="300" t="s">
        <v>87</v>
      </c>
      <c r="N15" s="301">
        <v>2.5000000000000001E-2</v>
      </c>
      <c r="O15" s="6" t="s">
        <v>183</v>
      </c>
      <c r="P15" s="11">
        <v>0.2</v>
      </c>
      <c r="Q15" s="28" t="s">
        <v>3595</v>
      </c>
      <c r="R15" s="28"/>
      <c r="S15" s="7" t="s">
        <v>145</v>
      </c>
      <c r="T15" s="292" t="s">
        <v>3596</v>
      </c>
      <c r="U15" s="6" t="s">
        <v>886</v>
      </c>
      <c r="V15" s="295" t="e">
        <f t="shared" ca="1" si="1"/>
        <v>#NAME?</v>
      </c>
      <c r="W15" s="7"/>
      <c r="X15" s="7"/>
      <c r="Y15" s="7" t="s">
        <v>253</v>
      </c>
      <c r="Z15" s="7"/>
      <c r="AA15" s="25">
        <v>45034</v>
      </c>
      <c r="AB15" s="7">
        <v>49075100014760</v>
      </c>
      <c r="AC15" s="110">
        <v>0</v>
      </c>
      <c r="AD15" s="110">
        <v>99252.84</v>
      </c>
      <c r="AE15" s="110">
        <v>100131.37</v>
      </c>
      <c r="AF15" s="296">
        <v>62123.55</v>
      </c>
      <c r="AG15" s="296">
        <v>101584.21</v>
      </c>
      <c r="AH15" s="110">
        <v>119103.4</v>
      </c>
      <c r="AI15" s="110">
        <v>119103.4</v>
      </c>
      <c r="AJ15" s="110">
        <v>116763.74</v>
      </c>
      <c r="AK15" s="110">
        <v>114838.65</v>
      </c>
      <c r="AL15" s="110">
        <v>121019.09</v>
      </c>
      <c r="AM15" s="110">
        <v>112512.3</v>
      </c>
      <c r="AN15" s="110">
        <v>114201.06</v>
      </c>
      <c r="AO15" s="110">
        <v>113840.62</v>
      </c>
      <c r="AP15" s="110">
        <v>82997.16</v>
      </c>
      <c r="AQ15" s="110">
        <v>60426.14</v>
      </c>
      <c r="AR15" s="110">
        <v>40836.21</v>
      </c>
      <c r="AS15" s="110">
        <v>41374.68</v>
      </c>
      <c r="AT15" s="110">
        <v>319.63</v>
      </c>
      <c r="AU15" s="110">
        <v>28.2</v>
      </c>
      <c r="AV15" s="110">
        <v>0</v>
      </c>
      <c r="AW15" s="110" t="e">
        <f t="array" aca="1" ref="AW15" ca="1">_xludf.XLOOKUP(C15,'PL TOTAL D0'!K:K,'PL TOTAL D0'!L:L,"")</f>
        <v>#NAME?</v>
      </c>
    </row>
    <row r="16" spans="1:49" ht="15.75" customHeight="1">
      <c r="A16" s="304"/>
      <c r="B16" s="304"/>
      <c r="C16" s="305"/>
      <c r="D16" s="306"/>
      <c r="E16" s="306"/>
      <c r="F16" s="307"/>
      <c r="G16" s="307"/>
      <c r="H16" s="202"/>
      <c r="I16" s="202"/>
      <c r="J16" s="202"/>
      <c r="K16" s="308"/>
      <c r="L16" s="308"/>
      <c r="M16" s="307"/>
      <c r="N16" s="309"/>
      <c r="O16" s="309"/>
      <c r="P16" s="310"/>
      <c r="Q16" s="311"/>
      <c r="R16" s="311"/>
      <c r="S16" s="307"/>
      <c r="T16" s="304"/>
      <c r="U16" s="307"/>
      <c r="V16" s="307"/>
      <c r="W16" s="308"/>
      <c r="X16" s="308"/>
      <c r="Y16" s="308"/>
      <c r="Z16" s="308"/>
      <c r="AA16" s="308"/>
      <c r="AB16" s="308"/>
      <c r="AC16" s="208"/>
      <c r="AD16" s="208"/>
      <c r="AE16" s="208"/>
      <c r="AF16" s="208"/>
      <c r="AG16" s="208"/>
      <c r="AH16" s="208"/>
      <c r="AI16" s="208"/>
      <c r="AJ16" s="208"/>
      <c r="AK16" s="208"/>
      <c r="AL16" s="208"/>
      <c r="AM16" s="208"/>
      <c r="AN16" s="208"/>
      <c r="AO16" s="208"/>
      <c r="AP16" s="208"/>
      <c r="AQ16" s="208"/>
      <c r="AR16" s="208"/>
      <c r="AS16" s="208"/>
      <c r="AT16" s="208"/>
      <c r="AU16" s="208"/>
      <c r="AV16" s="208"/>
      <c r="AW16" s="208"/>
    </row>
    <row r="17" spans="1:49" ht="15.75" customHeight="1">
      <c r="A17" s="312"/>
      <c r="B17" s="313" t="s">
        <v>2878</v>
      </c>
      <c r="C17" s="314">
        <f>COUNTIF(H:H,"Ativo")</f>
        <v>9</v>
      </c>
      <c r="D17" s="307"/>
      <c r="E17" s="307"/>
      <c r="F17" s="307"/>
      <c r="G17" s="307"/>
      <c r="H17" s="307"/>
      <c r="I17" s="307"/>
      <c r="J17" s="307"/>
      <c r="K17" s="308"/>
      <c r="L17" s="308"/>
      <c r="M17" s="307"/>
      <c r="N17" s="309"/>
      <c r="O17" s="309"/>
      <c r="P17" s="310"/>
      <c r="Q17" s="311"/>
      <c r="R17" s="311"/>
      <c r="S17" s="307"/>
      <c r="T17" s="315"/>
      <c r="U17" s="307"/>
      <c r="V17" s="307"/>
      <c r="W17" s="308"/>
      <c r="X17" s="308"/>
      <c r="Y17" s="308"/>
      <c r="Z17" s="308"/>
      <c r="AA17" s="308"/>
      <c r="AB17" s="308"/>
      <c r="AC17" s="213">
        <f t="shared" ref="AC17:AE17" si="2">SUM(AC4:AC16)</f>
        <v>1461495.56</v>
      </c>
      <c r="AD17" s="213">
        <f t="shared" si="2"/>
        <v>17251495.140000001</v>
      </c>
      <c r="AE17" s="213">
        <f t="shared" si="2"/>
        <v>18902666.469999999</v>
      </c>
      <c r="AF17" s="213">
        <f t="shared" ref="AF17:AW17" si="3">SUM(AF3:AF16)</f>
        <v>22165401.220000003</v>
      </c>
      <c r="AG17" s="213">
        <f t="shared" si="3"/>
        <v>22533891.600000001</v>
      </c>
      <c r="AH17" s="213">
        <f t="shared" si="3"/>
        <v>23220347.719999995</v>
      </c>
      <c r="AI17" s="213">
        <f t="shared" si="3"/>
        <v>23220347.719999995</v>
      </c>
      <c r="AJ17" s="213">
        <f t="shared" si="3"/>
        <v>21461191.27</v>
      </c>
      <c r="AK17" s="213">
        <f t="shared" si="3"/>
        <v>21415528.399999999</v>
      </c>
      <c r="AL17" s="213">
        <f t="shared" si="3"/>
        <v>21872648.510000002</v>
      </c>
      <c r="AM17" s="213">
        <f t="shared" si="3"/>
        <v>21817676.549999997</v>
      </c>
      <c r="AN17" s="213">
        <f t="shared" si="3"/>
        <v>15704130.35</v>
      </c>
      <c r="AO17" s="213">
        <f t="shared" si="3"/>
        <v>15573061.549999999</v>
      </c>
      <c r="AP17" s="213">
        <f t="shared" si="3"/>
        <v>15704900.17</v>
      </c>
      <c r="AQ17" s="213">
        <f t="shared" si="3"/>
        <v>15630226.370000001</v>
      </c>
      <c r="AR17" s="213">
        <f t="shared" si="3"/>
        <v>16309169.310000001</v>
      </c>
      <c r="AS17" s="213">
        <f t="shared" si="3"/>
        <v>16743562.379999999</v>
      </c>
      <c r="AT17" s="213">
        <f t="shared" si="3"/>
        <v>17423239.059999999</v>
      </c>
      <c r="AU17" s="213">
        <f t="shared" si="3"/>
        <v>17339742.519999996</v>
      </c>
      <c r="AV17" s="213">
        <f t="shared" si="3"/>
        <v>17752984.919999998</v>
      </c>
      <c r="AW17" s="213" t="e">
        <f t="shared" ca="1" si="3"/>
        <v>#NAME?</v>
      </c>
    </row>
    <row r="18" spans="1:49" ht="15.75" customHeight="1">
      <c r="A18" s="316"/>
      <c r="B18" s="317" t="s">
        <v>2879</v>
      </c>
      <c r="C18" s="318">
        <f>COUNTIF(H:H,"Inativo")</f>
        <v>4</v>
      </c>
      <c r="D18" s="319"/>
      <c r="E18" s="319"/>
      <c r="F18" s="319"/>
      <c r="G18" s="319"/>
      <c r="H18" s="306"/>
      <c r="I18" s="306"/>
      <c r="J18" s="306"/>
      <c r="K18" s="320"/>
      <c r="L18" s="321"/>
      <c r="M18" s="306"/>
      <c r="N18" s="309"/>
      <c r="O18" s="309"/>
      <c r="P18" s="310"/>
      <c r="Q18" s="311"/>
      <c r="R18" s="311"/>
      <c r="S18" s="307"/>
      <c r="T18" s="315"/>
      <c r="U18" s="307"/>
      <c r="V18" s="307"/>
      <c r="W18" s="321"/>
      <c r="X18" s="321"/>
      <c r="Y18" s="321"/>
      <c r="Z18" s="321"/>
      <c r="AA18" s="321"/>
      <c r="AB18" s="321"/>
      <c r="AC18" s="208"/>
      <c r="AD18" s="208"/>
      <c r="AE18" s="208"/>
      <c r="AF18" s="208"/>
      <c r="AG18" s="208"/>
      <c r="AH18" s="208"/>
      <c r="AI18" s="208"/>
      <c r="AJ18" s="208"/>
      <c r="AK18" s="208"/>
      <c r="AL18" s="208"/>
      <c r="AM18" s="208"/>
      <c r="AN18" s="208"/>
      <c r="AO18" s="208"/>
      <c r="AP18" s="208"/>
      <c r="AQ18" s="208"/>
      <c r="AR18" s="208"/>
      <c r="AS18" s="208"/>
      <c r="AT18" s="208"/>
      <c r="AU18" s="208"/>
      <c r="AV18" s="208"/>
      <c r="AW18" s="208"/>
    </row>
    <row r="19" spans="1:49" ht="15.75" customHeight="1">
      <c r="A19" s="316"/>
      <c r="B19" s="317" t="s">
        <v>2880</v>
      </c>
      <c r="C19" s="318">
        <f>COUNTIF(H:H,"Encerrado")</f>
        <v>0</v>
      </c>
      <c r="D19" s="319"/>
      <c r="E19" s="319"/>
      <c r="F19" s="319"/>
      <c r="G19" s="319"/>
      <c r="H19" s="306"/>
      <c r="I19" s="306"/>
      <c r="J19" s="306"/>
      <c r="K19" s="322"/>
      <c r="L19" s="321"/>
      <c r="M19" s="306"/>
      <c r="N19" s="309"/>
      <c r="O19" s="309"/>
      <c r="P19" s="310"/>
      <c r="Q19" s="311"/>
      <c r="R19" s="311"/>
      <c r="S19" s="307"/>
      <c r="T19" s="315"/>
      <c r="U19" s="307"/>
      <c r="V19" s="307"/>
      <c r="W19" s="321"/>
      <c r="X19" s="321"/>
      <c r="Y19" s="321"/>
      <c r="Z19" s="321"/>
      <c r="AA19" s="321"/>
      <c r="AB19" s="321"/>
      <c r="AC19" s="208"/>
      <c r="AD19" s="208"/>
      <c r="AE19" s="208"/>
      <c r="AF19" s="208"/>
      <c r="AG19" s="208"/>
      <c r="AH19" s="208"/>
      <c r="AI19" s="208"/>
      <c r="AJ19" s="208"/>
      <c r="AK19" s="208"/>
      <c r="AL19" s="208"/>
      <c r="AM19" s="208"/>
      <c r="AN19" s="208"/>
      <c r="AO19" s="208"/>
      <c r="AP19" s="208"/>
      <c r="AQ19" s="208"/>
      <c r="AR19" s="323"/>
      <c r="AS19" s="208"/>
      <c r="AT19" s="208"/>
      <c r="AU19" s="208"/>
      <c r="AV19" s="208"/>
      <c r="AW19" s="208"/>
    </row>
    <row r="20" spans="1:49" ht="15.75" customHeight="1">
      <c r="A20" s="324"/>
      <c r="B20" s="325" t="s">
        <v>2881</v>
      </c>
      <c r="C20" s="326">
        <f>COUNTIF(H:H,"Pode Operar")</f>
        <v>0</v>
      </c>
      <c r="D20" s="319"/>
      <c r="E20" s="319"/>
      <c r="F20" s="319"/>
      <c r="G20" s="319"/>
      <c r="H20" s="306"/>
      <c r="I20" s="306"/>
      <c r="J20" s="306"/>
      <c r="K20" s="320"/>
      <c r="L20" s="321"/>
      <c r="M20" s="306"/>
      <c r="N20" s="309"/>
      <c r="O20" s="309"/>
      <c r="P20" s="310"/>
      <c r="Q20" s="311"/>
      <c r="R20" s="311"/>
      <c r="S20" s="307"/>
      <c r="T20" s="315"/>
      <c r="U20" s="307"/>
      <c r="V20" s="307"/>
      <c r="W20" s="321"/>
      <c r="X20" s="321"/>
      <c r="Y20" s="321"/>
      <c r="Z20" s="321"/>
      <c r="AA20" s="321"/>
      <c r="AB20" s="321"/>
      <c r="AC20" s="208"/>
      <c r="AD20" s="208"/>
      <c r="AE20" s="208"/>
      <c r="AF20" s="208"/>
      <c r="AG20" s="208"/>
      <c r="AH20" s="208"/>
      <c r="AI20" s="208"/>
      <c r="AJ20" s="208"/>
      <c r="AK20" s="208"/>
      <c r="AL20" s="208"/>
      <c r="AM20" s="208"/>
      <c r="AN20" s="208"/>
      <c r="AO20" s="208"/>
      <c r="AP20" s="208"/>
      <c r="AQ20" s="208"/>
      <c r="AR20" s="208"/>
      <c r="AS20" s="208"/>
      <c r="AT20" s="208"/>
      <c r="AU20" s="208"/>
      <c r="AV20" s="208"/>
      <c r="AW20" s="208"/>
    </row>
    <row r="21" spans="1:49" ht="15.75" customHeight="1">
      <c r="A21" s="327"/>
      <c r="B21" s="327"/>
      <c r="C21" s="328"/>
      <c r="D21" s="319"/>
      <c r="E21" s="319"/>
      <c r="F21" s="329"/>
      <c r="G21" s="329"/>
      <c r="H21" s="306"/>
      <c r="I21" s="306"/>
      <c r="J21" s="306"/>
      <c r="K21" s="320"/>
      <c r="L21" s="308"/>
      <c r="M21" s="307"/>
      <c r="N21" s="309"/>
      <c r="O21" s="309"/>
      <c r="P21" s="310"/>
      <c r="Q21" s="311"/>
      <c r="R21" s="311"/>
      <c r="S21" s="307"/>
      <c r="T21" s="327"/>
      <c r="U21" s="307"/>
      <c r="V21" s="307"/>
      <c r="W21" s="308"/>
      <c r="X21" s="308"/>
      <c r="Y21" s="308"/>
      <c r="Z21" s="308"/>
      <c r="AA21" s="308"/>
      <c r="AB21" s="308"/>
      <c r="AC21" s="208"/>
      <c r="AD21" s="208"/>
      <c r="AE21" s="208"/>
      <c r="AF21" s="208"/>
      <c r="AG21" s="208"/>
      <c r="AH21" s="208"/>
      <c r="AI21" s="208"/>
      <c r="AJ21" s="208"/>
      <c r="AK21" s="208"/>
      <c r="AL21" s="208"/>
      <c r="AM21" s="208"/>
      <c r="AN21" s="208"/>
      <c r="AO21" s="208"/>
      <c r="AP21" s="208"/>
      <c r="AQ21" s="208"/>
      <c r="AR21" s="208"/>
      <c r="AS21" s="208"/>
      <c r="AT21" s="208"/>
      <c r="AU21" s="208"/>
      <c r="AV21" s="208"/>
      <c r="AW21" s="208"/>
    </row>
    <row r="22" spans="1:49" ht="15.75" customHeight="1">
      <c r="A22" s="304"/>
      <c r="B22" s="304"/>
      <c r="C22" s="328"/>
      <c r="D22" s="319"/>
      <c r="E22" s="319"/>
      <c r="F22" s="319"/>
      <c r="G22" s="319"/>
      <c r="H22" s="306"/>
      <c r="I22" s="306"/>
      <c r="J22" s="306"/>
      <c r="K22" s="320"/>
      <c r="L22" s="308"/>
      <c r="M22" s="307"/>
      <c r="N22" s="309"/>
      <c r="O22" s="309"/>
      <c r="P22" s="310"/>
      <c r="Q22" s="311"/>
      <c r="R22" s="311"/>
      <c r="S22" s="307"/>
      <c r="T22" s="304"/>
      <c r="U22" s="307"/>
      <c r="V22" s="307"/>
      <c r="W22" s="308"/>
      <c r="X22" s="308"/>
      <c r="Y22" s="308"/>
      <c r="Z22" s="308"/>
      <c r="AA22" s="308"/>
      <c r="AB22" s="308"/>
      <c r="AC22" s="208"/>
      <c r="AD22" s="208"/>
      <c r="AE22" s="208"/>
      <c r="AF22" s="208"/>
      <c r="AG22" s="208"/>
      <c r="AH22" s="208"/>
      <c r="AI22" s="208"/>
      <c r="AJ22" s="208"/>
      <c r="AK22" s="208"/>
      <c r="AL22" s="208"/>
      <c r="AM22" s="208"/>
      <c r="AN22" s="208"/>
      <c r="AO22" s="208"/>
      <c r="AP22" s="208"/>
      <c r="AQ22" s="208"/>
      <c r="AR22" s="208"/>
      <c r="AS22" s="208"/>
      <c r="AT22" s="208"/>
      <c r="AU22" s="208"/>
      <c r="AV22" s="208"/>
      <c r="AW22" s="208"/>
    </row>
    <row r="23" spans="1:49" ht="15.75" customHeight="1">
      <c r="A23" s="327"/>
      <c r="B23" s="327"/>
      <c r="C23" s="328"/>
      <c r="D23" s="319"/>
      <c r="E23" s="319"/>
      <c r="F23" s="319"/>
      <c r="G23" s="319"/>
      <c r="H23" s="306"/>
      <c r="I23" s="306"/>
      <c r="J23" s="306"/>
      <c r="K23" s="320"/>
      <c r="L23" s="321"/>
      <c r="M23" s="306"/>
      <c r="N23" s="309"/>
      <c r="O23" s="309"/>
      <c r="P23" s="310"/>
      <c r="Q23" s="311"/>
      <c r="R23" s="311"/>
      <c r="S23" s="307"/>
      <c r="T23" s="327"/>
      <c r="U23" s="307"/>
      <c r="V23" s="307"/>
      <c r="W23" s="321"/>
      <c r="X23" s="321"/>
      <c r="Y23" s="321"/>
      <c r="Z23" s="321"/>
      <c r="AA23" s="321"/>
      <c r="AB23" s="321"/>
      <c r="AC23" s="208"/>
      <c r="AD23" s="208"/>
      <c r="AE23" s="208"/>
      <c r="AF23" s="208"/>
      <c r="AG23" s="208"/>
      <c r="AH23" s="208"/>
      <c r="AI23" s="208"/>
      <c r="AJ23" s="208"/>
      <c r="AK23" s="208"/>
      <c r="AL23" s="208"/>
      <c r="AM23" s="208"/>
      <c r="AN23" s="208"/>
      <c r="AO23" s="208"/>
      <c r="AP23" s="208"/>
      <c r="AQ23" s="208"/>
      <c r="AR23" s="208"/>
      <c r="AS23" s="208"/>
      <c r="AT23" s="208"/>
      <c r="AU23" s="208"/>
      <c r="AV23" s="208"/>
      <c r="AW23" s="208"/>
    </row>
    <row r="24" spans="1:49" ht="15.75" customHeight="1">
      <c r="A24" s="327"/>
      <c r="B24" s="327"/>
      <c r="C24" s="328"/>
      <c r="D24" s="319"/>
      <c r="E24" s="319"/>
      <c r="F24" s="319"/>
      <c r="G24" s="319"/>
      <c r="H24" s="306"/>
      <c r="I24" s="306"/>
      <c r="J24" s="306"/>
      <c r="K24" s="320"/>
      <c r="L24" s="308"/>
      <c r="M24" s="307"/>
      <c r="N24" s="309"/>
      <c r="O24" s="309"/>
      <c r="P24" s="310"/>
      <c r="Q24" s="311"/>
      <c r="R24" s="311"/>
      <c r="S24" s="307"/>
      <c r="T24" s="327"/>
      <c r="U24" s="307"/>
      <c r="V24" s="307"/>
      <c r="W24" s="308"/>
      <c r="X24" s="308"/>
      <c r="Y24" s="308"/>
      <c r="Z24" s="308"/>
      <c r="AA24" s="308"/>
      <c r="AB24" s="308"/>
      <c r="AC24" s="208"/>
      <c r="AD24" s="208"/>
      <c r="AE24" s="208"/>
      <c r="AF24" s="208"/>
      <c r="AG24" s="208"/>
      <c r="AH24" s="208"/>
      <c r="AI24" s="208"/>
      <c r="AJ24" s="208"/>
      <c r="AK24" s="208"/>
      <c r="AL24" s="208"/>
      <c r="AM24" s="208"/>
      <c r="AN24" s="208"/>
      <c r="AO24" s="208"/>
      <c r="AP24" s="208"/>
      <c r="AQ24" s="208"/>
      <c r="AR24" s="208"/>
      <c r="AS24" s="208"/>
      <c r="AT24" s="208"/>
      <c r="AU24" s="208"/>
      <c r="AV24" s="208"/>
      <c r="AW24" s="208"/>
    </row>
    <row r="25" spans="1:49" ht="15.75" customHeight="1">
      <c r="A25" s="327"/>
      <c r="B25" s="327"/>
      <c r="C25" s="328"/>
      <c r="D25" s="319"/>
      <c r="E25" s="319"/>
      <c r="F25" s="319"/>
      <c r="G25" s="319"/>
      <c r="H25" s="306"/>
      <c r="I25" s="306"/>
      <c r="J25" s="306"/>
      <c r="K25" s="320"/>
      <c r="L25" s="321"/>
      <c r="M25" s="306"/>
      <c r="N25" s="309"/>
      <c r="O25" s="309"/>
      <c r="P25" s="310"/>
      <c r="Q25" s="311"/>
      <c r="R25" s="311"/>
      <c r="S25" s="307"/>
      <c r="T25" s="327"/>
      <c r="U25" s="307"/>
      <c r="V25" s="307"/>
      <c r="W25" s="321"/>
      <c r="X25" s="321"/>
      <c r="Y25" s="321"/>
      <c r="Z25" s="321"/>
      <c r="AA25" s="321"/>
      <c r="AB25" s="321"/>
      <c r="AC25" s="208"/>
      <c r="AD25" s="208"/>
      <c r="AE25" s="208"/>
      <c r="AF25" s="208"/>
      <c r="AG25" s="208"/>
      <c r="AH25" s="208"/>
      <c r="AI25" s="208"/>
      <c r="AJ25" s="208"/>
      <c r="AK25" s="208"/>
      <c r="AL25" s="208"/>
      <c r="AM25" s="208"/>
      <c r="AN25" s="208"/>
      <c r="AO25" s="208"/>
      <c r="AP25" s="208"/>
      <c r="AQ25" s="208"/>
      <c r="AR25" s="208"/>
      <c r="AS25" s="208"/>
      <c r="AT25" s="208"/>
      <c r="AU25" s="208"/>
      <c r="AV25" s="208"/>
      <c r="AW25" s="208"/>
    </row>
    <row r="26" spans="1:49" ht="15.75" customHeight="1">
      <c r="A26" s="327"/>
      <c r="B26" s="327"/>
      <c r="C26" s="328"/>
      <c r="D26" s="319"/>
      <c r="E26" s="319"/>
      <c r="F26" s="319"/>
      <c r="G26" s="319"/>
      <c r="H26" s="306"/>
      <c r="I26" s="306"/>
      <c r="J26" s="306"/>
      <c r="K26" s="320"/>
      <c r="L26" s="308"/>
      <c r="M26" s="307"/>
      <c r="N26" s="309"/>
      <c r="O26" s="309"/>
      <c r="P26" s="310"/>
      <c r="Q26" s="311"/>
      <c r="R26" s="311"/>
      <c r="S26" s="307"/>
      <c r="T26" s="327"/>
      <c r="U26" s="307"/>
      <c r="V26" s="307"/>
      <c r="W26" s="308"/>
      <c r="X26" s="308"/>
      <c r="Y26" s="308"/>
      <c r="Z26" s="308"/>
      <c r="AA26" s="308"/>
      <c r="AB26" s="308"/>
      <c r="AC26" s="208"/>
      <c r="AD26" s="208"/>
      <c r="AE26" s="208"/>
      <c r="AF26" s="208"/>
      <c r="AG26" s="208"/>
      <c r="AH26" s="208"/>
      <c r="AI26" s="208"/>
      <c r="AJ26" s="208"/>
      <c r="AK26" s="208"/>
      <c r="AL26" s="208"/>
      <c r="AM26" s="208"/>
      <c r="AN26" s="208"/>
      <c r="AO26" s="208"/>
      <c r="AP26" s="208"/>
      <c r="AQ26" s="208"/>
      <c r="AR26" s="208"/>
      <c r="AS26" s="208"/>
      <c r="AT26" s="208"/>
      <c r="AU26" s="208"/>
      <c r="AV26" s="208"/>
      <c r="AW26" s="208"/>
    </row>
  </sheetData>
  <customSheetViews>
    <customSheetView guid="{4AA370D1-9D82-4650-94D1-B899FD1CF272}" filter="1" showAutoFilter="1">
      <pageMargins left="0.511811024" right="0.511811024" top="0.78740157499999996" bottom="0.78740157499999996" header="0.31496062000000002" footer="0.31496062000000002"/>
      <autoFilter ref="Q2:Q26" xr:uid="{1DA8E784-8083-428A-A3FC-69E60D8DAA37}">
        <filterColumn colId="0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8E51D859-3307-453C-A3E9-A6A335A21F47}" filter="1" showAutoFilter="1">
      <pageMargins left="0.511811024" right="0.511811024" top="0.78740157499999996" bottom="0.78740157499999996" header="0.31496062000000002" footer="0.31496062000000002"/>
      <autoFilter ref="K2:K26" xr:uid="{2FA002F6-D8BF-4BE9-8907-6137BAC8B56C}"/>
    </customSheetView>
    <customSheetView guid="{31BAD605-5612-4733-8F02-7FA30239EFFB}" filter="1" showAutoFilter="1">
      <pageMargins left="0.511811024" right="0.511811024" top="0.78740157499999996" bottom="0.78740157499999996" header="0.31496062000000002" footer="0.31496062000000002"/>
      <autoFilter ref="B2:AH15" xr:uid="{BE2D2E3F-EBA3-4E35-AA7C-E5B688C8418D}"/>
    </customSheetView>
    <customSheetView guid="{1690DE4E-F726-4612-9469-601C6561985D}" filter="1" showAutoFilter="1">
      <pageMargins left="0.511811024" right="0.511811024" top="0.78740157499999996" bottom="0.78740157499999996" header="0.31496062000000002" footer="0.31496062000000002"/>
      <autoFilter ref="K2:K26" xr:uid="{E185AF93-B71D-417C-88FF-6E2A40176499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4DC4A6A4-A2D6-4D5D-9D2E-378E1B8AB498}" filter="1" showAutoFilter="1">
      <pageMargins left="0.511811024" right="0.511811024" top="0.78740157499999996" bottom="0.78740157499999996" header="0.31496062000000002" footer="0.31496062000000002"/>
      <autoFilter ref="B2:AF16" xr:uid="{610D06F8-7593-4263-9A32-01FA98B1D1BD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F599E123-4B2C-4FC2-8B97-2E165BA8D0FE}" filter="1" showAutoFilter="1">
      <pageMargins left="0.511811024" right="0.511811024" top="0.78740157499999996" bottom="0.78740157499999996" header="0.31496062000000002" footer="0.31496062000000002"/>
      <autoFilter ref="B2:Q15" xr:uid="{696381C7-B985-4394-A2ED-2280632A233C}">
        <filterColumn colId="13">
          <filters>
            <filter val="IBOVESPA"/>
          </filters>
        </filterColumn>
      </autoFilter>
    </customSheetView>
    <customSheetView guid="{943B28B3-08AB-4F9A-A682-3601EDDE8855}" filter="1" showAutoFilter="1">
      <pageMargins left="0.511811024" right="0.511811024" top="0.78740157499999996" bottom="0.78740157499999996" header="0.31496062000000002" footer="0.31496062000000002"/>
      <autoFilter ref="B2:AF16" xr:uid="{CFAFBCDC-B8CB-4B47-BAF4-1B1BE0555B3D}"/>
    </customSheetView>
    <customSheetView guid="{87DE2AE3-A5F0-4587-9B4E-271A7BB8EB3E}" filter="1" showAutoFilter="1">
      <pageMargins left="0.511811024" right="0.511811024" top="0.78740157499999996" bottom="0.78740157499999996" header="0.31496062000000002" footer="0.31496062000000002"/>
      <autoFilter ref="D2:K26" xr:uid="{967E0CEF-5DA0-4198-BA7D-C297A4AB8FBA}">
        <filterColumn colId="7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9E552739-72DD-45E8-8C7B-29F9FBD3645B}" filter="1" showAutoFilter="1">
      <pageMargins left="0.511811024" right="0.511811024" top="0.78740157499999996" bottom="0.78740157499999996" header="0.31496062000000002" footer="0.31496062000000002"/>
      <autoFilter ref="B2:AD16" xr:uid="{6B21E6B6-FD45-47B2-BE5A-74F8D7E578CC}"/>
    </customSheetView>
    <customSheetView guid="{2FF61B21-4B07-496A-9823-45752FDDEC31}" filter="1" showAutoFilter="1">
      <pageMargins left="0.511811024" right="0.511811024" top="0.78740157499999996" bottom="0.78740157499999996" header="0.31496062000000002" footer="0.31496062000000002"/>
      <autoFilter ref="B2:AG15" xr:uid="{A7251D4A-7629-499F-A576-9B2BF2771C73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76A50631-E853-47C0-97A7-B44DDD6611FA}" filter="1" showAutoFilter="1">
      <pageMargins left="0.511811024" right="0.511811024" top="0.78740157499999996" bottom="0.78740157499999996" header="0.31496062000000002" footer="0.31496062000000002"/>
      <autoFilter ref="B2:AG15" xr:uid="{BC4AA829-E69F-41CE-899A-A5B89DFAFCC8}"/>
    </customSheetView>
    <customSheetView guid="{A9887CDC-6F11-42B2-AB6A-FEBD00A3638F}" filter="1" showAutoFilter="1">
      <pageMargins left="0.511811024" right="0.511811024" top="0.78740157499999996" bottom="0.78740157499999996" header="0.31496062000000002" footer="0.31496062000000002"/>
      <autoFilter ref="B2:AD16" xr:uid="{E55148A6-2100-4233-9CD9-452064C1BE1A}"/>
    </customSheetView>
    <customSheetView guid="{49792FEA-CF16-44D8-A830-4C89AED8A6DE}" filter="1" showAutoFilter="1">
      <pageMargins left="0.511811024" right="0.511811024" top="0.78740157499999996" bottom="0.78740157499999996" header="0.31496062000000002" footer="0.31496062000000002"/>
      <autoFilter ref="B2:AD16" xr:uid="{2A8BA930-B5FF-4B0D-BE98-AFA48DDE731B}"/>
    </customSheetView>
    <customSheetView guid="{3C1919D2-3766-49CD-BCB3-6FC578924078}" filter="1" showAutoFilter="1">
      <pageMargins left="0.511811024" right="0.511811024" top="0.78740157499999996" bottom="0.78740157499999996" header="0.31496062000000002" footer="0.31496062000000002"/>
      <autoFilter ref="B2:AG15" xr:uid="{BE7FA0CC-BEE5-40F7-9EF8-77308CC745A7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95D3FD1A-2488-4FF8-95B0-57F346C71938}" filter="1" showAutoFilter="1">
      <pageMargins left="0.511811024" right="0.511811024" top="0.78740157499999996" bottom="0.78740157499999996" header="0.31496062000000002" footer="0.31496062000000002"/>
      <autoFilter ref="B2:AF26" xr:uid="{5E15D9FC-F9CA-41F4-8406-1ED922782FEA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781F9191-CBD1-41EF-9AE1-CD4B888FAD0C}" filter="1" showAutoFilter="1">
      <pageMargins left="0.511811024" right="0.511811024" top="0.78740157499999996" bottom="0.78740157499999996" header="0.31496062000000002" footer="0.31496062000000002"/>
      <autoFilter ref="B2:AG15" xr:uid="{19D6ABB1-7261-4204-ACED-306CA02136D4}"/>
    </customSheetView>
    <customSheetView guid="{87E4A958-CDC6-4EF1-BDE3-FF72B2C36669}" filter="1" showAutoFilter="1">
      <pageMargins left="0.511811024" right="0.511811024" top="0.78740157499999996" bottom="0.78740157499999996" header="0.31496062000000002" footer="0.31496062000000002"/>
      <autoFilter ref="B2:AF16" xr:uid="{B8BD0242-2428-47EB-8B81-DB62EBB0F364}"/>
    </customSheetView>
    <customSheetView guid="{575232E1-5EF4-46D9-BCBB-E0A44E0E44C4}" filter="1" showAutoFilter="1">
      <pageMargins left="0.511811024" right="0.511811024" top="0.78740157499999996" bottom="0.78740157499999996" header="0.31496062000000002" footer="0.31496062000000002"/>
      <autoFilter ref="B2:AG15" xr:uid="{3EB3FD9B-5AF3-4371-B6E9-B7C67A0E5FD6}">
        <filterColumn colId="4">
          <filters>
            <filter val="Bluemetrix"/>
            <filter val="Bruno Jaime"/>
            <filter val="Guilherme Rios Guercio"/>
            <filter val="José Henrique"/>
            <filter val="Norton Jr."/>
          </filters>
        </filterColumn>
      </autoFilter>
    </customSheetView>
    <customSheetView guid="{D780AA3F-0B02-4BF5-935A-8516BD852644}" filter="1" showAutoFilter="1">
      <pageMargins left="0.511811024" right="0.511811024" top="0.78740157499999996" bottom="0.78740157499999996" header="0.31496062000000002" footer="0.31496062000000002"/>
      <autoFilter ref="B2:AG15" xr:uid="{F2D594FC-39A0-427E-9309-AEB8AD0B3C3C}"/>
    </customSheetView>
    <customSheetView guid="{1B5B7370-FC19-475F-8306-B7882B20A8EE}" filter="1" showAutoFilter="1">
      <pageMargins left="0.511811024" right="0.511811024" top="0.78740157499999996" bottom="0.78740157499999996" header="0.31496062000000002" footer="0.31496062000000002"/>
      <autoFilter ref="AE2:AE26" xr:uid="{6FD2ECC3-E512-4C06-A1F6-71E175F4FEDB}"/>
    </customSheetView>
    <customSheetView guid="{C9BB4354-BF57-4FC8-86A4-BA3AE8C11941}" filter="1" showAutoFilter="1">
      <pageMargins left="0.511811024" right="0.511811024" top="0.78740157499999996" bottom="0.78740157499999996" header="0.31496062000000002" footer="0.31496062000000002"/>
      <autoFilter ref="F2:F26" xr:uid="{9D6C196C-10CA-4532-AF13-481899D27340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2FF8F613-A7E1-45DF-8A10-A57931A18845}" filter="1" showAutoFilter="1">
      <pageMargins left="0.511811024" right="0.511811024" top="0.78740157499999996" bottom="0.78740157499999996" header="0.31496062000000002" footer="0.31496062000000002"/>
      <autoFilter ref="B2:AF16" xr:uid="{62933CBB-19B7-4F15-9A4D-47D0D0524D67}"/>
    </customSheetView>
    <customSheetView guid="{02DB027B-88D5-4067-9DF3-1E71C48C0F90}" filter="1" showAutoFilter="1">
      <pageMargins left="0.511811024" right="0.511811024" top="0.78740157499999996" bottom="0.78740157499999996" header="0.31496062000000002" footer="0.31496062000000002"/>
      <autoFilter ref="K2:K26" xr:uid="{75C938D6-180E-4EC2-8C95-9299655BE5D0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FE505A74-F1C9-44BD-A4CA-44A1F0D7F85E}" filter="1" showAutoFilter="1">
      <pageMargins left="0.511811024" right="0.511811024" top="0.78740157499999996" bottom="0.78740157499999996" header="0.31496062000000002" footer="0.31496062000000002"/>
      <autoFilter ref="F2:M26" xr:uid="{327AADE2-CEC2-460B-914B-A6B087B8287A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EDB94D84-D432-47A2-A87C-542D0176903E}" filter="1" showAutoFilter="1">
      <pageMargins left="0.511811024" right="0.511811024" top="0.78740157499999996" bottom="0.78740157499999996" header="0.31496062000000002" footer="0.31496062000000002"/>
      <autoFilter ref="M2:O26" xr:uid="{E5D8798B-4CE0-4196-89E6-DB21D5BF5ADE}"/>
    </customSheetView>
    <customSheetView guid="{1C817462-83A1-43F0-BF7C-966B2B856F7F}" filter="1" showAutoFilter="1">
      <pageMargins left="0.511811024" right="0.511811024" top="0.78740157499999996" bottom="0.78740157499999996" header="0.31496062000000002" footer="0.31496062000000002"/>
      <autoFilter ref="D2:F26" xr:uid="{EEE7DBE8-3870-4A88-8E81-B2DA995DBC0B}"/>
    </customSheetView>
    <customSheetView guid="{E85EF604-B4E4-46A4-BD8E-A25442CE7DFC}" filter="1" showAutoFilter="1">
      <pageMargins left="0.511811024" right="0.511811024" top="0.78740157499999996" bottom="0.78740157499999996" header="0.31496062000000002" footer="0.31496062000000002"/>
      <autoFilter ref="M2:M26" xr:uid="{99F36A9C-A2B9-4207-8273-C08C0376F2B2}">
        <filterColumn colId="0">
          <filters>
            <filter val="CON"/>
          </filters>
        </filterColumn>
      </autoFilter>
    </customSheetView>
    <customSheetView guid="{92AFCDE9-DBED-498D-9FC1-F7814E493E29}" filter="1" showAutoFilter="1">
      <pageMargins left="0.511811024" right="0.511811024" top="0.78740157499999996" bottom="0.78740157499999996" header="0.31496062000000002" footer="0.31496062000000002"/>
      <autoFilter ref="B2:AG16" xr:uid="{BED4AF33-EE00-4C0B-9107-3C8BB5444B67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3E306471-1334-4489-A062-790487D5CC5D}" filter="1" showAutoFilter="1">
      <pageMargins left="0.511811024" right="0.511811024" top="0.78740157499999996" bottom="0.78740157499999996" header="0.31496062000000002" footer="0.31496062000000002"/>
      <autoFilter ref="AG2:AG26" xr:uid="{D2C9000A-A48C-41E7-967E-6EC345B5E597}"/>
    </customSheetView>
    <customSheetView guid="{2FCABD4C-1224-414F-A616-D681368D7A4F}" filter="1" showAutoFilter="1">
      <pageMargins left="0.511811024" right="0.511811024" top="0.78740157499999996" bottom="0.78740157499999996" header="0.31496062000000002" footer="0.31496062000000002"/>
      <autoFilter ref="K2:K26" xr:uid="{EE7AE378-1725-4BE6-AA94-DB53239E4A0B}"/>
    </customSheetView>
    <customSheetView guid="{B2BFE901-B4B4-4393-861D-055AD1BB086D}" filter="1" showAutoFilter="1">
      <pageMargins left="0.511811024" right="0.511811024" top="0.78740157499999996" bottom="0.78740157499999996" header="0.31496062000000002" footer="0.31496062000000002"/>
      <autoFilter ref="B2:AD16" xr:uid="{85C1323C-171C-48E5-9E5A-6AFE38BB305C}"/>
    </customSheetView>
    <customSheetView guid="{ED1070BE-D844-4B37-B23D-CEFF997DFBD9}" filter="1" showAutoFilter="1">
      <pageMargins left="0.511811024" right="0.511811024" top="0.78740157499999996" bottom="0.78740157499999996" header="0.31496062000000002" footer="0.31496062000000002"/>
      <autoFilter ref="F2:F26" xr:uid="{C7482700-D74A-4F5C-954C-8FFAA328C76D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37E2DCA0-870F-45B5-8ADA-2998F27F6F0D}" filter="1" showAutoFilter="1">
      <pageMargins left="0.511811024" right="0.511811024" top="0.78740157499999996" bottom="0.78740157499999996" header="0.31496062000000002" footer="0.31496062000000002"/>
      <autoFilter ref="B2:AF16" xr:uid="{48D352D7-FFE3-4CD5-8664-59687527A110}">
        <sortState xmlns:xlrd2="http://schemas.microsoft.com/office/spreadsheetml/2017/richdata2" ref="B2:AF16">
          <sortCondition ref="B2:B16"/>
        </sortState>
      </autoFilter>
    </customSheetView>
    <customSheetView guid="{C4D034EF-8D0B-4D54-A88B-E9251A702F2B}" filter="1" showAutoFilter="1">
      <pageMargins left="0.511811024" right="0.511811024" top="0.78740157499999996" bottom="0.78740157499999996" header="0.31496062000000002" footer="0.31496062000000002"/>
      <autoFilter ref="D2:F26" xr:uid="{6C8231E6-ED49-457C-81CF-6C3CFBAA93B5}"/>
    </customSheetView>
    <customSheetView guid="{4B506129-F12F-4933-8B44-715BF967596B}" filter="1" showAutoFilter="1">
      <pageMargins left="0.511811024" right="0.511811024" top="0.78740157499999996" bottom="0.78740157499999996" header="0.31496062000000002" footer="0.31496062000000002"/>
      <autoFilter ref="B2:AF16" xr:uid="{C15B3A01-AB10-46C0-B5B5-183102B065CC}"/>
    </customSheetView>
    <customSheetView guid="{784428B3-B63A-40CE-BD93-DE3A100A7773}" filter="1" showAutoFilter="1">
      <pageMargins left="0.511811024" right="0.511811024" top="0.78740157499999996" bottom="0.78740157499999996" header="0.31496062000000002" footer="0.31496062000000002"/>
      <autoFilter ref="AF2:AF26" xr:uid="{F7259D56-8BE2-4F35-8513-BAF5EE73EF9C}">
        <filterColumn colId="0">
          <filters>
            <filter val="R$ 1,101,862.14"/>
            <filter val="R$ 1,908,117.71"/>
            <filter val="R$ 11,184,641.74"/>
            <filter val="R$ 22,165,401.22"/>
            <filter val="R$ 48,654.91"/>
            <filter val="R$ 6,535,939.62"/>
            <filter val="R$ 607,825.55"/>
            <filter val="R$ 62,123.55"/>
            <filter val="R$ 64,106.84"/>
            <filter val="R$ 652,129.16"/>
          </filters>
        </filterColumn>
      </autoFilter>
    </customSheetView>
    <customSheetView guid="{3CEB32DC-FC34-404B-9B1D-F4349E9B14A2}" filter="1" showAutoFilter="1">
      <pageMargins left="0.511811024" right="0.511811024" top="0.78740157499999996" bottom="0.78740157499999996" header="0.31496062000000002" footer="0.31496062000000002"/>
      <autoFilter ref="B2:AD16" xr:uid="{A78B3343-A7FB-4D09-BB4E-778B3549E498}"/>
    </customSheetView>
    <customSheetView guid="{42EBA6C3-EA37-466D-8DA1-D3E0E4E432C2}" filter="1" showAutoFilter="1">
      <pageMargins left="0.511811024" right="0.511811024" top="0.78740157499999996" bottom="0.78740157499999996" header="0.31496062000000002" footer="0.31496062000000002"/>
      <autoFilter ref="F2:F26" xr:uid="{D78CC96D-EF4B-4824-92A2-154994BAD470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18BFDA86-90C9-43E5-9671-B80AFF35F44F}" filter="1" showAutoFilter="1">
      <pageMargins left="0.511811024" right="0.511811024" top="0.78740157499999996" bottom="0.78740157499999996" header="0.31496062000000002" footer="0.31496062000000002"/>
      <autoFilter ref="B2:AF26" xr:uid="{A6100026-42FD-4706-9922-9C5D9EA025C1}"/>
    </customSheetView>
    <customSheetView guid="{A1EFF1DE-3FA0-4210-98FB-193B242B91F7}" filter="1" showAutoFilter="1">
      <pageMargins left="0.511811024" right="0.511811024" top="0.78740157499999996" bottom="0.78740157499999996" header="0.31496062000000002" footer="0.31496062000000002"/>
      <autoFilter ref="K2:K26" xr:uid="{DD58F805-C4F0-45E7-987E-35038CD27AF9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BB552302-83D7-4E75-9721-4A908E1DD9C4}" filter="1" showAutoFilter="1">
      <pageMargins left="0.511811024" right="0.511811024" top="0.78740157499999996" bottom="0.78740157499999996" header="0.31496062000000002" footer="0.31496062000000002"/>
      <autoFilter ref="K2:L26" xr:uid="{28C0E093-9BFB-47FC-9517-0CBB8E9093EF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187F2E37-1D08-401F-B6CA-29F69C34600B}" filter="1" showAutoFilter="1">
      <pageMargins left="0.511811024" right="0.511811024" top="0.78740157499999996" bottom="0.78740157499999996" header="0.31496062000000002" footer="0.31496062000000002"/>
      <autoFilter ref="B2:AF16" xr:uid="{946BBC73-4635-4F01-A2F2-CCF55C804D59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394E12A5-8D56-4ACA-A54C-71EAAF9DEA9B}" filter="1" showAutoFilter="1">
      <pageMargins left="0.511811024" right="0.511811024" top="0.78740157499999996" bottom="0.78740157499999996" header="0.31496062000000002" footer="0.31496062000000002"/>
      <autoFilter ref="B2:AG15" xr:uid="{225107F6-EBAF-4585-B3E4-D427580C386C}">
        <filterColumn colId="11">
          <filters>
            <filter val="ARR"/>
            <filter val="CON"/>
            <filter val="MOD"/>
          </filters>
        </filterColumn>
        <filterColumn colId="13">
          <filters>
            <filter val="IBOVESPA"/>
          </filters>
        </filterColumn>
      </autoFilter>
    </customSheetView>
    <customSheetView guid="{C96A395F-B60F-4372-9BC3-59217864722C}" filter="1" showAutoFilter="1">
      <pageMargins left="0.511811024" right="0.511811024" top="0.78740157499999996" bottom="0.78740157499999996" header="0.31496062000000002" footer="0.31496062000000002"/>
      <autoFilter ref="K2:K26" xr:uid="{82B3B63C-A26D-4091-A12B-F702A3E1AB7B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33F6ADEF-2E38-429C-80FB-024724DFBF41}" filter="1" showAutoFilter="1">
      <pageMargins left="0.511811024" right="0.511811024" top="0.78740157499999996" bottom="0.78740157499999996" header="0.31496062000000002" footer="0.31496062000000002"/>
      <autoFilter ref="B2:AG15" xr:uid="{BE10FA55-C4D9-434D-B6D4-AD5B8CEE088F}"/>
    </customSheetView>
    <customSheetView guid="{9CA858E8-8765-423C-A4B2-89BFDEC286E3}" filter="1" showAutoFilter="1">
      <pageMargins left="0.511811024" right="0.511811024" top="0.78740157499999996" bottom="0.78740157499999996" header="0.31496062000000002" footer="0.31496062000000002"/>
      <autoFilter ref="F2:F26" xr:uid="{720FD4E1-A875-4A6C-81BD-414E8313B406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3D734A4F-D464-4994-84FD-80EDF2D2AAA1}" filter="1" showAutoFilter="1">
      <pageMargins left="0.511811024" right="0.511811024" top="0.78740157499999996" bottom="0.78740157499999996" header="0.31496062000000002" footer="0.31496062000000002"/>
      <autoFilter ref="B2:AG15" xr:uid="{90383F3F-FD69-45F5-9EA7-1DEE31200D66}"/>
    </customSheetView>
    <customSheetView guid="{B72A137F-6618-472B-B31F-A228496BFEFE}" filter="1" showAutoFilter="1">
      <pageMargins left="0.511811024" right="0.511811024" top="0.78740157499999996" bottom="0.78740157499999996" header="0.31496062000000002" footer="0.31496062000000002"/>
      <autoFilter ref="B2:AD16" xr:uid="{0EA47CBC-597C-4121-9E43-A4D6E6CD5D4D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2C5C3EE9-78DF-4FFB-A79A-75E3071C5D00}" filter="1" showAutoFilter="1">
      <pageMargins left="0.511811024" right="0.511811024" top="0.78740157499999996" bottom="0.78740157499999996" header="0.31496062000000002" footer="0.31496062000000002"/>
      <autoFilter ref="B2:AG15" xr:uid="{DAAD3D12-F15D-4D37-AA1D-ACA8BC60AD73}"/>
    </customSheetView>
    <customSheetView guid="{8F9D2EE2-2BA6-4218-ABAC-59A49CE16850}" filter="1" showAutoFilter="1">
      <pageMargins left="0.511811024" right="0.511811024" top="0.78740157499999996" bottom="0.78740157499999996" header="0.31496062000000002" footer="0.31496062000000002"/>
      <autoFilter ref="F2:F26" xr:uid="{F60B2AC5-52F2-4C57-94DF-44B5449CC0E0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36A6B0CA-EE31-4FBF-8D64-D076CD8CC124}" filter="1" showAutoFilter="1">
      <pageMargins left="0.511811024" right="0.511811024" top="0.78740157499999996" bottom="0.78740157499999996" header="0.31496062000000002" footer="0.31496062000000002"/>
      <autoFilter ref="B2:AG15" xr:uid="{94E79347-4328-4BD3-A27E-41F2D3FEAA59}"/>
    </customSheetView>
    <customSheetView guid="{8058A662-82B6-4306-B12A-EF8751CB0A4F}" filter="1" showAutoFilter="1">
      <pageMargins left="0.511811024" right="0.511811024" top="0.78740157499999996" bottom="0.78740157499999996" header="0.31496062000000002" footer="0.31496062000000002"/>
      <autoFilter ref="B2:AD16" xr:uid="{85297D68-674E-4B57-BD26-21AB249F377E}"/>
    </customSheetView>
    <customSheetView guid="{FA344799-C027-418F-BEA1-82C5C82A4E24}" filter="1" showAutoFilter="1">
      <pageMargins left="0.511811024" right="0.511811024" top="0.78740157499999996" bottom="0.78740157499999996" header="0.31496062000000002" footer="0.31496062000000002"/>
      <autoFilter ref="F2:F26" xr:uid="{8AE53123-103D-4C7D-B741-54B959060DAF}"/>
    </customSheetView>
    <customSheetView guid="{82ED4851-3DA2-4458-BD2D-989931D72E98}" filter="1" showAutoFilter="1">
      <pageMargins left="0.511811024" right="0.511811024" top="0.78740157499999996" bottom="0.78740157499999996" header="0.31496062000000002" footer="0.31496062000000002"/>
      <autoFilter ref="F2:AF26" xr:uid="{73E89FE0-FB64-45C7-BFE6-871B87FA3B60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  <filterColumn colId="25">
          <filters>
            <filter val="R$ 0.00"/>
            <filter val="R$ 1,906,831.93"/>
            <filter val="R$ 100,131.37"/>
            <filter val="R$ 11,316,351.20"/>
            <filter val="R$ 18,902,666.47"/>
            <filter val="R$ 49,605.11"/>
            <filter val="R$ 5,238,742.95"/>
            <filter val="R$ 599,473.92"/>
            <filter val="R$ 63,466.98"/>
            <filter val="R$ 644,965.12"/>
            <filter val="R$ 889,929.82"/>
          </filters>
        </filterColumn>
      </autoFilter>
    </customSheetView>
    <customSheetView guid="{4D027CF9-EB10-4E0D-A919-970A63BCE6FF}" filter="1" showAutoFilter="1">
      <pageMargins left="0.511811024" right="0.511811024" top="0.78740157499999996" bottom="0.78740157499999996" header="0.31496062000000002" footer="0.31496062000000002"/>
      <autoFilter ref="AG2:AG26" xr:uid="{8E4EE2C4-6867-47B0-8529-C8CD3862DB00}"/>
    </customSheetView>
    <customSheetView guid="{D29B7F3D-93C1-40B7-B650-971358D6E2A8}" filter="1" showAutoFilter="1">
      <pageMargins left="0.511811024" right="0.511811024" top="0.78740157499999996" bottom="0.78740157499999996" header="0.31496062000000002" footer="0.31496062000000002"/>
      <autoFilter ref="E2:F26" xr:uid="{712321BF-107E-49CA-B930-DE170D3D25F8}"/>
    </customSheetView>
    <customSheetView guid="{A84BCDCF-44CE-4E38-99E3-BF349990446C}" filter="1" showAutoFilter="1">
      <pageMargins left="0.511811024" right="0.511811024" top="0.78740157499999996" bottom="0.78740157499999996" header="0.31496062000000002" footer="0.31496062000000002"/>
      <autoFilter ref="B2:AG26" xr:uid="{6E084881-BE9A-41F3-B854-1DF49B642BC8}">
        <filterColumn colId="31">
          <filters>
            <filter val="R$ 0.00"/>
            <filter val="R$ 1,321,354.89"/>
            <filter val="R$ 1,935,545.71"/>
            <filter val="R$ 101,584.21"/>
            <filter val="R$ 11,187,314.18"/>
            <filter val="R$ 117,004.67"/>
            <filter val="R$ 22,533,891.60"/>
            <filter val="R$ 49,282.48"/>
            <filter val="R$ 6,374,183.58"/>
            <filter val="R$ 658,117.34"/>
            <filter val="R$ 789,504.54"/>
          </filters>
        </filterColumn>
      </autoFilter>
    </customSheetView>
    <customSheetView guid="{C1A2F180-4317-44A0-986D-3164ECF54A28}" filter="1" showAutoFilter="1">
      <pageMargins left="0.511811024" right="0.511811024" top="0.78740157499999996" bottom="0.78740157499999996" header="0.31496062000000002" footer="0.31496062000000002"/>
      <autoFilter ref="D2:F26" xr:uid="{7764B3C5-19AE-4B67-B290-ADF65C1F94D1}">
        <filterColumn colId="2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DA1DD12B-B65C-4A90-B1E2-8ABE762F9B33}" filter="1" showAutoFilter="1">
      <pageMargins left="0.511811024" right="0.511811024" top="0.78740157499999996" bottom="0.78740157499999996" header="0.31496062000000002" footer="0.31496062000000002"/>
      <autoFilter ref="D2:AF26" xr:uid="{3971E017-0552-43A1-8BFB-27A041BE1D7D}"/>
    </customSheetView>
    <customSheetView guid="{26704F7C-C74F-45EC-98C2-61DDB4F67DCC}" filter="1" showAutoFilter="1">
      <pageMargins left="0.511811024" right="0.511811024" top="0.78740157499999996" bottom="0.78740157499999996" header="0.31496062000000002" footer="0.31496062000000002"/>
      <autoFilter ref="D2:F26" xr:uid="{E01B00E7-964C-4F5E-9DB5-34827372D087}"/>
    </customSheetView>
    <customSheetView guid="{14FDAB6E-4950-4297-AFB6-3D0254510B44}" filter="1" showAutoFilter="1">
      <pageMargins left="0.511811024" right="0.511811024" top="0.78740157499999996" bottom="0.78740157499999996" header="0.31496062000000002" footer="0.31496062000000002"/>
      <autoFilter ref="D2:AF26" xr:uid="{9A276171-2117-4C2E-8E11-9E5FED24D30D}"/>
    </customSheetView>
    <customSheetView guid="{640FAB0F-2934-4C3B-BD33-6FD8BEDDCF8A}" filter="1" showAutoFilter="1">
      <pageMargins left="0.511811024" right="0.511811024" top="0.78740157499999996" bottom="0.78740157499999996" header="0.31496062000000002" footer="0.31496062000000002"/>
      <autoFilter ref="B2:AG26" xr:uid="{DB751C65-53A0-4295-B24C-C3EA6185B090}"/>
    </customSheetView>
    <customSheetView guid="{655F01EF-CABD-48B5-8071-3F96E313EE9B}" filter="1" showAutoFilter="1">
      <pageMargins left="0.511811024" right="0.511811024" top="0.78740157499999996" bottom="0.78740157499999996" header="0.31496062000000002" footer="0.31496062000000002"/>
      <autoFilter ref="D2:F26" xr:uid="{717A6229-7523-4210-9F32-44CE8F014DF9}"/>
    </customSheetView>
  </customSheetViews>
  <mergeCells count="4">
    <mergeCell ref="A1:F1"/>
    <mergeCell ref="H1:I1"/>
    <mergeCell ref="J1:P1"/>
    <mergeCell ref="S1:Y1"/>
  </mergeCells>
  <conditionalFormatting sqref="E3:E15">
    <cfRule type="cellIs" dxfId="182" priority="1" operator="equal">
      <formula>"Conquest"</formula>
    </cfRule>
    <cfRule type="cellIs" dxfId="181" priority="2" operator="equal">
      <formula>"Voga"</formula>
    </cfRule>
  </conditionalFormatting>
  <conditionalFormatting sqref="F24:G24">
    <cfRule type="cellIs" dxfId="180" priority="3" operator="equal">
      <formula>"Bluemetrix"</formula>
    </cfRule>
  </conditionalFormatting>
  <conditionalFormatting sqref="W3:X15">
    <cfRule type="notContainsBlanks" dxfId="179" priority="4">
      <formula>LEN(TRIM(W3))&gt;0</formula>
    </cfRule>
  </conditionalFormatting>
  <dataValidations count="9">
    <dataValidation type="list" allowBlank="1" showErrorMessage="1" sqref="I3:I15" xr:uid="{00000000-0002-0000-03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H3:H15" xr:uid="{00000000-0002-0000-0300-000001000000}">
      <formula1>"Ativo,Pode Operar,Inativo,Encerrado"</formula1>
    </dataValidation>
    <dataValidation type="list" allowBlank="1" showErrorMessage="1" sqref="W3:X15" xr:uid="{00000000-0002-0000-0300-000002000000}">
      <formula1>"Conservador,Moderado,Arrojado"</formula1>
    </dataValidation>
    <dataValidation type="list" allowBlank="1" showErrorMessage="1" sqref="V3:V15" xr:uid="{00000000-0002-0000-0300-000003000000}">
      <formula1>"Ativo,Inativo,Encerrado"</formula1>
    </dataValidation>
    <dataValidation type="list" allowBlank="1" showErrorMessage="1" sqref="D3:D15" xr:uid="{00000000-0002-0000-0300-000004000000}">
      <formula1>"Bluemetrix,Voga,Conquest"</formula1>
    </dataValidation>
    <dataValidation type="list" allowBlank="1" showErrorMessage="1" sqref="O3:O15" xr:uid="{00000000-0002-0000-0300-000005000000}">
      <formula1>"IBOVESPA,CDI,------,IFIX,SMLL,S&amp;P 500"</formula1>
    </dataValidation>
    <dataValidation type="list" allowBlank="1" showErrorMessage="1" sqref="Y3:Y15" xr:uid="{00000000-0002-0000-0300-000006000000}">
      <formula1>"Não Qualificado,Qualificado,Profissional"</formula1>
    </dataValidation>
    <dataValidation type="list" allowBlank="1" showErrorMessage="1" sqref="E3:E15" xr:uid="{00000000-0002-0000-0300-000007000000}">
      <formula1>"DF,GO,SUL,SP"</formula1>
    </dataValidation>
    <dataValidation type="list" allowBlank="1" showErrorMessage="1" sqref="S3:S15" xr:uid="{00000000-0002-0000-03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filterMode="1">
    <tabColor rgb="FF134F5C"/>
    <outlinePr summaryBelow="0" summaryRight="0"/>
    <pageSetUpPr fitToPage="1"/>
  </sheetPr>
  <dimension ref="A1:CK4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1" customWidth="1"/>
    <col min="2" max="2" width="26.85546875" customWidth="1"/>
    <col min="3" max="3" width="7.5703125" customWidth="1"/>
    <col min="4" max="4" width="11" customWidth="1"/>
    <col min="5" max="5" width="5.5703125" customWidth="1"/>
    <col min="6" max="6" width="13.28515625" customWidth="1"/>
    <col min="7" max="7" width="18" customWidth="1"/>
    <col min="8" max="8" width="15.5703125" customWidth="1"/>
    <col min="9" max="9" width="12.7109375" customWidth="1"/>
    <col min="10" max="10" width="11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45.28515625" customWidth="1"/>
    <col min="18" max="18" width="28.140625" customWidth="1"/>
    <col min="19" max="19" width="9.2851562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39" width="18.7109375" hidden="1" customWidth="1"/>
    <col min="40" max="49" width="13.42578125" hidden="1" customWidth="1"/>
    <col min="50" max="50" width="13.28515625" hidden="1" customWidth="1"/>
    <col min="51" max="54" width="13.42578125" hidden="1" customWidth="1"/>
    <col min="55" max="55" width="14" hidden="1" customWidth="1"/>
    <col min="56" max="74" width="14.85546875" hidden="1" customWidth="1"/>
    <col min="75" max="80" width="14.85546875" customWidth="1"/>
    <col min="81" max="83" width="12.28515625" customWidth="1"/>
    <col min="84" max="89" width="11" customWidth="1"/>
  </cols>
  <sheetData>
    <row r="1" spans="1:89" ht="15.75" customHeight="1">
      <c r="A1" s="646" t="s">
        <v>92</v>
      </c>
      <c r="B1" s="647"/>
      <c r="C1" s="647"/>
      <c r="D1" s="647"/>
      <c r="E1" s="647"/>
      <c r="F1" s="647"/>
      <c r="G1" s="330" t="s">
        <v>93</v>
      </c>
      <c r="H1" s="648" t="s">
        <v>94</v>
      </c>
      <c r="I1" s="647"/>
      <c r="J1" s="646" t="s">
        <v>92</v>
      </c>
      <c r="K1" s="647"/>
      <c r="L1" s="647"/>
      <c r="M1" s="647"/>
      <c r="N1" s="647"/>
      <c r="O1" s="647"/>
      <c r="P1" s="647"/>
      <c r="Q1" s="291" t="s">
        <v>2883</v>
      </c>
      <c r="R1" s="17" t="s">
        <v>2882</v>
      </c>
      <c r="S1" s="655" t="s">
        <v>95</v>
      </c>
      <c r="T1" s="647"/>
      <c r="U1" s="647"/>
      <c r="V1" s="647"/>
      <c r="W1" s="647"/>
      <c r="X1" s="647"/>
      <c r="Y1" s="647"/>
      <c r="Z1" s="647"/>
      <c r="AA1" s="647"/>
      <c r="AB1" s="647"/>
      <c r="AC1" s="19" t="s">
        <v>96</v>
      </c>
      <c r="AD1" s="19" t="s">
        <v>96</v>
      </c>
      <c r="AE1" s="19" t="s">
        <v>96</v>
      </c>
      <c r="AF1" s="19" t="s">
        <v>96</v>
      </c>
      <c r="AG1" s="19" t="s">
        <v>96</v>
      </c>
      <c r="AH1" s="19" t="s">
        <v>96</v>
      </c>
      <c r="AI1" s="19" t="s">
        <v>96</v>
      </c>
      <c r="AJ1" s="19" t="s">
        <v>96</v>
      </c>
      <c r="AK1" s="19" t="s">
        <v>96</v>
      </c>
      <c r="AL1" s="19" t="s">
        <v>96</v>
      </c>
      <c r="AM1" s="19" t="s">
        <v>96</v>
      </c>
      <c r="AN1" s="19" t="s">
        <v>96</v>
      </c>
      <c r="AO1" s="19" t="s">
        <v>96</v>
      </c>
      <c r="AP1" s="19" t="s">
        <v>96</v>
      </c>
      <c r="AQ1" s="19" t="s">
        <v>96</v>
      </c>
      <c r="AR1" s="19" t="s">
        <v>96</v>
      </c>
      <c r="AS1" s="19" t="s">
        <v>96</v>
      </c>
      <c r="AT1" s="19" t="s">
        <v>96</v>
      </c>
      <c r="AU1" s="19" t="s">
        <v>96</v>
      </c>
      <c r="AV1" s="19" t="s">
        <v>96</v>
      </c>
      <c r="AW1" s="19" t="s">
        <v>96</v>
      </c>
      <c r="AX1" s="19" t="s">
        <v>96</v>
      </c>
      <c r="AY1" s="19" t="s">
        <v>96</v>
      </c>
      <c r="AZ1" s="19" t="s">
        <v>96</v>
      </c>
      <c r="BA1" s="19" t="s">
        <v>96</v>
      </c>
      <c r="BB1" s="19" t="s">
        <v>96</v>
      </c>
      <c r="BC1" s="19" t="s">
        <v>96</v>
      </c>
      <c r="BD1" s="19" t="s">
        <v>96</v>
      </c>
      <c r="BE1" s="19" t="s">
        <v>96</v>
      </c>
      <c r="BF1" s="19" t="s">
        <v>96</v>
      </c>
      <c r="BG1" s="19" t="s">
        <v>96</v>
      </c>
      <c r="BH1" s="19" t="s">
        <v>96</v>
      </c>
      <c r="BI1" s="19" t="s">
        <v>96</v>
      </c>
      <c r="BJ1" s="19" t="s">
        <v>96</v>
      </c>
      <c r="BK1" s="19" t="s">
        <v>96</v>
      </c>
      <c r="BL1" s="19" t="s">
        <v>96</v>
      </c>
      <c r="BM1" s="19" t="s">
        <v>96</v>
      </c>
      <c r="BN1" s="19" t="s">
        <v>96</v>
      </c>
      <c r="BO1" s="19" t="s">
        <v>96</v>
      </c>
      <c r="BP1" s="19" t="s">
        <v>96</v>
      </c>
      <c r="BQ1" s="19" t="s">
        <v>96</v>
      </c>
      <c r="BR1" s="19" t="s">
        <v>96</v>
      </c>
      <c r="BS1" s="19" t="s">
        <v>96</v>
      </c>
      <c r="BT1" s="19" t="s">
        <v>96</v>
      </c>
      <c r="BU1" s="19" t="s">
        <v>96</v>
      </c>
      <c r="BV1" s="19" t="s">
        <v>96</v>
      </c>
      <c r="BW1" s="19" t="s">
        <v>96</v>
      </c>
      <c r="BX1" s="19" t="s">
        <v>96</v>
      </c>
      <c r="BY1" s="19" t="s">
        <v>96</v>
      </c>
      <c r="BZ1" s="19" t="s">
        <v>96</v>
      </c>
      <c r="CA1" s="19" t="s">
        <v>96</v>
      </c>
      <c r="CB1" s="19" t="s">
        <v>96</v>
      </c>
      <c r="CC1" s="19" t="s">
        <v>96</v>
      </c>
      <c r="CD1" s="19" t="s">
        <v>96</v>
      </c>
      <c r="CE1" s="19" t="s">
        <v>96</v>
      </c>
      <c r="CF1" s="19" t="s">
        <v>96</v>
      </c>
      <c r="CG1" s="19" t="s">
        <v>96</v>
      </c>
      <c r="CH1" s="19" t="s">
        <v>96</v>
      </c>
      <c r="CI1" s="19" t="s">
        <v>96</v>
      </c>
      <c r="CJ1" s="19" t="s">
        <v>96</v>
      </c>
      <c r="CK1" s="19" t="s">
        <v>96</v>
      </c>
    </row>
    <row r="2" spans="1:89" ht="15.75" customHeight="1">
      <c r="A2" s="20" t="s">
        <v>2</v>
      </c>
      <c r="B2" s="20" t="s">
        <v>97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98</v>
      </c>
      <c r="H2" s="20" t="s">
        <v>99</v>
      </c>
      <c r="I2" s="20" t="s">
        <v>100</v>
      </c>
      <c r="J2" s="20" t="s">
        <v>101</v>
      </c>
      <c r="K2" s="20" t="s">
        <v>102</v>
      </c>
      <c r="L2" s="20" t="s">
        <v>103</v>
      </c>
      <c r="M2" s="20" t="s">
        <v>8</v>
      </c>
      <c r="N2" s="20" t="s">
        <v>104</v>
      </c>
      <c r="O2" s="20" t="s">
        <v>105</v>
      </c>
      <c r="P2" s="20" t="s">
        <v>11</v>
      </c>
      <c r="Q2" s="21" t="s">
        <v>7</v>
      </c>
      <c r="R2" s="21" t="s">
        <v>106</v>
      </c>
      <c r="S2" s="20" t="s">
        <v>107</v>
      </c>
      <c r="T2" s="20" t="s">
        <v>12</v>
      </c>
      <c r="U2" s="20" t="s">
        <v>13</v>
      </c>
      <c r="V2" s="22" t="s">
        <v>108</v>
      </c>
      <c r="W2" s="20" t="s">
        <v>109</v>
      </c>
      <c r="X2" s="20" t="s">
        <v>110</v>
      </c>
      <c r="Y2" s="20" t="s">
        <v>111</v>
      </c>
      <c r="Z2" s="20" t="s">
        <v>112</v>
      </c>
      <c r="AA2" s="20" t="s">
        <v>113</v>
      </c>
      <c r="AB2" s="20" t="s">
        <v>114</v>
      </c>
      <c r="AC2" s="20" t="s">
        <v>3597</v>
      </c>
      <c r="AD2" s="20" t="s">
        <v>3598</v>
      </c>
      <c r="AE2" s="20" t="s">
        <v>3599</v>
      </c>
      <c r="AF2" s="20" t="s">
        <v>2884</v>
      </c>
      <c r="AG2" s="20" t="s">
        <v>2885</v>
      </c>
      <c r="AH2" s="20" t="s">
        <v>2886</v>
      </c>
      <c r="AI2" s="20" t="s">
        <v>2887</v>
      </c>
      <c r="AJ2" s="20" t="s">
        <v>2888</v>
      </c>
      <c r="AK2" s="20" t="s">
        <v>2889</v>
      </c>
      <c r="AL2" s="20" t="s">
        <v>3600</v>
      </c>
      <c r="AM2" s="231" t="s">
        <v>2891</v>
      </c>
      <c r="AN2" s="331" t="s">
        <v>3601</v>
      </c>
      <c r="AO2" s="331" t="s">
        <v>2893</v>
      </c>
      <c r="AP2" s="331" t="s">
        <v>3602</v>
      </c>
      <c r="AQ2" s="331" t="s">
        <v>2895</v>
      </c>
      <c r="AR2" s="331" t="s">
        <v>2896</v>
      </c>
      <c r="AS2" s="331" t="s">
        <v>2897</v>
      </c>
      <c r="AT2" s="331" t="s">
        <v>2898</v>
      </c>
      <c r="AU2" s="331" t="s">
        <v>2899</v>
      </c>
      <c r="AV2" s="331" t="s">
        <v>3603</v>
      </c>
      <c r="AW2" s="331" t="s">
        <v>2901</v>
      </c>
      <c r="AX2" s="331" t="s">
        <v>3604</v>
      </c>
      <c r="AY2" s="331" t="s">
        <v>2903</v>
      </c>
      <c r="AZ2" s="331" t="s">
        <v>2904</v>
      </c>
      <c r="BA2" s="331" t="s">
        <v>2905</v>
      </c>
      <c r="BB2" s="331" t="s">
        <v>2906</v>
      </c>
      <c r="BC2" s="331" t="s">
        <v>2907</v>
      </c>
      <c r="BD2" s="21" t="s">
        <v>2908</v>
      </c>
      <c r="BE2" s="21" t="s">
        <v>3605</v>
      </c>
      <c r="BF2" s="21" t="s">
        <v>2910</v>
      </c>
      <c r="BG2" s="21" t="s">
        <v>3606</v>
      </c>
      <c r="BH2" s="21" t="s">
        <v>2913</v>
      </c>
      <c r="BI2" s="21" t="s">
        <v>2914</v>
      </c>
      <c r="BJ2" s="21" t="s">
        <v>2915</v>
      </c>
      <c r="BK2" s="21" t="s">
        <v>2916</v>
      </c>
      <c r="BL2" s="21" t="s">
        <v>2917</v>
      </c>
      <c r="BM2" s="21" t="s">
        <v>2918</v>
      </c>
      <c r="BN2" s="21" t="s">
        <v>115</v>
      </c>
      <c r="BO2" s="21" t="s">
        <v>116</v>
      </c>
      <c r="BP2" s="21" t="s">
        <v>117</v>
      </c>
      <c r="BQ2" s="21" t="s">
        <v>118</v>
      </c>
      <c r="BR2" s="21" t="s">
        <v>119</v>
      </c>
      <c r="BS2" s="21" t="s">
        <v>120</v>
      </c>
      <c r="BT2" s="331" t="s">
        <v>121</v>
      </c>
      <c r="BU2" s="331" t="s">
        <v>122</v>
      </c>
      <c r="BV2" s="331" t="s">
        <v>123</v>
      </c>
      <c r="BW2" s="331" t="s">
        <v>124</v>
      </c>
      <c r="BX2" s="331" t="s">
        <v>125</v>
      </c>
      <c r="BY2" s="331" t="s">
        <v>126</v>
      </c>
      <c r="BZ2" s="331" t="s">
        <v>127</v>
      </c>
      <c r="CA2" s="331" t="s">
        <v>128</v>
      </c>
      <c r="CB2" s="331" t="s">
        <v>129</v>
      </c>
      <c r="CC2" s="331" t="s">
        <v>130</v>
      </c>
      <c r="CD2" s="331" t="s">
        <v>131</v>
      </c>
      <c r="CE2" s="331" t="s">
        <v>132</v>
      </c>
      <c r="CF2" s="331" t="s">
        <v>133</v>
      </c>
      <c r="CG2" s="331" t="s">
        <v>134</v>
      </c>
      <c r="CH2" s="331" t="s">
        <v>135</v>
      </c>
      <c r="CI2" s="331" t="s">
        <v>136</v>
      </c>
      <c r="CJ2" s="331" t="s">
        <v>137</v>
      </c>
      <c r="CK2" s="331" t="s">
        <v>138</v>
      </c>
    </row>
    <row r="3" spans="1:89" ht="15.75" hidden="1" customHeight="1">
      <c r="A3" s="332" t="s">
        <v>3607</v>
      </c>
      <c r="B3" s="332" t="s">
        <v>3608</v>
      </c>
      <c r="C3" s="333" t="s">
        <v>3609</v>
      </c>
      <c r="D3" s="9" t="s">
        <v>19</v>
      </c>
      <c r="E3" s="9" t="s">
        <v>20</v>
      </c>
      <c r="F3" s="123" t="s">
        <v>21</v>
      </c>
      <c r="G3" s="123" t="s">
        <v>3575</v>
      </c>
      <c r="H3" s="334" t="s">
        <v>143</v>
      </c>
      <c r="I3" s="24" t="s">
        <v>25</v>
      </c>
      <c r="J3" s="9" t="str">
        <f t="shared" ref="J3:J7" si="0">IF(Q3=0,"Não","Sim")</f>
        <v>Não</v>
      </c>
      <c r="K3" s="294">
        <v>44629</v>
      </c>
      <c r="L3" s="335">
        <v>45418</v>
      </c>
      <c r="M3" s="125" t="s">
        <v>42</v>
      </c>
      <c r="N3" s="124">
        <v>7.0000000000000001E-3</v>
      </c>
      <c r="O3" s="6" t="s">
        <v>25</v>
      </c>
      <c r="P3" s="11">
        <v>0</v>
      </c>
      <c r="Q3" s="332"/>
      <c r="R3" s="28"/>
      <c r="S3" s="7" t="s">
        <v>187</v>
      </c>
      <c r="T3" s="125" t="s">
        <v>3610</v>
      </c>
      <c r="U3" s="336" t="s">
        <v>20</v>
      </c>
      <c r="V3" s="337" t="e">
        <f t="shared" ref="V3:V31" ca="1" si="1">_xludf.IFS(H:H="Encerrado","Encerrado",COUNTBLANK(BX3:CI3)&gt;0,"Ativo",SUM(BX3:CI3)=0,"Inativo",SUM(BX3:CI3)&gt;0,"Ativo")</f>
        <v>#NAME?</v>
      </c>
      <c r="W3" s="7"/>
      <c r="X3" s="7"/>
      <c r="Y3" s="7" t="s">
        <v>253</v>
      </c>
      <c r="Z3" s="338"/>
      <c r="AA3" s="338"/>
      <c r="AB3" s="338"/>
      <c r="AC3" s="339"/>
      <c r="AD3" s="339"/>
      <c r="AE3" s="339"/>
      <c r="AF3" s="339"/>
      <c r="AG3" s="339"/>
      <c r="AH3" s="339"/>
      <c r="AI3" s="339"/>
      <c r="AJ3" s="339"/>
      <c r="AK3" s="339"/>
      <c r="AL3" s="339"/>
      <c r="AM3" s="340"/>
      <c r="AN3" s="340"/>
      <c r="AO3" s="340"/>
      <c r="AP3" s="340"/>
      <c r="AQ3" s="340"/>
      <c r="AR3" s="340"/>
      <c r="AS3" s="340"/>
      <c r="AT3" s="340"/>
      <c r="AU3" s="339"/>
      <c r="AV3" s="339"/>
      <c r="AW3" s="339"/>
      <c r="AX3" s="339"/>
      <c r="AY3" s="339"/>
      <c r="AZ3" s="339"/>
      <c r="BA3" s="339"/>
      <c r="BB3" s="339"/>
      <c r="BC3" s="339"/>
      <c r="BD3" s="339"/>
      <c r="BE3" s="339"/>
      <c r="BF3" s="339"/>
      <c r="BG3" s="339">
        <v>30511</v>
      </c>
      <c r="BH3" s="339">
        <v>0</v>
      </c>
      <c r="BI3" s="339"/>
      <c r="BJ3" s="339">
        <v>48736.86</v>
      </c>
      <c r="BK3" s="339">
        <v>51373.49</v>
      </c>
      <c r="BL3" s="339">
        <v>52228.11</v>
      </c>
      <c r="BM3" s="339">
        <v>51857.9</v>
      </c>
      <c r="BN3" s="339">
        <v>0</v>
      </c>
      <c r="BO3" s="339"/>
      <c r="BP3" s="339"/>
      <c r="BQ3" s="339"/>
      <c r="BR3" s="339"/>
      <c r="BS3" s="339"/>
      <c r="BT3" s="339"/>
      <c r="BU3" s="339"/>
      <c r="BV3" s="339"/>
      <c r="BW3" s="339">
        <v>0</v>
      </c>
      <c r="BX3" s="339">
        <v>0</v>
      </c>
      <c r="BY3" s="339">
        <v>0</v>
      </c>
      <c r="BZ3" s="339">
        <v>0</v>
      </c>
      <c r="CA3" s="339">
        <v>0</v>
      </c>
      <c r="CB3" s="339">
        <v>0</v>
      </c>
      <c r="CC3" s="339">
        <v>0</v>
      </c>
      <c r="CD3" s="339">
        <v>0</v>
      </c>
      <c r="CE3" s="339">
        <v>0</v>
      </c>
      <c r="CF3" s="339">
        <v>0</v>
      </c>
      <c r="CG3" s="339">
        <v>0</v>
      </c>
      <c r="CH3" s="339">
        <v>0</v>
      </c>
      <c r="CI3" s="339">
        <v>0</v>
      </c>
      <c r="CJ3" s="339">
        <v>0</v>
      </c>
      <c r="CK3" s="339">
        <v>0</v>
      </c>
    </row>
    <row r="4" spans="1:89" ht="15.75" hidden="1" customHeight="1">
      <c r="A4" s="332" t="s">
        <v>3607</v>
      </c>
      <c r="B4" s="338" t="s">
        <v>291</v>
      </c>
      <c r="C4" s="341" t="s">
        <v>3611</v>
      </c>
      <c r="D4" s="9" t="s">
        <v>19</v>
      </c>
      <c r="E4" s="9" t="s">
        <v>20</v>
      </c>
      <c r="F4" s="342" t="s">
        <v>199</v>
      </c>
      <c r="G4" s="123" t="s">
        <v>3575</v>
      </c>
      <c r="H4" s="334" t="s">
        <v>161</v>
      </c>
      <c r="I4" s="24" t="s">
        <v>1133</v>
      </c>
      <c r="J4" s="9" t="str">
        <f t="shared" si="0"/>
        <v>Não</v>
      </c>
      <c r="K4" s="298">
        <v>44075</v>
      </c>
      <c r="L4" s="343"/>
      <c r="M4" s="300" t="s">
        <v>200</v>
      </c>
      <c r="N4" s="301">
        <v>1.4999999999999999E-2</v>
      </c>
      <c r="O4" s="6" t="s">
        <v>25</v>
      </c>
      <c r="P4" s="11">
        <v>0</v>
      </c>
      <c r="Q4" s="332"/>
      <c r="R4" s="28" t="s">
        <v>3612</v>
      </c>
      <c r="S4" s="7" t="s">
        <v>145</v>
      </c>
      <c r="T4" s="300" t="s">
        <v>293</v>
      </c>
      <c r="U4" s="344" t="s">
        <v>294</v>
      </c>
      <c r="V4" s="337" t="e">
        <f t="shared" ca="1" si="1"/>
        <v>#NAME?</v>
      </c>
      <c r="W4" s="7"/>
      <c r="X4" s="7"/>
      <c r="Y4" s="7" t="s">
        <v>253</v>
      </c>
      <c r="Z4" s="338"/>
      <c r="AA4" s="338"/>
      <c r="AB4" s="338"/>
      <c r="AC4" s="339">
        <v>0</v>
      </c>
      <c r="AD4" s="339">
        <v>0</v>
      </c>
      <c r="AE4" s="339">
        <v>0</v>
      </c>
      <c r="AF4" s="339">
        <v>0</v>
      </c>
      <c r="AG4" s="339">
        <v>0</v>
      </c>
      <c r="AH4" s="339">
        <v>0</v>
      </c>
      <c r="AI4" s="339">
        <v>0</v>
      </c>
      <c r="AJ4" s="339">
        <v>0</v>
      </c>
      <c r="AK4" s="339">
        <v>0</v>
      </c>
      <c r="AL4" s="339">
        <v>0</v>
      </c>
      <c r="AM4" s="340">
        <v>120000</v>
      </c>
      <c r="AN4" s="340">
        <v>117828.07</v>
      </c>
      <c r="AO4" s="340">
        <v>117951.33</v>
      </c>
      <c r="AP4" s="340">
        <v>140206.63</v>
      </c>
      <c r="AQ4" s="340">
        <v>150855.82999999999</v>
      </c>
      <c r="AR4" s="340">
        <v>148393.17000000001</v>
      </c>
      <c r="AS4" s="340">
        <v>171615.52</v>
      </c>
      <c r="AT4" s="340">
        <v>171628.13</v>
      </c>
      <c r="AU4" s="339">
        <v>199989.14</v>
      </c>
      <c r="AV4" s="339">
        <v>214620.13</v>
      </c>
      <c r="AW4" s="339">
        <v>214986.46</v>
      </c>
      <c r="AX4" s="339">
        <v>237099.6</v>
      </c>
      <c r="AY4" s="339">
        <v>248211.86</v>
      </c>
      <c r="AZ4" s="339">
        <v>236915.45</v>
      </c>
      <c r="BA4" s="339">
        <v>254536.06</v>
      </c>
      <c r="BB4" s="339">
        <v>248974.9</v>
      </c>
      <c r="BC4" s="339">
        <v>245530.4</v>
      </c>
      <c r="BD4" s="339">
        <v>235892.49</v>
      </c>
      <c r="BE4" s="339">
        <v>210817.08</v>
      </c>
      <c r="BF4" s="339">
        <v>258231.01</v>
      </c>
      <c r="BG4" s="339">
        <v>209992</v>
      </c>
      <c r="BH4" s="339">
        <v>209613.12</v>
      </c>
      <c r="BI4" s="339">
        <v>689074.29</v>
      </c>
      <c r="BJ4" s="339">
        <v>691017.71</v>
      </c>
      <c r="BK4" s="339">
        <v>697475.64</v>
      </c>
      <c r="BL4" s="339">
        <v>701732.01</v>
      </c>
      <c r="BM4" s="339">
        <v>709805.97</v>
      </c>
      <c r="BN4" s="339">
        <v>719672.68</v>
      </c>
      <c r="BO4" s="339">
        <v>717360.89</v>
      </c>
      <c r="BP4" s="339">
        <v>722848.36</v>
      </c>
      <c r="BQ4" s="339">
        <v>744427.34</v>
      </c>
      <c r="BR4" s="339">
        <v>752272.27</v>
      </c>
      <c r="BS4" s="339">
        <v>764710.32</v>
      </c>
      <c r="BT4" s="339">
        <v>785604.92</v>
      </c>
      <c r="BU4" s="339">
        <v>800837.41</v>
      </c>
      <c r="BV4" s="339">
        <v>807773.22</v>
      </c>
      <c r="BW4" s="339">
        <v>807773.22</v>
      </c>
      <c r="BX4" s="339">
        <v>817740.04</v>
      </c>
      <c r="BY4" s="339">
        <v>798392.52</v>
      </c>
      <c r="BZ4" s="339">
        <v>800618.61</v>
      </c>
      <c r="CA4" s="339">
        <v>814987.04</v>
      </c>
      <c r="CB4" s="339">
        <v>839929.71</v>
      </c>
      <c r="CC4" s="339">
        <v>0</v>
      </c>
      <c r="CD4" s="339">
        <v>0</v>
      </c>
      <c r="CE4" s="339">
        <v>0</v>
      </c>
      <c r="CF4" s="339">
        <v>0</v>
      </c>
      <c r="CG4" s="339">
        <v>0</v>
      </c>
      <c r="CH4" s="339">
        <v>0</v>
      </c>
      <c r="CI4" s="339">
        <v>0</v>
      </c>
      <c r="CJ4" s="339">
        <v>0</v>
      </c>
      <c r="CK4" s="339">
        <v>0</v>
      </c>
    </row>
    <row r="5" spans="1:89" ht="15.75" customHeight="1">
      <c r="A5" s="332" t="s">
        <v>3607</v>
      </c>
      <c r="B5" s="345" t="s">
        <v>3613</v>
      </c>
      <c r="C5" s="346" t="s">
        <v>3614</v>
      </c>
      <c r="D5" s="9" t="s">
        <v>19</v>
      </c>
      <c r="E5" s="9" t="s">
        <v>20</v>
      </c>
      <c r="F5" s="342" t="s">
        <v>210</v>
      </c>
      <c r="G5" s="123" t="s">
        <v>3575</v>
      </c>
      <c r="H5" s="334" t="s">
        <v>152</v>
      </c>
      <c r="I5" s="24" t="s">
        <v>25</v>
      </c>
      <c r="J5" s="9" t="str">
        <f t="shared" si="0"/>
        <v>Não</v>
      </c>
      <c r="K5" s="298">
        <v>45107</v>
      </c>
      <c r="L5" s="343"/>
      <c r="M5" s="125" t="s">
        <v>42</v>
      </c>
      <c r="N5" s="301">
        <v>1.2E-2</v>
      </c>
      <c r="O5" s="6" t="s">
        <v>25</v>
      </c>
      <c r="P5" s="11">
        <v>0</v>
      </c>
      <c r="Q5" s="332"/>
      <c r="R5" s="28"/>
      <c r="S5" s="7" t="s">
        <v>145</v>
      </c>
      <c r="T5" s="342" t="s">
        <v>3615</v>
      </c>
      <c r="U5" s="344" t="s">
        <v>20</v>
      </c>
      <c r="V5" s="337" t="e">
        <f t="shared" ca="1" si="1"/>
        <v>#NAME?</v>
      </c>
      <c r="W5" s="7"/>
      <c r="X5" s="7"/>
      <c r="Y5" s="7" t="s">
        <v>253</v>
      </c>
      <c r="Z5" s="338"/>
      <c r="AA5" s="347">
        <v>45107</v>
      </c>
      <c r="AB5" s="338">
        <v>49075100015287</v>
      </c>
      <c r="AC5" s="339"/>
      <c r="AD5" s="339"/>
      <c r="AE5" s="339"/>
      <c r="AF5" s="339"/>
      <c r="AG5" s="339"/>
      <c r="AH5" s="339"/>
      <c r="AI5" s="339"/>
      <c r="AJ5" s="339"/>
      <c r="AK5" s="339"/>
      <c r="AL5" s="339"/>
      <c r="AM5" s="340"/>
      <c r="AN5" s="340"/>
      <c r="AO5" s="340"/>
      <c r="AP5" s="340"/>
      <c r="AQ5" s="340"/>
      <c r="AR5" s="340"/>
      <c r="AS5" s="340"/>
      <c r="AT5" s="340"/>
      <c r="AU5" s="339"/>
      <c r="AV5" s="339"/>
      <c r="AW5" s="339"/>
      <c r="AX5" s="339"/>
      <c r="AY5" s="339"/>
      <c r="AZ5" s="339"/>
      <c r="BA5" s="339"/>
      <c r="BB5" s="339"/>
      <c r="BC5" s="339"/>
      <c r="BD5" s="339"/>
      <c r="BE5" s="339"/>
      <c r="BF5" s="339"/>
      <c r="BG5" s="339"/>
      <c r="BH5" s="339"/>
      <c r="BI5" s="339"/>
      <c r="BJ5" s="339"/>
      <c r="BK5" s="339"/>
      <c r="BL5" s="339"/>
      <c r="BM5" s="339"/>
      <c r="BN5" s="339"/>
      <c r="BO5" s="339"/>
      <c r="BP5" s="339"/>
      <c r="BQ5" s="339"/>
      <c r="BR5" s="339"/>
      <c r="BS5" s="339"/>
      <c r="BT5" s="339"/>
      <c r="BU5" s="339"/>
      <c r="BV5" s="339">
        <v>110430.21</v>
      </c>
      <c r="BW5" s="339">
        <v>110430.21</v>
      </c>
      <c r="BX5" s="339">
        <v>111796.7</v>
      </c>
      <c r="BY5" s="339">
        <v>117723.31</v>
      </c>
      <c r="BZ5" s="339">
        <v>118564.24</v>
      </c>
      <c r="CA5" s="339">
        <v>123445.88</v>
      </c>
      <c r="CB5" s="339">
        <v>124184.08</v>
      </c>
      <c r="CC5" s="339">
        <v>125268.94</v>
      </c>
      <c r="CD5" s="339">
        <v>126358.95</v>
      </c>
      <c r="CE5" s="339">
        <v>127359.83</v>
      </c>
      <c r="CF5" s="339">
        <v>128402.04</v>
      </c>
      <c r="CG5" s="339">
        <v>129442.46</v>
      </c>
      <c r="CH5" s="339">
        <v>130436.62</v>
      </c>
      <c r="CI5" s="339">
        <v>131303.6</v>
      </c>
      <c r="CJ5" s="339">
        <v>132261.51999999999</v>
      </c>
      <c r="CK5" s="339">
        <v>133269.07</v>
      </c>
    </row>
    <row r="6" spans="1:89" ht="15.75" hidden="1" customHeight="1">
      <c r="A6" s="332" t="s">
        <v>3607</v>
      </c>
      <c r="B6" s="338" t="s">
        <v>3616</v>
      </c>
      <c r="C6" s="341" t="s">
        <v>3617</v>
      </c>
      <c r="D6" s="9" t="s">
        <v>19</v>
      </c>
      <c r="E6" s="9" t="s">
        <v>20</v>
      </c>
      <c r="F6" s="300" t="s">
        <v>3618</v>
      </c>
      <c r="G6" s="123" t="s">
        <v>3575</v>
      </c>
      <c r="H6" s="334" t="s">
        <v>143</v>
      </c>
      <c r="I6" s="24" t="s">
        <v>25</v>
      </c>
      <c r="J6" s="9" t="str">
        <f t="shared" si="0"/>
        <v>Sim</v>
      </c>
      <c r="K6" s="298">
        <v>43759</v>
      </c>
      <c r="L6" s="343"/>
      <c r="M6" s="300" t="s">
        <v>345</v>
      </c>
      <c r="N6" s="301">
        <v>0.02</v>
      </c>
      <c r="O6" s="6" t="s">
        <v>37</v>
      </c>
      <c r="P6" s="11">
        <v>0.2</v>
      </c>
      <c r="Q6" s="33" t="s">
        <v>3619</v>
      </c>
      <c r="R6" s="28"/>
      <c r="S6" s="7" t="s">
        <v>145</v>
      </c>
      <c r="T6" s="300" t="s">
        <v>3620</v>
      </c>
      <c r="U6" s="344" t="s">
        <v>20</v>
      </c>
      <c r="V6" s="337" t="e">
        <f t="shared" ca="1" si="1"/>
        <v>#NAME?</v>
      </c>
      <c r="W6" s="7"/>
      <c r="X6" s="7"/>
      <c r="Y6" s="7" t="s">
        <v>253</v>
      </c>
      <c r="Z6" s="338"/>
      <c r="AA6" s="338"/>
      <c r="AB6" s="338"/>
      <c r="AC6" s="339">
        <v>4987.96</v>
      </c>
      <c r="AD6" s="339">
        <v>5039.5200000000004</v>
      </c>
      <c r="AE6" s="340">
        <v>5153.8900000000003</v>
      </c>
      <c r="AF6" s="340">
        <v>5136.17</v>
      </c>
      <c r="AG6" s="340">
        <v>4895.74</v>
      </c>
      <c r="AH6" s="340">
        <v>4349.46</v>
      </c>
      <c r="AI6" s="340">
        <v>4454.04</v>
      </c>
      <c r="AJ6" s="340">
        <v>4521.5600000000004</v>
      </c>
      <c r="AK6" s="340">
        <v>4694.08</v>
      </c>
      <c r="AL6" s="340">
        <v>4862.8999999999996</v>
      </c>
      <c r="AM6" s="340">
        <v>4816.16</v>
      </c>
      <c r="AN6" s="340">
        <v>4647.29</v>
      </c>
      <c r="AO6" s="340">
        <v>4642.1499999999996</v>
      </c>
      <c r="AP6" s="340">
        <v>4910.84</v>
      </c>
      <c r="AQ6" s="340">
        <v>5055.8</v>
      </c>
      <c r="AR6" s="340">
        <v>4973.2</v>
      </c>
      <c r="AS6" s="340">
        <v>4874.09</v>
      </c>
      <c r="AT6" s="340">
        <v>4907.6499999999996</v>
      </c>
      <c r="AU6" s="339">
        <v>5004.75</v>
      </c>
      <c r="AV6" s="339">
        <v>5046.1499999999996</v>
      </c>
      <c r="AW6" s="339">
        <v>5038.6400000000003</v>
      </c>
      <c r="AX6" s="339">
        <v>5045.8999999999996</v>
      </c>
      <c r="AY6" s="339">
        <v>55.75</v>
      </c>
      <c r="AZ6" s="339"/>
      <c r="BA6" s="339"/>
      <c r="BB6" s="339"/>
      <c r="BC6" s="339"/>
      <c r="BD6" s="339"/>
      <c r="BE6" s="339"/>
      <c r="BF6" s="339"/>
      <c r="BG6" s="339"/>
      <c r="BH6" s="339">
        <v>0</v>
      </c>
      <c r="BI6" s="339"/>
      <c r="BJ6" s="339" t="s">
        <v>2932</v>
      </c>
      <c r="BK6" s="339"/>
      <c r="BL6" s="339"/>
      <c r="BM6" s="339"/>
      <c r="BN6" s="339">
        <v>0</v>
      </c>
      <c r="BO6" s="339"/>
      <c r="BP6" s="339"/>
      <c r="BQ6" s="339"/>
      <c r="BR6" s="339"/>
      <c r="BS6" s="339"/>
      <c r="BT6" s="339"/>
      <c r="BU6" s="339"/>
      <c r="BV6" s="339"/>
      <c r="BW6" s="339">
        <v>0</v>
      </c>
      <c r="BX6" s="339">
        <v>0</v>
      </c>
      <c r="BY6" s="339">
        <v>0</v>
      </c>
      <c r="BZ6" s="339">
        <v>0</v>
      </c>
      <c r="CA6" s="339">
        <v>0</v>
      </c>
      <c r="CB6" s="348">
        <v>0</v>
      </c>
      <c r="CC6" s="339">
        <v>0</v>
      </c>
      <c r="CD6" s="339">
        <v>0</v>
      </c>
      <c r="CE6" s="339">
        <v>0</v>
      </c>
      <c r="CF6" s="339">
        <v>0</v>
      </c>
      <c r="CG6" s="339">
        <v>0</v>
      </c>
      <c r="CH6" s="339">
        <v>0</v>
      </c>
      <c r="CI6" s="339">
        <v>0</v>
      </c>
      <c r="CJ6" s="339">
        <v>0</v>
      </c>
      <c r="CK6" s="339">
        <v>0</v>
      </c>
    </row>
    <row r="7" spans="1:89" ht="15.75" hidden="1" customHeight="1">
      <c r="A7" s="332" t="s">
        <v>3607</v>
      </c>
      <c r="B7" s="338" t="s">
        <v>3621</v>
      </c>
      <c r="C7" s="341" t="s">
        <v>3622</v>
      </c>
      <c r="D7" s="9" t="s">
        <v>19</v>
      </c>
      <c r="E7" s="9" t="s">
        <v>20</v>
      </c>
      <c r="F7" s="342" t="s">
        <v>449</v>
      </c>
      <c r="G7" s="123" t="s">
        <v>3575</v>
      </c>
      <c r="H7" s="334" t="s">
        <v>161</v>
      </c>
      <c r="I7" s="24" t="s">
        <v>25</v>
      </c>
      <c r="J7" s="9" t="str">
        <f t="shared" si="0"/>
        <v>Não</v>
      </c>
      <c r="K7" s="298">
        <v>43686</v>
      </c>
      <c r="L7" s="343"/>
      <c r="M7" s="300" t="s">
        <v>87</v>
      </c>
      <c r="N7" s="349">
        <v>0.02</v>
      </c>
      <c r="O7" s="6" t="s">
        <v>183</v>
      </c>
      <c r="P7" s="11">
        <v>0.2</v>
      </c>
      <c r="Q7" s="332"/>
      <c r="R7" s="28"/>
      <c r="S7" s="7" t="s">
        <v>145</v>
      </c>
      <c r="T7" s="300" t="s">
        <v>2992</v>
      </c>
      <c r="U7" s="344" t="s">
        <v>886</v>
      </c>
      <c r="V7" s="337" t="e">
        <f t="shared" ca="1" si="1"/>
        <v>#NAME?</v>
      </c>
      <c r="W7" s="7"/>
      <c r="X7" s="7"/>
      <c r="Y7" s="7" t="s">
        <v>253</v>
      </c>
      <c r="Z7" s="338"/>
      <c r="AA7" s="338"/>
      <c r="AB7" s="338"/>
      <c r="AC7" s="339">
        <v>0</v>
      </c>
      <c r="AD7" s="339">
        <v>0</v>
      </c>
      <c r="AE7" s="340">
        <v>0</v>
      </c>
      <c r="AF7" s="340">
        <v>0</v>
      </c>
      <c r="AG7" s="340">
        <v>0</v>
      </c>
      <c r="AH7" s="340">
        <v>0</v>
      </c>
      <c r="AI7" s="340">
        <v>0</v>
      </c>
      <c r="AJ7" s="340">
        <v>0</v>
      </c>
      <c r="AK7" s="340">
        <v>0</v>
      </c>
      <c r="AL7" s="340">
        <v>0</v>
      </c>
      <c r="AM7" s="340"/>
      <c r="AN7" s="340">
        <v>0</v>
      </c>
      <c r="AO7" s="340">
        <v>0</v>
      </c>
      <c r="AP7" s="340"/>
      <c r="AQ7" s="350"/>
      <c r="AR7" s="350">
        <v>0</v>
      </c>
      <c r="AS7" s="350"/>
      <c r="AT7" s="350"/>
      <c r="AU7" s="350"/>
      <c r="AV7" s="350"/>
      <c r="AW7" s="350">
        <v>0</v>
      </c>
      <c r="AX7" s="340"/>
      <c r="AY7" s="350"/>
      <c r="AZ7" s="340"/>
      <c r="BA7" s="340"/>
      <c r="BB7" s="340"/>
      <c r="BC7" s="340"/>
      <c r="BD7" s="340"/>
      <c r="BE7" s="340"/>
      <c r="BF7" s="340"/>
      <c r="BG7" s="340">
        <v>0</v>
      </c>
      <c r="BH7" s="340">
        <v>0</v>
      </c>
      <c r="BI7" s="340"/>
      <c r="BJ7" s="340" t="s">
        <v>2932</v>
      </c>
      <c r="BK7" s="340"/>
      <c r="BL7" s="339"/>
      <c r="BM7" s="339"/>
      <c r="BN7" s="339">
        <v>0</v>
      </c>
      <c r="BO7" s="339"/>
      <c r="BP7" s="339"/>
      <c r="BQ7" s="339"/>
      <c r="BR7" s="339"/>
      <c r="BS7" s="339"/>
      <c r="BT7" s="339"/>
      <c r="BU7" s="339"/>
      <c r="BV7" s="339"/>
      <c r="BW7" s="339">
        <v>0</v>
      </c>
      <c r="BX7" s="339">
        <v>0</v>
      </c>
      <c r="BY7" s="339">
        <v>0</v>
      </c>
      <c r="BZ7" s="339">
        <v>0</v>
      </c>
      <c r="CA7" s="339">
        <v>0</v>
      </c>
      <c r="CB7" s="339">
        <v>0</v>
      </c>
      <c r="CC7" s="339">
        <v>0</v>
      </c>
      <c r="CD7" s="339">
        <v>0</v>
      </c>
      <c r="CE7" s="339">
        <v>0</v>
      </c>
      <c r="CF7" s="339">
        <v>0</v>
      </c>
      <c r="CG7" s="339">
        <v>0</v>
      </c>
      <c r="CH7" s="339">
        <v>0</v>
      </c>
      <c r="CI7" s="339">
        <v>0</v>
      </c>
      <c r="CJ7" s="339">
        <v>0</v>
      </c>
      <c r="CK7" s="339">
        <v>0</v>
      </c>
    </row>
    <row r="8" spans="1:89" ht="15.75" hidden="1" customHeight="1">
      <c r="A8" s="332" t="s">
        <v>3607</v>
      </c>
      <c r="B8" s="351" t="s">
        <v>510</v>
      </c>
      <c r="C8" s="341" t="s">
        <v>3623</v>
      </c>
      <c r="D8" s="9" t="s">
        <v>19</v>
      </c>
      <c r="E8" s="9" t="s">
        <v>20</v>
      </c>
      <c r="F8" s="342" t="s">
        <v>199</v>
      </c>
      <c r="G8" s="123" t="s">
        <v>3575</v>
      </c>
      <c r="H8" s="334" t="s">
        <v>161</v>
      </c>
      <c r="I8" s="24" t="s">
        <v>162</v>
      </c>
      <c r="J8" s="9" t="str">
        <f>IF(R8=0,"Não","Sim")</f>
        <v>Sim</v>
      </c>
      <c r="K8" s="298">
        <v>43934</v>
      </c>
      <c r="L8" s="343"/>
      <c r="M8" s="300" t="s">
        <v>345</v>
      </c>
      <c r="N8" s="301">
        <v>0.02</v>
      </c>
      <c r="O8" s="6" t="s">
        <v>37</v>
      </c>
      <c r="P8" s="11">
        <v>0.2</v>
      </c>
      <c r="Q8" s="332"/>
      <c r="R8" s="352" t="s">
        <v>3624</v>
      </c>
      <c r="S8" s="7" t="s">
        <v>145</v>
      </c>
      <c r="T8" s="300" t="s">
        <v>512</v>
      </c>
      <c r="U8" s="344" t="s">
        <v>20</v>
      </c>
      <c r="V8" s="337" t="e">
        <f t="shared" ca="1" si="1"/>
        <v>#NAME?</v>
      </c>
      <c r="W8" s="7"/>
      <c r="X8" s="7"/>
      <c r="Y8" s="7" t="s">
        <v>253</v>
      </c>
      <c r="Z8" s="338"/>
      <c r="AA8" s="338"/>
      <c r="AB8" s="338"/>
      <c r="AC8" s="339">
        <v>0</v>
      </c>
      <c r="AD8" s="339">
        <v>0</v>
      </c>
      <c r="AE8" s="340">
        <v>0</v>
      </c>
      <c r="AF8" s="340">
        <v>0</v>
      </c>
      <c r="AG8" s="340">
        <v>0</v>
      </c>
      <c r="AH8" s="340">
        <v>0</v>
      </c>
      <c r="AI8" s="340">
        <v>198532.35</v>
      </c>
      <c r="AJ8" s="340">
        <v>200529.88</v>
      </c>
      <c r="AK8" s="340">
        <v>205168.39</v>
      </c>
      <c r="AL8" s="340">
        <v>213829.98</v>
      </c>
      <c r="AM8" s="340">
        <v>187848.55</v>
      </c>
      <c r="AN8" s="340">
        <v>174344.73</v>
      </c>
      <c r="AO8" s="340">
        <v>166428.38</v>
      </c>
      <c r="AP8" s="340">
        <v>188027.13</v>
      </c>
      <c r="AQ8" s="340">
        <v>194461.93</v>
      </c>
      <c r="AR8" s="340">
        <v>185425.29</v>
      </c>
      <c r="AS8" s="340">
        <v>172948.62</v>
      </c>
      <c r="AT8" s="340">
        <v>172028.87</v>
      </c>
      <c r="AU8" s="339">
        <v>188472.31</v>
      </c>
      <c r="AV8" s="339">
        <v>324026.19</v>
      </c>
      <c r="AW8" s="339">
        <v>324564.13</v>
      </c>
      <c r="AX8" s="339">
        <v>346831.26</v>
      </c>
      <c r="AY8" s="340">
        <v>340509.38</v>
      </c>
      <c r="AZ8" s="340">
        <v>337088.71</v>
      </c>
      <c r="BA8" s="340">
        <v>323344.58</v>
      </c>
      <c r="BB8" s="340">
        <v>256752.44</v>
      </c>
      <c r="BC8" s="340">
        <v>222781.82</v>
      </c>
      <c r="BD8" s="340">
        <v>199036.78</v>
      </c>
      <c r="BE8" s="340">
        <v>217354.12</v>
      </c>
      <c r="BF8" s="340">
        <v>238771.9</v>
      </c>
      <c r="BG8" s="340">
        <v>216488.31</v>
      </c>
      <c r="BH8" s="340">
        <v>211368.95999999999</v>
      </c>
      <c r="BI8" s="340">
        <v>211692.9</v>
      </c>
      <c r="BJ8" s="340">
        <v>205428.81</v>
      </c>
      <c r="BK8" s="340">
        <v>213872.48</v>
      </c>
      <c r="BL8" s="339">
        <v>216201.72</v>
      </c>
      <c r="BM8" s="339">
        <v>221755.58</v>
      </c>
      <c r="BN8" s="339">
        <v>232860.98</v>
      </c>
      <c r="BO8" s="339">
        <v>226603.36</v>
      </c>
      <c r="BP8" s="339">
        <v>240596.62</v>
      </c>
      <c r="BQ8" s="339">
        <v>220563</v>
      </c>
      <c r="BR8" s="339">
        <v>220713.5</v>
      </c>
      <c r="BS8" s="339">
        <v>222820.29</v>
      </c>
      <c r="BT8" s="339">
        <v>223093.59</v>
      </c>
      <c r="BU8" s="339">
        <v>225951.9</v>
      </c>
      <c r="BV8" s="339">
        <v>230485.87</v>
      </c>
      <c r="BW8" s="339">
        <v>230485.87</v>
      </c>
      <c r="BX8" s="339">
        <v>235650.07</v>
      </c>
      <c r="BY8" s="339">
        <v>243881.08</v>
      </c>
      <c r="BZ8" s="339">
        <v>234936.15</v>
      </c>
      <c r="CA8" s="339">
        <v>239749.64</v>
      </c>
      <c r="CB8" s="339">
        <v>253213.06</v>
      </c>
      <c r="CC8" s="339">
        <v>233920</v>
      </c>
      <c r="CD8" s="339">
        <v>270614.46000000002</v>
      </c>
      <c r="CE8" s="339">
        <v>217850.43</v>
      </c>
      <c r="CF8" s="339">
        <v>1685.37</v>
      </c>
      <c r="CG8" s="339">
        <v>0</v>
      </c>
      <c r="CH8" s="339">
        <v>0</v>
      </c>
      <c r="CI8" s="339">
        <v>0</v>
      </c>
      <c r="CJ8" s="339">
        <v>0</v>
      </c>
      <c r="CK8" s="339">
        <v>0</v>
      </c>
    </row>
    <row r="9" spans="1:89" ht="15.75" hidden="1" customHeight="1">
      <c r="A9" s="332" t="s">
        <v>3607</v>
      </c>
      <c r="B9" s="338" t="s">
        <v>3024</v>
      </c>
      <c r="C9" s="341" t="s">
        <v>3625</v>
      </c>
      <c r="D9" s="9" t="s">
        <v>19</v>
      </c>
      <c r="E9" s="9" t="s">
        <v>20</v>
      </c>
      <c r="F9" s="342" t="s">
        <v>3072</v>
      </c>
      <c r="G9" s="123" t="s">
        <v>3575</v>
      </c>
      <c r="H9" s="334" t="s">
        <v>161</v>
      </c>
      <c r="I9" s="24" t="s">
        <v>25</v>
      </c>
      <c r="J9" s="9" t="str">
        <f t="shared" ref="J9:J17" si="2">IF(Q9=0,"Não","Sim")</f>
        <v>Sim</v>
      </c>
      <c r="K9" s="298">
        <v>43663</v>
      </c>
      <c r="L9" s="343"/>
      <c r="M9" s="300" t="s">
        <v>345</v>
      </c>
      <c r="N9" s="349">
        <v>0.01</v>
      </c>
      <c r="O9" s="6" t="s">
        <v>37</v>
      </c>
      <c r="P9" s="11">
        <v>0.15</v>
      </c>
      <c r="Q9" s="33" t="s">
        <v>3619</v>
      </c>
      <c r="R9" s="69"/>
      <c r="S9" s="7" t="s">
        <v>145</v>
      </c>
      <c r="T9" s="300" t="s">
        <v>3026</v>
      </c>
      <c r="U9" s="344" t="s">
        <v>20</v>
      </c>
      <c r="V9" s="337" t="e">
        <f t="shared" ca="1" si="1"/>
        <v>#NAME?</v>
      </c>
      <c r="W9" s="7"/>
      <c r="X9" s="7"/>
      <c r="Y9" s="7" t="s">
        <v>253</v>
      </c>
      <c r="Z9" s="338"/>
      <c r="AA9" s="338"/>
      <c r="AB9" s="338"/>
      <c r="AC9" s="339">
        <v>0</v>
      </c>
      <c r="AD9" s="339">
        <v>0</v>
      </c>
      <c r="AE9" s="340">
        <v>0</v>
      </c>
      <c r="AF9" s="340">
        <v>0</v>
      </c>
      <c r="AG9" s="340">
        <v>0</v>
      </c>
      <c r="AH9" s="340">
        <v>0</v>
      </c>
      <c r="AI9" s="340">
        <v>0</v>
      </c>
      <c r="AJ9" s="340">
        <v>0</v>
      </c>
      <c r="AK9" s="340">
        <v>0</v>
      </c>
      <c r="AL9" s="340">
        <v>0</v>
      </c>
      <c r="AM9" s="340"/>
      <c r="AN9" s="340">
        <v>0</v>
      </c>
      <c r="AO9" s="340">
        <v>0</v>
      </c>
      <c r="AP9" s="340"/>
      <c r="AQ9" s="340"/>
      <c r="AR9" s="340">
        <v>0</v>
      </c>
      <c r="AS9" s="340"/>
      <c r="AT9" s="340"/>
      <c r="AU9" s="340"/>
      <c r="AV9" s="340"/>
      <c r="AW9" s="340">
        <v>0</v>
      </c>
      <c r="AX9" s="340"/>
      <c r="AY9" s="340"/>
      <c r="AZ9" s="340"/>
      <c r="BA9" s="340"/>
      <c r="BB9" s="340"/>
      <c r="BC9" s="340"/>
      <c r="BD9" s="340"/>
      <c r="BE9" s="340"/>
      <c r="BF9" s="340"/>
      <c r="BG9" s="340">
        <v>0</v>
      </c>
      <c r="BH9" s="340">
        <v>0</v>
      </c>
      <c r="BI9" s="340"/>
      <c r="BJ9" s="340" t="s">
        <v>2932</v>
      </c>
      <c r="BK9" s="340"/>
      <c r="BL9" s="339"/>
      <c r="BM9" s="339"/>
      <c r="BN9" s="339"/>
      <c r="BO9" s="339"/>
      <c r="BP9" s="339"/>
      <c r="BQ9" s="339"/>
      <c r="BR9" s="339"/>
      <c r="BS9" s="339"/>
      <c r="BT9" s="339"/>
      <c r="BU9" s="339"/>
      <c r="BV9" s="339"/>
      <c r="BW9" s="339">
        <v>0</v>
      </c>
      <c r="BX9" s="339">
        <v>0</v>
      </c>
      <c r="BY9" s="339">
        <v>0</v>
      </c>
      <c r="BZ9" s="339">
        <v>0</v>
      </c>
      <c r="CA9" s="339">
        <v>0</v>
      </c>
      <c r="CB9" s="339">
        <v>0</v>
      </c>
      <c r="CC9" s="339">
        <v>0</v>
      </c>
      <c r="CD9" s="339">
        <v>0</v>
      </c>
      <c r="CE9" s="339">
        <v>0</v>
      </c>
      <c r="CF9" s="339">
        <v>0</v>
      </c>
      <c r="CG9" s="339">
        <v>0</v>
      </c>
      <c r="CH9" s="339">
        <v>0</v>
      </c>
      <c r="CI9" s="339">
        <v>0</v>
      </c>
      <c r="CJ9" s="339">
        <v>0</v>
      </c>
      <c r="CK9" s="339">
        <v>0</v>
      </c>
    </row>
    <row r="10" spans="1:89" ht="15.75" hidden="1" customHeight="1">
      <c r="A10" s="332" t="s">
        <v>3607</v>
      </c>
      <c r="B10" s="338" t="s">
        <v>3626</v>
      </c>
      <c r="C10" s="346" t="s">
        <v>3627</v>
      </c>
      <c r="D10" s="9" t="s">
        <v>19</v>
      </c>
      <c r="E10" s="9" t="s">
        <v>20</v>
      </c>
      <c r="F10" s="342" t="s">
        <v>3072</v>
      </c>
      <c r="G10" s="123" t="s">
        <v>3575</v>
      </c>
      <c r="H10" s="334" t="s">
        <v>161</v>
      </c>
      <c r="I10" s="24" t="s">
        <v>25</v>
      </c>
      <c r="J10" s="9" t="str">
        <f t="shared" si="2"/>
        <v>Não</v>
      </c>
      <c r="K10" s="298">
        <v>43864</v>
      </c>
      <c r="L10" s="343"/>
      <c r="M10" s="300" t="s">
        <v>200</v>
      </c>
      <c r="N10" s="349">
        <v>1E-4</v>
      </c>
      <c r="O10" s="6" t="s">
        <v>25</v>
      </c>
      <c r="P10" s="11">
        <v>0</v>
      </c>
      <c r="Q10" s="332"/>
      <c r="R10" s="69"/>
      <c r="S10" s="7" t="s">
        <v>145</v>
      </c>
      <c r="T10" s="300" t="s">
        <v>3628</v>
      </c>
      <c r="U10" s="344" t="s">
        <v>20</v>
      </c>
      <c r="V10" s="337" t="e">
        <f t="shared" ca="1" si="1"/>
        <v>#NAME?</v>
      </c>
      <c r="W10" s="7"/>
      <c r="X10" s="7"/>
      <c r="Y10" s="7" t="s">
        <v>253</v>
      </c>
      <c r="Z10" s="338"/>
      <c r="AA10" s="338"/>
      <c r="AB10" s="338"/>
      <c r="AC10" s="339">
        <v>0</v>
      </c>
      <c r="AD10" s="339">
        <v>0</v>
      </c>
      <c r="AE10" s="340">
        <v>0</v>
      </c>
      <c r="AF10" s="340">
        <v>0</v>
      </c>
      <c r="AG10" s="340">
        <v>257539.37</v>
      </c>
      <c r="AH10" s="340">
        <v>248290.05</v>
      </c>
      <c r="AI10" s="340">
        <v>257290.32</v>
      </c>
      <c r="AJ10" s="340">
        <v>261574.77</v>
      </c>
      <c r="AK10" s="340">
        <v>265766.68</v>
      </c>
      <c r="AL10" s="340">
        <v>270591.32</v>
      </c>
      <c r="AM10" s="340">
        <v>266448.06</v>
      </c>
      <c r="AN10" s="340">
        <v>258292.02</v>
      </c>
      <c r="AO10" s="340">
        <v>258061.12</v>
      </c>
      <c r="AP10" s="340">
        <v>276790.53000000003</v>
      </c>
      <c r="AQ10" s="340">
        <v>284352.65999999997</v>
      </c>
      <c r="AR10" s="340">
        <v>276673.82</v>
      </c>
      <c r="AS10" s="340">
        <v>268457.18</v>
      </c>
      <c r="AT10" s="340">
        <v>267932.75</v>
      </c>
      <c r="AU10" s="339">
        <v>280352.87</v>
      </c>
      <c r="AV10" s="339">
        <v>276492.88</v>
      </c>
      <c r="AW10" s="339">
        <v>276542.40999999997</v>
      </c>
      <c r="AX10" s="339">
        <v>280807.88</v>
      </c>
      <c r="AY10" s="339">
        <v>280244.33</v>
      </c>
      <c r="AZ10" s="339">
        <v>277956.49</v>
      </c>
      <c r="BA10" s="339">
        <v>275858.09999999998</v>
      </c>
      <c r="BB10" s="339">
        <v>270518.24</v>
      </c>
      <c r="BC10" s="339">
        <v>266140.43</v>
      </c>
      <c r="BD10" s="339">
        <v>257981.5</v>
      </c>
      <c r="BE10" s="339">
        <v>266871.09999999998</v>
      </c>
      <c r="BF10" s="339">
        <v>276031.84999999998</v>
      </c>
      <c r="BG10" s="339">
        <v>280031.89</v>
      </c>
      <c r="BH10" s="339">
        <v>280789.90999999997</v>
      </c>
      <c r="BI10" s="339">
        <v>284504.27</v>
      </c>
      <c r="BJ10" s="339">
        <v>116971.52</v>
      </c>
      <c r="BK10" s="339">
        <v>694.79</v>
      </c>
      <c r="BL10" s="339">
        <v>849.9</v>
      </c>
      <c r="BM10" s="339">
        <v>849.9</v>
      </c>
      <c r="BN10" s="339">
        <v>0</v>
      </c>
      <c r="BO10" s="339"/>
      <c r="BP10" s="339"/>
      <c r="BQ10" s="339"/>
      <c r="BR10" s="339"/>
      <c r="BS10" s="339"/>
      <c r="BT10" s="339"/>
      <c r="BU10" s="339"/>
      <c r="BV10" s="339"/>
      <c r="BW10" s="339">
        <v>0</v>
      </c>
      <c r="BX10" s="339">
        <v>0</v>
      </c>
      <c r="BY10" s="339">
        <v>0</v>
      </c>
      <c r="BZ10" s="339">
        <v>0</v>
      </c>
      <c r="CA10" s="339">
        <v>0</v>
      </c>
      <c r="CB10" s="339">
        <v>0</v>
      </c>
      <c r="CC10" s="339">
        <v>0</v>
      </c>
      <c r="CD10" s="339">
        <v>0</v>
      </c>
      <c r="CE10" s="339">
        <v>0</v>
      </c>
      <c r="CF10" s="339">
        <v>0</v>
      </c>
      <c r="CG10" s="339">
        <v>0</v>
      </c>
      <c r="CH10" s="339">
        <v>0</v>
      </c>
      <c r="CI10" s="339">
        <v>0</v>
      </c>
      <c r="CJ10" s="339">
        <v>0</v>
      </c>
      <c r="CK10" s="339">
        <v>0</v>
      </c>
    </row>
    <row r="11" spans="1:89" ht="15.75" hidden="1" customHeight="1">
      <c r="A11" s="332" t="s">
        <v>3607</v>
      </c>
      <c r="B11" s="338" t="s">
        <v>3629</v>
      </c>
      <c r="C11" s="346" t="s">
        <v>3630</v>
      </c>
      <c r="D11" s="9" t="s">
        <v>19</v>
      </c>
      <c r="E11" s="9" t="s">
        <v>20</v>
      </c>
      <c r="F11" s="342" t="s">
        <v>19</v>
      </c>
      <c r="G11" s="123" t="s">
        <v>3575</v>
      </c>
      <c r="H11" s="334" t="s">
        <v>161</v>
      </c>
      <c r="I11" s="24" t="s">
        <v>25</v>
      </c>
      <c r="J11" s="9" t="str">
        <f t="shared" si="2"/>
        <v>Não</v>
      </c>
      <c r="K11" s="298">
        <v>44062</v>
      </c>
      <c r="L11" s="343"/>
      <c r="M11" s="300" t="s">
        <v>200</v>
      </c>
      <c r="N11" s="349">
        <v>1.4999999999999999E-2</v>
      </c>
      <c r="O11" s="6" t="s">
        <v>25</v>
      </c>
      <c r="P11" s="11">
        <v>0</v>
      </c>
      <c r="Q11" s="332"/>
      <c r="R11" s="28"/>
      <c r="S11" s="7" t="s">
        <v>145</v>
      </c>
      <c r="T11" s="300" t="s">
        <v>3631</v>
      </c>
      <c r="U11" s="344" t="s">
        <v>20</v>
      </c>
      <c r="V11" s="337" t="e">
        <f t="shared" ca="1" si="1"/>
        <v>#NAME?</v>
      </c>
      <c r="W11" s="7"/>
      <c r="X11" s="7"/>
      <c r="Y11" s="7" t="s">
        <v>253</v>
      </c>
      <c r="Z11" s="338"/>
      <c r="AA11" s="338"/>
      <c r="AB11" s="338"/>
      <c r="AC11" s="339">
        <v>0</v>
      </c>
      <c r="AD11" s="339">
        <v>0</v>
      </c>
      <c r="AE11" s="339">
        <v>0</v>
      </c>
      <c r="AF11" s="339">
        <v>0</v>
      </c>
      <c r="AG11" s="339">
        <v>0</v>
      </c>
      <c r="AH11" s="339">
        <v>0</v>
      </c>
      <c r="AI11" s="339">
        <v>0</v>
      </c>
      <c r="AJ11" s="339">
        <v>0</v>
      </c>
      <c r="AK11" s="339">
        <v>0</v>
      </c>
      <c r="AL11" s="339">
        <v>0</v>
      </c>
      <c r="AM11" s="339">
        <v>180093.37</v>
      </c>
      <c r="AN11" s="339">
        <v>172792.99</v>
      </c>
      <c r="AO11" s="339">
        <v>172710.75</v>
      </c>
      <c r="AP11" s="339">
        <v>177927.11</v>
      </c>
      <c r="AQ11" s="339">
        <v>181504.78</v>
      </c>
      <c r="AR11" s="339">
        <v>177719.78</v>
      </c>
      <c r="AS11" s="339">
        <v>164338.46</v>
      </c>
      <c r="AT11" s="339">
        <v>163504.22</v>
      </c>
      <c r="AU11" s="339">
        <v>105356.68</v>
      </c>
      <c r="AV11" s="339">
        <v>71410.36</v>
      </c>
      <c r="AW11" s="339">
        <v>71700.88</v>
      </c>
      <c r="AX11" s="339">
        <v>66430.759999999995</v>
      </c>
      <c r="AY11" s="339">
        <v>66648.36</v>
      </c>
      <c r="AZ11" s="339">
        <v>53190.78</v>
      </c>
      <c r="BA11" s="339">
        <v>49858.559999999998</v>
      </c>
      <c r="BB11" s="339">
        <v>49187.42</v>
      </c>
      <c r="BC11" s="339">
        <v>37247.040000000001</v>
      </c>
      <c r="BD11" s="339">
        <v>28733.39</v>
      </c>
      <c r="BE11" s="339">
        <v>28963.08</v>
      </c>
      <c r="BF11" s="339">
        <v>22571.29</v>
      </c>
      <c r="BG11" s="339">
        <v>19775.150000000001</v>
      </c>
      <c r="BH11" s="339">
        <v>14460.46</v>
      </c>
      <c r="BI11" s="339">
        <v>15287.31</v>
      </c>
      <c r="BJ11" s="339">
        <v>11673.3</v>
      </c>
      <c r="BK11" s="339">
        <v>3549.51</v>
      </c>
      <c r="BL11" s="339">
        <v>3049</v>
      </c>
      <c r="BM11" s="339">
        <v>0</v>
      </c>
      <c r="BN11" s="339">
        <v>0</v>
      </c>
      <c r="BO11" s="339"/>
      <c r="BP11" s="339"/>
      <c r="BQ11" s="339"/>
      <c r="BR11" s="339"/>
      <c r="BS11" s="339"/>
      <c r="BT11" s="339"/>
      <c r="BU11" s="339"/>
      <c r="BV11" s="339"/>
      <c r="BW11" s="339">
        <v>0</v>
      </c>
      <c r="BX11" s="339">
        <v>0</v>
      </c>
      <c r="BY11" s="339">
        <v>0</v>
      </c>
      <c r="BZ11" s="339">
        <v>0</v>
      </c>
      <c r="CA11" s="339">
        <v>0</v>
      </c>
      <c r="CB11" s="339">
        <v>0</v>
      </c>
      <c r="CC11" s="339">
        <v>0</v>
      </c>
      <c r="CD11" s="339">
        <v>0</v>
      </c>
      <c r="CE11" s="339">
        <v>0</v>
      </c>
      <c r="CF11" s="339">
        <v>0</v>
      </c>
      <c r="CG11" s="339">
        <v>0</v>
      </c>
      <c r="CH11" s="339">
        <v>0</v>
      </c>
      <c r="CI11" s="339">
        <v>0</v>
      </c>
      <c r="CJ11" s="339">
        <v>0</v>
      </c>
      <c r="CK11" s="339">
        <v>0</v>
      </c>
    </row>
    <row r="12" spans="1:89" ht="15.75" hidden="1" customHeight="1">
      <c r="A12" s="332" t="s">
        <v>3607</v>
      </c>
      <c r="B12" s="338" t="s">
        <v>3632</v>
      </c>
      <c r="C12" s="346" t="s">
        <v>3633</v>
      </c>
      <c r="D12" s="9" t="s">
        <v>64</v>
      </c>
      <c r="E12" s="9" t="s">
        <v>20</v>
      </c>
      <c r="F12" s="342" t="s">
        <v>3634</v>
      </c>
      <c r="G12" s="123" t="s">
        <v>3575</v>
      </c>
      <c r="H12" s="334" t="s">
        <v>143</v>
      </c>
      <c r="I12" s="24" t="s">
        <v>25</v>
      </c>
      <c r="J12" s="9" t="str">
        <f t="shared" si="2"/>
        <v>Não</v>
      </c>
      <c r="K12" s="298">
        <v>44774</v>
      </c>
      <c r="L12" s="343">
        <v>44942</v>
      </c>
      <c r="M12" s="300" t="s">
        <v>200</v>
      </c>
      <c r="N12" s="349">
        <v>1.4999999999999999E-2</v>
      </c>
      <c r="O12" s="6" t="s">
        <v>25</v>
      </c>
      <c r="P12" s="11">
        <v>0</v>
      </c>
      <c r="Q12" s="332"/>
      <c r="R12" s="303"/>
      <c r="S12" s="7" t="s">
        <v>145</v>
      </c>
      <c r="T12" s="300" t="s">
        <v>3635</v>
      </c>
      <c r="U12" s="344" t="s">
        <v>20</v>
      </c>
      <c r="V12" s="337" t="e">
        <f t="shared" ca="1" si="1"/>
        <v>#NAME?</v>
      </c>
      <c r="W12" s="7"/>
      <c r="X12" s="7"/>
      <c r="Y12" s="7" t="s">
        <v>253</v>
      </c>
      <c r="Z12" s="338"/>
      <c r="AA12" s="338"/>
      <c r="AB12" s="338"/>
      <c r="AC12" s="339"/>
      <c r="AD12" s="339"/>
      <c r="AE12" s="340"/>
      <c r="AF12" s="340"/>
      <c r="AG12" s="340"/>
      <c r="AH12" s="340"/>
      <c r="AI12" s="340"/>
      <c r="AJ12" s="340"/>
      <c r="AK12" s="340"/>
      <c r="AL12" s="340"/>
      <c r="AM12" s="340"/>
      <c r="AN12" s="340"/>
      <c r="AO12" s="340"/>
      <c r="AP12" s="340"/>
      <c r="AQ12" s="340"/>
      <c r="AR12" s="340"/>
      <c r="AS12" s="340"/>
      <c r="AT12" s="340"/>
      <c r="AU12" s="340"/>
      <c r="AV12" s="340"/>
      <c r="AW12" s="340"/>
      <c r="AX12" s="340"/>
      <c r="AY12" s="340"/>
      <c r="AZ12" s="340"/>
      <c r="BA12" s="340"/>
      <c r="BB12" s="340"/>
      <c r="BC12" s="340"/>
      <c r="BD12" s="340"/>
      <c r="BE12" s="340"/>
      <c r="BF12" s="340"/>
      <c r="BG12" s="340"/>
      <c r="BH12" s="340"/>
      <c r="BI12" s="340"/>
      <c r="BJ12" s="340"/>
      <c r="BK12" s="340"/>
      <c r="BL12" s="339"/>
      <c r="BM12" s="339">
        <v>1029046.34</v>
      </c>
      <c r="BN12" s="339">
        <v>1125492.29</v>
      </c>
      <c r="BO12" s="339">
        <v>1115086.74</v>
      </c>
      <c r="BP12" s="339">
        <v>1126305.3</v>
      </c>
      <c r="BQ12" s="339">
        <v>0</v>
      </c>
      <c r="BR12" s="339">
        <v>0</v>
      </c>
      <c r="BS12" s="339"/>
      <c r="BT12" s="339"/>
      <c r="BU12" s="339"/>
      <c r="BV12" s="339"/>
      <c r="BW12" s="339">
        <v>0</v>
      </c>
      <c r="BX12" s="339">
        <v>0</v>
      </c>
      <c r="BY12" s="339">
        <v>0</v>
      </c>
      <c r="BZ12" s="339">
        <v>0</v>
      </c>
      <c r="CA12" s="339">
        <v>0</v>
      </c>
      <c r="CB12" s="339">
        <v>0</v>
      </c>
      <c r="CC12" s="339">
        <v>0</v>
      </c>
      <c r="CD12" s="339">
        <v>0</v>
      </c>
      <c r="CE12" s="339">
        <v>0</v>
      </c>
      <c r="CF12" s="339">
        <v>0</v>
      </c>
      <c r="CG12" s="339">
        <v>0</v>
      </c>
      <c r="CH12" s="339">
        <v>0</v>
      </c>
      <c r="CI12" s="339">
        <v>0</v>
      </c>
      <c r="CJ12" s="339">
        <v>0</v>
      </c>
      <c r="CK12" s="339">
        <v>0</v>
      </c>
    </row>
    <row r="13" spans="1:89" ht="15.75" hidden="1" customHeight="1">
      <c r="A13" s="332" t="s">
        <v>3607</v>
      </c>
      <c r="B13" s="338" t="s">
        <v>3636</v>
      </c>
      <c r="C13" s="346" t="s">
        <v>3637</v>
      </c>
      <c r="D13" s="9" t="s">
        <v>19</v>
      </c>
      <c r="E13" s="9" t="s">
        <v>20</v>
      </c>
      <c r="F13" s="342" t="s">
        <v>3072</v>
      </c>
      <c r="G13" s="123" t="s">
        <v>3575</v>
      </c>
      <c r="H13" s="334" t="s">
        <v>143</v>
      </c>
      <c r="I13" s="24" t="s">
        <v>25</v>
      </c>
      <c r="J13" s="9" t="str">
        <f t="shared" si="2"/>
        <v>Não</v>
      </c>
      <c r="K13" s="298" t="s">
        <v>3638</v>
      </c>
      <c r="L13" s="343"/>
      <c r="M13" s="300" t="s">
        <v>200</v>
      </c>
      <c r="N13" s="349">
        <v>1.4999999999999999E-2</v>
      </c>
      <c r="O13" s="6" t="s">
        <v>25</v>
      </c>
      <c r="P13" s="11">
        <v>0</v>
      </c>
      <c r="Q13" s="332"/>
      <c r="R13" s="28"/>
      <c r="S13" s="7" t="s">
        <v>145</v>
      </c>
      <c r="T13" s="300" t="s">
        <v>3639</v>
      </c>
      <c r="U13" s="344" t="s">
        <v>20</v>
      </c>
      <c r="V13" s="337" t="e">
        <f t="shared" ca="1" si="1"/>
        <v>#NAME?</v>
      </c>
      <c r="W13" s="7"/>
      <c r="X13" s="7"/>
      <c r="Y13" s="7" t="s">
        <v>253</v>
      </c>
      <c r="Z13" s="338"/>
      <c r="AA13" s="338"/>
      <c r="AB13" s="338"/>
      <c r="AC13" s="339">
        <v>0</v>
      </c>
      <c r="AD13" s="339">
        <v>0</v>
      </c>
      <c r="AE13" s="340">
        <v>0</v>
      </c>
      <c r="AF13" s="340">
        <v>0</v>
      </c>
      <c r="AG13" s="340">
        <v>0</v>
      </c>
      <c r="AH13" s="340">
        <v>0</v>
      </c>
      <c r="AI13" s="340">
        <v>0</v>
      </c>
      <c r="AJ13" s="340">
        <v>0</v>
      </c>
      <c r="AK13" s="340">
        <v>0</v>
      </c>
      <c r="AL13" s="340">
        <v>0</v>
      </c>
      <c r="AM13" s="340"/>
      <c r="AN13" s="340">
        <v>0</v>
      </c>
      <c r="AO13" s="340">
        <v>0</v>
      </c>
      <c r="AP13" s="340"/>
      <c r="AQ13" s="340"/>
      <c r="AR13" s="340">
        <v>0</v>
      </c>
      <c r="AS13" s="340"/>
      <c r="AT13" s="340"/>
      <c r="AU13" s="340"/>
      <c r="AV13" s="340"/>
      <c r="AW13" s="340">
        <v>0</v>
      </c>
      <c r="AX13" s="340"/>
      <c r="AY13" s="340"/>
      <c r="AZ13" s="340"/>
      <c r="BA13" s="340"/>
      <c r="BB13" s="340"/>
      <c r="BC13" s="340"/>
      <c r="BD13" s="340"/>
      <c r="BE13" s="340"/>
      <c r="BF13" s="340"/>
      <c r="BG13" s="340">
        <v>0</v>
      </c>
      <c r="BH13" s="340">
        <v>0</v>
      </c>
      <c r="BI13" s="340"/>
      <c r="BJ13" s="340" t="s">
        <v>2932</v>
      </c>
      <c r="BK13" s="340"/>
      <c r="BL13" s="339"/>
      <c r="BM13" s="339"/>
      <c r="BN13" s="339">
        <v>0</v>
      </c>
      <c r="BO13" s="339"/>
      <c r="BP13" s="339"/>
      <c r="BQ13" s="339"/>
      <c r="BR13" s="339"/>
      <c r="BS13" s="339"/>
      <c r="BT13" s="339"/>
      <c r="BU13" s="339"/>
      <c r="BV13" s="339"/>
      <c r="BW13" s="339">
        <v>0</v>
      </c>
      <c r="BX13" s="339">
        <v>0</v>
      </c>
      <c r="BY13" s="339">
        <v>0</v>
      </c>
      <c r="BZ13" s="339">
        <v>0</v>
      </c>
      <c r="CA13" s="339">
        <v>0</v>
      </c>
      <c r="CB13" s="339">
        <v>0</v>
      </c>
      <c r="CC13" s="339">
        <v>0</v>
      </c>
      <c r="CD13" s="339">
        <v>0</v>
      </c>
      <c r="CE13" s="339">
        <v>0</v>
      </c>
      <c r="CF13" s="339">
        <v>0</v>
      </c>
      <c r="CG13" s="339">
        <v>0</v>
      </c>
      <c r="CH13" s="339">
        <v>0</v>
      </c>
      <c r="CI13" s="339">
        <v>0</v>
      </c>
      <c r="CJ13" s="339">
        <v>0</v>
      </c>
      <c r="CK13" s="339">
        <v>0</v>
      </c>
    </row>
    <row r="14" spans="1:89" ht="15.75" hidden="1" customHeight="1">
      <c r="A14" s="332" t="s">
        <v>3607</v>
      </c>
      <c r="B14" s="338" t="s">
        <v>1069</v>
      </c>
      <c r="C14" s="341" t="s">
        <v>3640</v>
      </c>
      <c r="D14" s="9" t="s">
        <v>19</v>
      </c>
      <c r="E14" s="9" t="s">
        <v>20</v>
      </c>
      <c r="F14" s="342" t="s">
        <v>3641</v>
      </c>
      <c r="G14" s="123" t="s">
        <v>3575</v>
      </c>
      <c r="H14" s="334" t="s">
        <v>161</v>
      </c>
      <c r="I14" s="24" t="s">
        <v>25</v>
      </c>
      <c r="J14" s="9" t="str">
        <f t="shared" si="2"/>
        <v>Sim</v>
      </c>
      <c r="K14" s="298">
        <v>45007</v>
      </c>
      <c r="L14" s="343"/>
      <c r="M14" s="300" t="s">
        <v>87</v>
      </c>
      <c r="N14" s="349">
        <v>2.3E-2</v>
      </c>
      <c r="O14" s="6" t="s">
        <v>183</v>
      </c>
      <c r="P14" s="11">
        <v>0.2</v>
      </c>
      <c r="Q14" s="332" t="s">
        <v>3642</v>
      </c>
      <c r="R14" s="92" t="s">
        <v>3643</v>
      </c>
      <c r="S14" s="7" t="s">
        <v>145</v>
      </c>
      <c r="T14" s="300" t="s">
        <v>1072</v>
      </c>
      <c r="U14" s="344" t="s">
        <v>46</v>
      </c>
      <c r="V14" s="337" t="e">
        <f t="shared" ca="1" si="1"/>
        <v>#NAME?</v>
      </c>
      <c r="W14" s="7"/>
      <c r="X14" s="7"/>
      <c r="Y14" s="7" t="s">
        <v>253</v>
      </c>
      <c r="Z14" s="338"/>
      <c r="AA14" s="338"/>
      <c r="AB14" s="338"/>
      <c r="AC14" s="339"/>
      <c r="AD14" s="339"/>
      <c r="AE14" s="340"/>
      <c r="AF14" s="340"/>
      <c r="AG14" s="340"/>
      <c r="AH14" s="340"/>
      <c r="AI14" s="340"/>
      <c r="AJ14" s="340"/>
      <c r="AK14" s="340"/>
      <c r="AL14" s="340"/>
      <c r="AM14" s="340"/>
      <c r="AN14" s="340"/>
      <c r="AO14" s="340"/>
      <c r="AP14" s="340"/>
      <c r="AQ14" s="340"/>
      <c r="AR14" s="340"/>
      <c r="AS14" s="340"/>
      <c r="AT14" s="340"/>
      <c r="AU14" s="339"/>
      <c r="AV14" s="339"/>
      <c r="AW14" s="339"/>
      <c r="AX14" s="339"/>
      <c r="AY14" s="339"/>
      <c r="AZ14" s="339"/>
      <c r="BA14" s="339"/>
      <c r="BB14" s="339"/>
      <c r="BC14" s="339"/>
      <c r="BD14" s="339"/>
      <c r="BE14" s="339"/>
      <c r="BF14" s="339"/>
      <c r="BG14" s="339"/>
      <c r="BH14" s="339"/>
      <c r="BI14" s="339"/>
      <c r="BJ14" s="339"/>
      <c r="BK14" s="339"/>
      <c r="BL14" s="339"/>
      <c r="BM14" s="339"/>
      <c r="BN14" s="339"/>
      <c r="BO14" s="339"/>
      <c r="BP14" s="339"/>
      <c r="BQ14" s="339"/>
      <c r="BR14" s="339"/>
      <c r="BS14" s="339">
        <v>1205260.3999999999</v>
      </c>
      <c r="BT14" s="339">
        <v>1179376.51</v>
      </c>
      <c r="BU14" s="339">
        <v>1205168.45</v>
      </c>
      <c r="BV14" s="339">
        <v>1226959.18</v>
      </c>
      <c r="BW14" s="339">
        <v>1226959.18</v>
      </c>
      <c r="BX14" s="339">
        <v>200884.45</v>
      </c>
      <c r="BY14" s="339">
        <v>84820.52</v>
      </c>
      <c r="BZ14" s="339">
        <v>0</v>
      </c>
      <c r="CA14" s="339">
        <v>0</v>
      </c>
      <c r="CB14" s="339">
        <v>0</v>
      </c>
      <c r="CC14" s="339">
        <v>0</v>
      </c>
      <c r="CD14" s="339">
        <v>0</v>
      </c>
      <c r="CE14" s="339">
        <v>0</v>
      </c>
      <c r="CF14" s="339">
        <v>0</v>
      </c>
      <c r="CG14" s="339">
        <v>0</v>
      </c>
      <c r="CH14" s="339">
        <v>0</v>
      </c>
      <c r="CI14" s="339">
        <v>0</v>
      </c>
      <c r="CJ14" s="339">
        <v>0</v>
      </c>
      <c r="CK14" s="339">
        <v>0</v>
      </c>
    </row>
    <row r="15" spans="1:89" ht="15.75" hidden="1" customHeight="1">
      <c r="A15" s="332" t="s">
        <v>3607</v>
      </c>
      <c r="B15" s="338" t="s">
        <v>3644</v>
      </c>
      <c r="C15" s="341" t="s">
        <v>3645</v>
      </c>
      <c r="D15" s="9" t="s">
        <v>2923</v>
      </c>
      <c r="E15" s="9" t="s">
        <v>20</v>
      </c>
      <c r="F15" s="342" t="s">
        <v>2923</v>
      </c>
      <c r="G15" s="123" t="s">
        <v>3575</v>
      </c>
      <c r="H15" s="334" t="s">
        <v>161</v>
      </c>
      <c r="I15" s="24" t="s">
        <v>25</v>
      </c>
      <c r="J15" s="9" t="str">
        <f t="shared" si="2"/>
        <v>Não</v>
      </c>
      <c r="K15" s="298">
        <v>44014</v>
      </c>
      <c r="L15" s="343"/>
      <c r="M15" s="300" t="s">
        <v>87</v>
      </c>
      <c r="N15" s="349">
        <v>2.5000000000000001E-2</v>
      </c>
      <c r="O15" s="6" t="s">
        <v>183</v>
      </c>
      <c r="P15" s="11">
        <v>0.2</v>
      </c>
      <c r="Q15" s="332"/>
      <c r="R15" s="353"/>
      <c r="S15" s="7" t="s">
        <v>145</v>
      </c>
      <c r="T15" s="300" t="s">
        <v>3646</v>
      </c>
      <c r="U15" s="344" t="s">
        <v>3647</v>
      </c>
      <c r="V15" s="337" t="e">
        <f t="shared" ca="1" si="1"/>
        <v>#NAME?</v>
      </c>
      <c r="W15" s="7"/>
      <c r="X15" s="7"/>
      <c r="Y15" s="7" t="s">
        <v>253</v>
      </c>
      <c r="Z15" s="338"/>
      <c r="AA15" s="338"/>
      <c r="AB15" s="338"/>
      <c r="AC15" s="339">
        <v>0</v>
      </c>
      <c r="AD15" s="339"/>
      <c r="AE15" s="340"/>
      <c r="AF15" s="340"/>
      <c r="AG15" s="340"/>
      <c r="AH15" s="340"/>
      <c r="AI15" s="340">
        <v>0</v>
      </c>
      <c r="AJ15" s="340">
        <v>0</v>
      </c>
      <c r="AK15" s="340">
        <v>150000</v>
      </c>
      <c r="AL15" s="340">
        <v>154085.03</v>
      </c>
      <c r="AM15" s="340">
        <v>147704.92000000001</v>
      </c>
      <c r="AN15" s="340">
        <v>135094.54999999999</v>
      </c>
      <c r="AO15" s="340">
        <v>133801.09</v>
      </c>
      <c r="AP15" s="340">
        <v>157134.19</v>
      </c>
      <c r="AQ15" s="340">
        <v>164046.07</v>
      </c>
      <c r="AR15" s="340">
        <v>153189.97</v>
      </c>
      <c r="AS15" s="340">
        <v>143688.57</v>
      </c>
      <c r="AT15" s="340">
        <v>142786.18</v>
      </c>
      <c r="AU15" s="339">
        <v>166210.28</v>
      </c>
      <c r="AV15" s="339">
        <v>153449.98000000001</v>
      </c>
      <c r="AW15" s="339">
        <v>154013.12</v>
      </c>
      <c r="AX15" s="339">
        <v>159213.93</v>
      </c>
      <c r="AY15" s="339">
        <v>155185.38</v>
      </c>
      <c r="AZ15" s="339">
        <v>151604.09</v>
      </c>
      <c r="BA15" s="339">
        <v>147449.72</v>
      </c>
      <c r="BB15" s="339">
        <v>138631.81</v>
      </c>
      <c r="BC15" s="339">
        <v>130862.98</v>
      </c>
      <c r="BD15" s="339">
        <v>117364.76</v>
      </c>
      <c r="BE15" s="339">
        <v>115166.78</v>
      </c>
      <c r="BF15" s="339">
        <v>104163.54</v>
      </c>
      <c r="BG15" s="339">
        <v>107429.62</v>
      </c>
      <c r="BH15" s="339">
        <v>79074.94</v>
      </c>
      <c r="BI15" s="339">
        <v>78299.41</v>
      </c>
      <c r="BJ15" s="339">
        <v>73645.94</v>
      </c>
      <c r="BK15" s="339">
        <v>77808.429999999993</v>
      </c>
      <c r="BL15" s="339">
        <v>78780.62</v>
      </c>
      <c r="BM15" s="339">
        <v>81729.710000000006</v>
      </c>
      <c r="BN15" s="339">
        <v>88108.56</v>
      </c>
      <c r="BO15" s="339">
        <v>84233.05</v>
      </c>
      <c r="BP15" s="339">
        <v>85116.2</v>
      </c>
      <c r="BQ15" s="339">
        <v>86683.24</v>
      </c>
      <c r="BR15" s="339">
        <v>17.829999999999998</v>
      </c>
      <c r="BS15" s="339"/>
      <c r="BT15" s="339"/>
      <c r="BU15" s="339"/>
      <c r="BV15" s="339"/>
      <c r="BW15" s="339">
        <v>0</v>
      </c>
      <c r="BX15" s="339">
        <v>0</v>
      </c>
      <c r="BY15" s="339">
        <v>0</v>
      </c>
      <c r="BZ15" s="339">
        <v>0</v>
      </c>
      <c r="CA15" s="339">
        <v>0</v>
      </c>
      <c r="CB15" s="339">
        <v>0</v>
      </c>
      <c r="CC15" s="339">
        <v>0</v>
      </c>
      <c r="CD15" s="339">
        <v>0</v>
      </c>
      <c r="CE15" s="339">
        <v>0</v>
      </c>
      <c r="CF15" s="339">
        <v>0</v>
      </c>
      <c r="CG15" s="339">
        <v>0</v>
      </c>
      <c r="CH15" s="339">
        <v>0</v>
      </c>
      <c r="CI15" s="339">
        <v>0</v>
      </c>
      <c r="CJ15" s="339">
        <v>0</v>
      </c>
      <c r="CK15" s="339">
        <v>0</v>
      </c>
    </row>
    <row r="16" spans="1:89" ht="15.75" customHeight="1">
      <c r="A16" s="332" t="s">
        <v>3607</v>
      </c>
      <c r="B16" s="338" t="s">
        <v>3648</v>
      </c>
      <c r="C16" s="341" t="s">
        <v>3649</v>
      </c>
      <c r="D16" s="9" t="s">
        <v>19</v>
      </c>
      <c r="E16" s="9" t="s">
        <v>20</v>
      </c>
      <c r="F16" s="300" t="s">
        <v>199</v>
      </c>
      <c r="G16" s="123" t="s">
        <v>3575</v>
      </c>
      <c r="H16" s="334" t="s">
        <v>152</v>
      </c>
      <c r="I16" s="24" t="s">
        <v>25</v>
      </c>
      <c r="J16" s="9" t="str">
        <f t="shared" si="2"/>
        <v>Não</v>
      </c>
      <c r="K16" s="298">
        <v>45035</v>
      </c>
      <c r="L16" s="343"/>
      <c r="M16" s="125" t="s">
        <v>42</v>
      </c>
      <c r="N16" s="301">
        <v>0.01</v>
      </c>
      <c r="O16" s="6" t="s">
        <v>25</v>
      </c>
      <c r="P16" s="11">
        <v>0</v>
      </c>
      <c r="Q16" s="332"/>
      <c r="R16" s="353"/>
      <c r="S16" s="7" t="s">
        <v>145</v>
      </c>
      <c r="T16" s="300" t="s">
        <v>3650</v>
      </c>
      <c r="U16" s="344" t="s">
        <v>20</v>
      </c>
      <c r="V16" s="337" t="e">
        <f t="shared" ca="1" si="1"/>
        <v>#NAME?</v>
      </c>
      <c r="W16" s="7"/>
      <c r="X16" s="7"/>
      <c r="Y16" s="7" t="s">
        <v>253</v>
      </c>
      <c r="Z16" s="338"/>
      <c r="AA16" s="347">
        <v>45035</v>
      </c>
      <c r="AB16" s="338">
        <v>49075100015279</v>
      </c>
      <c r="AC16" s="339"/>
      <c r="AD16" s="339"/>
      <c r="AE16" s="340"/>
      <c r="AF16" s="340"/>
      <c r="AG16" s="340"/>
      <c r="AH16" s="340"/>
      <c r="AI16" s="340"/>
      <c r="AJ16" s="340"/>
      <c r="AK16" s="340"/>
      <c r="AL16" s="340"/>
      <c r="AM16" s="340"/>
      <c r="AN16" s="340"/>
      <c r="AO16" s="340"/>
      <c r="AP16" s="340"/>
      <c r="AQ16" s="340"/>
      <c r="AR16" s="340"/>
      <c r="AS16" s="340"/>
      <c r="AT16" s="340"/>
      <c r="AU16" s="339"/>
      <c r="AV16" s="339"/>
      <c r="AW16" s="339"/>
      <c r="AX16" s="339"/>
      <c r="AY16" s="339"/>
      <c r="AZ16" s="339"/>
      <c r="BA16" s="339"/>
      <c r="BB16" s="339"/>
      <c r="BC16" s="339"/>
      <c r="BD16" s="339"/>
      <c r="BE16" s="339"/>
      <c r="BF16" s="339"/>
      <c r="BG16" s="339"/>
      <c r="BH16" s="339"/>
      <c r="BI16" s="339"/>
      <c r="BJ16" s="339"/>
      <c r="BK16" s="339"/>
      <c r="BL16" s="339"/>
      <c r="BM16" s="339"/>
      <c r="BN16" s="339"/>
      <c r="BO16" s="339"/>
      <c r="BP16" s="339"/>
      <c r="BQ16" s="339"/>
      <c r="BR16" s="339"/>
      <c r="BS16" s="339"/>
      <c r="BT16" s="339">
        <v>371768.51</v>
      </c>
      <c r="BU16" s="339">
        <v>379646.82</v>
      </c>
      <c r="BV16" s="339">
        <v>382813.53</v>
      </c>
      <c r="BW16" s="339">
        <v>382813.53</v>
      </c>
      <c r="BX16" s="339">
        <v>255436.9</v>
      </c>
      <c r="BY16" s="339">
        <v>394999.15</v>
      </c>
      <c r="BZ16" s="339">
        <v>388198.78</v>
      </c>
      <c r="CA16" s="339">
        <v>387360.16</v>
      </c>
      <c r="CB16" s="339">
        <v>409108.56</v>
      </c>
      <c r="CC16" s="339">
        <v>398920.33</v>
      </c>
      <c r="CD16" s="339">
        <v>402253.42</v>
      </c>
      <c r="CE16" s="339">
        <v>404282.86</v>
      </c>
      <c r="CF16" s="339">
        <v>403154.29</v>
      </c>
      <c r="CG16" s="339">
        <v>404274.79</v>
      </c>
      <c r="CH16" s="339">
        <v>407067.26</v>
      </c>
      <c r="CI16" s="339">
        <v>411286.81</v>
      </c>
      <c r="CJ16" s="339">
        <v>415456.38</v>
      </c>
      <c r="CK16" s="339">
        <v>416967.11</v>
      </c>
    </row>
    <row r="17" spans="1:89" ht="15.75" hidden="1" customHeight="1">
      <c r="A17" s="332" t="s">
        <v>3607</v>
      </c>
      <c r="B17" s="338" t="s">
        <v>3651</v>
      </c>
      <c r="C17" s="341" t="s">
        <v>3652</v>
      </c>
      <c r="D17" s="9" t="s">
        <v>19</v>
      </c>
      <c r="E17" s="9" t="s">
        <v>20</v>
      </c>
      <c r="F17" s="300" t="s">
        <v>3653</v>
      </c>
      <c r="G17" s="123" t="s">
        <v>3575</v>
      </c>
      <c r="H17" s="334" t="s">
        <v>143</v>
      </c>
      <c r="I17" s="24" t="s">
        <v>25</v>
      </c>
      <c r="J17" s="9" t="str">
        <f t="shared" si="2"/>
        <v>Não</v>
      </c>
      <c r="K17" s="298">
        <v>43864</v>
      </c>
      <c r="L17" s="343">
        <v>44657</v>
      </c>
      <c r="M17" s="300" t="s">
        <v>200</v>
      </c>
      <c r="N17" s="301">
        <v>1.4999999999999999E-2</v>
      </c>
      <c r="O17" s="6" t="s">
        <v>25</v>
      </c>
      <c r="P17" s="11">
        <v>0</v>
      </c>
      <c r="Q17" s="332"/>
      <c r="R17" s="28"/>
      <c r="S17" s="7" t="s">
        <v>145</v>
      </c>
      <c r="T17" s="300" t="s">
        <v>3654</v>
      </c>
      <c r="U17" s="344" t="s">
        <v>20</v>
      </c>
      <c r="V17" s="337" t="e">
        <f t="shared" ca="1" si="1"/>
        <v>#NAME?</v>
      </c>
      <c r="W17" s="7"/>
      <c r="X17" s="7"/>
      <c r="Y17" s="7" t="s">
        <v>253</v>
      </c>
      <c r="Z17" s="338"/>
      <c r="AA17" s="338"/>
      <c r="AB17" s="338"/>
      <c r="AC17" s="339">
        <v>0</v>
      </c>
      <c r="AD17" s="339">
        <v>0</v>
      </c>
      <c r="AE17" s="340">
        <v>0</v>
      </c>
      <c r="AF17" s="340">
        <v>0</v>
      </c>
      <c r="AG17" s="340">
        <v>104973.36</v>
      </c>
      <c r="AH17" s="340">
        <v>101864.78</v>
      </c>
      <c r="AI17" s="340">
        <v>127584.03</v>
      </c>
      <c r="AJ17" s="340">
        <v>135425.65</v>
      </c>
      <c r="AK17" s="340">
        <v>136310.79999999999</v>
      </c>
      <c r="AL17" s="340">
        <v>151459.68</v>
      </c>
      <c r="AM17" s="340">
        <v>163953.76999999999</v>
      </c>
      <c r="AN17" s="340">
        <v>161726.32999999999</v>
      </c>
      <c r="AO17" s="340">
        <v>163166.59</v>
      </c>
      <c r="AP17" s="340">
        <v>182933.93</v>
      </c>
      <c r="AQ17" s="340">
        <v>196792.23</v>
      </c>
      <c r="AR17" s="340">
        <v>192130.07</v>
      </c>
      <c r="AS17" s="340">
        <v>219192.57</v>
      </c>
      <c r="AT17" s="340">
        <v>233942.68</v>
      </c>
      <c r="AU17" s="339">
        <v>251640.58</v>
      </c>
      <c r="AV17" s="339">
        <v>255338.79</v>
      </c>
      <c r="AW17" s="339">
        <v>255534.55</v>
      </c>
      <c r="AX17" s="339">
        <v>267655.2</v>
      </c>
      <c r="AY17" s="339">
        <v>271824.26</v>
      </c>
      <c r="AZ17" s="339">
        <v>275531.76</v>
      </c>
      <c r="BA17" s="339">
        <v>287563.8</v>
      </c>
      <c r="BB17" s="339">
        <v>288866.78999999998</v>
      </c>
      <c r="BC17" s="339">
        <v>290267.07</v>
      </c>
      <c r="BD17" s="339">
        <v>282479.37</v>
      </c>
      <c r="BE17" s="339">
        <v>266283.28999999998</v>
      </c>
      <c r="BF17" s="339">
        <v>344975.72</v>
      </c>
      <c r="BG17" s="339">
        <v>328438.90000000002</v>
      </c>
      <c r="BH17" s="339">
        <v>0</v>
      </c>
      <c r="BI17" s="339"/>
      <c r="BJ17" s="339" t="s">
        <v>2932</v>
      </c>
      <c r="BK17" s="339"/>
      <c r="BL17" s="339"/>
      <c r="BM17" s="339"/>
      <c r="BN17" s="339">
        <v>0</v>
      </c>
      <c r="BO17" s="339"/>
      <c r="BP17" s="339"/>
      <c r="BQ17" s="339"/>
      <c r="BR17" s="339"/>
      <c r="BS17" s="339"/>
      <c r="BT17" s="339"/>
      <c r="BU17" s="339"/>
      <c r="BV17" s="339"/>
      <c r="BW17" s="339">
        <v>0</v>
      </c>
      <c r="BX17" s="339">
        <v>0</v>
      </c>
      <c r="BY17" s="339">
        <v>0</v>
      </c>
      <c r="BZ17" s="339">
        <v>0</v>
      </c>
      <c r="CA17" s="339">
        <v>0</v>
      </c>
      <c r="CB17" s="348">
        <v>0</v>
      </c>
      <c r="CC17" s="339">
        <v>0</v>
      </c>
      <c r="CD17" s="339">
        <v>0</v>
      </c>
      <c r="CE17" s="339">
        <v>0</v>
      </c>
      <c r="CF17" s="339">
        <v>0</v>
      </c>
      <c r="CG17" s="339">
        <v>0</v>
      </c>
      <c r="CH17" s="339">
        <v>0</v>
      </c>
      <c r="CI17" s="339">
        <v>0</v>
      </c>
      <c r="CJ17" s="339">
        <v>0</v>
      </c>
      <c r="CK17" s="339">
        <v>0</v>
      </c>
    </row>
    <row r="18" spans="1:89" ht="15.75" customHeight="1">
      <c r="A18" s="332" t="s">
        <v>3607</v>
      </c>
      <c r="B18" s="338" t="s">
        <v>1660</v>
      </c>
      <c r="C18" s="341" t="s">
        <v>3655</v>
      </c>
      <c r="D18" s="9" t="s">
        <v>19</v>
      </c>
      <c r="E18" s="9" t="s">
        <v>20</v>
      </c>
      <c r="F18" s="342" t="s">
        <v>800</v>
      </c>
      <c r="G18" s="123" t="s">
        <v>3575</v>
      </c>
      <c r="H18" s="334" t="s">
        <v>161</v>
      </c>
      <c r="I18" s="24" t="s">
        <v>25</v>
      </c>
      <c r="J18" s="9" t="str">
        <f>IF(R18=0,"Não","Sim")</f>
        <v>Sim</v>
      </c>
      <c r="K18" s="298">
        <v>43670</v>
      </c>
      <c r="L18" s="343"/>
      <c r="M18" s="125" t="s">
        <v>42</v>
      </c>
      <c r="N18" s="349">
        <v>1.2E-2</v>
      </c>
      <c r="O18" s="6" t="s">
        <v>25</v>
      </c>
      <c r="P18" s="11">
        <v>0</v>
      </c>
      <c r="Q18" s="332"/>
      <c r="R18" s="332" t="s">
        <v>3656</v>
      </c>
      <c r="S18" s="7" t="s">
        <v>145</v>
      </c>
      <c r="T18" s="300" t="s">
        <v>1662</v>
      </c>
      <c r="U18" s="344" t="s">
        <v>20</v>
      </c>
      <c r="V18" s="337" t="e">
        <f t="shared" ca="1" si="1"/>
        <v>#NAME?</v>
      </c>
      <c r="W18" s="7"/>
      <c r="X18" s="7"/>
      <c r="Y18" s="7" t="s">
        <v>253</v>
      </c>
      <c r="Z18" s="338"/>
      <c r="AA18" s="347">
        <v>43670</v>
      </c>
      <c r="AB18" s="338">
        <v>49075100015244</v>
      </c>
      <c r="AC18" s="339">
        <v>104261.62</v>
      </c>
      <c r="AD18" s="339">
        <v>105215.56</v>
      </c>
      <c r="AE18" s="340">
        <v>107060.43</v>
      </c>
      <c r="AF18" s="340">
        <v>107393.01</v>
      </c>
      <c r="AG18" s="340">
        <v>104961.39</v>
      </c>
      <c r="AH18" s="340">
        <v>97162.13</v>
      </c>
      <c r="AI18" s="340">
        <v>99951.48</v>
      </c>
      <c r="AJ18" s="340">
        <v>100487.3</v>
      </c>
      <c r="AK18" s="340">
        <v>103517.1</v>
      </c>
      <c r="AL18" s="340">
        <v>108611.01</v>
      </c>
      <c r="AM18" s="340">
        <v>107731.68</v>
      </c>
      <c r="AN18" s="340">
        <v>104602.16</v>
      </c>
      <c r="AO18" s="340">
        <v>106975.65</v>
      </c>
      <c r="AP18" s="340">
        <v>111126.9</v>
      </c>
      <c r="AQ18" s="340">
        <v>113037.71</v>
      </c>
      <c r="AR18" s="340">
        <v>114392.79</v>
      </c>
      <c r="AS18" s="340">
        <v>111702.3</v>
      </c>
      <c r="AT18" s="340">
        <v>112210.21</v>
      </c>
      <c r="AU18" s="339">
        <v>113748.22</v>
      </c>
      <c r="AV18" s="339">
        <v>112074.27</v>
      </c>
      <c r="AW18" s="339">
        <v>112272.18</v>
      </c>
      <c r="AX18" s="339">
        <v>114083.85</v>
      </c>
      <c r="AY18" s="339">
        <v>112878.17</v>
      </c>
      <c r="AZ18" s="339">
        <v>111223.43</v>
      </c>
      <c r="BA18" s="339">
        <v>110180.15</v>
      </c>
      <c r="BB18" s="339">
        <v>41600.82</v>
      </c>
      <c r="BC18" s="339">
        <v>39335.360000000001</v>
      </c>
      <c r="BD18" s="339">
        <v>34960.370000000003</v>
      </c>
      <c r="BE18" s="339">
        <v>36605.93</v>
      </c>
      <c r="BF18" s="339">
        <v>21204.8393</v>
      </c>
      <c r="BG18" s="339">
        <v>21578.95</v>
      </c>
      <c r="BH18" s="339">
        <v>1400.73</v>
      </c>
      <c r="BI18" s="339">
        <v>1786.42</v>
      </c>
      <c r="BJ18" s="339">
        <v>1803.56</v>
      </c>
      <c r="BK18" s="339">
        <v>1866.18</v>
      </c>
      <c r="BL18" s="339">
        <v>1883.43</v>
      </c>
      <c r="BM18" s="339">
        <v>1899.61</v>
      </c>
      <c r="BN18" s="339">
        <v>0</v>
      </c>
      <c r="BO18" s="339">
        <v>1916.15</v>
      </c>
      <c r="BP18" s="339"/>
      <c r="BQ18" s="339"/>
      <c r="BR18" s="339"/>
      <c r="BS18" s="339"/>
      <c r="BT18" s="339"/>
      <c r="BU18" s="339"/>
      <c r="BV18" s="339"/>
      <c r="BW18" s="339">
        <v>0</v>
      </c>
      <c r="BX18" s="339">
        <v>0</v>
      </c>
      <c r="BY18" s="339">
        <v>0</v>
      </c>
      <c r="BZ18" s="339">
        <v>0</v>
      </c>
      <c r="CA18" s="339">
        <v>0</v>
      </c>
      <c r="CB18" s="339">
        <v>0</v>
      </c>
      <c r="CC18" s="339">
        <v>0</v>
      </c>
      <c r="CD18" s="339">
        <v>0</v>
      </c>
      <c r="CE18" s="339">
        <v>0</v>
      </c>
      <c r="CF18" s="339">
        <v>2164.2199999999998</v>
      </c>
      <c r="CG18" s="339">
        <v>2165.7600000000002</v>
      </c>
      <c r="CH18" s="339">
        <v>2179.6999999999998</v>
      </c>
      <c r="CI18" s="339">
        <v>1766.55</v>
      </c>
      <c r="CJ18" s="339">
        <v>1782.14</v>
      </c>
      <c r="CK18" s="339">
        <v>1797.04</v>
      </c>
    </row>
    <row r="19" spans="1:89" ht="15.75" hidden="1" customHeight="1">
      <c r="A19" s="332" t="s">
        <v>3607</v>
      </c>
      <c r="B19" s="338" t="s">
        <v>3657</v>
      </c>
      <c r="C19" s="341" t="s">
        <v>3658</v>
      </c>
      <c r="D19" s="9" t="s">
        <v>19</v>
      </c>
      <c r="E19" s="9" t="s">
        <v>20</v>
      </c>
      <c r="F19" s="300" t="s">
        <v>2512</v>
      </c>
      <c r="G19" s="123" t="s">
        <v>3575</v>
      </c>
      <c r="H19" s="334" t="s">
        <v>143</v>
      </c>
      <c r="I19" s="24" t="s">
        <v>25</v>
      </c>
      <c r="J19" s="9" t="str">
        <f t="shared" ref="J19:J23" si="3">IF(Q19=0,"Não","Sim")</f>
        <v>Não</v>
      </c>
      <c r="K19" s="298">
        <v>44027</v>
      </c>
      <c r="L19" s="343">
        <v>44726</v>
      </c>
      <c r="M19" s="300" t="s">
        <v>200</v>
      </c>
      <c r="N19" s="301">
        <v>1.4999999999999999E-2</v>
      </c>
      <c r="O19" s="6" t="s">
        <v>25</v>
      </c>
      <c r="P19" s="11">
        <v>0</v>
      </c>
      <c r="Q19" s="332"/>
      <c r="R19" s="28"/>
      <c r="S19" s="7" t="s">
        <v>145</v>
      </c>
      <c r="T19" s="300" t="s">
        <v>1674</v>
      </c>
      <c r="U19" s="344" t="s">
        <v>20</v>
      </c>
      <c r="V19" s="337" t="e">
        <f t="shared" ca="1" si="1"/>
        <v>#NAME?</v>
      </c>
      <c r="W19" s="7"/>
      <c r="X19" s="7"/>
      <c r="Y19" s="7" t="s">
        <v>253</v>
      </c>
      <c r="Z19" s="338"/>
      <c r="AA19" s="338"/>
      <c r="AB19" s="338"/>
      <c r="AC19" s="339">
        <v>0</v>
      </c>
      <c r="AD19" s="339">
        <v>0</v>
      </c>
      <c r="AE19" s="339">
        <v>0</v>
      </c>
      <c r="AF19" s="339">
        <v>0</v>
      </c>
      <c r="AG19" s="339">
        <v>0</v>
      </c>
      <c r="AH19" s="339">
        <v>0</v>
      </c>
      <c r="AI19" s="339">
        <v>0</v>
      </c>
      <c r="AJ19" s="339">
        <v>0</v>
      </c>
      <c r="AK19" s="339">
        <v>0</v>
      </c>
      <c r="AL19" s="339">
        <v>41914.07</v>
      </c>
      <c r="AM19" s="339">
        <v>41455.39</v>
      </c>
      <c r="AN19" s="339">
        <v>39879.279999999999</v>
      </c>
      <c r="AO19" s="339">
        <v>39588.550000000003</v>
      </c>
      <c r="AP19" s="339">
        <v>42049.01</v>
      </c>
      <c r="AQ19" s="339">
        <v>42841.95</v>
      </c>
      <c r="AR19" s="339">
        <v>41551.870000000003</v>
      </c>
      <c r="AS19" s="339">
        <v>40363.57</v>
      </c>
      <c r="AT19" s="339">
        <v>40508.92</v>
      </c>
      <c r="AU19" s="339">
        <v>41818.93</v>
      </c>
      <c r="AV19" s="339">
        <v>41644.65</v>
      </c>
      <c r="AW19" s="339">
        <v>41952.86</v>
      </c>
      <c r="AX19" s="339">
        <v>42017.63</v>
      </c>
      <c r="AY19" s="339">
        <v>41699.620000000003</v>
      </c>
      <c r="AZ19" s="339">
        <v>41630.120000000003</v>
      </c>
      <c r="BA19" s="339">
        <v>41305.019999999997</v>
      </c>
      <c r="BB19" s="339">
        <v>40684.720000000001</v>
      </c>
      <c r="BC19" s="339">
        <v>40164.19</v>
      </c>
      <c r="BD19" s="339">
        <v>38855.129999999997</v>
      </c>
      <c r="BE19" s="340">
        <v>39385.49</v>
      </c>
      <c r="BF19" s="340">
        <v>41484.639999999999</v>
      </c>
      <c r="BG19" s="340">
        <v>41919</v>
      </c>
      <c r="BH19" s="339">
        <v>41500.9</v>
      </c>
      <c r="BI19" s="339">
        <v>42223.46</v>
      </c>
      <c r="BJ19" s="339">
        <v>42005.41</v>
      </c>
      <c r="BK19" s="339"/>
      <c r="BL19" s="339"/>
      <c r="BM19" s="339"/>
      <c r="BN19" s="339">
        <v>0</v>
      </c>
      <c r="BO19" s="339"/>
      <c r="BP19" s="339"/>
      <c r="BQ19" s="339"/>
      <c r="BR19" s="339"/>
      <c r="BS19" s="339"/>
      <c r="BT19" s="339"/>
      <c r="BU19" s="339"/>
      <c r="BV19" s="339"/>
      <c r="BW19" s="339">
        <v>0</v>
      </c>
      <c r="BX19" s="339">
        <v>0</v>
      </c>
      <c r="BY19" s="339">
        <v>0</v>
      </c>
      <c r="BZ19" s="339">
        <v>0</v>
      </c>
      <c r="CA19" s="339">
        <v>0</v>
      </c>
      <c r="CB19" s="348">
        <v>0</v>
      </c>
      <c r="CC19" s="339">
        <v>0</v>
      </c>
      <c r="CD19" s="339">
        <v>0</v>
      </c>
      <c r="CE19" s="339">
        <v>0</v>
      </c>
      <c r="CF19" s="339">
        <v>0</v>
      </c>
      <c r="CG19" s="339">
        <v>0</v>
      </c>
      <c r="CH19" s="339">
        <v>0</v>
      </c>
      <c r="CI19" s="339">
        <v>0</v>
      </c>
      <c r="CJ19" s="339">
        <v>0</v>
      </c>
      <c r="CK19" s="339">
        <v>0</v>
      </c>
    </row>
    <row r="20" spans="1:89" ht="15.75" hidden="1" customHeight="1">
      <c r="A20" s="332" t="s">
        <v>3607</v>
      </c>
      <c r="B20" s="338" t="s">
        <v>3659</v>
      </c>
      <c r="C20" s="341" t="s">
        <v>3660</v>
      </c>
      <c r="D20" s="9" t="s">
        <v>19</v>
      </c>
      <c r="E20" s="9" t="s">
        <v>20</v>
      </c>
      <c r="F20" s="342" t="s">
        <v>3661</v>
      </c>
      <c r="G20" s="123" t="s">
        <v>3575</v>
      </c>
      <c r="H20" s="334" t="s">
        <v>161</v>
      </c>
      <c r="I20" s="24" t="s">
        <v>25</v>
      </c>
      <c r="J20" s="9" t="str">
        <f t="shared" si="3"/>
        <v>Não</v>
      </c>
      <c r="K20" s="298">
        <v>43718</v>
      </c>
      <c r="L20" s="343"/>
      <c r="M20" s="300" t="s">
        <v>58</v>
      </c>
      <c r="N20" s="349">
        <v>5.0000000000000001E-3</v>
      </c>
      <c r="O20" s="6" t="s">
        <v>25</v>
      </c>
      <c r="P20" s="11">
        <v>0</v>
      </c>
      <c r="Q20" s="332"/>
      <c r="R20" s="28"/>
      <c r="S20" s="7" t="s">
        <v>145</v>
      </c>
      <c r="T20" s="300" t="s">
        <v>3662</v>
      </c>
      <c r="U20" s="344" t="s">
        <v>49</v>
      </c>
      <c r="V20" s="337" t="e">
        <f t="shared" ca="1" si="1"/>
        <v>#NAME?</v>
      </c>
      <c r="W20" s="7"/>
      <c r="X20" s="7"/>
      <c r="Y20" s="7" t="s">
        <v>253</v>
      </c>
      <c r="Z20" s="338"/>
      <c r="AA20" s="338"/>
      <c r="AB20" s="338"/>
      <c r="AC20" s="339">
        <v>15459.45</v>
      </c>
      <c r="AD20" s="339">
        <v>16764.63</v>
      </c>
      <c r="AE20" s="340">
        <v>16826.830000000002</v>
      </c>
      <c r="AF20" s="340">
        <v>16889.759999999998</v>
      </c>
      <c r="AG20" s="340">
        <v>16937.59</v>
      </c>
      <c r="AH20" s="340">
        <v>16839.95</v>
      </c>
      <c r="AI20" s="340">
        <v>16905.310000000001</v>
      </c>
      <c r="AJ20" s="340">
        <v>16963.98</v>
      </c>
      <c r="AK20" s="340">
        <v>17030.900000000001</v>
      </c>
      <c r="AL20" s="340">
        <v>17120.580000000002</v>
      </c>
      <c r="AM20" s="340">
        <v>17128.169999999998</v>
      </c>
      <c r="AN20" s="340">
        <v>8948.7900000000009</v>
      </c>
      <c r="AO20" s="340">
        <v>8964.9500000000007</v>
      </c>
      <c r="AP20" s="340">
        <v>8977.4699999999993</v>
      </c>
      <c r="AQ20" s="340">
        <v>8979.1299999999992</v>
      </c>
      <c r="AR20" s="340">
        <v>8994.5499999999993</v>
      </c>
      <c r="AS20" s="340">
        <v>9004.6</v>
      </c>
      <c r="AT20" s="340">
        <v>9009.94</v>
      </c>
      <c r="AU20" s="339">
        <v>9022.7800000000007</v>
      </c>
      <c r="AV20" s="339">
        <v>8952.59</v>
      </c>
      <c r="AW20" s="339">
        <v>9041.14</v>
      </c>
      <c r="AX20" s="339">
        <v>8977.5499999999993</v>
      </c>
      <c r="AY20" s="339">
        <v>9071.26</v>
      </c>
      <c r="AZ20" s="339">
        <v>9103.61</v>
      </c>
      <c r="BA20" s="339">
        <v>9135.27</v>
      </c>
      <c r="BB20" s="339">
        <v>9179.26</v>
      </c>
      <c r="BC20" s="339">
        <v>9213.2000000000007</v>
      </c>
      <c r="BD20" s="339">
        <v>9220.3799999999992</v>
      </c>
      <c r="BE20" s="339">
        <v>9304.57</v>
      </c>
      <c r="BF20" s="339"/>
      <c r="BG20" s="339">
        <v>0</v>
      </c>
      <c r="BH20" s="339">
        <v>0</v>
      </c>
      <c r="BI20" s="339"/>
      <c r="BJ20" s="339" t="s">
        <v>2932</v>
      </c>
      <c r="BK20" s="339"/>
      <c r="BL20" s="339"/>
      <c r="BM20" s="339"/>
      <c r="BN20" s="339">
        <v>0</v>
      </c>
      <c r="BO20" s="339"/>
      <c r="BP20" s="339"/>
      <c r="BQ20" s="339"/>
      <c r="BR20" s="339"/>
      <c r="BS20" s="339"/>
      <c r="BT20" s="339"/>
      <c r="BU20" s="339"/>
      <c r="BV20" s="339"/>
      <c r="BW20" s="339">
        <v>0</v>
      </c>
      <c r="BX20" s="339">
        <v>0</v>
      </c>
      <c r="BY20" s="339">
        <v>0</v>
      </c>
      <c r="BZ20" s="339">
        <v>0</v>
      </c>
      <c r="CA20" s="339">
        <v>0</v>
      </c>
      <c r="CB20" s="339">
        <v>0</v>
      </c>
      <c r="CC20" s="339">
        <v>0</v>
      </c>
      <c r="CD20" s="339">
        <v>0</v>
      </c>
      <c r="CE20" s="339">
        <v>0</v>
      </c>
      <c r="CF20" s="339">
        <v>0</v>
      </c>
      <c r="CG20" s="339">
        <v>0</v>
      </c>
      <c r="CH20" s="339">
        <v>0</v>
      </c>
      <c r="CI20" s="339">
        <v>0</v>
      </c>
      <c r="CJ20" s="339">
        <v>0</v>
      </c>
      <c r="CK20" s="339">
        <v>0</v>
      </c>
    </row>
    <row r="21" spans="1:89" ht="15.75" hidden="1" customHeight="1">
      <c r="A21" s="332" t="s">
        <v>3607</v>
      </c>
      <c r="B21" s="338" t="s">
        <v>3663</v>
      </c>
      <c r="C21" s="341" t="s">
        <v>3664</v>
      </c>
      <c r="D21" s="9" t="s">
        <v>19</v>
      </c>
      <c r="E21" s="9" t="s">
        <v>20</v>
      </c>
      <c r="F21" s="300" t="s">
        <v>800</v>
      </c>
      <c r="G21" s="123" t="s">
        <v>3575</v>
      </c>
      <c r="H21" s="334" t="s">
        <v>143</v>
      </c>
      <c r="I21" s="24" t="s">
        <v>25</v>
      </c>
      <c r="J21" s="9" t="str">
        <f t="shared" si="3"/>
        <v>Não</v>
      </c>
      <c r="K21" s="298">
        <v>43637</v>
      </c>
      <c r="L21" s="343"/>
      <c r="M21" s="300" t="s">
        <v>345</v>
      </c>
      <c r="N21" s="301">
        <v>1.4999999999999999E-2</v>
      </c>
      <c r="O21" s="6" t="s">
        <v>37</v>
      </c>
      <c r="P21" s="11">
        <v>0.2</v>
      </c>
      <c r="Q21" s="352"/>
      <c r="R21" s="33"/>
      <c r="S21" s="7" t="s">
        <v>145</v>
      </c>
      <c r="T21" s="300" t="s">
        <v>3665</v>
      </c>
      <c r="U21" s="344" t="s">
        <v>20</v>
      </c>
      <c r="V21" s="337" t="e">
        <f t="shared" ca="1" si="1"/>
        <v>#NAME?</v>
      </c>
      <c r="W21" s="7"/>
      <c r="X21" s="7"/>
      <c r="Y21" s="7" t="s">
        <v>253</v>
      </c>
      <c r="Z21" s="338"/>
      <c r="AA21" s="338"/>
      <c r="AB21" s="338"/>
      <c r="AC21" s="339">
        <v>44939.07</v>
      </c>
      <c r="AD21" s="339">
        <v>44491.05</v>
      </c>
      <c r="AE21" s="340">
        <v>45210.27</v>
      </c>
      <c r="AF21" s="340">
        <v>44582.99</v>
      </c>
      <c r="AG21" s="340">
        <v>43026.97</v>
      </c>
      <c r="AH21" s="340">
        <v>39406.51</v>
      </c>
      <c r="AI21" s="340">
        <v>40449.49</v>
      </c>
      <c r="AJ21" s="340">
        <v>40760.15</v>
      </c>
      <c r="AK21" s="340">
        <v>33110.230000000003</v>
      </c>
      <c r="AL21" s="340">
        <v>42627.71</v>
      </c>
      <c r="AM21" s="340">
        <v>50</v>
      </c>
      <c r="AN21" s="340">
        <v>0</v>
      </c>
      <c r="AO21" s="340">
        <v>0</v>
      </c>
      <c r="AP21" s="340">
        <v>0</v>
      </c>
      <c r="AQ21" s="340">
        <v>0</v>
      </c>
      <c r="AR21" s="340"/>
      <c r="AS21" s="340"/>
      <c r="AT21" s="340"/>
      <c r="AU21" s="340"/>
      <c r="AV21" s="340"/>
      <c r="AW21" s="340"/>
      <c r="AX21" s="340"/>
      <c r="AY21" s="340"/>
      <c r="AZ21" s="340"/>
      <c r="BA21" s="340"/>
      <c r="BB21" s="340"/>
      <c r="BC21" s="340"/>
      <c r="BD21" s="340"/>
      <c r="BE21" s="340"/>
      <c r="BF21" s="340"/>
      <c r="BG21" s="340"/>
      <c r="BH21" s="340">
        <v>0</v>
      </c>
      <c r="BI21" s="340"/>
      <c r="BJ21" s="340" t="s">
        <v>2932</v>
      </c>
      <c r="BK21" s="340"/>
      <c r="BL21" s="339"/>
      <c r="BM21" s="339"/>
      <c r="BN21" s="339">
        <v>0</v>
      </c>
      <c r="BO21" s="339"/>
      <c r="BP21" s="339"/>
      <c r="BQ21" s="339"/>
      <c r="BR21" s="339"/>
      <c r="BS21" s="339"/>
      <c r="BT21" s="339"/>
      <c r="BU21" s="339"/>
      <c r="BV21" s="339"/>
      <c r="BW21" s="339">
        <v>0</v>
      </c>
      <c r="BX21" s="339">
        <v>0</v>
      </c>
      <c r="BY21" s="339">
        <v>0</v>
      </c>
      <c r="BZ21" s="339">
        <v>0</v>
      </c>
      <c r="CA21" s="339">
        <v>0</v>
      </c>
      <c r="CB21" s="348">
        <v>0</v>
      </c>
      <c r="CC21" s="339">
        <v>0</v>
      </c>
      <c r="CD21" s="339">
        <v>0</v>
      </c>
      <c r="CE21" s="339">
        <v>0</v>
      </c>
      <c r="CF21" s="339">
        <v>0</v>
      </c>
      <c r="CG21" s="339">
        <v>0</v>
      </c>
      <c r="CH21" s="339">
        <v>0</v>
      </c>
      <c r="CI21" s="339">
        <v>0</v>
      </c>
      <c r="CJ21" s="339">
        <v>0</v>
      </c>
      <c r="CK21" s="339">
        <v>0</v>
      </c>
    </row>
    <row r="22" spans="1:89" ht="15.75" customHeight="1">
      <c r="A22" s="332" t="s">
        <v>3607</v>
      </c>
      <c r="B22" s="338" t="s">
        <v>3666</v>
      </c>
      <c r="C22" s="341" t="s">
        <v>3667</v>
      </c>
      <c r="D22" s="9" t="s">
        <v>19</v>
      </c>
      <c r="E22" s="9" t="s">
        <v>20</v>
      </c>
      <c r="F22" s="342" t="s">
        <v>800</v>
      </c>
      <c r="G22" s="123" t="s">
        <v>3575</v>
      </c>
      <c r="H22" s="334" t="s">
        <v>161</v>
      </c>
      <c r="I22" s="24" t="s">
        <v>25</v>
      </c>
      <c r="J22" s="9" t="str">
        <f t="shared" si="3"/>
        <v>Não</v>
      </c>
      <c r="K22" s="298">
        <v>43773</v>
      </c>
      <c r="L22" s="343"/>
      <c r="M22" s="300" t="s">
        <v>345</v>
      </c>
      <c r="N22" s="301">
        <v>0.02</v>
      </c>
      <c r="O22" s="6" t="s">
        <v>37</v>
      </c>
      <c r="P22" s="11">
        <v>0.2</v>
      </c>
      <c r="Q22" s="332"/>
      <c r="R22" s="28"/>
      <c r="S22" s="7" t="s">
        <v>145</v>
      </c>
      <c r="T22" s="300" t="s">
        <v>3668</v>
      </c>
      <c r="U22" s="344" t="s">
        <v>49</v>
      </c>
      <c r="V22" s="337" t="e">
        <f t="shared" ca="1" si="1"/>
        <v>#NAME?</v>
      </c>
      <c r="W22" s="7"/>
      <c r="X22" s="7"/>
      <c r="Y22" s="7" t="s">
        <v>253</v>
      </c>
      <c r="Z22" s="338"/>
      <c r="AA22" s="347">
        <v>43773</v>
      </c>
      <c r="AB22" s="338">
        <v>49075100015252</v>
      </c>
      <c r="AC22" s="339">
        <v>113429.14</v>
      </c>
      <c r="AD22" s="339">
        <v>114183.64</v>
      </c>
      <c r="AE22" s="340">
        <v>116025.4</v>
      </c>
      <c r="AF22" s="340">
        <v>120449.44</v>
      </c>
      <c r="AG22" s="340">
        <v>118215.01</v>
      </c>
      <c r="AH22" s="340">
        <v>110918.46</v>
      </c>
      <c r="AI22" s="340">
        <v>112836.59</v>
      </c>
      <c r="AJ22" s="340">
        <v>113344.23</v>
      </c>
      <c r="AK22" s="340">
        <v>114851.9</v>
      </c>
      <c r="AL22" s="340">
        <v>116332.45</v>
      </c>
      <c r="AM22" s="340">
        <v>115083.02</v>
      </c>
      <c r="AN22" s="340">
        <v>111436.03</v>
      </c>
      <c r="AO22" s="340">
        <v>111487.89</v>
      </c>
      <c r="AP22" s="340">
        <v>117878.87</v>
      </c>
      <c r="AQ22" s="340">
        <v>120028.19</v>
      </c>
      <c r="AR22" s="340">
        <v>117399.7</v>
      </c>
      <c r="AS22" s="340">
        <v>114686.01</v>
      </c>
      <c r="AT22" s="340">
        <v>114911.14</v>
      </c>
      <c r="AU22" s="339">
        <v>119113.19</v>
      </c>
      <c r="AV22" s="339">
        <v>117414.43</v>
      </c>
      <c r="AW22" s="339">
        <v>117587.57</v>
      </c>
      <c r="AX22" s="339">
        <v>118989.72</v>
      </c>
      <c r="AY22" s="339">
        <v>15658.02</v>
      </c>
      <c r="AZ22" s="339">
        <v>15299.08</v>
      </c>
      <c r="BA22" s="339">
        <v>15155.73</v>
      </c>
      <c r="BB22" s="339">
        <v>15062.54</v>
      </c>
      <c r="BC22" s="339">
        <v>14965.88</v>
      </c>
      <c r="BD22" s="339">
        <v>14889.51</v>
      </c>
      <c r="BE22" s="339">
        <v>14785.25</v>
      </c>
      <c r="BF22" s="339">
        <v>15774.74</v>
      </c>
      <c r="BG22" s="339">
        <v>15972</v>
      </c>
      <c r="BH22" s="340">
        <v>15571.3</v>
      </c>
      <c r="BI22" s="340">
        <v>16038.1</v>
      </c>
      <c r="BJ22" s="340">
        <v>15512.52</v>
      </c>
      <c r="BK22" s="340">
        <v>16269.78</v>
      </c>
      <c r="BL22" s="339">
        <v>16522.150000000001</v>
      </c>
      <c r="BM22" s="339">
        <v>16808.72</v>
      </c>
      <c r="BN22" s="339">
        <v>17115.54</v>
      </c>
      <c r="BO22" s="339">
        <v>16819.46</v>
      </c>
      <c r="BP22" s="339">
        <v>16740.759999999998</v>
      </c>
      <c r="BQ22" s="339">
        <v>17199.86</v>
      </c>
      <c r="BR22" s="339">
        <v>17031.63</v>
      </c>
      <c r="BS22" s="339"/>
      <c r="BT22" s="339"/>
      <c r="BU22" s="339"/>
      <c r="BV22" s="339"/>
      <c r="BW22" s="339">
        <v>0</v>
      </c>
      <c r="BX22" s="339">
        <v>0</v>
      </c>
      <c r="BY22" s="339">
        <v>0</v>
      </c>
      <c r="BZ22" s="339">
        <v>0</v>
      </c>
      <c r="CA22" s="339">
        <v>0</v>
      </c>
      <c r="CB22" s="339">
        <v>0</v>
      </c>
      <c r="CC22" s="339">
        <v>0</v>
      </c>
      <c r="CD22" s="339">
        <v>0</v>
      </c>
      <c r="CE22" s="339">
        <v>0</v>
      </c>
      <c r="CF22" s="339">
        <v>12051.21</v>
      </c>
      <c r="CG22" s="339">
        <v>11886.05</v>
      </c>
      <c r="CH22" s="339">
        <v>11967.45</v>
      </c>
      <c r="CI22" s="339">
        <v>12090.71</v>
      </c>
      <c r="CJ22" s="339">
        <v>12401.26</v>
      </c>
      <c r="CK22" s="339">
        <v>12303.14</v>
      </c>
    </row>
    <row r="23" spans="1:89" ht="15.75" hidden="1" customHeight="1">
      <c r="A23" s="332" t="s">
        <v>3607</v>
      </c>
      <c r="B23" s="338" t="s">
        <v>3669</v>
      </c>
      <c r="C23" s="341" t="s">
        <v>3670</v>
      </c>
      <c r="D23" s="9" t="s">
        <v>19</v>
      </c>
      <c r="E23" s="9" t="s">
        <v>20</v>
      </c>
      <c r="F23" s="342" t="s">
        <v>199</v>
      </c>
      <c r="G23" s="123" t="s">
        <v>3575</v>
      </c>
      <c r="H23" s="334" t="s">
        <v>161</v>
      </c>
      <c r="I23" s="24" t="s">
        <v>25</v>
      </c>
      <c r="J23" s="9" t="str">
        <f t="shared" si="3"/>
        <v>Não</v>
      </c>
      <c r="K23" s="298">
        <v>43893</v>
      </c>
      <c r="L23" s="343"/>
      <c r="M23" s="300" t="s">
        <v>345</v>
      </c>
      <c r="N23" s="301">
        <v>0.02</v>
      </c>
      <c r="O23" s="6" t="s">
        <v>37</v>
      </c>
      <c r="P23" s="11">
        <v>0.2</v>
      </c>
      <c r="Q23" s="332"/>
      <c r="R23" s="28"/>
      <c r="S23" s="7" t="s">
        <v>145</v>
      </c>
      <c r="T23" s="300" t="s">
        <v>3671</v>
      </c>
      <c r="U23" s="344" t="s">
        <v>20</v>
      </c>
      <c r="V23" s="337" t="e">
        <f t="shared" ca="1" si="1"/>
        <v>#NAME?</v>
      </c>
      <c r="W23" s="7"/>
      <c r="X23" s="7"/>
      <c r="Y23" s="7" t="s">
        <v>253</v>
      </c>
      <c r="Z23" s="338"/>
      <c r="AA23" s="338"/>
      <c r="AB23" s="338"/>
      <c r="AC23" s="339">
        <v>0</v>
      </c>
      <c r="AD23" s="339">
        <v>0</v>
      </c>
      <c r="AE23" s="340">
        <v>0</v>
      </c>
      <c r="AF23" s="340">
        <v>0</v>
      </c>
      <c r="AG23" s="340">
        <v>0</v>
      </c>
      <c r="AH23" s="340">
        <v>0</v>
      </c>
      <c r="AI23" s="340">
        <v>207950.31</v>
      </c>
      <c r="AJ23" s="340">
        <v>267868.62</v>
      </c>
      <c r="AK23" s="340">
        <v>4076.83</v>
      </c>
      <c r="AL23" s="340">
        <v>4123.78</v>
      </c>
      <c r="AM23" s="340">
        <v>4062.74</v>
      </c>
      <c r="AN23" s="340">
        <v>3898.11</v>
      </c>
      <c r="AO23" s="340">
        <v>3891.69</v>
      </c>
      <c r="AP23" s="340">
        <v>50.04</v>
      </c>
      <c r="AQ23" s="340">
        <v>29.74</v>
      </c>
      <c r="AR23" s="340">
        <v>29.74</v>
      </c>
      <c r="AS23" s="340"/>
      <c r="AT23" s="340">
        <v>29.74</v>
      </c>
      <c r="AU23" s="340"/>
      <c r="AV23" s="340"/>
      <c r="AW23" s="340">
        <v>0</v>
      </c>
      <c r="AX23" s="340"/>
      <c r="AY23" s="340"/>
      <c r="AZ23" s="340"/>
      <c r="BA23" s="340"/>
      <c r="BB23" s="340"/>
      <c r="BC23" s="340"/>
      <c r="BD23" s="340"/>
      <c r="BE23" s="340"/>
      <c r="BF23" s="340"/>
      <c r="BG23" s="340">
        <v>-10.26</v>
      </c>
      <c r="BH23" s="340">
        <v>0</v>
      </c>
      <c r="BI23" s="340"/>
      <c r="BJ23" s="340" t="s">
        <v>2932</v>
      </c>
      <c r="BK23" s="340"/>
      <c r="BL23" s="339"/>
      <c r="BM23" s="339"/>
      <c r="BN23" s="339">
        <v>0</v>
      </c>
      <c r="BO23" s="339"/>
      <c r="BP23" s="339"/>
      <c r="BQ23" s="339"/>
      <c r="BR23" s="339"/>
      <c r="BS23" s="339"/>
      <c r="BT23" s="339"/>
      <c r="BU23" s="339"/>
      <c r="BV23" s="339"/>
      <c r="BW23" s="339">
        <v>0</v>
      </c>
      <c r="BX23" s="339">
        <v>0</v>
      </c>
      <c r="BY23" s="339">
        <v>0</v>
      </c>
      <c r="BZ23" s="339">
        <v>0</v>
      </c>
      <c r="CA23" s="339">
        <v>0</v>
      </c>
      <c r="CB23" s="339">
        <v>0</v>
      </c>
      <c r="CC23" s="339">
        <v>0</v>
      </c>
      <c r="CD23" s="339">
        <v>0</v>
      </c>
      <c r="CE23" s="339">
        <v>0</v>
      </c>
      <c r="CF23" s="339">
        <v>0</v>
      </c>
      <c r="CG23" s="339">
        <v>0</v>
      </c>
      <c r="CH23" s="339">
        <v>0</v>
      </c>
      <c r="CI23" s="339">
        <v>0</v>
      </c>
      <c r="CJ23" s="339">
        <v>0</v>
      </c>
      <c r="CK23" s="339">
        <v>0</v>
      </c>
    </row>
    <row r="24" spans="1:89" ht="15.75" hidden="1" customHeight="1">
      <c r="A24" s="332" t="s">
        <v>3607</v>
      </c>
      <c r="B24" s="338" t="s">
        <v>3672</v>
      </c>
      <c r="C24" s="341" t="s">
        <v>3673</v>
      </c>
      <c r="D24" s="9" t="s">
        <v>19</v>
      </c>
      <c r="E24" s="9" t="s">
        <v>20</v>
      </c>
      <c r="F24" s="342" t="s">
        <v>2955</v>
      </c>
      <c r="G24" s="123" t="s">
        <v>3575</v>
      </c>
      <c r="H24" s="334" t="s">
        <v>161</v>
      </c>
      <c r="I24" s="24" t="s">
        <v>25</v>
      </c>
      <c r="J24" s="9" t="str">
        <f>IF(R24=0,"Não","Sim")</f>
        <v>Sim</v>
      </c>
      <c r="K24" s="298">
        <v>43900</v>
      </c>
      <c r="L24" s="343"/>
      <c r="M24" s="300" t="s">
        <v>87</v>
      </c>
      <c r="N24" s="301">
        <v>0</v>
      </c>
      <c r="O24" s="6" t="s">
        <v>25</v>
      </c>
      <c r="P24" s="11">
        <v>0</v>
      </c>
      <c r="Q24" s="332"/>
      <c r="R24" s="332" t="s">
        <v>3674</v>
      </c>
      <c r="S24" s="7" t="s">
        <v>145</v>
      </c>
      <c r="T24" s="300" t="s">
        <v>3675</v>
      </c>
      <c r="U24" s="344" t="s">
        <v>886</v>
      </c>
      <c r="V24" s="337" t="e">
        <f t="shared" ca="1" si="1"/>
        <v>#NAME?</v>
      </c>
      <c r="W24" s="7"/>
      <c r="X24" s="7"/>
      <c r="Y24" s="7" t="s">
        <v>253</v>
      </c>
      <c r="Z24" s="338"/>
      <c r="AA24" s="338"/>
      <c r="AB24" s="338"/>
      <c r="AC24" s="339">
        <v>0</v>
      </c>
      <c r="AD24" s="339">
        <v>0</v>
      </c>
      <c r="AE24" s="340">
        <v>0</v>
      </c>
      <c r="AF24" s="340">
        <v>0</v>
      </c>
      <c r="AG24" s="340">
        <v>0</v>
      </c>
      <c r="AH24" s="340">
        <v>31383.3</v>
      </c>
      <c r="AI24" s="340">
        <v>42017.120000000003</v>
      </c>
      <c r="AJ24" s="340">
        <v>44135.62</v>
      </c>
      <c r="AK24" s="340">
        <v>47393.72</v>
      </c>
      <c r="AL24" s="340">
        <v>50959.21</v>
      </c>
      <c r="AM24" s="340">
        <v>50178.36</v>
      </c>
      <c r="AN24" s="340">
        <v>47326.2</v>
      </c>
      <c r="AO24" s="340">
        <v>48131.05</v>
      </c>
      <c r="AP24" s="340">
        <v>52903.02</v>
      </c>
      <c r="AQ24" s="340">
        <v>55231.82</v>
      </c>
      <c r="AR24" s="340">
        <v>55324.959999999999</v>
      </c>
      <c r="AS24" s="340">
        <v>52414.78</v>
      </c>
      <c r="AT24" s="340">
        <v>52130.09</v>
      </c>
      <c r="AU24" s="339">
        <v>55067.69</v>
      </c>
      <c r="AV24" s="339">
        <v>53236.84</v>
      </c>
      <c r="AW24" s="339">
        <v>53716.480000000003</v>
      </c>
      <c r="AX24" s="339">
        <v>54645.64</v>
      </c>
      <c r="AY24" s="339">
        <v>54568.14</v>
      </c>
      <c r="AZ24" s="339">
        <v>54470.73</v>
      </c>
      <c r="BA24" s="339"/>
      <c r="BB24" s="339"/>
      <c r="BC24" s="339"/>
      <c r="BD24" s="339"/>
      <c r="BE24" s="339"/>
      <c r="BF24" s="339"/>
      <c r="BG24" s="339">
        <v>312.45</v>
      </c>
      <c r="BH24" s="340">
        <v>0</v>
      </c>
      <c r="BI24" s="340"/>
      <c r="BJ24" s="340">
        <v>317.13</v>
      </c>
      <c r="BK24" s="340"/>
      <c r="BL24" s="339"/>
      <c r="BM24" s="339"/>
      <c r="BN24" s="339">
        <v>0</v>
      </c>
      <c r="BO24" s="339"/>
      <c r="BP24" s="339"/>
      <c r="BQ24" s="339"/>
      <c r="BR24" s="339"/>
      <c r="BS24" s="339"/>
      <c r="BT24" s="339"/>
      <c r="BU24" s="339"/>
      <c r="BV24" s="339"/>
      <c r="BW24" s="339">
        <v>0</v>
      </c>
      <c r="BX24" s="339">
        <v>0</v>
      </c>
      <c r="BY24" s="339">
        <v>0</v>
      </c>
      <c r="BZ24" s="339">
        <v>0</v>
      </c>
      <c r="CA24" s="339">
        <v>0</v>
      </c>
      <c r="CB24" s="339">
        <v>0</v>
      </c>
      <c r="CC24" s="339">
        <v>0</v>
      </c>
      <c r="CD24" s="339">
        <v>0</v>
      </c>
      <c r="CE24" s="339">
        <v>0</v>
      </c>
      <c r="CF24" s="339">
        <v>0</v>
      </c>
      <c r="CG24" s="339">
        <v>0</v>
      </c>
      <c r="CH24" s="339">
        <v>0</v>
      </c>
      <c r="CI24" s="339">
        <v>0</v>
      </c>
      <c r="CJ24" s="339">
        <v>0</v>
      </c>
      <c r="CK24" s="339">
        <v>0</v>
      </c>
    </row>
    <row r="25" spans="1:89" ht="15.75" hidden="1" customHeight="1">
      <c r="A25" s="332" t="s">
        <v>3607</v>
      </c>
      <c r="B25" s="338" t="s">
        <v>3676</v>
      </c>
      <c r="C25" s="341" t="s">
        <v>3677</v>
      </c>
      <c r="D25" s="9" t="s">
        <v>19</v>
      </c>
      <c r="E25" s="9" t="s">
        <v>20</v>
      </c>
      <c r="F25" s="300" t="s">
        <v>3678</v>
      </c>
      <c r="G25" s="123" t="s">
        <v>3575</v>
      </c>
      <c r="H25" s="334" t="s">
        <v>143</v>
      </c>
      <c r="I25" s="24" t="s">
        <v>25</v>
      </c>
      <c r="J25" s="9" t="str">
        <f t="shared" ref="J25:J26" si="4">IF(Q25=0,"Não","Sim")</f>
        <v>Sim</v>
      </c>
      <c r="K25" s="298">
        <v>43742</v>
      </c>
      <c r="L25" s="343"/>
      <c r="M25" s="300" t="s">
        <v>200</v>
      </c>
      <c r="N25" s="301">
        <v>1.4999999999999999E-2</v>
      </c>
      <c r="O25" s="6" t="s">
        <v>25</v>
      </c>
      <c r="P25" s="11">
        <v>0</v>
      </c>
      <c r="Q25" s="352" t="s">
        <v>2947</v>
      </c>
      <c r="R25" s="92" t="s">
        <v>3679</v>
      </c>
      <c r="S25" s="7" t="s">
        <v>145</v>
      </c>
      <c r="T25" s="300" t="s">
        <v>3680</v>
      </c>
      <c r="U25" s="344" t="s">
        <v>49</v>
      </c>
      <c r="V25" s="337" t="e">
        <f t="shared" ca="1" si="1"/>
        <v>#NAME?</v>
      </c>
      <c r="W25" s="7"/>
      <c r="X25" s="7"/>
      <c r="Y25" s="7" t="s">
        <v>253</v>
      </c>
      <c r="Z25" s="338"/>
      <c r="AA25" s="338"/>
      <c r="AB25" s="338"/>
      <c r="AC25" s="339">
        <v>101162.49</v>
      </c>
      <c r="AD25" s="339">
        <v>100737.25</v>
      </c>
      <c r="AE25" s="340">
        <v>100538.63</v>
      </c>
      <c r="AF25" s="340">
        <v>100839.65</v>
      </c>
      <c r="AG25" s="340">
        <v>99736.59</v>
      </c>
      <c r="AH25" s="340">
        <v>97840.9</v>
      </c>
      <c r="AI25" s="340">
        <v>98166.8</v>
      </c>
      <c r="AJ25" s="340">
        <v>98501.93</v>
      </c>
      <c r="AK25" s="340">
        <v>99138.48</v>
      </c>
      <c r="AL25" s="340">
        <v>100134.27</v>
      </c>
      <c r="AM25" s="340">
        <v>99539.9</v>
      </c>
      <c r="AN25" s="340">
        <v>96820.12</v>
      </c>
      <c r="AO25" s="340">
        <v>0</v>
      </c>
      <c r="AP25" s="340"/>
      <c r="AQ25" s="340">
        <v>262.08999999999997</v>
      </c>
      <c r="AR25" s="340"/>
      <c r="AS25" s="340"/>
      <c r="AT25" s="340"/>
      <c r="AU25" s="339">
        <v>262.08999999999997</v>
      </c>
      <c r="AV25" s="339"/>
      <c r="AW25" s="339">
        <v>262.08999999999997</v>
      </c>
      <c r="AX25" s="339"/>
      <c r="AY25" s="339"/>
      <c r="AZ25" s="339"/>
      <c r="BA25" s="339"/>
      <c r="BB25" s="339"/>
      <c r="BC25" s="339"/>
      <c r="BD25" s="339"/>
      <c r="BE25" s="339"/>
      <c r="BF25" s="339"/>
      <c r="BG25" s="339">
        <v>365</v>
      </c>
      <c r="BH25" s="340">
        <v>0</v>
      </c>
      <c r="BI25" s="340"/>
      <c r="BJ25" s="340" t="s">
        <v>2932</v>
      </c>
      <c r="BK25" s="340"/>
      <c r="BL25" s="339"/>
      <c r="BM25" s="339"/>
      <c r="BN25" s="339">
        <v>0</v>
      </c>
      <c r="BO25" s="339"/>
      <c r="BP25" s="339"/>
      <c r="BQ25" s="339"/>
      <c r="BR25" s="339"/>
      <c r="BS25" s="339"/>
      <c r="BT25" s="339"/>
      <c r="BU25" s="339"/>
      <c r="BV25" s="339"/>
      <c r="BW25" s="339">
        <v>0</v>
      </c>
      <c r="BX25" s="339">
        <v>0</v>
      </c>
      <c r="BY25" s="339">
        <v>0</v>
      </c>
      <c r="BZ25" s="339">
        <v>0</v>
      </c>
      <c r="CA25" s="339">
        <v>0</v>
      </c>
      <c r="CB25" s="348">
        <v>0</v>
      </c>
      <c r="CC25" s="339">
        <v>0</v>
      </c>
      <c r="CD25" s="339">
        <v>0</v>
      </c>
      <c r="CE25" s="339">
        <v>0</v>
      </c>
      <c r="CF25" s="339">
        <v>0</v>
      </c>
      <c r="CG25" s="339">
        <v>0</v>
      </c>
      <c r="CH25" s="339">
        <v>0</v>
      </c>
      <c r="CI25" s="339">
        <v>0</v>
      </c>
      <c r="CJ25" s="339">
        <v>0</v>
      </c>
      <c r="CK25" s="339">
        <v>0</v>
      </c>
    </row>
    <row r="26" spans="1:89" ht="15.75" customHeight="1">
      <c r="A26" s="332" t="s">
        <v>3607</v>
      </c>
      <c r="B26" s="338" t="s">
        <v>3681</v>
      </c>
      <c r="C26" s="341" t="s">
        <v>3682</v>
      </c>
      <c r="D26" s="9" t="s">
        <v>19</v>
      </c>
      <c r="E26" s="9" t="s">
        <v>20</v>
      </c>
      <c r="F26" s="342" t="s">
        <v>3683</v>
      </c>
      <c r="G26" s="123" t="s">
        <v>3575</v>
      </c>
      <c r="H26" s="334" t="s">
        <v>152</v>
      </c>
      <c r="I26" s="24" t="s">
        <v>25</v>
      </c>
      <c r="J26" s="9" t="str">
        <f t="shared" si="4"/>
        <v>Sim</v>
      </c>
      <c r="K26" s="298">
        <v>44403</v>
      </c>
      <c r="L26" s="343"/>
      <c r="M26" s="300" t="s">
        <v>257</v>
      </c>
      <c r="N26" s="301">
        <v>8.0000000000000002E-3</v>
      </c>
      <c r="O26" s="6" t="s">
        <v>258</v>
      </c>
      <c r="P26" s="11">
        <v>0.1</v>
      </c>
      <c r="Q26" s="352" t="s">
        <v>3684</v>
      </c>
      <c r="R26" s="28"/>
      <c r="S26" s="7" t="s">
        <v>145</v>
      </c>
      <c r="T26" s="300" t="s">
        <v>3685</v>
      </c>
      <c r="U26" s="344" t="s">
        <v>886</v>
      </c>
      <c r="V26" s="337" t="e">
        <f t="shared" ca="1" si="1"/>
        <v>#NAME?</v>
      </c>
      <c r="W26" s="7"/>
      <c r="X26" s="7"/>
      <c r="Y26" s="7" t="s">
        <v>253</v>
      </c>
      <c r="Z26" s="338"/>
      <c r="AA26" s="347">
        <v>44403</v>
      </c>
      <c r="AB26" s="338">
        <v>49075100015260</v>
      </c>
      <c r="AC26" s="339"/>
      <c r="AD26" s="339"/>
      <c r="AE26" s="340"/>
      <c r="AF26" s="340"/>
      <c r="AG26" s="340"/>
      <c r="AH26" s="340"/>
      <c r="AI26" s="340"/>
      <c r="AJ26" s="340"/>
      <c r="AK26" s="340"/>
      <c r="AL26" s="340"/>
      <c r="AM26" s="340"/>
      <c r="AN26" s="340"/>
      <c r="AO26" s="340"/>
      <c r="AP26" s="340"/>
      <c r="AQ26" s="340"/>
      <c r="AR26" s="340"/>
      <c r="AS26" s="340"/>
      <c r="AT26" s="340"/>
      <c r="AU26" s="339"/>
      <c r="AV26" s="339"/>
      <c r="AW26" s="339"/>
      <c r="AX26" s="339"/>
      <c r="AY26" s="339"/>
      <c r="AZ26" s="339"/>
      <c r="BA26" s="339">
        <v>241450.73</v>
      </c>
      <c r="BB26" s="339">
        <v>239523.47</v>
      </c>
      <c r="BC26" s="339">
        <v>238510.47</v>
      </c>
      <c r="BD26" s="339">
        <v>221067.28</v>
      </c>
      <c r="BE26" s="339">
        <v>235937.85</v>
      </c>
      <c r="BF26" s="339">
        <v>238524.66</v>
      </c>
      <c r="BG26" s="339">
        <v>223994</v>
      </c>
      <c r="BH26" s="340">
        <v>230718.46</v>
      </c>
      <c r="BI26" s="340">
        <v>234078.03</v>
      </c>
      <c r="BJ26" s="340">
        <v>242403.89</v>
      </c>
      <c r="BK26" s="340">
        <v>244380.73</v>
      </c>
      <c r="BL26" s="339">
        <v>249269.28</v>
      </c>
      <c r="BM26" s="339">
        <v>248994.47</v>
      </c>
      <c r="BN26" s="339">
        <v>248286.69</v>
      </c>
      <c r="BO26" s="339">
        <v>239927.81</v>
      </c>
      <c r="BP26" s="339">
        <v>239353.39</v>
      </c>
      <c r="BQ26" s="339">
        <v>236623.85</v>
      </c>
      <c r="BR26" s="339">
        <v>232136.66</v>
      </c>
      <c r="BS26" s="339">
        <v>229021.07</v>
      </c>
      <c r="BT26" s="339">
        <v>233010.98</v>
      </c>
      <c r="BU26" s="339">
        <v>243489.95</v>
      </c>
      <c r="BV26" s="339">
        <v>249177.92</v>
      </c>
      <c r="BW26" s="339">
        <v>249177.92</v>
      </c>
      <c r="BX26" s="339">
        <v>372804.91</v>
      </c>
      <c r="BY26" s="339">
        <v>256210.25</v>
      </c>
      <c r="BZ26" s="339">
        <v>390582.22</v>
      </c>
      <c r="CA26" s="339">
        <v>395069.66</v>
      </c>
      <c r="CB26" s="339">
        <v>254423.36</v>
      </c>
      <c r="CC26" s="339">
        <v>366248.07</v>
      </c>
      <c r="CD26" s="339">
        <v>260724.64</v>
      </c>
      <c r="CE26" s="339">
        <v>252262.65</v>
      </c>
      <c r="CF26" s="339">
        <v>246714.92</v>
      </c>
      <c r="CG26" s="339">
        <v>243888</v>
      </c>
      <c r="CH26" s="339">
        <v>241602.09</v>
      </c>
      <c r="CI26" s="339">
        <v>245256.65</v>
      </c>
      <c r="CJ26" s="339">
        <v>245193.93</v>
      </c>
      <c r="CK26" s="339">
        <v>240724.11</v>
      </c>
    </row>
    <row r="27" spans="1:89" ht="15.75" hidden="1" customHeight="1">
      <c r="A27" s="332" t="s">
        <v>3607</v>
      </c>
      <c r="B27" s="338" t="s">
        <v>3686</v>
      </c>
      <c r="C27" s="341" t="s">
        <v>3687</v>
      </c>
      <c r="D27" s="9" t="s">
        <v>19</v>
      </c>
      <c r="E27" s="9" t="s">
        <v>20</v>
      </c>
      <c r="F27" s="300" t="s">
        <v>3653</v>
      </c>
      <c r="G27" s="123" t="s">
        <v>3575</v>
      </c>
      <c r="H27" s="334" t="s">
        <v>143</v>
      </c>
      <c r="I27" s="24" t="s">
        <v>25</v>
      </c>
      <c r="J27" s="9" t="str">
        <f>IF(R27=0,"Não","Sim")</f>
        <v>Sim</v>
      </c>
      <c r="K27" s="298">
        <v>43731</v>
      </c>
      <c r="L27" s="343"/>
      <c r="M27" s="300" t="s">
        <v>345</v>
      </c>
      <c r="N27" s="301">
        <v>0.02</v>
      </c>
      <c r="O27" s="6" t="s">
        <v>37</v>
      </c>
      <c r="P27" s="11">
        <v>0.2</v>
      </c>
      <c r="Q27" s="332"/>
      <c r="R27" s="352" t="s">
        <v>3688</v>
      </c>
      <c r="S27" s="7" t="s">
        <v>145</v>
      </c>
      <c r="T27" s="300" t="s">
        <v>3689</v>
      </c>
      <c r="U27" s="344" t="s">
        <v>20</v>
      </c>
      <c r="V27" s="337" t="e">
        <f t="shared" ca="1" si="1"/>
        <v>#NAME?</v>
      </c>
      <c r="W27" s="7"/>
      <c r="X27" s="7"/>
      <c r="Y27" s="7" t="s">
        <v>253</v>
      </c>
      <c r="Z27" s="338"/>
      <c r="AA27" s="338"/>
      <c r="AB27" s="338"/>
      <c r="AC27" s="339">
        <v>69669.84</v>
      </c>
      <c r="AD27" s="339">
        <v>96201.29</v>
      </c>
      <c r="AE27" s="340">
        <v>105318.45</v>
      </c>
      <c r="AF27" s="340">
        <v>108463.67</v>
      </c>
      <c r="AG27" s="340">
        <v>103479.24</v>
      </c>
      <c r="AH27" s="340">
        <v>91238.3</v>
      </c>
      <c r="AI27" s="340">
        <v>93658.33</v>
      </c>
      <c r="AJ27" s="340">
        <v>94605.88</v>
      </c>
      <c r="AK27" s="340">
        <v>112707.37</v>
      </c>
      <c r="AL27" s="340">
        <v>115300.04</v>
      </c>
      <c r="AM27" s="340">
        <v>113727.17</v>
      </c>
      <c r="AN27" s="340">
        <v>108346.96</v>
      </c>
      <c r="AO27" s="340">
        <v>108601.63</v>
      </c>
      <c r="AP27" s="340">
        <v>116918.15</v>
      </c>
      <c r="AQ27" s="340">
        <v>164715.22</v>
      </c>
      <c r="AR27" s="340">
        <v>160189.20000000001</v>
      </c>
      <c r="AS27" s="340">
        <v>153940.85</v>
      </c>
      <c r="AT27" s="340">
        <v>153702.82</v>
      </c>
      <c r="AU27" s="339">
        <v>165206.89000000001</v>
      </c>
      <c r="AV27" s="339">
        <v>161072.32000000001</v>
      </c>
      <c r="AW27" s="339">
        <v>161261.29999999999</v>
      </c>
      <c r="AX27" s="339">
        <v>164513.87</v>
      </c>
      <c r="AY27" s="339">
        <v>162488.56</v>
      </c>
      <c r="AZ27" s="339">
        <v>160906.44</v>
      </c>
      <c r="BA27" s="339">
        <v>157189.65</v>
      </c>
      <c r="BB27" s="339">
        <v>152202.82</v>
      </c>
      <c r="BC27" s="339">
        <v>147785.53</v>
      </c>
      <c r="BD27" s="339">
        <v>140059.07</v>
      </c>
      <c r="BE27" s="339">
        <v>144165.25</v>
      </c>
      <c r="BF27" s="339"/>
      <c r="BG27" s="339">
        <v>48906.76</v>
      </c>
      <c r="BH27" s="339">
        <v>0</v>
      </c>
      <c r="BI27" s="339"/>
      <c r="BJ27" s="339" t="s">
        <v>2932</v>
      </c>
      <c r="BK27" s="339"/>
      <c r="BL27" s="339"/>
      <c r="BM27" s="339"/>
      <c r="BN27" s="339">
        <v>0</v>
      </c>
      <c r="BO27" s="339"/>
      <c r="BP27" s="339"/>
      <c r="BQ27" s="339"/>
      <c r="BR27" s="339"/>
      <c r="BS27" s="339"/>
      <c r="BT27" s="339"/>
      <c r="BU27" s="339"/>
      <c r="BV27" s="339"/>
      <c r="BW27" s="339">
        <v>0</v>
      </c>
      <c r="BX27" s="339">
        <v>0</v>
      </c>
      <c r="BY27" s="339">
        <v>0</v>
      </c>
      <c r="BZ27" s="339">
        <v>0</v>
      </c>
      <c r="CA27" s="339">
        <v>0</v>
      </c>
      <c r="CB27" s="348">
        <v>0</v>
      </c>
      <c r="CC27" s="339">
        <v>0</v>
      </c>
      <c r="CD27" s="339">
        <v>0</v>
      </c>
      <c r="CE27" s="339">
        <v>0</v>
      </c>
      <c r="CF27" s="339">
        <v>0</v>
      </c>
      <c r="CG27" s="339">
        <v>0</v>
      </c>
      <c r="CH27" s="339">
        <v>0</v>
      </c>
      <c r="CI27" s="339">
        <v>0</v>
      </c>
      <c r="CJ27" s="339">
        <v>0</v>
      </c>
      <c r="CK27" s="339">
        <v>0</v>
      </c>
    </row>
    <row r="28" spans="1:89" ht="15.75" hidden="1" customHeight="1">
      <c r="A28" s="332" t="s">
        <v>3607</v>
      </c>
      <c r="B28" s="338" t="s">
        <v>3690</v>
      </c>
      <c r="C28" s="341" t="s">
        <v>3691</v>
      </c>
      <c r="D28" s="9" t="s">
        <v>19</v>
      </c>
      <c r="E28" s="9" t="s">
        <v>20</v>
      </c>
      <c r="F28" s="342" t="s">
        <v>199</v>
      </c>
      <c r="G28" s="123" t="s">
        <v>3575</v>
      </c>
      <c r="H28" s="334" t="s">
        <v>161</v>
      </c>
      <c r="I28" s="24" t="s">
        <v>25</v>
      </c>
      <c r="J28" s="9" t="str">
        <f t="shared" ref="J28:J31" si="5">IF(Q28=0,"Não","Sim")</f>
        <v>Sim</v>
      </c>
      <c r="K28" s="298">
        <v>43635</v>
      </c>
      <c r="L28" s="343"/>
      <c r="M28" s="300" t="s">
        <v>200</v>
      </c>
      <c r="N28" s="349">
        <v>0.01</v>
      </c>
      <c r="O28" s="6" t="s">
        <v>25</v>
      </c>
      <c r="P28" s="11">
        <v>0</v>
      </c>
      <c r="Q28" s="28" t="s">
        <v>2947</v>
      </c>
      <c r="R28" s="28"/>
      <c r="S28" s="7" t="s">
        <v>145</v>
      </c>
      <c r="T28" s="300" t="s">
        <v>3692</v>
      </c>
      <c r="U28" s="344" t="s">
        <v>20</v>
      </c>
      <c r="V28" s="337" t="e">
        <f t="shared" ca="1" si="1"/>
        <v>#NAME?</v>
      </c>
      <c r="W28" s="7"/>
      <c r="X28" s="7"/>
      <c r="Y28" s="7" t="s">
        <v>253</v>
      </c>
      <c r="Z28" s="338"/>
      <c r="AA28" s="338"/>
      <c r="AB28" s="338"/>
      <c r="AC28" s="339">
        <v>80465.69</v>
      </c>
      <c r="AD28" s="339">
        <v>71421.48</v>
      </c>
      <c r="AE28" s="340">
        <v>65049.8</v>
      </c>
      <c r="AF28" s="340">
        <v>57572.88</v>
      </c>
      <c r="AG28" s="340">
        <v>56933.94</v>
      </c>
      <c r="AH28" s="340">
        <v>46610.54</v>
      </c>
      <c r="AI28" s="340">
        <v>41821.65</v>
      </c>
      <c r="AJ28" s="340">
        <v>41754.17</v>
      </c>
      <c r="AK28" s="340">
        <v>31105.93</v>
      </c>
      <c r="AL28" s="340">
        <v>31138.37</v>
      </c>
      <c r="AM28" s="340">
        <v>27421.23</v>
      </c>
      <c r="AN28" s="340">
        <v>17165.36</v>
      </c>
      <c r="AO28" s="340">
        <v>9253.91</v>
      </c>
      <c r="AP28" s="340">
        <v>3172.23</v>
      </c>
      <c r="AQ28" s="340">
        <v>3411.62</v>
      </c>
      <c r="AR28" s="340">
        <v>3253.62</v>
      </c>
      <c r="AS28" s="340">
        <v>2308.62</v>
      </c>
      <c r="AT28" s="340">
        <v>2243.62</v>
      </c>
      <c r="AU28" s="339">
        <v>2494.62</v>
      </c>
      <c r="AV28" s="339">
        <v>2310</v>
      </c>
      <c r="AW28" s="339">
        <v>2525.7800000000002</v>
      </c>
      <c r="AX28" s="339">
        <v>2609</v>
      </c>
      <c r="AY28" s="339">
        <v>3056.96</v>
      </c>
      <c r="AZ28" s="339">
        <v>2981.35</v>
      </c>
      <c r="BA28" s="339">
        <v>158.81</v>
      </c>
      <c r="BB28" s="339"/>
      <c r="BC28" s="339"/>
      <c r="BD28" s="339"/>
      <c r="BE28" s="339"/>
      <c r="BF28" s="339"/>
      <c r="BG28" s="339">
        <v>157.06</v>
      </c>
      <c r="BH28" s="339">
        <v>0</v>
      </c>
      <c r="BI28" s="339"/>
      <c r="BJ28" s="339" t="s">
        <v>2932</v>
      </c>
      <c r="BK28" s="339"/>
      <c r="BL28" s="339"/>
      <c r="BM28" s="339"/>
      <c r="BN28" s="339">
        <v>0</v>
      </c>
      <c r="BO28" s="339"/>
      <c r="BP28" s="339"/>
      <c r="BQ28" s="339"/>
      <c r="BR28" s="339"/>
      <c r="BS28" s="339"/>
      <c r="BT28" s="339"/>
      <c r="BU28" s="339"/>
      <c r="BV28" s="339"/>
      <c r="BW28" s="339">
        <v>0</v>
      </c>
      <c r="BX28" s="339">
        <v>0</v>
      </c>
      <c r="BY28" s="339">
        <v>0</v>
      </c>
      <c r="BZ28" s="339">
        <v>0</v>
      </c>
      <c r="CA28" s="339">
        <v>0</v>
      </c>
      <c r="CB28" s="339">
        <v>0</v>
      </c>
      <c r="CC28" s="339">
        <v>0</v>
      </c>
      <c r="CD28" s="339">
        <v>0</v>
      </c>
      <c r="CE28" s="339">
        <v>0</v>
      </c>
      <c r="CF28" s="339">
        <v>0</v>
      </c>
      <c r="CG28" s="339">
        <v>0</v>
      </c>
      <c r="CH28" s="339">
        <v>0</v>
      </c>
      <c r="CI28" s="339">
        <v>0</v>
      </c>
      <c r="CJ28" s="339">
        <v>0</v>
      </c>
      <c r="CK28" s="339">
        <v>0</v>
      </c>
    </row>
    <row r="29" spans="1:89" ht="15.75" hidden="1" customHeight="1">
      <c r="A29" s="332" t="s">
        <v>3607</v>
      </c>
      <c r="B29" s="338" t="s">
        <v>3693</v>
      </c>
      <c r="C29" s="341" t="s">
        <v>3694</v>
      </c>
      <c r="D29" s="9" t="s">
        <v>19</v>
      </c>
      <c r="E29" s="9" t="s">
        <v>20</v>
      </c>
      <c r="F29" s="300" t="s">
        <v>2512</v>
      </c>
      <c r="G29" s="123" t="s">
        <v>3575</v>
      </c>
      <c r="H29" s="334" t="s">
        <v>143</v>
      </c>
      <c r="I29" s="24" t="s">
        <v>25</v>
      </c>
      <c r="J29" s="9" t="str">
        <f t="shared" si="5"/>
        <v>Não</v>
      </c>
      <c r="K29" s="298">
        <v>44028</v>
      </c>
      <c r="L29" s="343">
        <v>44726</v>
      </c>
      <c r="M29" s="300" t="s">
        <v>200</v>
      </c>
      <c r="N29" s="301">
        <v>1.4999999999999999E-2</v>
      </c>
      <c r="O29" s="6" t="s">
        <v>25</v>
      </c>
      <c r="P29" s="11">
        <v>0</v>
      </c>
      <c r="Q29" s="332"/>
      <c r="R29" s="28"/>
      <c r="S29" s="7" t="s">
        <v>145</v>
      </c>
      <c r="T29" s="300" t="s">
        <v>2499</v>
      </c>
      <c r="U29" s="344" t="s">
        <v>20</v>
      </c>
      <c r="V29" s="337" t="e">
        <f t="shared" ca="1" si="1"/>
        <v>#NAME?</v>
      </c>
      <c r="W29" s="7"/>
      <c r="X29" s="7"/>
      <c r="Y29" s="7" t="s">
        <v>253</v>
      </c>
      <c r="Z29" s="338"/>
      <c r="AA29" s="338"/>
      <c r="AB29" s="338"/>
      <c r="AC29" s="339">
        <v>0</v>
      </c>
      <c r="AD29" s="339">
        <v>0</v>
      </c>
      <c r="AE29" s="339">
        <v>0</v>
      </c>
      <c r="AF29" s="339">
        <v>0</v>
      </c>
      <c r="AG29" s="339">
        <v>0</v>
      </c>
      <c r="AH29" s="339">
        <v>0</v>
      </c>
      <c r="AI29" s="339">
        <v>0</v>
      </c>
      <c r="AJ29" s="339">
        <v>0</v>
      </c>
      <c r="AK29" s="339">
        <v>0</v>
      </c>
      <c r="AL29" s="339">
        <v>41912.089999999997</v>
      </c>
      <c r="AM29" s="339">
        <v>41954.05</v>
      </c>
      <c r="AN29" s="339">
        <v>40446.589999999997</v>
      </c>
      <c r="AO29" s="339">
        <v>40170.839999999997</v>
      </c>
      <c r="AP29" s="339">
        <v>42653.31</v>
      </c>
      <c r="AQ29" s="339">
        <v>43372.73</v>
      </c>
      <c r="AR29" s="339">
        <v>42092.12</v>
      </c>
      <c r="AS29" s="339">
        <v>40898.93</v>
      </c>
      <c r="AT29" s="339">
        <v>41058.28</v>
      </c>
      <c r="AU29" s="339">
        <v>42366.04</v>
      </c>
      <c r="AV29" s="339">
        <v>42235.19</v>
      </c>
      <c r="AW29" s="339">
        <v>42541.9</v>
      </c>
      <c r="AX29" s="339">
        <v>42590.95</v>
      </c>
      <c r="AY29" s="339">
        <v>42533.66</v>
      </c>
      <c r="AZ29" s="339">
        <v>42484.25</v>
      </c>
      <c r="BA29" s="339">
        <v>41863.14</v>
      </c>
      <c r="BB29" s="339">
        <v>41239.370000000003</v>
      </c>
      <c r="BC29" s="339">
        <v>40671.120000000003</v>
      </c>
      <c r="BD29" s="339">
        <v>39401.79</v>
      </c>
      <c r="BE29" s="339">
        <v>28410.77</v>
      </c>
      <c r="BF29" s="339">
        <v>41892.01</v>
      </c>
      <c r="BG29" s="339">
        <v>42311.54</v>
      </c>
      <c r="BH29" s="339">
        <v>42256.28</v>
      </c>
      <c r="BI29" s="339">
        <v>42951.59</v>
      </c>
      <c r="BJ29" s="339">
        <v>13439.98</v>
      </c>
      <c r="BK29" s="339"/>
      <c r="BL29" s="339"/>
      <c r="BM29" s="339"/>
      <c r="BN29" s="339">
        <v>0</v>
      </c>
      <c r="BO29" s="339"/>
      <c r="BP29" s="339"/>
      <c r="BQ29" s="339"/>
      <c r="BR29" s="339"/>
      <c r="BS29" s="339"/>
      <c r="BT29" s="339"/>
      <c r="BU29" s="339"/>
      <c r="BV29" s="339"/>
      <c r="BW29" s="339">
        <v>0</v>
      </c>
      <c r="BX29" s="339">
        <v>0</v>
      </c>
      <c r="BY29" s="339">
        <v>0</v>
      </c>
      <c r="BZ29" s="339">
        <v>0</v>
      </c>
      <c r="CA29" s="339">
        <v>0</v>
      </c>
      <c r="CB29" s="339">
        <v>0</v>
      </c>
      <c r="CC29" s="339">
        <v>0</v>
      </c>
      <c r="CD29" s="339">
        <v>0</v>
      </c>
      <c r="CE29" s="339">
        <v>0</v>
      </c>
      <c r="CF29" s="339">
        <v>0</v>
      </c>
      <c r="CG29" s="339">
        <v>0</v>
      </c>
      <c r="CH29" s="339">
        <v>0</v>
      </c>
      <c r="CI29" s="339">
        <v>0</v>
      </c>
      <c r="CJ29" s="339">
        <v>0</v>
      </c>
      <c r="CK29" s="339">
        <v>0</v>
      </c>
    </row>
    <row r="30" spans="1:89" ht="15.75" hidden="1" customHeight="1">
      <c r="A30" s="332" t="s">
        <v>3607</v>
      </c>
      <c r="B30" s="338" t="s">
        <v>3695</v>
      </c>
      <c r="C30" s="341" t="s">
        <v>3696</v>
      </c>
      <c r="D30" s="9" t="s">
        <v>19</v>
      </c>
      <c r="E30" s="9" t="s">
        <v>20</v>
      </c>
      <c r="F30" s="300" t="s">
        <v>2512</v>
      </c>
      <c r="G30" s="123" t="s">
        <v>3575</v>
      </c>
      <c r="H30" s="334" t="s">
        <v>143</v>
      </c>
      <c r="I30" s="24" t="s">
        <v>25</v>
      </c>
      <c r="J30" s="9" t="str">
        <f t="shared" si="5"/>
        <v>Não</v>
      </c>
      <c r="K30" s="298">
        <v>43797</v>
      </c>
      <c r="L30" s="343"/>
      <c r="M30" s="300" t="s">
        <v>58</v>
      </c>
      <c r="N30" s="301">
        <v>6.0000000000000001E-3</v>
      </c>
      <c r="O30" s="6" t="s">
        <v>25</v>
      </c>
      <c r="P30" s="11">
        <v>0</v>
      </c>
      <c r="Q30" s="332"/>
      <c r="R30" s="28"/>
      <c r="S30" s="7" t="s">
        <v>145</v>
      </c>
      <c r="T30" s="300" t="s">
        <v>3697</v>
      </c>
      <c r="U30" s="344" t="s">
        <v>20</v>
      </c>
      <c r="V30" s="337" t="e">
        <f t="shared" ca="1" si="1"/>
        <v>#NAME?</v>
      </c>
      <c r="W30" s="7"/>
      <c r="X30" s="7"/>
      <c r="Y30" s="7" t="s">
        <v>253</v>
      </c>
      <c r="Z30" s="338"/>
      <c r="AA30" s="338"/>
      <c r="AB30" s="338"/>
      <c r="AC30" s="339">
        <v>149934.85999999999</v>
      </c>
      <c r="AD30" s="339">
        <v>150629.56</v>
      </c>
      <c r="AE30" s="340">
        <v>152614.46</v>
      </c>
      <c r="AF30" s="340">
        <v>238180.83</v>
      </c>
      <c r="AG30" s="340">
        <v>236324.33</v>
      </c>
      <c r="AH30" s="340">
        <v>201975.91</v>
      </c>
      <c r="AI30" s="340">
        <v>177311.37</v>
      </c>
      <c r="AJ30" s="340">
        <v>168144.3</v>
      </c>
      <c r="AK30" s="340">
        <v>166471.03</v>
      </c>
      <c r="AL30" s="340">
        <v>158319.57</v>
      </c>
      <c r="AM30" s="340">
        <v>160166.56</v>
      </c>
      <c r="AN30" s="340">
        <v>155961.49</v>
      </c>
      <c r="AO30" s="340">
        <v>155166.89000000001</v>
      </c>
      <c r="AP30" s="340">
        <v>156877.54999999999</v>
      </c>
      <c r="AQ30" s="340">
        <v>58059.9</v>
      </c>
      <c r="AR30" s="340">
        <v>36233.5</v>
      </c>
      <c r="AS30" s="340">
        <v>21477.13</v>
      </c>
      <c r="AT30" s="340">
        <v>15.24</v>
      </c>
      <c r="AU30" s="339">
        <v>36.07</v>
      </c>
      <c r="AV30" s="339">
        <v>38.07</v>
      </c>
      <c r="AW30" s="339">
        <v>38.07</v>
      </c>
      <c r="AX30" s="339"/>
      <c r="AY30" s="339"/>
      <c r="AZ30" s="339"/>
      <c r="BA30" s="339"/>
      <c r="BB30" s="339"/>
      <c r="BC30" s="339"/>
      <c r="BD30" s="339"/>
      <c r="BE30" s="339"/>
      <c r="BF30" s="339"/>
      <c r="BG30" s="339">
        <v>254</v>
      </c>
      <c r="BH30" s="339">
        <v>0</v>
      </c>
      <c r="BI30" s="339"/>
      <c r="BJ30" s="339" t="s">
        <v>2932</v>
      </c>
      <c r="BK30" s="339"/>
      <c r="BL30" s="339"/>
      <c r="BM30" s="339"/>
      <c r="BN30" s="339">
        <v>0</v>
      </c>
      <c r="BO30" s="339"/>
      <c r="BP30" s="339"/>
      <c r="BQ30" s="339"/>
      <c r="BR30" s="339"/>
      <c r="BS30" s="339"/>
      <c r="BT30" s="339"/>
      <c r="BU30" s="339"/>
      <c r="BV30" s="339"/>
      <c r="BW30" s="339">
        <v>0</v>
      </c>
      <c r="BX30" s="339">
        <v>0</v>
      </c>
      <c r="BY30" s="339">
        <v>0</v>
      </c>
      <c r="BZ30" s="339">
        <v>0</v>
      </c>
      <c r="CA30" s="339">
        <v>0</v>
      </c>
      <c r="CB30" s="339">
        <v>0</v>
      </c>
      <c r="CC30" s="339">
        <v>0</v>
      </c>
      <c r="CD30" s="339">
        <v>0</v>
      </c>
      <c r="CE30" s="339">
        <v>0</v>
      </c>
      <c r="CF30" s="339">
        <v>0</v>
      </c>
      <c r="CG30" s="339">
        <v>0</v>
      </c>
      <c r="CH30" s="339">
        <v>0</v>
      </c>
      <c r="CI30" s="339">
        <v>0</v>
      </c>
      <c r="CJ30" s="339">
        <v>0</v>
      </c>
      <c r="CK30" s="339">
        <v>0</v>
      </c>
    </row>
    <row r="31" spans="1:89" ht="15.75" hidden="1" customHeight="1">
      <c r="A31" s="332" t="s">
        <v>3607</v>
      </c>
      <c r="B31" s="338" t="s">
        <v>3698</v>
      </c>
      <c r="C31" s="341" t="s">
        <v>3699</v>
      </c>
      <c r="D31" s="9" t="s">
        <v>19</v>
      </c>
      <c r="E31" s="9" t="s">
        <v>20</v>
      </c>
      <c r="F31" s="300" t="s">
        <v>3072</v>
      </c>
      <c r="G31" s="123" t="s">
        <v>3575</v>
      </c>
      <c r="H31" s="334" t="s">
        <v>143</v>
      </c>
      <c r="I31" s="24" t="s">
        <v>25</v>
      </c>
      <c r="J31" s="9" t="str">
        <f t="shared" si="5"/>
        <v>Sim</v>
      </c>
      <c r="K31" s="298">
        <v>43873</v>
      </c>
      <c r="L31" s="343"/>
      <c r="M31" s="300" t="s">
        <v>345</v>
      </c>
      <c r="N31" s="301">
        <v>0.02</v>
      </c>
      <c r="O31" s="6" t="s">
        <v>37</v>
      </c>
      <c r="P31" s="11">
        <v>0.2</v>
      </c>
      <c r="Q31" s="332" t="s">
        <v>3700</v>
      </c>
      <c r="R31" s="28"/>
      <c r="S31" s="7" t="s">
        <v>145</v>
      </c>
      <c r="T31" s="300" t="s">
        <v>3701</v>
      </c>
      <c r="U31" s="344" t="s">
        <v>20</v>
      </c>
      <c r="V31" s="337" t="e">
        <f t="shared" ca="1" si="1"/>
        <v>#NAME?</v>
      </c>
      <c r="W31" s="7"/>
      <c r="X31" s="7"/>
      <c r="Y31" s="7" t="s">
        <v>253</v>
      </c>
      <c r="Z31" s="338"/>
      <c r="AA31" s="338"/>
      <c r="AB31" s="338"/>
      <c r="AC31" s="340">
        <v>0</v>
      </c>
      <c r="AD31" s="340">
        <v>0</v>
      </c>
      <c r="AE31" s="340">
        <v>0</v>
      </c>
      <c r="AF31" s="340">
        <v>0</v>
      </c>
      <c r="AG31" s="340">
        <v>59919.62</v>
      </c>
      <c r="AH31" s="340">
        <v>109434.3</v>
      </c>
      <c r="AI31" s="340">
        <v>116074.11</v>
      </c>
      <c r="AJ31" s="340">
        <v>119974.57</v>
      </c>
      <c r="AK31" s="340">
        <v>124954.96</v>
      </c>
      <c r="AL31" s="340">
        <v>128929.13</v>
      </c>
      <c r="AM31" s="340">
        <v>124146.77</v>
      </c>
      <c r="AN31" s="340">
        <v>114212.47</v>
      </c>
      <c r="AO31" s="340">
        <v>114147.96</v>
      </c>
      <c r="AP31" s="340">
        <v>132377.53</v>
      </c>
      <c r="AQ31" s="340">
        <v>178208.97</v>
      </c>
      <c r="AR31" s="340">
        <v>170733.59</v>
      </c>
      <c r="AS31" s="340">
        <v>159792.62</v>
      </c>
      <c r="AT31" s="340">
        <v>159488.48000000001</v>
      </c>
      <c r="AU31" s="339">
        <v>177919.62</v>
      </c>
      <c r="AV31" s="339">
        <v>172715.47</v>
      </c>
      <c r="AW31" s="339">
        <v>172747.92</v>
      </c>
      <c r="AX31" s="339">
        <v>178256.34</v>
      </c>
      <c r="AY31" s="339">
        <v>174498.47</v>
      </c>
      <c r="AZ31" s="339">
        <v>173155.47</v>
      </c>
      <c r="BA31" s="339">
        <v>164718.39999999999</v>
      </c>
      <c r="BB31" s="339">
        <v>155602.57</v>
      </c>
      <c r="BC31" s="339">
        <v>147526.63</v>
      </c>
      <c r="BD31" s="339">
        <v>133318.85999999999</v>
      </c>
      <c r="BE31" s="339">
        <v>143880.47</v>
      </c>
      <c r="BF31" s="339"/>
      <c r="BG31" s="339">
        <v>0</v>
      </c>
      <c r="BH31" s="339">
        <v>0</v>
      </c>
      <c r="BI31" s="339"/>
      <c r="BJ31" s="339" t="s">
        <v>2932</v>
      </c>
      <c r="BK31" s="339"/>
      <c r="BL31" s="339"/>
      <c r="BM31" s="339"/>
      <c r="BN31" s="339">
        <v>0</v>
      </c>
      <c r="BO31" s="339"/>
      <c r="BP31" s="339"/>
      <c r="BQ31" s="339"/>
      <c r="BR31" s="339"/>
      <c r="BS31" s="339"/>
      <c r="BT31" s="339"/>
      <c r="BU31" s="339"/>
      <c r="BV31" s="339"/>
      <c r="BW31" s="339">
        <v>0</v>
      </c>
      <c r="BX31" s="339">
        <v>0</v>
      </c>
      <c r="BY31" s="339">
        <v>0</v>
      </c>
      <c r="BZ31" s="339">
        <v>0</v>
      </c>
      <c r="CA31" s="339">
        <v>0</v>
      </c>
      <c r="CB31" s="339">
        <v>0</v>
      </c>
      <c r="CC31" s="339">
        <v>0</v>
      </c>
      <c r="CD31" s="339">
        <v>0</v>
      </c>
      <c r="CE31" s="339">
        <v>0</v>
      </c>
      <c r="CF31" s="339">
        <v>0</v>
      </c>
      <c r="CG31" s="339">
        <v>0</v>
      </c>
      <c r="CH31" s="339">
        <v>0</v>
      </c>
      <c r="CI31" s="339">
        <v>0</v>
      </c>
      <c r="CJ31" s="339">
        <v>0</v>
      </c>
      <c r="CK31" s="339">
        <v>0</v>
      </c>
    </row>
    <row r="32" spans="1:89" ht="15.75" customHeight="1">
      <c r="A32" s="354"/>
      <c r="B32" s="354"/>
      <c r="C32" s="355"/>
      <c r="D32" s="307"/>
      <c r="E32" s="307"/>
      <c r="F32" s="307"/>
      <c r="G32" s="307"/>
      <c r="H32" s="307"/>
      <c r="I32" s="307"/>
      <c r="J32" s="307"/>
      <c r="K32" s="308"/>
      <c r="L32" s="308"/>
      <c r="M32" s="307"/>
      <c r="N32" s="309"/>
      <c r="O32" s="309"/>
      <c r="P32" s="310"/>
      <c r="Q32" s="311"/>
      <c r="R32" s="311"/>
      <c r="S32" s="307"/>
      <c r="T32" s="356"/>
      <c r="U32" s="307"/>
      <c r="V32" s="357"/>
      <c r="W32" s="308"/>
      <c r="X32" s="308"/>
      <c r="Y32" s="208"/>
      <c r="Z32" s="208"/>
      <c r="AA32" s="208"/>
      <c r="AB32" s="208"/>
      <c r="AC32" s="208"/>
      <c r="AD32" s="208"/>
      <c r="AE32" s="208"/>
      <c r="AF32" s="208"/>
      <c r="AG32" s="208"/>
      <c r="AH32" s="208"/>
      <c r="AI32" s="208"/>
      <c r="AJ32" s="208"/>
      <c r="AK32" s="208"/>
      <c r="AL32" s="208"/>
      <c r="AM32" s="208"/>
      <c r="AN32" s="208"/>
      <c r="AO32" s="208"/>
      <c r="AP32" s="208"/>
      <c r="AQ32" s="208"/>
      <c r="AR32" s="208"/>
      <c r="AS32" s="208"/>
      <c r="AT32" s="208"/>
      <c r="AU32" s="208"/>
      <c r="AV32" s="208"/>
      <c r="AW32" s="208"/>
      <c r="AX32" s="208"/>
      <c r="AY32" s="208"/>
      <c r="AZ32" s="208"/>
      <c r="BA32" s="208"/>
      <c r="BB32" s="208"/>
      <c r="BC32" s="208"/>
      <c r="BD32" s="208"/>
      <c r="BE32" s="208"/>
      <c r="BF32" s="208"/>
      <c r="BG32" s="208"/>
      <c r="BH32" s="208"/>
      <c r="BI32" s="208"/>
      <c r="BJ32" s="208"/>
      <c r="BK32" s="208"/>
      <c r="BL32" s="208"/>
      <c r="BM32" s="208"/>
      <c r="BN32" s="208"/>
      <c r="BO32" s="208"/>
      <c r="BP32" s="208"/>
      <c r="BQ32" s="208"/>
      <c r="BR32" s="208"/>
      <c r="BS32" s="208"/>
      <c r="BT32" s="208"/>
      <c r="BU32" s="208"/>
      <c r="BV32" s="208"/>
      <c r="BW32" s="208"/>
      <c r="BX32" s="208"/>
      <c r="BY32" s="208"/>
      <c r="BZ32" s="208"/>
      <c r="CA32" s="208"/>
      <c r="CB32" s="208"/>
      <c r="CC32" s="208"/>
      <c r="CD32" s="208"/>
      <c r="CE32" s="208"/>
      <c r="CF32" s="208"/>
      <c r="CG32" s="208"/>
      <c r="CH32" s="208"/>
      <c r="CI32" s="208"/>
      <c r="CJ32" s="208"/>
      <c r="CK32" s="208"/>
    </row>
    <row r="33" spans="1:89" ht="15.75" customHeight="1">
      <c r="A33" s="358"/>
      <c r="B33" s="359" t="s">
        <v>2878</v>
      </c>
      <c r="C33" s="360">
        <f>COUNTIF(H:H,"Ativo")</f>
        <v>3</v>
      </c>
      <c r="D33" s="319"/>
      <c r="E33" s="319"/>
      <c r="F33" s="319"/>
      <c r="G33" s="306"/>
      <c r="H33" s="306"/>
      <c r="I33" s="306"/>
      <c r="J33" s="306"/>
      <c r="K33" s="320"/>
      <c r="L33" s="321"/>
      <c r="M33" s="306"/>
      <c r="N33" s="309"/>
      <c r="O33" s="309"/>
      <c r="P33" s="310"/>
      <c r="Q33" s="311"/>
      <c r="R33" s="311"/>
      <c r="S33" s="307"/>
      <c r="T33" s="361"/>
      <c r="V33" s="357"/>
      <c r="W33" s="308"/>
      <c r="X33" s="308"/>
      <c r="Y33" s="321"/>
      <c r="Z33" s="321"/>
      <c r="AA33" s="321"/>
      <c r="AB33" s="321"/>
      <c r="AC33" s="307"/>
      <c r="AD33" s="307"/>
      <c r="AE33" s="307"/>
      <c r="AF33" s="307"/>
      <c r="AG33" s="307"/>
      <c r="AH33" s="307"/>
      <c r="AI33" s="307"/>
      <c r="AJ33" s="307"/>
      <c r="AK33" s="307"/>
      <c r="AL33" s="307"/>
      <c r="AM33" s="307"/>
      <c r="AN33" s="307"/>
      <c r="AO33" s="307"/>
      <c r="AP33" s="307"/>
      <c r="AQ33" s="307"/>
      <c r="AR33" s="307"/>
      <c r="AS33" s="307"/>
      <c r="AT33" s="307"/>
      <c r="AU33" s="307"/>
      <c r="AV33" s="307"/>
      <c r="AW33" s="307"/>
      <c r="AX33" s="362"/>
      <c r="AY33" s="362"/>
      <c r="AZ33" s="208"/>
      <c r="BA33" s="208"/>
      <c r="BB33" s="208"/>
      <c r="BC33" s="208"/>
      <c r="BD33" s="208"/>
      <c r="BE33" s="208"/>
      <c r="BF33" s="208"/>
      <c r="BG33" s="296"/>
      <c r="BH33" s="296"/>
      <c r="BI33" s="208"/>
      <c r="BJ33" s="208"/>
      <c r="BK33" s="208"/>
      <c r="BL33" s="208"/>
      <c r="BM33" s="208"/>
      <c r="BN33" s="208"/>
      <c r="BO33" s="208"/>
      <c r="BP33" s="208"/>
      <c r="BQ33" s="208"/>
      <c r="BR33" s="208"/>
      <c r="BS33" s="208"/>
      <c r="BT33" s="208"/>
      <c r="BU33" s="208"/>
      <c r="BV33" s="208"/>
      <c r="BW33" s="208"/>
      <c r="BX33" s="208"/>
      <c r="BY33" s="208"/>
      <c r="BZ33" s="208"/>
      <c r="CA33" s="208"/>
      <c r="CB33" s="208"/>
      <c r="CC33" s="208"/>
      <c r="CD33" s="208"/>
      <c r="CE33" s="208"/>
      <c r="CF33" s="208"/>
      <c r="CG33" s="208"/>
      <c r="CH33" s="208"/>
      <c r="CI33" s="208"/>
      <c r="CJ33" s="208"/>
      <c r="CK33" s="208"/>
    </row>
    <row r="34" spans="1:89" ht="15.75" customHeight="1">
      <c r="A34" s="363"/>
      <c r="B34" s="364" t="s">
        <v>2879</v>
      </c>
      <c r="C34" s="365">
        <f>COUNTIF(H:H,"Inativo")</f>
        <v>14</v>
      </c>
      <c r="D34" s="319"/>
      <c r="E34" s="319"/>
      <c r="F34" s="319"/>
      <c r="G34" s="306"/>
      <c r="H34" s="306"/>
      <c r="I34" s="306"/>
      <c r="J34" s="306"/>
      <c r="K34" s="320"/>
      <c r="L34" s="321"/>
      <c r="M34" s="306"/>
      <c r="N34" s="309"/>
      <c r="O34" s="309"/>
      <c r="P34" s="310"/>
      <c r="Q34" s="311"/>
      <c r="R34" s="311"/>
      <c r="S34" s="307"/>
      <c r="T34" s="361"/>
      <c r="V34" s="357"/>
      <c r="W34" s="308"/>
      <c r="X34" s="308"/>
      <c r="Y34" s="321"/>
      <c r="Z34" s="321"/>
      <c r="AA34" s="321"/>
      <c r="AB34" s="321"/>
      <c r="AC34" s="366">
        <f t="shared" ref="AC34:AL34" si="6">SUM(AC6:AC32)</f>
        <v>684310.12</v>
      </c>
      <c r="AD34" s="366">
        <f t="shared" si="6"/>
        <v>704683.98</v>
      </c>
      <c r="AE34" s="366">
        <f t="shared" si="6"/>
        <v>713798.15999999992</v>
      </c>
      <c r="AF34" s="366">
        <f t="shared" si="6"/>
        <v>799508.39999999991</v>
      </c>
      <c r="AG34" s="366">
        <f t="shared" si="6"/>
        <v>1206943.1500000001</v>
      </c>
      <c r="AH34" s="366">
        <f t="shared" si="6"/>
        <v>1197314.5900000001</v>
      </c>
      <c r="AI34" s="366">
        <f t="shared" si="6"/>
        <v>1635003.3</v>
      </c>
      <c r="AJ34" s="367">
        <f t="shared" si="6"/>
        <v>1708592.6100000003</v>
      </c>
      <c r="AK34" s="367">
        <f t="shared" si="6"/>
        <v>1616298.4</v>
      </c>
      <c r="AL34" s="367">
        <f t="shared" si="6"/>
        <v>1752251.19</v>
      </c>
      <c r="AM34" s="367">
        <f t="shared" ref="AM34:BF34" si="7">SUM(AM3:AM32)</f>
        <v>1973509.8699999999</v>
      </c>
      <c r="AN34" s="367">
        <f t="shared" si="7"/>
        <v>1873769.54</v>
      </c>
      <c r="AO34" s="367">
        <f t="shared" si="7"/>
        <v>1763142.42</v>
      </c>
      <c r="AP34" s="367">
        <f t="shared" si="7"/>
        <v>1912914.44</v>
      </c>
      <c r="AQ34" s="367">
        <f t="shared" si="7"/>
        <v>1965248.3699999999</v>
      </c>
      <c r="AR34" s="367">
        <f t="shared" si="7"/>
        <v>1888700.9400000004</v>
      </c>
      <c r="AS34" s="367">
        <f t="shared" si="7"/>
        <v>1851704.4200000004</v>
      </c>
      <c r="AT34" s="367">
        <f t="shared" si="7"/>
        <v>1842038.96</v>
      </c>
      <c r="AU34" s="367">
        <f t="shared" si="7"/>
        <v>1924082.75</v>
      </c>
      <c r="AV34" s="367">
        <f t="shared" si="7"/>
        <v>2012078.31</v>
      </c>
      <c r="AW34" s="367">
        <f t="shared" si="7"/>
        <v>2016327.48</v>
      </c>
      <c r="AX34" s="367">
        <f t="shared" si="7"/>
        <v>2089769.08</v>
      </c>
      <c r="AY34" s="367">
        <f t="shared" si="7"/>
        <v>1979132.18</v>
      </c>
      <c r="AZ34" s="367">
        <f t="shared" si="7"/>
        <v>1943541.7600000002</v>
      </c>
      <c r="BA34" s="367">
        <f t="shared" si="7"/>
        <v>2119767.7199999997</v>
      </c>
      <c r="BB34" s="367">
        <f t="shared" si="7"/>
        <v>1948027.1700000004</v>
      </c>
      <c r="BC34" s="367">
        <f t="shared" si="7"/>
        <v>1871002.12</v>
      </c>
      <c r="BD34" s="367">
        <f t="shared" si="7"/>
        <v>1753260.6800000002</v>
      </c>
      <c r="BE34" s="367">
        <f t="shared" si="7"/>
        <v>1757931.03</v>
      </c>
      <c r="BF34" s="367">
        <f t="shared" si="7"/>
        <v>1603626.1993</v>
      </c>
      <c r="BG34" s="366">
        <f>SUM(BG7:BG33)</f>
        <v>1347924.3699999999</v>
      </c>
      <c r="BH34" s="366">
        <f t="shared" ref="BH34:CK34" si="8">SUM(BH3:BH33)</f>
        <v>1126755.06</v>
      </c>
      <c r="BI34" s="366">
        <f t="shared" si="8"/>
        <v>1615935.78</v>
      </c>
      <c r="BJ34" s="366">
        <f t="shared" si="8"/>
        <v>1462956.63</v>
      </c>
      <c r="BK34" s="366">
        <f t="shared" si="8"/>
        <v>1307291.03</v>
      </c>
      <c r="BL34" s="366">
        <f t="shared" si="8"/>
        <v>1320516.2199999997</v>
      </c>
      <c r="BM34" s="366">
        <f t="shared" si="8"/>
        <v>2362748.2000000002</v>
      </c>
      <c r="BN34" s="366">
        <f t="shared" si="8"/>
        <v>2431536.7400000002</v>
      </c>
      <c r="BO34" s="366">
        <f t="shared" si="8"/>
        <v>2401947.46</v>
      </c>
      <c r="BP34" s="366">
        <f t="shared" si="8"/>
        <v>2430960.63</v>
      </c>
      <c r="BQ34" s="366">
        <f t="shared" si="8"/>
        <v>1305497.2900000003</v>
      </c>
      <c r="BR34" s="366">
        <f t="shared" si="8"/>
        <v>1222171.8899999999</v>
      </c>
      <c r="BS34" s="366">
        <f t="shared" si="8"/>
        <v>2421812.0799999996</v>
      </c>
      <c r="BT34" s="366">
        <f t="shared" si="8"/>
        <v>2792854.5100000002</v>
      </c>
      <c r="BU34" s="366">
        <f t="shared" si="8"/>
        <v>2855094.53</v>
      </c>
      <c r="BV34" s="366">
        <f t="shared" si="8"/>
        <v>3007639.9299999997</v>
      </c>
      <c r="BW34" s="366">
        <f t="shared" si="8"/>
        <v>3007639.9299999997</v>
      </c>
      <c r="BX34" s="366">
        <f t="shared" si="8"/>
        <v>1994313.0699999998</v>
      </c>
      <c r="BY34" s="366">
        <f t="shared" si="8"/>
        <v>1896026.83</v>
      </c>
      <c r="BZ34" s="366">
        <f t="shared" si="8"/>
        <v>1932900</v>
      </c>
      <c r="CA34" s="366">
        <f t="shared" si="8"/>
        <v>1960612.38</v>
      </c>
      <c r="CB34" s="366">
        <f t="shared" si="8"/>
        <v>1880858.77</v>
      </c>
      <c r="CC34" s="366">
        <f t="shared" si="8"/>
        <v>1124357.3400000001</v>
      </c>
      <c r="CD34" s="366">
        <f t="shared" si="8"/>
        <v>1059951.4700000002</v>
      </c>
      <c r="CE34" s="366">
        <f t="shared" si="8"/>
        <v>1001755.77</v>
      </c>
      <c r="CF34" s="366">
        <f t="shared" si="8"/>
        <v>794172.04999999993</v>
      </c>
      <c r="CG34" s="366">
        <f t="shared" si="8"/>
        <v>791657.06</v>
      </c>
      <c r="CH34" s="366">
        <f t="shared" si="8"/>
        <v>793253.11999999988</v>
      </c>
      <c r="CI34" s="366">
        <f t="shared" si="8"/>
        <v>801704.32000000007</v>
      </c>
      <c r="CJ34" s="366">
        <f t="shared" si="8"/>
        <v>807095.23</v>
      </c>
      <c r="CK34" s="366">
        <f t="shared" si="8"/>
        <v>805060.47</v>
      </c>
    </row>
    <row r="35" spans="1:89" ht="15.75" customHeight="1">
      <c r="A35" s="363"/>
      <c r="B35" s="364" t="s">
        <v>2880</v>
      </c>
      <c r="C35" s="365">
        <f>COUNTIF(H:H,"Encerrado")</f>
        <v>12</v>
      </c>
      <c r="D35" s="319"/>
      <c r="E35" s="319"/>
      <c r="F35" s="319"/>
      <c r="G35" s="306"/>
      <c r="H35" s="306"/>
      <c r="I35" s="306"/>
      <c r="J35" s="306"/>
      <c r="K35" s="320"/>
      <c r="L35" s="321"/>
      <c r="M35" s="306"/>
      <c r="N35" s="309"/>
      <c r="O35" s="309"/>
      <c r="P35" s="310"/>
      <c r="Q35" s="311"/>
      <c r="R35" s="311"/>
      <c r="S35" s="307"/>
      <c r="T35" s="361"/>
      <c r="V35" s="357"/>
      <c r="W35" s="308"/>
      <c r="X35" s="308"/>
      <c r="Y35" s="321"/>
      <c r="Z35" s="321"/>
      <c r="AA35" s="321"/>
      <c r="AB35" s="321"/>
      <c r="AC35" s="208"/>
      <c r="AD35" s="208"/>
      <c r="AE35" s="208"/>
      <c r="AF35" s="208"/>
      <c r="AG35" s="208"/>
      <c r="AH35" s="208"/>
      <c r="AI35" s="208"/>
      <c r="AJ35" s="208"/>
      <c r="AK35" s="208"/>
      <c r="AL35" s="208"/>
      <c r="AM35" s="208"/>
      <c r="AN35" s="307"/>
      <c r="AO35" s="307"/>
      <c r="AP35" s="307"/>
      <c r="AQ35" s="307"/>
      <c r="AR35" s="307"/>
      <c r="AS35" s="307"/>
      <c r="AT35" s="307"/>
      <c r="AU35" s="362"/>
      <c r="AV35" s="362"/>
      <c r="AW35" s="208"/>
      <c r="AX35" s="208"/>
      <c r="AY35" s="208"/>
      <c r="AZ35" s="208"/>
      <c r="BA35" s="208"/>
      <c r="BB35" s="208"/>
      <c r="BC35" s="208"/>
      <c r="BD35" s="208"/>
      <c r="BE35" s="208"/>
      <c r="BF35" s="208"/>
      <c r="BG35" s="208"/>
      <c r="BH35" s="208"/>
      <c r="BI35" s="208"/>
      <c r="BJ35" s="208"/>
      <c r="BK35" s="208"/>
      <c r="BL35" s="208"/>
      <c r="BM35" s="208"/>
      <c r="BN35" s="208"/>
      <c r="BO35" s="208"/>
      <c r="BP35" s="208"/>
      <c r="BQ35" s="208"/>
      <c r="BR35" s="208"/>
      <c r="BS35" s="208"/>
      <c r="BT35" s="208"/>
      <c r="BU35" s="208"/>
      <c r="BV35" s="208"/>
      <c r="BW35" s="208"/>
      <c r="BX35" s="208"/>
      <c r="BY35" s="208"/>
      <c r="BZ35" s="208"/>
      <c r="CA35" s="208"/>
      <c r="CB35" s="208"/>
      <c r="CC35" s="208"/>
      <c r="CD35" s="208"/>
      <c r="CE35" s="208"/>
      <c r="CF35" s="208"/>
      <c r="CG35" s="208"/>
      <c r="CH35" s="208"/>
      <c r="CI35" s="208"/>
      <c r="CJ35" s="208"/>
      <c r="CK35" s="208"/>
    </row>
    <row r="36" spans="1:89" ht="15.75" customHeight="1">
      <c r="A36" s="368"/>
      <c r="B36" s="369" t="s">
        <v>2881</v>
      </c>
      <c r="C36" s="370">
        <f>COUNTIF(H:H,"Pode Operar")</f>
        <v>0</v>
      </c>
      <c r="D36" s="319"/>
      <c r="E36" s="319"/>
      <c r="F36" s="329"/>
      <c r="G36" s="306"/>
      <c r="H36" s="306"/>
      <c r="I36" s="306"/>
      <c r="J36" s="306"/>
      <c r="K36" s="320"/>
      <c r="L36" s="308"/>
      <c r="M36" s="307"/>
      <c r="N36" s="309"/>
      <c r="O36" s="309"/>
      <c r="P36" s="310"/>
      <c r="Q36" s="311"/>
      <c r="R36" s="311"/>
      <c r="S36" s="307"/>
      <c r="T36" s="361"/>
      <c r="V36" s="357"/>
      <c r="W36" s="308"/>
      <c r="X36" s="308"/>
      <c r="Y36" s="308"/>
      <c r="Z36" s="308"/>
      <c r="AA36" s="308"/>
      <c r="AB36" s="308"/>
      <c r="AC36" s="208"/>
      <c r="AD36" s="208"/>
      <c r="AE36" s="208"/>
      <c r="AF36" s="208"/>
      <c r="AG36" s="208"/>
      <c r="AH36" s="208"/>
      <c r="AI36" s="208"/>
      <c r="AJ36" s="208"/>
      <c r="AK36" s="208"/>
      <c r="AL36" s="208"/>
      <c r="AM36" s="208"/>
      <c r="AN36" s="307"/>
      <c r="AO36" s="307"/>
      <c r="AP36" s="307"/>
      <c r="AQ36" s="307"/>
      <c r="AR36" s="307"/>
      <c r="AS36" s="307"/>
      <c r="AT36" s="307"/>
      <c r="AU36" s="362"/>
      <c r="AV36" s="362"/>
      <c r="AW36" s="208"/>
      <c r="AX36" s="208"/>
      <c r="AY36" s="208"/>
      <c r="AZ36" s="208"/>
      <c r="BA36" s="208"/>
      <c r="BB36" s="208"/>
      <c r="BC36" s="208"/>
      <c r="BD36" s="208"/>
      <c r="BE36" s="208"/>
      <c r="BF36" s="208"/>
      <c r="BG36" s="208"/>
      <c r="BH36" s="208"/>
      <c r="BI36" s="208"/>
      <c r="BJ36" s="208"/>
      <c r="BK36" s="208"/>
      <c r="BL36" s="208"/>
      <c r="BM36" s="208"/>
      <c r="BN36" s="208"/>
      <c r="BO36" s="208"/>
      <c r="BP36" s="208"/>
      <c r="BQ36" s="208"/>
      <c r="BR36" s="208"/>
      <c r="BS36" s="208"/>
      <c r="BT36" s="208"/>
      <c r="BU36" s="208"/>
      <c r="BV36" s="208"/>
      <c r="BW36" s="208"/>
      <c r="BX36" s="208"/>
      <c r="BY36" s="208"/>
      <c r="BZ36" s="208"/>
      <c r="CA36" s="208"/>
      <c r="CB36" s="208"/>
      <c r="CC36" s="208"/>
      <c r="CD36" s="208"/>
      <c r="CE36" s="208"/>
      <c r="CF36" s="208"/>
      <c r="CG36" s="208"/>
      <c r="CH36" s="208"/>
      <c r="CI36" s="208"/>
      <c r="CJ36" s="208"/>
      <c r="CK36" s="208"/>
    </row>
    <row r="37" spans="1:89" ht="15.75" customHeight="1">
      <c r="A37" s="304"/>
      <c r="C37" s="328"/>
      <c r="D37" s="319"/>
      <c r="E37" s="319"/>
      <c r="F37" s="319"/>
      <c r="G37" s="306"/>
      <c r="H37" s="306"/>
      <c r="I37" s="306"/>
      <c r="J37" s="306"/>
      <c r="K37" s="320"/>
      <c r="L37" s="308"/>
      <c r="M37" s="307"/>
      <c r="N37" s="309"/>
      <c r="O37" s="309"/>
      <c r="P37" s="310"/>
      <c r="Q37" s="311"/>
      <c r="R37" s="311"/>
      <c r="S37" s="307"/>
      <c r="T37" s="307"/>
      <c r="U37" s="307"/>
      <c r="V37" s="357"/>
      <c r="W37" s="308"/>
      <c r="X37" s="308"/>
      <c r="Y37" s="308"/>
      <c r="Z37" s="308"/>
      <c r="AA37" s="308"/>
      <c r="AB37" s="308"/>
      <c r="AC37" s="208"/>
      <c r="AD37" s="208"/>
      <c r="AE37" s="208"/>
      <c r="AF37" s="208"/>
      <c r="AG37" s="208"/>
      <c r="AH37" s="208"/>
      <c r="AI37" s="208"/>
      <c r="AJ37" s="208"/>
      <c r="AK37" s="208"/>
      <c r="AL37" s="208"/>
      <c r="AM37" s="208"/>
      <c r="AN37" s="307"/>
      <c r="AO37" s="307"/>
      <c r="AP37" s="307"/>
      <c r="AQ37" s="307"/>
      <c r="AR37" s="307"/>
      <c r="AS37" s="307"/>
      <c r="AT37" s="307"/>
      <c r="AU37" s="362"/>
      <c r="AV37" s="362"/>
      <c r="AW37" s="208"/>
      <c r="AX37" s="208"/>
      <c r="AY37" s="208"/>
      <c r="AZ37" s="208"/>
      <c r="BA37" s="208"/>
      <c r="BB37" s="208"/>
      <c r="BC37" s="208"/>
      <c r="BD37" s="208"/>
      <c r="BE37" s="208"/>
      <c r="BF37" s="208"/>
      <c r="BG37" s="208"/>
      <c r="BH37" s="208"/>
      <c r="BI37" s="208"/>
      <c r="BJ37" s="208"/>
      <c r="BK37" s="208"/>
      <c r="BL37" s="208"/>
      <c r="BM37" s="208"/>
      <c r="BN37" s="208"/>
      <c r="BO37" s="208"/>
      <c r="BP37" s="208"/>
      <c r="BQ37" s="208"/>
      <c r="BR37" s="208"/>
      <c r="BS37" s="208"/>
      <c r="BT37" s="208"/>
      <c r="BU37" s="208"/>
      <c r="BV37" s="208"/>
      <c r="BW37" s="208"/>
      <c r="BX37" s="208"/>
      <c r="BY37" s="208"/>
      <c r="BZ37" s="208"/>
      <c r="CA37" s="208"/>
      <c r="CB37" s="208"/>
      <c r="CC37" s="208"/>
      <c r="CD37" s="208"/>
      <c r="CE37" s="208"/>
      <c r="CF37" s="208"/>
      <c r="CG37" s="208"/>
      <c r="CH37" s="208"/>
      <c r="CI37" s="208"/>
      <c r="CJ37" s="208"/>
      <c r="CK37" s="208"/>
    </row>
    <row r="38" spans="1:89" ht="15.75" customHeight="1">
      <c r="A38" s="327"/>
      <c r="C38" s="328"/>
      <c r="D38" s="319"/>
      <c r="E38" s="319"/>
      <c r="F38" s="319"/>
      <c r="G38" s="306"/>
      <c r="H38" s="306"/>
      <c r="I38" s="306"/>
      <c r="J38" s="306"/>
      <c r="K38" s="320"/>
      <c r="L38" s="321"/>
      <c r="M38" s="306"/>
      <c r="N38" s="309"/>
      <c r="O38" s="309"/>
      <c r="P38" s="310"/>
      <c r="Q38" s="311"/>
      <c r="R38" s="311"/>
      <c r="S38" s="307"/>
      <c r="T38" s="371"/>
      <c r="U38" s="307"/>
      <c r="V38" s="357"/>
      <c r="W38" s="321"/>
      <c r="X38" s="321"/>
      <c r="Y38" s="321"/>
      <c r="Z38" s="321"/>
      <c r="AA38" s="321"/>
      <c r="AB38" s="321"/>
      <c r="AC38" s="208"/>
      <c r="AD38" s="208"/>
      <c r="AE38" s="208"/>
      <c r="AF38" s="208"/>
      <c r="AG38" s="208"/>
      <c r="AH38" s="208"/>
      <c r="AI38" s="208"/>
      <c r="AJ38" s="208"/>
      <c r="AK38" s="208"/>
      <c r="AL38" s="208"/>
      <c r="AM38" s="208"/>
      <c r="AN38" s="307"/>
      <c r="AO38" s="307"/>
      <c r="AP38" s="307"/>
      <c r="AQ38" s="307"/>
      <c r="AR38" s="307"/>
      <c r="AS38" s="307"/>
      <c r="AT38" s="307"/>
      <c r="AU38" s="362"/>
      <c r="AV38" s="362"/>
      <c r="AW38" s="208"/>
      <c r="AX38" s="208"/>
      <c r="AY38" s="208"/>
      <c r="AZ38" s="208"/>
      <c r="BA38" s="208"/>
      <c r="BB38" s="208"/>
      <c r="BC38" s="208"/>
      <c r="BD38" s="208"/>
      <c r="BE38" s="208"/>
      <c r="BF38" s="208"/>
      <c r="BG38" s="208"/>
      <c r="BH38" s="208"/>
      <c r="BI38" s="208"/>
      <c r="BJ38" s="208"/>
      <c r="BK38" s="208"/>
      <c r="BL38" s="208"/>
      <c r="BM38" s="208"/>
      <c r="BN38" s="208"/>
      <c r="BO38" s="208"/>
      <c r="BP38" s="208"/>
      <c r="BQ38" s="208"/>
      <c r="BR38" s="208"/>
      <c r="BS38" s="208"/>
      <c r="BT38" s="208"/>
      <c r="BU38" s="208"/>
      <c r="BV38" s="208"/>
      <c r="BW38" s="208"/>
      <c r="BX38" s="208"/>
      <c r="BY38" s="208"/>
      <c r="BZ38" s="208"/>
      <c r="CA38" s="208"/>
      <c r="CB38" s="208"/>
      <c r="CC38" s="208"/>
      <c r="CD38" s="208"/>
      <c r="CE38" s="208"/>
      <c r="CF38" s="208"/>
      <c r="CG38" s="208"/>
      <c r="CH38" s="208"/>
      <c r="CI38" s="208"/>
      <c r="CJ38" s="208"/>
      <c r="CK38" s="208"/>
    </row>
    <row r="39" spans="1:89" ht="15.75" customHeight="1">
      <c r="A39" s="327"/>
      <c r="C39" s="328"/>
      <c r="D39" s="319"/>
      <c r="E39" s="319"/>
      <c r="F39" s="319"/>
      <c r="G39" s="306"/>
      <c r="H39" s="306"/>
      <c r="I39" s="306"/>
      <c r="J39" s="306"/>
      <c r="K39" s="320"/>
      <c r="L39" s="308"/>
      <c r="M39" s="307"/>
      <c r="N39" s="309"/>
      <c r="O39" s="309"/>
      <c r="P39" s="310"/>
      <c r="Q39" s="311"/>
      <c r="R39" s="311"/>
      <c r="S39" s="307"/>
      <c r="T39" s="371"/>
      <c r="U39" s="307"/>
      <c r="V39" s="357"/>
      <c r="W39" s="308"/>
      <c r="X39" s="308"/>
      <c r="Y39" s="308"/>
      <c r="Z39" s="308"/>
      <c r="AA39" s="308"/>
      <c r="AB39" s="308"/>
      <c r="AC39" s="208"/>
      <c r="AD39" s="208"/>
      <c r="AE39" s="208"/>
      <c r="AF39" s="208"/>
      <c r="AG39" s="208"/>
      <c r="AH39" s="208"/>
      <c r="AI39" s="208"/>
      <c r="AJ39" s="208"/>
      <c r="AK39" s="208"/>
      <c r="AL39" s="208"/>
      <c r="AM39" s="208"/>
      <c r="AN39" s="307"/>
      <c r="AO39" s="307"/>
      <c r="AP39" s="307"/>
      <c r="AQ39" s="307"/>
      <c r="AR39" s="307"/>
      <c r="AS39" s="307"/>
      <c r="AT39" s="307"/>
      <c r="AU39" s="362"/>
      <c r="AV39" s="362"/>
      <c r="AW39" s="208"/>
      <c r="AX39" s="208"/>
      <c r="AY39" s="208"/>
      <c r="AZ39" s="208"/>
      <c r="BA39" s="208"/>
      <c r="BB39" s="208"/>
      <c r="BC39" s="208"/>
      <c r="BD39" s="208"/>
      <c r="BE39" s="208"/>
      <c r="BF39" s="208"/>
      <c r="BG39" s="208"/>
      <c r="BH39" s="208"/>
      <c r="BI39" s="208"/>
      <c r="BJ39" s="208"/>
      <c r="BK39" s="208"/>
      <c r="BL39" s="208"/>
      <c r="BM39" s="208"/>
      <c r="BN39" s="208"/>
      <c r="BO39" s="208"/>
      <c r="BP39" s="208"/>
      <c r="BQ39" s="208"/>
      <c r="BR39" s="208"/>
      <c r="BS39" s="208"/>
      <c r="BT39" s="208"/>
      <c r="BU39" s="208"/>
      <c r="BV39" s="208"/>
      <c r="BW39" s="208"/>
      <c r="BX39" s="208"/>
      <c r="BY39" s="208"/>
      <c r="BZ39" s="208"/>
      <c r="CA39" s="208"/>
      <c r="CB39" s="208"/>
      <c r="CC39" s="208"/>
      <c r="CD39" s="208"/>
      <c r="CE39" s="208"/>
      <c r="CF39" s="208"/>
      <c r="CG39" s="208"/>
      <c r="CH39" s="208"/>
      <c r="CI39" s="208"/>
      <c r="CJ39" s="208"/>
      <c r="CK39" s="208"/>
    </row>
    <row r="40" spans="1:89" ht="15.75" customHeight="1">
      <c r="A40" s="327"/>
      <c r="C40" s="328"/>
      <c r="D40" s="319"/>
      <c r="E40" s="319"/>
      <c r="F40" s="319"/>
      <c r="G40" s="306"/>
      <c r="H40" s="306"/>
      <c r="I40" s="306"/>
      <c r="J40" s="306"/>
      <c r="K40" s="320"/>
      <c r="L40" s="321"/>
      <c r="M40" s="306"/>
      <c r="N40" s="309"/>
      <c r="O40" s="309"/>
      <c r="P40" s="310"/>
      <c r="Q40" s="311"/>
      <c r="R40" s="311"/>
      <c r="S40" s="307"/>
      <c r="T40" s="371"/>
      <c r="U40" s="307"/>
      <c r="V40" s="357"/>
      <c r="W40" s="321"/>
      <c r="X40" s="321"/>
      <c r="Y40" s="321"/>
      <c r="Z40" s="321"/>
      <c r="AA40" s="321"/>
      <c r="AB40" s="321"/>
      <c r="AC40" s="208"/>
      <c r="AD40" s="208"/>
      <c r="AE40" s="208"/>
      <c r="AF40" s="208"/>
      <c r="AG40" s="208"/>
      <c r="AH40" s="208"/>
      <c r="AI40" s="208"/>
      <c r="AJ40" s="208"/>
      <c r="AK40" s="208"/>
      <c r="AL40" s="208"/>
      <c r="AM40" s="208"/>
      <c r="AN40" s="307"/>
      <c r="AO40" s="307"/>
      <c r="AP40" s="307"/>
      <c r="AQ40" s="307"/>
      <c r="AR40" s="307"/>
      <c r="AS40" s="307"/>
      <c r="AT40" s="307"/>
      <c r="AU40" s="362"/>
      <c r="AV40" s="362"/>
      <c r="AW40" s="208"/>
      <c r="AX40" s="208"/>
      <c r="AY40" s="208"/>
      <c r="AZ40" s="208"/>
      <c r="BA40" s="208"/>
      <c r="BB40" s="208"/>
      <c r="BC40" s="208"/>
      <c r="BD40" s="208"/>
      <c r="BE40" s="208"/>
      <c r="BF40" s="208"/>
      <c r="BG40" s="208"/>
      <c r="BH40" s="208"/>
      <c r="BI40" s="208"/>
      <c r="BJ40" s="208"/>
      <c r="BK40" s="208"/>
      <c r="BL40" s="208"/>
      <c r="BM40" s="208"/>
      <c r="BN40" s="208"/>
      <c r="BO40" s="208"/>
      <c r="BP40" s="208"/>
      <c r="BQ40" s="208"/>
      <c r="BR40" s="208"/>
      <c r="BS40" s="208"/>
      <c r="BT40" s="208"/>
      <c r="BU40" s="208"/>
      <c r="BV40" s="208"/>
      <c r="BW40" s="208"/>
      <c r="BX40" s="208"/>
      <c r="BY40" s="208"/>
      <c r="BZ40" s="208"/>
      <c r="CA40" s="208"/>
      <c r="CB40" s="208"/>
      <c r="CC40" s="208"/>
      <c r="CD40" s="208"/>
      <c r="CE40" s="208"/>
      <c r="CF40" s="208"/>
      <c r="CG40" s="208"/>
      <c r="CH40" s="208"/>
      <c r="CI40" s="208"/>
      <c r="CJ40" s="208"/>
      <c r="CK40" s="208"/>
    </row>
  </sheetData>
  <autoFilter ref="A1:CK31" xr:uid="{00000000-0009-0000-0000-000004000000}">
    <filterColumn colId="88">
      <filters>
        <filter val="30/09/2024"/>
        <filter val="R$ 0.00"/>
        <filter val="R$ 1,797.04"/>
        <filter val="R$ 12,303.14"/>
        <filter val="R$ 133,269.07"/>
        <filter val="R$ 240,724.11"/>
        <filter val="R$ 416,967.11"/>
      </filters>
    </filterColumn>
  </autoFilter>
  <customSheetViews>
    <customSheetView guid="{BB552302-83D7-4E75-9721-4A908E1DD9C4}" filter="1" showAutoFilter="1">
      <pageMargins left="0.511811024" right="0.511811024" top="0.78740157499999996" bottom="0.78740157499999996" header="0.31496062000000002" footer="0.31496062000000002"/>
      <autoFilter ref="A2:CC31" xr:uid="{FEB35DEF-9452-4AF8-B1F9-C5157C6F93EC}"/>
    </customSheetView>
    <customSheetView guid="{31BAD605-5612-4733-8F02-7FA30239EFFB}" filter="1" showAutoFilter="1">
      <pageMargins left="0.511811024" right="0.511811024" top="0.78740157499999996" bottom="0.78740157499999996" header="0.31496062000000002" footer="0.31496062000000002"/>
      <autoFilter ref="A1:BZ40" xr:uid="{649B2E1E-A2BA-4D44-9C57-069BCAE700DA}">
        <filterColumn colId="7">
          <filters>
            <filter val="Inativo"/>
            <filter val="Ativo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31">
    <cfRule type="cellIs" dxfId="178" priority="1" operator="equal">
      <formula>"Conquest"</formula>
    </cfRule>
    <cfRule type="cellIs" dxfId="177" priority="2" operator="equal">
      <formula>"Voga"</formula>
    </cfRule>
  </conditionalFormatting>
  <conditionalFormatting sqref="F39">
    <cfRule type="cellIs" dxfId="176" priority="3" operator="equal">
      <formula>"Bluemetrix"</formula>
    </cfRule>
  </conditionalFormatting>
  <conditionalFormatting sqref="W3:X31">
    <cfRule type="notContainsBlanks" dxfId="175" priority="4">
      <formula>LEN(TRIM(W3))&gt;0</formula>
    </cfRule>
  </conditionalFormatting>
  <dataValidations count="9">
    <dataValidation type="list" allowBlank="1" showErrorMessage="1" sqref="H3:H31" xr:uid="{00000000-0002-0000-0400-000000000000}">
      <formula1>"Ativo,Pode Operar,Inativo,Encerrado,Monitoramento,Sem PL,STVM,Alteração de C.A,Não Operar"</formula1>
    </dataValidation>
    <dataValidation type="list" allowBlank="1" showErrorMessage="1" sqref="W3:X31" xr:uid="{00000000-0002-0000-0400-000001000000}">
      <formula1>"Conservador,Moderado,Arrojado"</formula1>
    </dataValidation>
    <dataValidation type="list" allowBlank="1" showErrorMessage="1" sqref="V3:V31" xr:uid="{00000000-0002-0000-0400-000002000000}">
      <formula1>"Ativo,Inativo,Encerrado"</formula1>
    </dataValidation>
    <dataValidation type="list" allowBlank="1" showErrorMessage="1" sqref="D3:D31" xr:uid="{00000000-0002-0000-0400-000003000000}">
      <formula1>"Bluemetrix,Voga,Conquest"</formula1>
    </dataValidation>
    <dataValidation type="list" allowBlank="1" showErrorMessage="1" sqref="O3:O31" xr:uid="{00000000-0002-0000-0400-000004000000}">
      <formula1>"IBOVESPA,CDI,------,IFIX,SMLL,S&amp;P 500"</formula1>
    </dataValidation>
    <dataValidation type="list" allowBlank="1" showErrorMessage="1" sqref="Y3:Y31" xr:uid="{00000000-0002-0000-0400-000005000000}">
      <formula1>"Não Qualificado,Qualificado,Profissional"</formula1>
    </dataValidation>
    <dataValidation type="list" allowBlank="1" showErrorMessage="1" sqref="I3:I31" xr:uid="{00000000-0002-0000-0400-000006000000}">
      <formula1>"------,Sem Saldo,STVM Entrada,STVM Saída,Alteração de C.A,Monitoramento,Bloqueado,Resgate,Resgate Total, Troca de Assessoria,Distrato"</formula1>
    </dataValidation>
    <dataValidation type="list" allowBlank="1" showErrorMessage="1" sqref="E3:E31" xr:uid="{00000000-0002-0000-0400-000007000000}">
      <formula1>"DF,GO,SUL,SP"</formula1>
    </dataValidation>
    <dataValidation type="list" allowBlank="1" showErrorMessage="1" sqref="S3:S31" xr:uid="{00000000-0002-0000-04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P100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35.85546875" customWidth="1"/>
    <col min="3" max="3" width="8.28515625" customWidth="1"/>
    <col min="4" max="4" width="13.42578125" customWidth="1"/>
    <col min="5" max="5" width="9" customWidth="1"/>
    <col min="6" max="7" width="17.42578125" customWidth="1"/>
    <col min="8" max="9" width="1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6" customWidth="1"/>
    <col min="16" max="16" width="7.5703125" customWidth="1"/>
    <col min="17" max="17" width="47" customWidth="1"/>
    <col min="18" max="18" width="36.5703125" customWidth="1"/>
    <col min="19" max="19" width="7.7109375" customWidth="1"/>
    <col min="20" max="20" width="11.42578125" customWidth="1"/>
    <col min="21" max="21" width="8.28515625" customWidth="1"/>
    <col min="22" max="22" width="11.5703125" customWidth="1"/>
    <col min="23" max="23" width="8.42578125" customWidth="1"/>
    <col min="24" max="25" width="20.140625" customWidth="1"/>
    <col min="26" max="26" width="12.28515625" customWidth="1"/>
    <col min="27" max="30" width="13" customWidth="1"/>
    <col min="31" max="42" width="11" customWidth="1"/>
  </cols>
  <sheetData>
    <row r="1" spans="1:42" ht="15.75" customHeight="1">
      <c r="A1" s="14"/>
      <c r="B1" s="14" t="s">
        <v>92</v>
      </c>
      <c r="C1" s="14"/>
      <c r="D1" s="14"/>
      <c r="E1" s="14"/>
      <c r="F1" s="14"/>
      <c r="G1" s="16" t="s">
        <v>93</v>
      </c>
      <c r="H1" s="648" t="s">
        <v>94</v>
      </c>
      <c r="I1" s="647"/>
      <c r="J1" s="646" t="s">
        <v>92</v>
      </c>
      <c r="K1" s="647"/>
      <c r="L1" s="647"/>
      <c r="M1" s="647"/>
      <c r="N1" s="647"/>
      <c r="O1" s="647"/>
      <c r="P1" s="647"/>
      <c r="Q1" s="291" t="s">
        <v>2883</v>
      </c>
      <c r="R1" s="17" t="s">
        <v>2882</v>
      </c>
      <c r="S1" s="655" t="s">
        <v>95</v>
      </c>
      <c r="T1" s="647"/>
      <c r="U1" s="647"/>
      <c r="V1" s="647"/>
      <c r="W1" s="647"/>
      <c r="X1" s="647"/>
      <c r="Y1" s="18"/>
      <c r="Z1" s="656" t="s">
        <v>96</v>
      </c>
      <c r="AA1" s="647"/>
      <c r="AB1" s="647"/>
      <c r="AC1" s="647"/>
      <c r="AD1" s="647"/>
      <c r="AE1" s="647"/>
      <c r="AF1" s="647"/>
      <c r="AG1" s="647"/>
      <c r="AH1" s="647"/>
      <c r="AI1" s="372"/>
      <c r="AJ1" s="372"/>
      <c r="AK1" s="372"/>
      <c r="AL1" s="372"/>
      <c r="AM1" s="372"/>
      <c r="AN1" s="372"/>
      <c r="AO1" s="372"/>
      <c r="AP1" s="372"/>
    </row>
    <row r="2" spans="1:42" ht="15.75" customHeight="1">
      <c r="A2" s="373" t="s">
        <v>2</v>
      </c>
      <c r="B2" s="374" t="s">
        <v>97</v>
      </c>
      <c r="C2" s="374" t="s">
        <v>1</v>
      </c>
      <c r="D2" s="374" t="s">
        <v>3</v>
      </c>
      <c r="E2" s="374" t="s">
        <v>4</v>
      </c>
      <c r="F2" s="374" t="s">
        <v>5</v>
      </c>
      <c r="G2" s="374" t="s">
        <v>98</v>
      </c>
      <c r="H2" s="374" t="s">
        <v>99</v>
      </c>
      <c r="I2" s="374" t="s">
        <v>100</v>
      </c>
      <c r="J2" s="374" t="s">
        <v>101</v>
      </c>
      <c r="K2" s="374" t="s">
        <v>102</v>
      </c>
      <c r="L2" s="374" t="s">
        <v>103</v>
      </c>
      <c r="M2" s="374" t="s">
        <v>8</v>
      </c>
      <c r="N2" s="374" t="s">
        <v>104</v>
      </c>
      <c r="O2" s="374" t="s">
        <v>3702</v>
      </c>
      <c r="P2" s="374" t="s">
        <v>11</v>
      </c>
      <c r="Q2" s="375" t="s">
        <v>3703</v>
      </c>
      <c r="R2" s="375" t="s">
        <v>106</v>
      </c>
      <c r="S2" s="374" t="s">
        <v>107</v>
      </c>
      <c r="T2" s="373" t="s">
        <v>12</v>
      </c>
      <c r="U2" s="374" t="s">
        <v>13</v>
      </c>
      <c r="V2" s="374" t="s">
        <v>108</v>
      </c>
      <c r="W2" s="374" t="s">
        <v>14</v>
      </c>
      <c r="X2" s="374" t="s">
        <v>111</v>
      </c>
      <c r="Y2" s="374" t="s">
        <v>3704</v>
      </c>
      <c r="Z2" s="374" t="s">
        <v>120</v>
      </c>
      <c r="AA2" s="374" t="s">
        <v>121</v>
      </c>
      <c r="AB2" s="374" t="s">
        <v>122</v>
      </c>
      <c r="AC2" s="374" t="s">
        <v>123</v>
      </c>
      <c r="AD2" s="374" t="s">
        <v>124</v>
      </c>
      <c r="AE2" s="374" t="s">
        <v>125</v>
      </c>
      <c r="AF2" s="373" t="s">
        <v>126</v>
      </c>
      <c r="AG2" s="373" t="s">
        <v>127</v>
      </c>
      <c r="AH2" s="373" t="s">
        <v>128</v>
      </c>
      <c r="AI2" s="373" t="s">
        <v>129</v>
      </c>
      <c r="AJ2" s="373" t="s">
        <v>130</v>
      </c>
      <c r="AK2" s="373" t="s">
        <v>131</v>
      </c>
      <c r="AL2" s="373" t="s">
        <v>132</v>
      </c>
      <c r="AM2" s="373" t="s">
        <v>133</v>
      </c>
      <c r="AN2" s="373" t="s">
        <v>134</v>
      </c>
      <c r="AO2" s="373" t="s">
        <v>135</v>
      </c>
      <c r="AP2" s="373" t="s">
        <v>136</v>
      </c>
    </row>
    <row r="3" spans="1:42" ht="15.75" customHeight="1">
      <c r="A3" s="161" t="s">
        <v>3705</v>
      </c>
      <c r="B3" s="161" t="s">
        <v>2258</v>
      </c>
      <c r="C3" s="91" t="s">
        <v>3706</v>
      </c>
      <c r="D3" s="9" t="s">
        <v>64</v>
      </c>
      <c r="E3" s="9" t="s">
        <v>20</v>
      </c>
      <c r="F3" s="125" t="s">
        <v>142</v>
      </c>
      <c r="G3" s="125" t="e">
        <f t="array" aca="1" ref="G3" ca="1">IF(AND(_xludf.XLOOKUP(F3,'PL TOTAL D0'!$A$3:$A$54,'PL TOTAL D0'!$B$3:$B$54,)="Edu",AF3&gt;100000),"Edu",IF(AND(_xludf.XLOOKUP(F3,'PL TOTAL D0'!$A$3:$A$54,'PL TOTAL D0'!$B$3:$B$54,)="Edu",AF3&lt;100000),"Breno",IF(AND(_xludf.XLOOKUP(F3,'PL TOTAL D0'!$A$3:$A$54,'PL TOTAL D0'!$B$3:$B$54,)="Léo",AF3&gt;100000),"Léo",IF(AND(_xludf.XLOOKUP(F3,'PL TOTAL D0'!$A$3:$A$54,'PL TOTAL D0'!$B$3:$B$54,)="Léo",AF3&lt;100000),"Bruno",""))))</f>
        <v>#NAME?</v>
      </c>
      <c r="H3" s="334" t="s">
        <v>152</v>
      </c>
      <c r="I3" s="24" t="s">
        <v>25</v>
      </c>
      <c r="J3" s="9" t="str">
        <f t="shared" ref="J3:J4" si="0">IF(Q3=0,"Não","Sim")</f>
        <v>Não</v>
      </c>
      <c r="K3" s="298">
        <v>45147</v>
      </c>
      <c r="L3" s="7"/>
      <c r="M3" s="300" t="s">
        <v>345</v>
      </c>
      <c r="N3" s="301">
        <v>0.01</v>
      </c>
      <c r="O3" s="6" t="s">
        <v>25</v>
      </c>
      <c r="P3" s="11">
        <v>0</v>
      </c>
      <c r="Q3" s="167"/>
      <c r="R3" s="28"/>
      <c r="S3" s="7" t="s">
        <v>145</v>
      </c>
      <c r="T3" s="161" t="s">
        <v>2260</v>
      </c>
      <c r="U3" s="6" t="s">
        <v>20</v>
      </c>
      <c r="V3" s="376" t="e">
        <f t="shared" ref="V3:V4" ca="1" si="1">_xludf.IFS(H:H="Encerrado","Encerrado",SUM(Z3:AJ3)&lt;=0,"Inativo",SUM(Z3:AJ3)&gt;0,"Ativo")</f>
        <v>#NAME?</v>
      </c>
      <c r="W3" s="7"/>
      <c r="X3" s="7"/>
      <c r="Y3" s="7"/>
      <c r="Z3" s="110">
        <v>0</v>
      </c>
      <c r="AA3" s="110">
        <v>0</v>
      </c>
      <c r="AB3" s="110">
        <v>0</v>
      </c>
      <c r="AC3" s="296">
        <v>0</v>
      </c>
      <c r="AD3" s="296">
        <v>0</v>
      </c>
      <c r="AE3" s="110">
        <v>228609.33</v>
      </c>
      <c r="AF3" s="110">
        <v>476415.19</v>
      </c>
      <c r="AG3" s="110">
        <v>481666.56</v>
      </c>
      <c r="AH3" s="110">
        <v>484162.48</v>
      </c>
      <c r="AI3" s="110">
        <v>490258.74</v>
      </c>
      <c r="AJ3" s="110">
        <v>491139.54</v>
      </c>
      <c r="AK3" s="110">
        <v>494882.51</v>
      </c>
      <c r="AL3" s="110">
        <v>495576.06</v>
      </c>
      <c r="AM3" s="110">
        <v>494772.11</v>
      </c>
      <c r="AN3" s="110">
        <v>496894.54</v>
      </c>
      <c r="AO3" s="110">
        <v>496874.88</v>
      </c>
      <c r="AP3" s="110">
        <v>0</v>
      </c>
    </row>
    <row r="4" spans="1:42" ht="15.75" customHeight="1">
      <c r="A4" s="161" t="s">
        <v>3705</v>
      </c>
      <c r="B4" s="161" t="s">
        <v>3707</v>
      </c>
      <c r="C4" s="377">
        <v>6574040</v>
      </c>
      <c r="D4" s="9" t="s">
        <v>19</v>
      </c>
      <c r="E4" s="9" t="s">
        <v>49</v>
      </c>
      <c r="F4" s="125" t="s">
        <v>50</v>
      </c>
      <c r="G4" s="125" t="e">
        <f t="array" aca="1" ref="G4" ca="1">IF(AND(_xludf.XLOOKUP(F4,'PL TOTAL D0'!$A$3:$A$54,'PL TOTAL D0'!$B$3:$B$54,)="Edu",AF4&gt;100000),"Edu",IF(AND(_xludf.XLOOKUP(F4,'PL TOTAL D0'!$A$3:$A$54,'PL TOTAL D0'!$B$3:$B$54,)="Edu",AF4&lt;100000),"Breno",IF(AND(_xludf.XLOOKUP(F4,'PL TOTAL D0'!$A$3:$A$54,'PL TOTAL D0'!$B$3:$B$54,)="Léo",AF4&gt;100000),"Léo",IF(AND(_xludf.XLOOKUP(F4,'PL TOTAL D0'!$A$3:$A$54,'PL TOTAL D0'!$B$3:$B$54,)="Léo",AF4&lt;100000),"Bruno",""))))</f>
        <v>#NAME?</v>
      </c>
      <c r="H4" s="334" t="s">
        <v>152</v>
      </c>
      <c r="I4" s="24" t="s">
        <v>25</v>
      </c>
      <c r="J4" s="9" t="str">
        <f t="shared" si="0"/>
        <v>Não</v>
      </c>
      <c r="K4" s="294">
        <v>45035</v>
      </c>
      <c r="L4" s="7"/>
      <c r="M4" s="125" t="s">
        <v>200</v>
      </c>
      <c r="N4" s="124">
        <v>1.4999999999999999E-2</v>
      </c>
      <c r="O4" s="6" t="s">
        <v>37</v>
      </c>
      <c r="P4" s="11">
        <v>0.1</v>
      </c>
      <c r="Q4" s="167"/>
      <c r="R4" s="167" t="s">
        <v>3708</v>
      </c>
      <c r="S4" s="7" t="s">
        <v>145</v>
      </c>
      <c r="T4" s="161" t="s">
        <v>2771</v>
      </c>
      <c r="U4" s="6" t="s">
        <v>49</v>
      </c>
      <c r="V4" s="376" t="e">
        <f t="shared" ca="1" si="1"/>
        <v>#NAME?</v>
      </c>
      <c r="W4" s="7"/>
      <c r="X4" s="7"/>
      <c r="Y4" s="7"/>
      <c r="Z4" s="110">
        <v>0</v>
      </c>
      <c r="AA4" s="110">
        <v>0</v>
      </c>
      <c r="AB4" s="110">
        <v>132492.79</v>
      </c>
      <c r="AC4" s="296">
        <v>134743.56</v>
      </c>
      <c r="AD4" s="296">
        <v>136144.6</v>
      </c>
      <c r="AE4" s="110">
        <v>192907.97</v>
      </c>
      <c r="AF4" s="110">
        <v>309196.34000000003</v>
      </c>
      <c r="AG4" s="110">
        <v>312854.21999999997</v>
      </c>
      <c r="AH4" s="110">
        <v>317287.32</v>
      </c>
      <c r="AI4" s="110">
        <v>130675.4</v>
      </c>
      <c r="AJ4" s="110">
        <v>90712.68</v>
      </c>
      <c r="AK4" s="110">
        <v>89283.42</v>
      </c>
      <c r="AL4" s="110">
        <v>0</v>
      </c>
      <c r="AM4" s="110">
        <v>0</v>
      </c>
      <c r="AN4" s="110">
        <v>0</v>
      </c>
      <c r="AO4" s="110">
        <v>0</v>
      </c>
      <c r="AP4" s="110">
        <v>0</v>
      </c>
    </row>
    <row r="5" spans="1:42" ht="15.75" customHeight="1">
      <c r="A5" s="304"/>
      <c r="B5" s="304"/>
      <c r="C5" s="305"/>
      <c r="D5" s="306"/>
      <c r="E5" s="306"/>
      <c r="F5" s="307"/>
      <c r="G5" s="307"/>
      <c r="H5" s="202"/>
      <c r="I5" s="202"/>
      <c r="J5" s="202"/>
      <c r="K5" s="308"/>
      <c r="L5" s="308"/>
      <c r="M5" s="307"/>
      <c r="N5" s="309"/>
      <c r="O5" s="309"/>
      <c r="P5" s="310"/>
      <c r="Q5" s="311"/>
      <c r="R5" s="311"/>
      <c r="S5" s="307"/>
      <c r="T5" s="304"/>
      <c r="U5" s="307"/>
      <c r="V5" s="307"/>
      <c r="W5" s="308"/>
      <c r="X5" s="308"/>
      <c r="Y5" s="308"/>
      <c r="Z5" s="208"/>
      <c r="AA5" s="208"/>
      <c r="AB5" s="208"/>
      <c r="AC5" s="208"/>
      <c r="AD5" s="208"/>
      <c r="AE5" s="208"/>
      <c r="AF5" s="208"/>
      <c r="AG5" s="208"/>
      <c r="AH5" s="208"/>
      <c r="AI5" s="208"/>
      <c r="AJ5" s="208"/>
      <c r="AK5" s="208"/>
      <c r="AL5" s="208"/>
      <c r="AM5" s="208"/>
      <c r="AN5" s="208"/>
      <c r="AO5" s="208"/>
      <c r="AP5" s="208"/>
    </row>
    <row r="6" spans="1:42" ht="15.75" customHeight="1">
      <c r="A6" s="312"/>
      <c r="B6" s="313" t="s">
        <v>2878</v>
      </c>
      <c r="C6" s="314">
        <f>COUNTIF(H:H,"Ativo")</f>
        <v>2</v>
      </c>
      <c r="D6" s="307"/>
      <c r="E6" s="307"/>
      <c r="F6" s="307"/>
      <c r="G6" s="307"/>
      <c r="H6" s="307"/>
      <c r="I6" s="307"/>
      <c r="J6" s="307"/>
      <c r="K6" s="308"/>
      <c r="L6" s="308"/>
      <c r="M6" s="307"/>
      <c r="N6" s="309"/>
      <c r="O6" s="309"/>
      <c r="P6" s="310"/>
      <c r="Q6" s="311"/>
      <c r="R6" s="311"/>
      <c r="S6" s="307"/>
      <c r="T6" s="313"/>
      <c r="U6" s="307"/>
      <c r="V6" s="307"/>
      <c r="W6" s="308"/>
      <c r="X6" s="308"/>
      <c r="Y6" s="308"/>
      <c r="Z6" s="378">
        <f t="shared" ref="Z6:AP6" si="2">SUM(Z3:Z5)</f>
        <v>0</v>
      </c>
      <c r="AA6" s="378">
        <f t="shared" si="2"/>
        <v>0</v>
      </c>
      <c r="AB6" s="378">
        <f t="shared" si="2"/>
        <v>132492.79</v>
      </c>
      <c r="AC6" s="378">
        <f t="shared" si="2"/>
        <v>134743.56</v>
      </c>
      <c r="AD6" s="378">
        <f t="shared" si="2"/>
        <v>136144.6</v>
      </c>
      <c r="AE6" s="378">
        <f t="shared" si="2"/>
        <v>421517.3</v>
      </c>
      <c r="AF6" s="378">
        <f t="shared" si="2"/>
        <v>785611.53</v>
      </c>
      <c r="AG6" s="378">
        <f t="shared" si="2"/>
        <v>794520.78</v>
      </c>
      <c r="AH6" s="378">
        <f t="shared" si="2"/>
        <v>801449.8</v>
      </c>
      <c r="AI6" s="378">
        <f t="shared" si="2"/>
        <v>620934.14</v>
      </c>
      <c r="AJ6" s="378">
        <f t="shared" si="2"/>
        <v>581852.22</v>
      </c>
      <c r="AK6" s="378">
        <f t="shared" si="2"/>
        <v>584165.93000000005</v>
      </c>
      <c r="AL6" s="378">
        <f t="shared" si="2"/>
        <v>495576.06</v>
      </c>
      <c r="AM6" s="378">
        <f t="shared" si="2"/>
        <v>494772.11</v>
      </c>
      <c r="AN6" s="378">
        <f t="shared" si="2"/>
        <v>496894.54</v>
      </c>
      <c r="AO6" s="378">
        <f t="shared" si="2"/>
        <v>496874.88</v>
      </c>
      <c r="AP6" s="378">
        <f t="shared" si="2"/>
        <v>0</v>
      </c>
    </row>
    <row r="7" spans="1:42" ht="15.75" customHeight="1">
      <c r="A7" s="316"/>
      <c r="B7" s="317" t="s">
        <v>2879</v>
      </c>
      <c r="C7" s="318">
        <f>COUNTIF(H:H,"Inativo")</f>
        <v>0</v>
      </c>
      <c r="D7" s="319"/>
      <c r="E7" s="319"/>
      <c r="F7" s="319"/>
      <c r="G7" s="319"/>
      <c r="H7" s="306"/>
      <c r="I7" s="306"/>
      <c r="J7" s="306"/>
      <c r="K7" s="320"/>
      <c r="L7" s="321"/>
      <c r="M7" s="306"/>
      <c r="N7" s="309"/>
      <c r="O7" s="309"/>
      <c r="P7" s="310"/>
      <c r="Q7" s="311"/>
      <c r="R7" s="311"/>
      <c r="S7" s="307"/>
      <c r="T7" s="317"/>
      <c r="U7" s="307"/>
      <c r="V7" s="307"/>
      <c r="W7" s="321"/>
      <c r="X7" s="321"/>
      <c r="Y7" s="321"/>
      <c r="Z7" s="208"/>
      <c r="AA7" s="208"/>
      <c r="AB7" s="208"/>
      <c r="AC7" s="208"/>
      <c r="AD7" s="208"/>
      <c r="AE7" s="208"/>
      <c r="AF7" s="208"/>
      <c r="AG7" s="208"/>
      <c r="AH7" s="208"/>
      <c r="AI7" s="208"/>
      <c r="AJ7" s="208"/>
      <c r="AK7" s="208"/>
      <c r="AL7" s="208"/>
      <c r="AM7" s="208"/>
      <c r="AN7" s="208"/>
      <c r="AO7" s="208"/>
      <c r="AP7" s="208"/>
    </row>
    <row r="8" spans="1:42" ht="15.75" customHeight="1">
      <c r="A8" s="316"/>
      <c r="B8" s="317" t="s">
        <v>2880</v>
      </c>
      <c r="C8" s="318">
        <f>COUNTIF(H:H,"Encerrado")</f>
        <v>0</v>
      </c>
      <c r="D8" s="319"/>
      <c r="E8" s="319"/>
      <c r="F8" s="319"/>
      <c r="G8" s="319"/>
      <c r="H8" s="306"/>
      <c r="I8" s="306"/>
      <c r="J8" s="306"/>
      <c r="K8" s="320"/>
      <c r="L8" s="321"/>
      <c r="M8" s="306"/>
      <c r="N8" s="309"/>
      <c r="O8" s="309"/>
      <c r="P8" s="310"/>
      <c r="Q8" s="311"/>
      <c r="R8" s="311"/>
      <c r="S8" s="307"/>
      <c r="T8" s="317"/>
      <c r="U8" s="307"/>
      <c r="V8" s="307"/>
      <c r="W8" s="321"/>
      <c r="X8" s="321"/>
      <c r="Y8" s="321"/>
      <c r="Z8" s="208"/>
      <c r="AA8" s="208"/>
      <c r="AB8" s="208"/>
      <c r="AC8" s="208"/>
      <c r="AD8" s="208"/>
      <c r="AE8" s="208"/>
      <c r="AF8" s="208"/>
      <c r="AG8" s="208"/>
      <c r="AH8" s="208"/>
      <c r="AI8" s="208"/>
      <c r="AJ8" s="208"/>
      <c r="AK8" s="208"/>
      <c r="AL8" s="208"/>
      <c r="AM8" s="208"/>
      <c r="AN8" s="208"/>
      <c r="AO8" s="208"/>
      <c r="AP8" s="208"/>
    </row>
    <row r="9" spans="1:42" ht="15.75" customHeight="1">
      <c r="A9" s="324"/>
      <c r="B9" s="325" t="s">
        <v>2881</v>
      </c>
      <c r="C9" s="326">
        <f>COUNTIF(H:H,"Pode Operar")</f>
        <v>0</v>
      </c>
      <c r="D9" s="319"/>
      <c r="E9" s="319"/>
      <c r="F9" s="319"/>
      <c r="G9" s="319"/>
      <c r="H9" s="306"/>
      <c r="I9" s="306"/>
      <c r="J9" s="306"/>
      <c r="K9" s="320"/>
      <c r="L9" s="321"/>
      <c r="M9" s="306"/>
      <c r="N9" s="309"/>
      <c r="O9" s="309"/>
      <c r="P9" s="310"/>
      <c r="Q9" s="311"/>
      <c r="R9" s="311"/>
      <c r="S9" s="307"/>
      <c r="T9" s="325"/>
      <c r="U9" s="307"/>
      <c r="V9" s="307"/>
      <c r="W9" s="321"/>
      <c r="X9" s="321"/>
      <c r="Y9" s="321"/>
      <c r="Z9" s="208"/>
      <c r="AA9" s="208"/>
      <c r="AB9" s="208"/>
      <c r="AC9" s="208"/>
      <c r="AD9" s="208"/>
      <c r="AE9" s="208"/>
      <c r="AF9" s="208"/>
      <c r="AG9" s="208"/>
      <c r="AH9" s="208"/>
      <c r="AI9" s="208"/>
      <c r="AJ9" s="208"/>
      <c r="AK9" s="208"/>
      <c r="AL9" s="208"/>
      <c r="AM9" s="208"/>
      <c r="AN9" s="208"/>
      <c r="AO9" s="208"/>
      <c r="AP9" s="208"/>
    </row>
    <row r="10" spans="1:42" ht="15.75" customHeight="1">
      <c r="A10" s="327"/>
      <c r="B10" s="327"/>
      <c r="C10" s="328"/>
      <c r="D10" s="319"/>
      <c r="E10" s="319"/>
      <c r="F10" s="329"/>
      <c r="G10" s="329"/>
      <c r="H10" s="306"/>
      <c r="I10" s="306"/>
      <c r="J10" s="306"/>
      <c r="K10" s="320"/>
      <c r="L10" s="308"/>
      <c r="M10" s="307"/>
      <c r="N10" s="309"/>
      <c r="O10" s="309"/>
      <c r="P10" s="310"/>
      <c r="Q10" s="311"/>
      <c r="R10" s="311"/>
      <c r="S10" s="307"/>
      <c r="T10" s="327"/>
      <c r="U10" s="307"/>
      <c r="V10" s="307"/>
      <c r="W10" s="308"/>
      <c r="X10" s="308"/>
      <c r="Y10" s="308"/>
      <c r="Z10" s="208"/>
      <c r="AA10" s="208"/>
      <c r="AB10" s="208"/>
      <c r="AC10" s="208"/>
      <c r="AD10" s="208"/>
      <c r="AE10" s="208"/>
      <c r="AF10" s="208"/>
      <c r="AG10" s="208"/>
      <c r="AH10" s="208"/>
      <c r="AI10" s="208"/>
      <c r="AJ10" s="208"/>
      <c r="AK10" s="208"/>
      <c r="AL10" s="208"/>
      <c r="AM10" s="208"/>
      <c r="AN10" s="208"/>
      <c r="AO10" s="208"/>
      <c r="AP10" s="208"/>
    </row>
    <row r="11" spans="1:42" ht="15.75" customHeight="1">
      <c r="A11" s="304"/>
      <c r="B11" s="304"/>
      <c r="C11" s="328"/>
      <c r="D11" s="319"/>
      <c r="E11" s="319"/>
      <c r="F11" s="319"/>
      <c r="G11" s="319"/>
      <c r="H11" s="306"/>
      <c r="I11" s="306"/>
      <c r="J11" s="306"/>
      <c r="K11" s="320"/>
      <c r="L11" s="308"/>
      <c r="M11" s="307"/>
      <c r="N11" s="309"/>
      <c r="O11" s="309"/>
      <c r="P11" s="310"/>
      <c r="Q11" s="311"/>
      <c r="R11" s="311"/>
      <c r="S11" s="307"/>
      <c r="T11" s="304"/>
      <c r="U11" s="307"/>
      <c r="V11" s="307"/>
      <c r="W11" s="308"/>
      <c r="X11" s="308"/>
      <c r="Y11" s="308"/>
      <c r="Z11" s="208"/>
      <c r="AA11" s="208"/>
      <c r="AB11" s="208"/>
      <c r="AC11" s="208"/>
      <c r="AD11" s="208"/>
      <c r="AE11" s="208"/>
      <c r="AF11" s="208"/>
      <c r="AG11" s="208"/>
      <c r="AH11" s="208"/>
      <c r="AI11" s="208"/>
      <c r="AJ11" s="208"/>
      <c r="AK11" s="208"/>
      <c r="AL11" s="208"/>
      <c r="AM11" s="208"/>
      <c r="AN11" s="208"/>
      <c r="AO11" s="208"/>
      <c r="AP11" s="208"/>
    </row>
    <row r="12" spans="1:42" ht="15.75" customHeight="1">
      <c r="A12" s="327"/>
      <c r="B12" s="327"/>
      <c r="C12" s="328"/>
      <c r="D12" s="319"/>
      <c r="E12" s="319"/>
      <c r="F12" s="319"/>
      <c r="G12" s="319"/>
      <c r="H12" s="306"/>
      <c r="I12" s="306"/>
      <c r="J12" s="306"/>
      <c r="K12" s="320"/>
      <c r="L12" s="321"/>
      <c r="M12" s="306"/>
      <c r="N12" s="309"/>
      <c r="O12" s="309"/>
      <c r="P12" s="310"/>
      <c r="Q12" s="311"/>
      <c r="R12" s="311"/>
      <c r="S12" s="307"/>
      <c r="T12" s="327"/>
      <c r="U12" s="307"/>
      <c r="V12" s="307"/>
      <c r="W12" s="321"/>
      <c r="X12" s="321"/>
      <c r="Y12" s="321"/>
      <c r="Z12" s="208"/>
      <c r="AA12" s="208"/>
      <c r="AB12" s="208"/>
      <c r="AC12" s="208"/>
      <c r="AD12" s="208"/>
      <c r="AE12" s="208"/>
      <c r="AF12" s="208"/>
      <c r="AG12" s="208"/>
      <c r="AH12" s="208"/>
      <c r="AI12" s="208"/>
      <c r="AJ12" s="208"/>
      <c r="AK12" s="208"/>
      <c r="AL12" s="208"/>
      <c r="AM12" s="208"/>
      <c r="AN12" s="208"/>
      <c r="AO12" s="208"/>
      <c r="AP12" s="208"/>
    </row>
    <row r="13" spans="1:42" ht="15.75" customHeight="1">
      <c r="A13" s="327"/>
      <c r="B13" s="327"/>
      <c r="C13" s="328"/>
      <c r="D13" s="319"/>
      <c r="E13" s="319"/>
      <c r="F13" s="319"/>
      <c r="G13" s="319"/>
      <c r="H13" s="306"/>
      <c r="I13" s="306"/>
      <c r="J13" s="306"/>
      <c r="K13" s="320"/>
      <c r="L13" s="308"/>
      <c r="M13" s="307"/>
      <c r="N13" s="309"/>
      <c r="O13" s="309"/>
      <c r="P13" s="310"/>
      <c r="Q13" s="311"/>
      <c r="R13" s="311"/>
      <c r="S13" s="307"/>
      <c r="T13" s="327"/>
      <c r="U13" s="307"/>
      <c r="V13" s="307"/>
      <c r="W13" s="308"/>
      <c r="X13" s="308"/>
      <c r="Y13" s="308"/>
      <c r="Z13" s="208"/>
      <c r="AA13" s="208"/>
      <c r="AB13" s="208"/>
      <c r="AC13" s="208"/>
      <c r="AD13" s="208"/>
      <c r="AE13" s="208"/>
      <c r="AF13" s="208"/>
      <c r="AG13" s="208"/>
      <c r="AH13" s="208"/>
      <c r="AI13" s="208"/>
      <c r="AJ13" s="208"/>
      <c r="AK13" s="208"/>
      <c r="AL13" s="208"/>
      <c r="AM13" s="208"/>
      <c r="AN13" s="208"/>
      <c r="AO13" s="208"/>
      <c r="AP13" s="208"/>
    </row>
    <row r="14" spans="1:42" ht="15.75" customHeight="1">
      <c r="A14" s="327"/>
      <c r="B14" s="327"/>
      <c r="C14" s="328"/>
      <c r="D14" s="319"/>
      <c r="E14" s="319"/>
      <c r="F14" s="319"/>
      <c r="G14" s="319"/>
      <c r="H14" s="306"/>
      <c r="I14" s="306"/>
      <c r="J14" s="306"/>
      <c r="K14" s="320"/>
      <c r="L14" s="321"/>
      <c r="M14" s="306"/>
      <c r="N14" s="309"/>
      <c r="O14" s="309"/>
      <c r="P14" s="310"/>
      <c r="Q14" s="311"/>
      <c r="R14" s="311"/>
      <c r="S14" s="307"/>
      <c r="T14" s="327"/>
      <c r="U14" s="307"/>
      <c r="V14" s="307"/>
      <c r="W14" s="321"/>
      <c r="X14" s="321"/>
      <c r="Y14" s="321"/>
      <c r="Z14" s="208"/>
      <c r="AA14" s="208"/>
      <c r="AB14" s="208"/>
      <c r="AC14" s="208"/>
      <c r="AD14" s="208"/>
      <c r="AE14" s="208"/>
      <c r="AF14" s="208"/>
      <c r="AG14" s="208"/>
      <c r="AH14" s="208"/>
      <c r="AI14" s="208"/>
      <c r="AJ14" s="208"/>
      <c r="AK14" s="208"/>
      <c r="AL14" s="208"/>
      <c r="AM14" s="208"/>
      <c r="AN14" s="208"/>
      <c r="AO14" s="208"/>
      <c r="AP14" s="208"/>
    </row>
    <row r="15" spans="1:42" ht="15.75" customHeight="1">
      <c r="A15" s="327"/>
      <c r="B15" s="327"/>
      <c r="C15" s="328"/>
      <c r="D15" s="319"/>
      <c r="E15" s="319"/>
      <c r="F15" s="319"/>
      <c r="G15" s="319"/>
      <c r="H15" s="306"/>
      <c r="I15" s="306"/>
      <c r="J15" s="306"/>
      <c r="K15" s="320"/>
      <c r="L15" s="308"/>
      <c r="M15" s="307"/>
      <c r="N15" s="309"/>
      <c r="O15" s="309"/>
      <c r="P15" s="310"/>
      <c r="Q15" s="311"/>
      <c r="R15" s="311"/>
      <c r="S15" s="307"/>
      <c r="T15" s="327"/>
      <c r="U15" s="307"/>
      <c r="V15" s="307"/>
      <c r="W15" s="308"/>
      <c r="X15" s="308"/>
      <c r="Y15" s="308"/>
      <c r="Z15" s="208"/>
      <c r="AA15" s="208"/>
      <c r="AB15" s="208"/>
      <c r="AC15" s="208"/>
      <c r="AD15" s="208"/>
      <c r="AE15" s="208"/>
      <c r="AF15" s="208"/>
      <c r="AG15" s="208"/>
      <c r="AH15" s="208"/>
      <c r="AI15" s="208"/>
      <c r="AJ15" s="208"/>
      <c r="AK15" s="208"/>
      <c r="AL15" s="208"/>
      <c r="AM15" s="208"/>
      <c r="AN15" s="208"/>
      <c r="AO15" s="208"/>
      <c r="AP15" s="208"/>
    </row>
    <row r="16" spans="1:42" ht="15.75" customHeight="1">
      <c r="A16" s="327"/>
      <c r="B16" s="327"/>
      <c r="C16" s="328"/>
      <c r="D16" s="319"/>
      <c r="E16" s="319"/>
      <c r="F16" s="319"/>
      <c r="G16" s="319"/>
      <c r="H16" s="306"/>
      <c r="I16" s="306"/>
      <c r="J16" s="306"/>
      <c r="K16" s="321"/>
      <c r="L16" s="321"/>
      <c r="M16" s="306"/>
      <c r="N16" s="309"/>
      <c r="O16" s="309"/>
      <c r="P16" s="310"/>
      <c r="Q16" s="311"/>
      <c r="R16" s="311"/>
      <c r="S16" s="307"/>
      <c r="T16" s="327"/>
      <c r="U16" s="307"/>
      <c r="V16" s="307"/>
      <c r="W16" s="321"/>
      <c r="X16" s="321"/>
      <c r="Y16" s="321"/>
      <c r="Z16" s="208"/>
      <c r="AA16" s="208"/>
      <c r="AB16" s="208"/>
      <c r="AC16" s="208"/>
      <c r="AD16" s="208"/>
      <c r="AE16" s="208"/>
      <c r="AF16" s="208"/>
      <c r="AG16" s="208"/>
      <c r="AH16" s="208"/>
      <c r="AI16" s="208"/>
      <c r="AJ16" s="208"/>
      <c r="AK16" s="208"/>
      <c r="AL16" s="208"/>
      <c r="AM16" s="208"/>
      <c r="AN16" s="208"/>
      <c r="AO16" s="208"/>
      <c r="AP16" s="208"/>
    </row>
    <row r="17" spans="1:42" ht="15.75" customHeight="1">
      <c r="A17" s="327"/>
      <c r="B17" s="327"/>
      <c r="C17" s="328"/>
      <c r="D17" s="319"/>
      <c r="E17" s="319"/>
      <c r="F17" s="319"/>
      <c r="G17" s="319"/>
      <c r="H17" s="306"/>
      <c r="I17" s="306"/>
      <c r="J17" s="306"/>
      <c r="K17" s="320"/>
      <c r="L17" s="321"/>
      <c r="M17" s="306"/>
      <c r="N17" s="309"/>
      <c r="O17" s="309"/>
      <c r="P17" s="310"/>
      <c r="Q17" s="311"/>
      <c r="R17" s="311"/>
      <c r="S17" s="307"/>
      <c r="T17" s="327"/>
      <c r="U17" s="307"/>
      <c r="V17" s="307"/>
      <c r="W17" s="321"/>
      <c r="X17" s="321"/>
      <c r="Y17" s="321"/>
      <c r="Z17" s="208"/>
      <c r="AA17" s="208"/>
      <c r="AB17" s="208"/>
      <c r="AC17" s="208"/>
      <c r="AD17" s="208"/>
      <c r="AE17" s="208"/>
      <c r="AF17" s="208"/>
      <c r="AG17" s="208"/>
      <c r="AH17" s="208"/>
      <c r="AI17" s="208"/>
      <c r="AJ17" s="208"/>
      <c r="AK17" s="208"/>
      <c r="AL17" s="208"/>
      <c r="AM17" s="208"/>
      <c r="AN17" s="208"/>
      <c r="AO17" s="208"/>
      <c r="AP17" s="208"/>
    </row>
    <row r="18" spans="1:42" ht="15.75" customHeight="1">
      <c r="A18" s="304"/>
      <c r="B18" s="304"/>
      <c r="C18" s="379"/>
      <c r="D18" s="306"/>
      <c r="E18" s="306"/>
      <c r="F18" s="306"/>
      <c r="G18" s="306"/>
      <c r="H18" s="306"/>
      <c r="I18" s="306"/>
      <c r="J18" s="306"/>
      <c r="K18" s="321"/>
      <c r="L18" s="321"/>
      <c r="M18" s="306"/>
      <c r="N18" s="309"/>
      <c r="O18" s="309"/>
      <c r="P18" s="310"/>
      <c r="Q18" s="311"/>
      <c r="R18" s="311"/>
      <c r="S18" s="307"/>
      <c r="T18" s="304"/>
      <c r="U18" s="307"/>
      <c r="V18" s="307"/>
      <c r="W18" s="321"/>
      <c r="X18" s="321"/>
      <c r="Y18" s="321"/>
      <c r="Z18" s="208"/>
      <c r="AA18" s="208"/>
      <c r="AB18" s="208"/>
      <c r="AC18" s="208"/>
      <c r="AD18" s="208"/>
      <c r="AE18" s="208"/>
      <c r="AF18" s="208"/>
      <c r="AG18" s="208"/>
      <c r="AH18" s="208"/>
      <c r="AI18" s="208"/>
      <c r="AJ18" s="208"/>
      <c r="AK18" s="208"/>
      <c r="AL18" s="208"/>
      <c r="AM18" s="208"/>
      <c r="AN18" s="208"/>
      <c r="AO18" s="208"/>
      <c r="AP18" s="208"/>
    </row>
    <row r="19" spans="1:42" ht="15.75" customHeight="1">
      <c r="A19" s="304"/>
      <c r="B19" s="304"/>
      <c r="C19" s="328"/>
      <c r="D19" s="319"/>
      <c r="E19" s="319"/>
      <c r="F19" s="319"/>
      <c r="G19" s="319"/>
      <c r="H19" s="307"/>
      <c r="I19" s="307"/>
      <c r="J19" s="307"/>
      <c r="K19" s="320"/>
      <c r="L19" s="380"/>
      <c r="M19" s="381"/>
      <c r="N19" s="309"/>
      <c r="O19" s="309"/>
      <c r="P19" s="310"/>
      <c r="Q19" s="311"/>
      <c r="R19" s="311"/>
      <c r="S19" s="307"/>
      <c r="T19" s="304"/>
      <c r="U19" s="307"/>
      <c r="V19" s="307"/>
      <c r="W19" s="380"/>
      <c r="X19" s="380"/>
      <c r="Y19" s="380"/>
      <c r="Z19" s="208"/>
      <c r="AA19" s="208"/>
      <c r="AB19" s="208"/>
      <c r="AC19" s="208"/>
      <c r="AD19" s="208"/>
      <c r="AE19" s="208"/>
      <c r="AF19" s="208"/>
      <c r="AG19" s="208"/>
      <c r="AH19" s="208"/>
      <c r="AI19" s="208"/>
      <c r="AJ19" s="208"/>
      <c r="AK19" s="208"/>
      <c r="AL19" s="208"/>
      <c r="AM19" s="208"/>
      <c r="AN19" s="208"/>
      <c r="AO19" s="208"/>
      <c r="AP19" s="208"/>
    </row>
    <row r="20" spans="1:42" ht="15.75" customHeight="1">
      <c r="A20" s="304"/>
      <c r="B20" s="304"/>
      <c r="C20" s="307"/>
      <c r="D20" s="307"/>
      <c r="E20" s="307"/>
      <c r="F20" s="307"/>
      <c r="G20" s="307"/>
      <c r="H20" s="307"/>
      <c r="I20" s="307"/>
      <c r="J20" s="307"/>
      <c r="K20" s="308"/>
      <c r="L20" s="308"/>
      <c r="M20" s="307"/>
      <c r="N20" s="309"/>
      <c r="O20" s="309"/>
      <c r="P20" s="310"/>
      <c r="Q20" s="311"/>
      <c r="R20" s="311"/>
      <c r="S20" s="307"/>
      <c r="T20" s="304"/>
      <c r="U20" s="307"/>
      <c r="V20" s="307"/>
      <c r="W20" s="308"/>
      <c r="X20" s="308"/>
      <c r="Y20" s="308"/>
      <c r="Z20" s="208"/>
      <c r="AA20" s="208"/>
      <c r="AB20" s="208"/>
      <c r="AC20" s="208"/>
      <c r="AD20" s="208"/>
      <c r="AE20" s="208"/>
      <c r="AF20" s="208"/>
      <c r="AG20" s="208"/>
      <c r="AH20" s="208"/>
      <c r="AI20" s="208"/>
      <c r="AJ20" s="208"/>
      <c r="AK20" s="208"/>
      <c r="AL20" s="208"/>
      <c r="AM20" s="208"/>
      <c r="AN20" s="208"/>
      <c r="AO20" s="208"/>
      <c r="AP20" s="208"/>
    </row>
    <row r="21" spans="1:42" ht="15.75" customHeight="1">
      <c r="V21" s="382"/>
    </row>
    <row r="22" spans="1:42" ht="15.75" customHeight="1">
      <c r="V22" s="382"/>
    </row>
    <row r="23" spans="1:42" ht="15.75" customHeight="1">
      <c r="V23" s="382"/>
    </row>
    <row r="24" spans="1:42" ht="15.75" customHeight="1">
      <c r="V24" s="382"/>
    </row>
    <row r="25" spans="1:42" ht="15.75" customHeight="1">
      <c r="V25" s="382"/>
    </row>
    <row r="26" spans="1:42" ht="15.75" customHeight="1">
      <c r="V26" s="382"/>
    </row>
    <row r="27" spans="1:42" ht="15.75" customHeight="1">
      <c r="V27" s="382"/>
    </row>
    <row r="28" spans="1:42" ht="15.75" customHeight="1">
      <c r="V28" s="382"/>
    </row>
    <row r="29" spans="1:42" ht="15.75" customHeight="1">
      <c r="V29" s="382"/>
    </row>
    <row r="30" spans="1:42" ht="15.75" customHeight="1">
      <c r="V30" s="382"/>
    </row>
    <row r="31" spans="1:42" ht="15.75" customHeight="1">
      <c r="V31" s="382"/>
    </row>
    <row r="32" spans="1:42" ht="15.75" customHeight="1">
      <c r="V32" s="382"/>
    </row>
    <row r="33" spans="22:22" ht="15.75" customHeight="1">
      <c r="V33" s="382"/>
    </row>
    <row r="34" spans="22:22" ht="15.75" customHeight="1">
      <c r="V34" s="382"/>
    </row>
    <row r="35" spans="22:22" ht="15.75" customHeight="1">
      <c r="V35" s="382"/>
    </row>
    <row r="36" spans="22:22" ht="15.75" customHeight="1">
      <c r="V36" s="382"/>
    </row>
    <row r="37" spans="22:22" ht="15.75" customHeight="1">
      <c r="V37" s="382"/>
    </row>
    <row r="38" spans="22:22" ht="15.75" customHeight="1">
      <c r="V38" s="382"/>
    </row>
    <row r="39" spans="22:22" ht="15.75" customHeight="1">
      <c r="V39" s="382"/>
    </row>
    <row r="40" spans="22:22" ht="15.75" customHeight="1">
      <c r="V40" s="382"/>
    </row>
    <row r="41" spans="22:22" ht="15.75" customHeight="1">
      <c r="V41" s="382"/>
    </row>
    <row r="42" spans="22:22" ht="15.75" customHeight="1">
      <c r="V42" s="382"/>
    </row>
    <row r="43" spans="22:22" ht="15.75" customHeight="1">
      <c r="V43" s="382"/>
    </row>
    <row r="44" spans="22:22" ht="15.75" customHeight="1">
      <c r="V44" s="382"/>
    </row>
    <row r="45" spans="22:22" ht="15.75" customHeight="1">
      <c r="V45" s="382"/>
    </row>
    <row r="46" spans="22:22" ht="15.75" customHeight="1">
      <c r="V46" s="382"/>
    </row>
    <row r="47" spans="22:22" ht="15.75" customHeight="1">
      <c r="V47" s="382"/>
    </row>
    <row r="48" spans="22:22" ht="15.75" customHeight="1">
      <c r="V48" s="382"/>
    </row>
    <row r="49" spans="22:22" ht="15.75" customHeight="1">
      <c r="V49" s="382"/>
    </row>
    <row r="50" spans="22:22" ht="15.75" customHeight="1">
      <c r="V50" s="382"/>
    </row>
    <row r="51" spans="22:22" ht="15.75" customHeight="1">
      <c r="V51" s="382"/>
    </row>
    <row r="52" spans="22:22" ht="15.75" customHeight="1">
      <c r="V52" s="382"/>
    </row>
    <row r="53" spans="22:22" ht="15.75" customHeight="1">
      <c r="V53" s="382"/>
    </row>
    <row r="54" spans="22:22" ht="15.75" customHeight="1">
      <c r="V54" s="382"/>
    </row>
    <row r="55" spans="22:22" ht="15.75" customHeight="1">
      <c r="V55" s="382"/>
    </row>
    <row r="56" spans="22:22" ht="15.75" customHeight="1">
      <c r="V56" s="382"/>
    </row>
    <row r="57" spans="22:22" ht="15.75" customHeight="1">
      <c r="V57" s="382"/>
    </row>
    <row r="58" spans="22:22" ht="15.75" customHeight="1">
      <c r="V58" s="382"/>
    </row>
    <row r="59" spans="22:22" ht="15.75" customHeight="1">
      <c r="V59" s="382"/>
    </row>
    <row r="60" spans="22:22" ht="15.75" customHeight="1">
      <c r="V60" s="382"/>
    </row>
    <row r="61" spans="22:22" ht="15.75" customHeight="1">
      <c r="V61" s="382"/>
    </row>
    <row r="62" spans="22:22" ht="15.75" customHeight="1">
      <c r="V62" s="382"/>
    </row>
    <row r="63" spans="22:22" ht="15.75" customHeight="1">
      <c r="V63" s="382"/>
    </row>
    <row r="64" spans="22:22" ht="15.75" customHeight="1">
      <c r="V64" s="382"/>
    </row>
    <row r="65" spans="22:22" ht="15.75" customHeight="1">
      <c r="V65" s="382"/>
    </row>
    <row r="66" spans="22:22" ht="15.75" customHeight="1">
      <c r="V66" s="382"/>
    </row>
    <row r="67" spans="22:22" ht="15.75" customHeight="1">
      <c r="V67" s="382"/>
    </row>
    <row r="68" spans="22:22" ht="15.75" customHeight="1">
      <c r="V68" s="382"/>
    </row>
    <row r="69" spans="22:22" ht="15.75" customHeight="1">
      <c r="V69" s="382"/>
    </row>
    <row r="70" spans="22:22" ht="15.75" customHeight="1">
      <c r="V70" s="382"/>
    </row>
    <row r="71" spans="22:22" ht="15.75" customHeight="1">
      <c r="V71" s="382"/>
    </row>
    <row r="72" spans="22:22" ht="15.75" customHeight="1">
      <c r="V72" s="382"/>
    </row>
    <row r="73" spans="22:22" ht="15.75" customHeight="1">
      <c r="V73" s="382"/>
    </row>
    <row r="74" spans="22:22" ht="15.75" customHeight="1">
      <c r="V74" s="382"/>
    </row>
    <row r="75" spans="22:22" ht="15.75" customHeight="1">
      <c r="V75" s="382"/>
    </row>
    <row r="76" spans="22:22" ht="15.75" customHeight="1">
      <c r="V76" s="382"/>
    </row>
    <row r="77" spans="22:22" ht="15.75" customHeight="1">
      <c r="V77" s="382"/>
    </row>
    <row r="78" spans="22:22" ht="15.75" customHeight="1">
      <c r="V78" s="382"/>
    </row>
    <row r="79" spans="22:22" ht="15.75" customHeight="1">
      <c r="V79" s="382"/>
    </row>
    <row r="80" spans="22:22" ht="15.75" customHeight="1">
      <c r="V80" s="382"/>
    </row>
    <row r="81" spans="22:22" ht="15.75" customHeight="1">
      <c r="V81" s="382"/>
    </row>
    <row r="82" spans="22:22" ht="15.75" customHeight="1">
      <c r="V82" s="382"/>
    </row>
    <row r="83" spans="22:22" ht="15.75" customHeight="1">
      <c r="V83" s="382"/>
    </row>
    <row r="84" spans="22:22" ht="15.75" customHeight="1">
      <c r="V84" s="382"/>
    </row>
    <row r="85" spans="22:22" ht="15.75" customHeight="1">
      <c r="V85" s="382"/>
    </row>
    <row r="86" spans="22:22" ht="15.75" customHeight="1">
      <c r="V86" s="382"/>
    </row>
    <row r="87" spans="22:22" ht="15.75" customHeight="1">
      <c r="V87" s="382"/>
    </row>
    <row r="88" spans="22:22" ht="15.75" customHeight="1">
      <c r="V88" s="382"/>
    </row>
    <row r="89" spans="22:22" ht="15.75" customHeight="1">
      <c r="V89" s="382"/>
    </row>
    <row r="90" spans="22:22" ht="15.75" customHeight="1">
      <c r="V90" s="382"/>
    </row>
    <row r="91" spans="22:22" ht="15.75" customHeight="1">
      <c r="V91" s="382"/>
    </row>
    <row r="92" spans="22:22" ht="15.75" customHeight="1">
      <c r="V92" s="382"/>
    </row>
    <row r="93" spans="22:22" ht="15.75" customHeight="1">
      <c r="V93" s="382"/>
    </row>
    <row r="94" spans="22:22" ht="15.75" customHeight="1">
      <c r="V94" s="382"/>
    </row>
    <row r="95" spans="22:22" ht="15.75" customHeight="1">
      <c r="V95" s="382"/>
    </row>
    <row r="96" spans="22:22" ht="15.75" customHeight="1">
      <c r="V96" s="382"/>
    </row>
    <row r="97" spans="22:22" ht="15.75" customHeight="1">
      <c r="V97" s="382"/>
    </row>
    <row r="98" spans="22:22" ht="15.75" customHeight="1">
      <c r="V98" s="382"/>
    </row>
    <row r="99" spans="22:22" ht="15.75" customHeight="1">
      <c r="V99" s="382"/>
    </row>
    <row r="100" spans="22:22" ht="15.75" customHeight="1">
      <c r="V100" s="382"/>
    </row>
    <row r="101" spans="22:22" ht="15.75" customHeight="1">
      <c r="V101" s="382"/>
    </row>
    <row r="102" spans="22:22" ht="15.75" customHeight="1">
      <c r="V102" s="382"/>
    </row>
    <row r="103" spans="22:22" ht="15.75" customHeight="1">
      <c r="V103" s="382"/>
    </row>
    <row r="104" spans="22:22" ht="15.75" customHeight="1">
      <c r="V104" s="382"/>
    </row>
    <row r="105" spans="22:22" ht="15.75" customHeight="1">
      <c r="V105" s="382"/>
    </row>
    <row r="106" spans="22:22" ht="15.75" customHeight="1">
      <c r="V106" s="382"/>
    </row>
    <row r="107" spans="22:22" ht="15.75" customHeight="1">
      <c r="V107" s="382"/>
    </row>
    <row r="108" spans="22:22" ht="15.75" customHeight="1">
      <c r="V108" s="382"/>
    </row>
    <row r="109" spans="22:22" ht="15.75" customHeight="1">
      <c r="V109" s="382"/>
    </row>
    <row r="110" spans="22:22" ht="15.75" customHeight="1">
      <c r="V110" s="382"/>
    </row>
    <row r="111" spans="22:22" ht="15.75" customHeight="1">
      <c r="V111" s="382"/>
    </row>
    <row r="112" spans="22:22" ht="15.75" customHeight="1">
      <c r="V112" s="382"/>
    </row>
    <row r="113" spans="22:22" ht="15.75" customHeight="1">
      <c r="V113" s="382"/>
    </row>
    <row r="114" spans="22:22" ht="15.75" customHeight="1">
      <c r="V114" s="382"/>
    </row>
    <row r="115" spans="22:22" ht="15.75" customHeight="1">
      <c r="V115" s="382"/>
    </row>
    <row r="116" spans="22:22" ht="15.75" customHeight="1">
      <c r="V116" s="382"/>
    </row>
    <row r="117" spans="22:22" ht="15.75" customHeight="1">
      <c r="V117" s="382"/>
    </row>
    <row r="118" spans="22:22" ht="15.75" customHeight="1">
      <c r="V118" s="382"/>
    </row>
    <row r="119" spans="22:22" ht="15.75" customHeight="1">
      <c r="V119" s="382"/>
    </row>
    <row r="120" spans="22:22" ht="15.75" customHeight="1">
      <c r="V120" s="382"/>
    </row>
    <row r="121" spans="22:22" ht="15.75" customHeight="1">
      <c r="V121" s="382"/>
    </row>
    <row r="122" spans="22:22" ht="15.75" customHeight="1">
      <c r="V122" s="382"/>
    </row>
    <row r="123" spans="22:22" ht="15.75" customHeight="1">
      <c r="V123" s="382"/>
    </row>
    <row r="124" spans="22:22" ht="15.75" customHeight="1">
      <c r="V124" s="382"/>
    </row>
    <row r="125" spans="22:22" ht="15.75" customHeight="1">
      <c r="V125" s="382"/>
    </row>
    <row r="126" spans="22:22" ht="15.75" customHeight="1">
      <c r="V126" s="382"/>
    </row>
    <row r="127" spans="22:22" ht="15.75" customHeight="1">
      <c r="V127" s="382"/>
    </row>
    <row r="128" spans="22:22" ht="15.75" customHeight="1">
      <c r="V128" s="382"/>
    </row>
    <row r="129" spans="22:22" ht="15.75" customHeight="1">
      <c r="V129" s="382"/>
    </row>
    <row r="130" spans="22:22" ht="15.75" customHeight="1">
      <c r="V130" s="382"/>
    </row>
    <row r="131" spans="22:22" ht="15.75" customHeight="1">
      <c r="V131" s="382"/>
    </row>
    <row r="132" spans="22:22" ht="15.75" customHeight="1">
      <c r="V132" s="382"/>
    </row>
    <row r="133" spans="22:22" ht="15.75" customHeight="1">
      <c r="V133" s="382"/>
    </row>
    <row r="134" spans="22:22" ht="15.75" customHeight="1">
      <c r="V134" s="382"/>
    </row>
    <row r="135" spans="22:22" ht="15.75" customHeight="1">
      <c r="V135" s="382"/>
    </row>
    <row r="136" spans="22:22" ht="15.75" customHeight="1">
      <c r="V136" s="382"/>
    </row>
    <row r="137" spans="22:22" ht="15.75" customHeight="1">
      <c r="V137" s="382"/>
    </row>
    <row r="138" spans="22:22" ht="15.75" customHeight="1">
      <c r="V138" s="382"/>
    </row>
    <row r="139" spans="22:22" ht="15.75" customHeight="1">
      <c r="V139" s="382"/>
    </row>
    <row r="140" spans="22:22" ht="15.75" customHeight="1">
      <c r="V140" s="382"/>
    </row>
    <row r="141" spans="22:22" ht="15.75" customHeight="1">
      <c r="V141" s="382"/>
    </row>
    <row r="142" spans="22:22" ht="15.75" customHeight="1">
      <c r="V142" s="382"/>
    </row>
    <row r="143" spans="22:22" ht="15.75" customHeight="1">
      <c r="V143" s="382"/>
    </row>
    <row r="144" spans="22:22" ht="15.75" customHeight="1">
      <c r="V144" s="382"/>
    </row>
    <row r="145" spans="22:22" ht="15.75" customHeight="1">
      <c r="V145" s="382"/>
    </row>
    <row r="146" spans="22:22" ht="15.75" customHeight="1">
      <c r="V146" s="382"/>
    </row>
    <row r="147" spans="22:22" ht="15.75" customHeight="1">
      <c r="V147" s="382"/>
    </row>
    <row r="148" spans="22:22" ht="15.75" customHeight="1">
      <c r="V148" s="382"/>
    </row>
    <row r="149" spans="22:22" ht="15.75" customHeight="1">
      <c r="V149" s="382"/>
    </row>
    <row r="150" spans="22:22" ht="15.75" customHeight="1">
      <c r="V150" s="382"/>
    </row>
    <row r="151" spans="22:22" ht="15.75" customHeight="1">
      <c r="V151" s="382"/>
    </row>
    <row r="152" spans="22:22" ht="15.75" customHeight="1">
      <c r="V152" s="382"/>
    </row>
    <row r="153" spans="22:22" ht="15.75" customHeight="1">
      <c r="V153" s="382"/>
    </row>
    <row r="154" spans="22:22" ht="15.75" customHeight="1">
      <c r="V154" s="382"/>
    </row>
    <row r="155" spans="22:22" ht="15.75" customHeight="1">
      <c r="V155" s="382"/>
    </row>
    <row r="156" spans="22:22" ht="15.75" customHeight="1">
      <c r="V156" s="382"/>
    </row>
    <row r="157" spans="22:22" ht="15.75" customHeight="1">
      <c r="V157" s="382"/>
    </row>
    <row r="158" spans="22:22" ht="15.75" customHeight="1">
      <c r="V158" s="382"/>
    </row>
    <row r="159" spans="22:22" ht="15.75" customHeight="1">
      <c r="V159" s="382"/>
    </row>
    <row r="160" spans="22:22" ht="15.75" customHeight="1">
      <c r="V160" s="382"/>
    </row>
    <row r="161" spans="22:22" ht="15.75" customHeight="1">
      <c r="V161" s="382"/>
    </row>
    <row r="162" spans="22:22" ht="15.75" customHeight="1">
      <c r="V162" s="382"/>
    </row>
    <row r="163" spans="22:22" ht="15.75" customHeight="1">
      <c r="V163" s="382"/>
    </row>
    <row r="164" spans="22:22" ht="15.75" customHeight="1">
      <c r="V164" s="382"/>
    </row>
    <row r="165" spans="22:22" ht="15.75" customHeight="1">
      <c r="V165" s="382"/>
    </row>
    <row r="166" spans="22:22" ht="15.75" customHeight="1">
      <c r="V166" s="382"/>
    </row>
    <row r="167" spans="22:22" ht="15.75" customHeight="1">
      <c r="V167" s="382"/>
    </row>
    <row r="168" spans="22:22" ht="15.75" customHeight="1">
      <c r="V168" s="382"/>
    </row>
    <row r="169" spans="22:22" ht="15.75" customHeight="1">
      <c r="V169" s="382"/>
    </row>
    <row r="170" spans="22:22" ht="15.75" customHeight="1">
      <c r="V170" s="382"/>
    </row>
    <row r="171" spans="22:22" ht="15.75" customHeight="1">
      <c r="V171" s="382"/>
    </row>
    <row r="172" spans="22:22" ht="15.75" customHeight="1">
      <c r="V172" s="382"/>
    </row>
    <row r="173" spans="22:22" ht="15.75" customHeight="1">
      <c r="V173" s="382"/>
    </row>
    <row r="174" spans="22:22" ht="15.75" customHeight="1">
      <c r="V174" s="382"/>
    </row>
    <row r="175" spans="22:22" ht="15.75" customHeight="1">
      <c r="V175" s="382"/>
    </row>
    <row r="176" spans="22:22" ht="15.75" customHeight="1">
      <c r="V176" s="382"/>
    </row>
    <row r="177" spans="22:22" ht="15.75" customHeight="1">
      <c r="V177" s="382"/>
    </row>
    <row r="178" spans="22:22" ht="15.75" customHeight="1">
      <c r="V178" s="382"/>
    </row>
    <row r="179" spans="22:22" ht="15.75" customHeight="1">
      <c r="V179" s="382"/>
    </row>
    <row r="180" spans="22:22" ht="15.75" customHeight="1">
      <c r="V180" s="382"/>
    </row>
    <row r="181" spans="22:22" ht="15.75" customHeight="1">
      <c r="V181" s="382"/>
    </row>
    <row r="182" spans="22:22" ht="15.75" customHeight="1">
      <c r="V182" s="382"/>
    </row>
    <row r="183" spans="22:22" ht="15.75" customHeight="1">
      <c r="V183" s="382"/>
    </row>
    <row r="184" spans="22:22" ht="15.75" customHeight="1">
      <c r="V184" s="382"/>
    </row>
    <row r="185" spans="22:22" ht="15.75" customHeight="1">
      <c r="V185" s="382"/>
    </row>
    <row r="186" spans="22:22" ht="15.75" customHeight="1">
      <c r="V186" s="382"/>
    </row>
    <row r="187" spans="22:22" ht="15.75" customHeight="1">
      <c r="V187" s="382"/>
    </row>
    <row r="188" spans="22:22" ht="15.75" customHeight="1">
      <c r="V188" s="382"/>
    </row>
    <row r="189" spans="22:22" ht="15.75" customHeight="1">
      <c r="V189" s="382"/>
    </row>
    <row r="190" spans="22:22" ht="15.75" customHeight="1">
      <c r="V190" s="382"/>
    </row>
    <row r="191" spans="22:22" ht="15.75" customHeight="1">
      <c r="V191" s="382"/>
    </row>
    <row r="192" spans="22:22" ht="15.75" customHeight="1">
      <c r="V192" s="382"/>
    </row>
    <row r="193" spans="22:22" ht="15.75" customHeight="1">
      <c r="V193" s="382"/>
    </row>
    <row r="194" spans="22:22" ht="15.75" customHeight="1">
      <c r="V194" s="382"/>
    </row>
    <row r="195" spans="22:22" ht="15.75" customHeight="1">
      <c r="V195" s="382"/>
    </row>
    <row r="196" spans="22:22" ht="15.75" customHeight="1">
      <c r="V196" s="382"/>
    </row>
    <row r="197" spans="22:22" ht="15.75" customHeight="1">
      <c r="V197" s="382"/>
    </row>
    <row r="198" spans="22:22" ht="15.75" customHeight="1">
      <c r="V198" s="382"/>
    </row>
    <row r="199" spans="22:22" ht="15.75" customHeight="1">
      <c r="V199" s="382"/>
    </row>
    <row r="200" spans="22:22" ht="15.75" customHeight="1">
      <c r="V200" s="382"/>
    </row>
    <row r="201" spans="22:22" ht="15.75" customHeight="1">
      <c r="V201" s="382"/>
    </row>
    <row r="202" spans="22:22" ht="15.75" customHeight="1">
      <c r="V202" s="382"/>
    </row>
    <row r="203" spans="22:22" ht="15.75" customHeight="1">
      <c r="V203" s="382"/>
    </row>
    <row r="204" spans="22:22" ht="15.75" customHeight="1">
      <c r="V204" s="382"/>
    </row>
    <row r="205" spans="22:22" ht="15.75" customHeight="1">
      <c r="V205" s="382"/>
    </row>
    <row r="206" spans="22:22" ht="15.75" customHeight="1">
      <c r="V206" s="382"/>
    </row>
    <row r="207" spans="22:22" ht="15.75" customHeight="1">
      <c r="V207" s="382"/>
    </row>
    <row r="208" spans="22:22" ht="15.75" customHeight="1">
      <c r="V208" s="382"/>
    </row>
    <row r="209" spans="22:22" ht="15.75" customHeight="1">
      <c r="V209" s="382"/>
    </row>
    <row r="210" spans="22:22" ht="15.75" customHeight="1">
      <c r="V210" s="382"/>
    </row>
    <row r="211" spans="22:22" ht="15.75" customHeight="1">
      <c r="V211" s="382"/>
    </row>
    <row r="212" spans="22:22" ht="15.75" customHeight="1">
      <c r="V212" s="382"/>
    </row>
    <row r="213" spans="22:22" ht="15.75" customHeight="1">
      <c r="V213" s="382"/>
    </row>
    <row r="214" spans="22:22" ht="15.75" customHeight="1">
      <c r="V214" s="382"/>
    </row>
    <row r="215" spans="22:22" ht="15.75" customHeight="1">
      <c r="V215" s="382"/>
    </row>
    <row r="216" spans="22:22" ht="15.75" customHeight="1">
      <c r="V216" s="382"/>
    </row>
    <row r="217" spans="22:22" ht="15.75" customHeight="1">
      <c r="V217" s="382"/>
    </row>
    <row r="218" spans="22:22" ht="15.75" customHeight="1">
      <c r="V218" s="382"/>
    </row>
    <row r="219" spans="22:22" ht="15.75" customHeight="1">
      <c r="V219" s="382"/>
    </row>
    <row r="220" spans="22:22" ht="15.75" customHeight="1">
      <c r="V220" s="382"/>
    </row>
    <row r="221" spans="22:22" ht="15.75" customHeight="1">
      <c r="V221" s="382"/>
    </row>
    <row r="222" spans="22:22" ht="15.75" customHeight="1">
      <c r="V222" s="382"/>
    </row>
    <row r="223" spans="22:22" ht="15.75" customHeight="1">
      <c r="V223" s="382"/>
    </row>
    <row r="224" spans="22:22" ht="15.75" customHeight="1">
      <c r="V224" s="382"/>
    </row>
    <row r="225" spans="22:22" ht="15.75" customHeight="1">
      <c r="V225" s="382"/>
    </row>
    <row r="226" spans="22:22" ht="15.75" customHeight="1">
      <c r="V226" s="382"/>
    </row>
    <row r="227" spans="22:22" ht="15.75" customHeight="1">
      <c r="V227" s="382"/>
    </row>
    <row r="228" spans="22:22" ht="15.75" customHeight="1">
      <c r="V228" s="382"/>
    </row>
    <row r="229" spans="22:22" ht="15.75" customHeight="1">
      <c r="V229" s="382"/>
    </row>
    <row r="230" spans="22:22" ht="15.75" customHeight="1">
      <c r="V230" s="382"/>
    </row>
    <row r="231" spans="22:22" ht="15.75" customHeight="1">
      <c r="V231" s="382"/>
    </row>
    <row r="232" spans="22:22" ht="15.75" customHeight="1">
      <c r="V232" s="382"/>
    </row>
    <row r="233" spans="22:22" ht="15.75" customHeight="1">
      <c r="V233" s="382"/>
    </row>
    <row r="234" spans="22:22" ht="15.75" customHeight="1">
      <c r="V234" s="382"/>
    </row>
    <row r="235" spans="22:22" ht="15.75" customHeight="1">
      <c r="V235" s="382"/>
    </row>
    <row r="236" spans="22:22" ht="15.75" customHeight="1">
      <c r="V236" s="382"/>
    </row>
    <row r="237" spans="22:22" ht="15.75" customHeight="1">
      <c r="V237" s="382"/>
    </row>
    <row r="238" spans="22:22" ht="15.75" customHeight="1">
      <c r="V238" s="382"/>
    </row>
    <row r="239" spans="22:22" ht="15.75" customHeight="1">
      <c r="V239" s="382"/>
    </row>
    <row r="240" spans="22:22" ht="15.75" customHeight="1">
      <c r="V240" s="382"/>
    </row>
    <row r="241" spans="22:22" ht="15.75" customHeight="1">
      <c r="V241" s="382"/>
    </row>
    <row r="242" spans="22:22" ht="15.75" customHeight="1">
      <c r="V242" s="382"/>
    </row>
    <row r="243" spans="22:22" ht="15.75" customHeight="1">
      <c r="V243" s="382"/>
    </row>
    <row r="244" spans="22:22" ht="15.75" customHeight="1">
      <c r="V244" s="382"/>
    </row>
    <row r="245" spans="22:22" ht="15.75" customHeight="1">
      <c r="V245" s="382"/>
    </row>
    <row r="246" spans="22:22" ht="15.75" customHeight="1">
      <c r="V246" s="382"/>
    </row>
    <row r="247" spans="22:22" ht="15.75" customHeight="1">
      <c r="V247" s="382"/>
    </row>
    <row r="248" spans="22:22" ht="15.75" customHeight="1">
      <c r="V248" s="382"/>
    </row>
    <row r="249" spans="22:22" ht="15.75" customHeight="1">
      <c r="V249" s="382"/>
    </row>
    <row r="250" spans="22:22" ht="15.75" customHeight="1">
      <c r="V250" s="382"/>
    </row>
    <row r="251" spans="22:22" ht="15.75" customHeight="1">
      <c r="V251" s="382"/>
    </row>
    <row r="252" spans="22:22" ht="15.75" customHeight="1">
      <c r="V252" s="382"/>
    </row>
    <row r="253" spans="22:22" ht="15.75" customHeight="1">
      <c r="V253" s="382"/>
    </row>
    <row r="254" spans="22:22" ht="15.75" customHeight="1">
      <c r="V254" s="382"/>
    </row>
    <row r="255" spans="22:22" ht="15.75" customHeight="1">
      <c r="V255" s="382"/>
    </row>
    <row r="256" spans="22:22" ht="15.75" customHeight="1">
      <c r="V256" s="382"/>
    </row>
    <row r="257" spans="22:22" ht="15.75" customHeight="1">
      <c r="V257" s="382"/>
    </row>
    <row r="258" spans="22:22" ht="15.75" customHeight="1">
      <c r="V258" s="382"/>
    </row>
    <row r="259" spans="22:22" ht="15.75" customHeight="1">
      <c r="V259" s="382"/>
    </row>
    <row r="260" spans="22:22" ht="15.75" customHeight="1">
      <c r="V260" s="382"/>
    </row>
    <row r="261" spans="22:22" ht="15.75" customHeight="1">
      <c r="V261" s="382"/>
    </row>
    <row r="262" spans="22:22" ht="15.75" customHeight="1">
      <c r="V262" s="382"/>
    </row>
    <row r="263" spans="22:22" ht="15.75" customHeight="1">
      <c r="V263" s="382"/>
    </row>
    <row r="264" spans="22:22" ht="15.75" customHeight="1">
      <c r="V264" s="382"/>
    </row>
    <row r="265" spans="22:22" ht="15.75" customHeight="1">
      <c r="V265" s="382"/>
    </row>
    <row r="266" spans="22:22" ht="15.75" customHeight="1">
      <c r="V266" s="382"/>
    </row>
    <row r="267" spans="22:22" ht="15.75" customHeight="1">
      <c r="V267" s="382"/>
    </row>
    <row r="268" spans="22:22" ht="15.75" customHeight="1">
      <c r="V268" s="382"/>
    </row>
    <row r="269" spans="22:22" ht="15.75" customHeight="1">
      <c r="V269" s="382"/>
    </row>
    <row r="270" spans="22:22" ht="15.75" customHeight="1">
      <c r="V270" s="382"/>
    </row>
    <row r="271" spans="22:22" ht="15.75" customHeight="1">
      <c r="V271" s="382"/>
    </row>
    <row r="272" spans="22:22" ht="15.75" customHeight="1">
      <c r="V272" s="382"/>
    </row>
    <row r="273" spans="22:22" ht="15.75" customHeight="1">
      <c r="V273" s="382"/>
    </row>
    <row r="274" spans="22:22" ht="15.75" customHeight="1">
      <c r="V274" s="382"/>
    </row>
    <row r="275" spans="22:22" ht="15.75" customHeight="1">
      <c r="V275" s="382"/>
    </row>
    <row r="276" spans="22:22" ht="15.75" customHeight="1">
      <c r="V276" s="382"/>
    </row>
    <row r="277" spans="22:22" ht="15.75" customHeight="1">
      <c r="V277" s="382"/>
    </row>
    <row r="278" spans="22:22" ht="15.75" customHeight="1">
      <c r="V278" s="382"/>
    </row>
    <row r="279" spans="22:22" ht="15.75" customHeight="1">
      <c r="V279" s="382"/>
    </row>
    <row r="280" spans="22:22" ht="15.75" customHeight="1">
      <c r="V280" s="382"/>
    </row>
    <row r="281" spans="22:22" ht="15.75" customHeight="1">
      <c r="V281" s="382"/>
    </row>
    <row r="282" spans="22:22" ht="15.75" customHeight="1">
      <c r="V282" s="382"/>
    </row>
    <row r="283" spans="22:22" ht="15.75" customHeight="1">
      <c r="V283" s="382"/>
    </row>
    <row r="284" spans="22:22" ht="15.75" customHeight="1">
      <c r="V284" s="382"/>
    </row>
    <row r="285" spans="22:22" ht="15.75" customHeight="1">
      <c r="V285" s="382"/>
    </row>
    <row r="286" spans="22:22" ht="15.75" customHeight="1">
      <c r="V286" s="382"/>
    </row>
    <row r="287" spans="22:22" ht="15.75" customHeight="1">
      <c r="V287" s="382"/>
    </row>
    <row r="288" spans="22:22" ht="15.75" customHeight="1">
      <c r="V288" s="382"/>
    </row>
    <row r="289" spans="22:22" ht="15.75" customHeight="1">
      <c r="V289" s="382"/>
    </row>
    <row r="290" spans="22:22" ht="15.75" customHeight="1">
      <c r="V290" s="382"/>
    </row>
    <row r="291" spans="22:22" ht="15.75" customHeight="1">
      <c r="V291" s="382"/>
    </row>
    <row r="292" spans="22:22" ht="15.75" customHeight="1">
      <c r="V292" s="382"/>
    </row>
    <row r="293" spans="22:22" ht="15.75" customHeight="1">
      <c r="V293" s="382"/>
    </row>
    <row r="294" spans="22:22" ht="15.75" customHeight="1">
      <c r="V294" s="382"/>
    </row>
    <row r="295" spans="22:22" ht="15.75" customHeight="1">
      <c r="V295" s="382"/>
    </row>
    <row r="296" spans="22:22" ht="15.75" customHeight="1">
      <c r="V296" s="382"/>
    </row>
    <row r="297" spans="22:22" ht="15.75" customHeight="1">
      <c r="V297" s="382"/>
    </row>
    <row r="298" spans="22:22" ht="15.75" customHeight="1">
      <c r="V298" s="382"/>
    </row>
    <row r="299" spans="22:22" ht="15.75" customHeight="1">
      <c r="V299" s="382"/>
    </row>
    <row r="300" spans="22:22" ht="15.75" customHeight="1">
      <c r="V300" s="382"/>
    </row>
    <row r="301" spans="22:22" ht="15.75" customHeight="1">
      <c r="V301" s="382"/>
    </row>
    <row r="302" spans="22:22" ht="15.75" customHeight="1">
      <c r="V302" s="382"/>
    </row>
    <row r="303" spans="22:22" ht="15.75" customHeight="1">
      <c r="V303" s="382"/>
    </row>
    <row r="304" spans="22:22" ht="15.75" customHeight="1">
      <c r="V304" s="382"/>
    </row>
    <row r="305" spans="22:22" ht="15.75" customHeight="1">
      <c r="V305" s="382"/>
    </row>
    <row r="306" spans="22:22" ht="15.75" customHeight="1">
      <c r="V306" s="382"/>
    </row>
    <row r="307" spans="22:22" ht="15.75" customHeight="1">
      <c r="V307" s="382"/>
    </row>
    <row r="308" spans="22:22" ht="15.75" customHeight="1">
      <c r="V308" s="382"/>
    </row>
    <row r="309" spans="22:22" ht="15.75" customHeight="1">
      <c r="V309" s="382"/>
    </row>
    <row r="310" spans="22:22" ht="15.75" customHeight="1">
      <c r="V310" s="382"/>
    </row>
    <row r="311" spans="22:22" ht="15.75" customHeight="1">
      <c r="V311" s="382"/>
    </row>
    <row r="312" spans="22:22" ht="15.75" customHeight="1">
      <c r="V312" s="382"/>
    </row>
    <row r="313" spans="22:22" ht="15.75" customHeight="1">
      <c r="V313" s="382"/>
    </row>
    <row r="314" spans="22:22" ht="15.75" customHeight="1">
      <c r="V314" s="382"/>
    </row>
    <row r="315" spans="22:22" ht="15.75" customHeight="1">
      <c r="V315" s="382"/>
    </row>
    <row r="316" spans="22:22" ht="15.75" customHeight="1">
      <c r="V316" s="382"/>
    </row>
    <row r="317" spans="22:22" ht="15.75" customHeight="1">
      <c r="V317" s="382"/>
    </row>
    <row r="318" spans="22:22" ht="15.75" customHeight="1">
      <c r="V318" s="382"/>
    </row>
    <row r="319" spans="22:22" ht="15.75" customHeight="1">
      <c r="V319" s="382"/>
    </row>
    <row r="320" spans="22:22" ht="15.75" customHeight="1">
      <c r="V320" s="382"/>
    </row>
    <row r="321" spans="22:22" ht="15.75" customHeight="1">
      <c r="V321" s="382"/>
    </row>
    <row r="322" spans="22:22" ht="15.75" customHeight="1">
      <c r="V322" s="382"/>
    </row>
    <row r="323" spans="22:22" ht="15.75" customHeight="1">
      <c r="V323" s="382"/>
    </row>
    <row r="324" spans="22:22" ht="15.75" customHeight="1">
      <c r="V324" s="382"/>
    </row>
    <row r="325" spans="22:22" ht="15.75" customHeight="1">
      <c r="V325" s="382"/>
    </row>
    <row r="326" spans="22:22" ht="15.75" customHeight="1">
      <c r="V326" s="382"/>
    </row>
    <row r="327" spans="22:22" ht="15.75" customHeight="1">
      <c r="V327" s="382"/>
    </row>
    <row r="328" spans="22:22" ht="15.75" customHeight="1">
      <c r="V328" s="382"/>
    </row>
    <row r="329" spans="22:22" ht="15.75" customHeight="1">
      <c r="V329" s="382"/>
    </row>
    <row r="330" spans="22:22" ht="15.75" customHeight="1">
      <c r="V330" s="382"/>
    </row>
    <row r="331" spans="22:22" ht="15.75" customHeight="1">
      <c r="V331" s="382"/>
    </row>
    <row r="332" spans="22:22" ht="15.75" customHeight="1">
      <c r="V332" s="382"/>
    </row>
    <row r="333" spans="22:22" ht="15.75" customHeight="1">
      <c r="V333" s="382"/>
    </row>
    <row r="334" spans="22:22" ht="15.75" customHeight="1">
      <c r="V334" s="382"/>
    </row>
    <row r="335" spans="22:22" ht="15.75" customHeight="1">
      <c r="V335" s="382"/>
    </row>
    <row r="336" spans="22:22" ht="15.75" customHeight="1">
      <c r="V336" s="382"/>
    </row>
    <row r="337" spans="22:22" ht="15.75" customHeight="1">
      <c r="V337" s="382"/>
    </row>
    <row r="338" spans="22:22" ht="15.75" customHeight="1">
      <c r="V338" s="382"/>
    </row>
    <row r="339" spans="22:22" ht="15.75" customHeight="1">
      <c r="V339" s="382"/>
    </row>
    <row r="340" spans="22:22" ht="15.75" customHeight="1">
      <c r="V340" s="382"/>
    </row>
    <row r="341" spans="22:22" ht="15.75" customHeight="1">
      <c r="V341" s="382"/>
    </row>
    <row r="342" spans="22:22" ht="15.75" customHeight="1">
      <c r="V342" s="382"/>
    </row>
    <row r="343" spans="22:22" ht="15.75" customHeight="1">
      <c r="V343" s="382"/>
    </row>
    <row r="344" spans="22:22" ht="15.75" customHeight="1">
      <c r="V344" s="382"/>
    </row>
    <row r="345" spans="22:22" ht="15.75" customHeight="1">
      <c r="V345" s="382"/>
    </row>
    <row r="346" spans="22:22" ht="15.75" customHeight="1">
      <c r="V346" s="382"/>
    </row>
    <row r="347" spans="22:22" ht="15.75" customHeight="1">
      <c r="V347" s="382"/>
    </row>
    <row r="348" spans="22:22" ht="15.75" customHeight="1">
      <c r="V348" s="382"/>
    </row>
    <row r="349" spans="22:22" ht="15.75" customHeight="1">
      <c r="V349" s="382"/>
    </row>
    <row r="350" spans="22:22" ht="15.75" customHeight="1">
      <c r="V350" s="382"/>
    </row>
    <row r="351" spans="22:22" ht="15.75" customHeight="1">
      <c r="V351" s="382"/>
    </row>
    <row r="352" spans="22:22" ht="15.75" customHeight="1">
      <c r="V352" s="382"/>
    </row>
    <row r="353" spans="22:22" ht="15.75" customHeight="1">
      <c r="V353" s="382"/>
    </row>
    <row r="354" spans="22:22" ht="15.75" customHeight="1">
      <c r="V354" s="382"/>
    </row>
    <row r="355" spans="22:22" ht="15.75" customHeight="1">
      <c r="V355" s="382"/>
    </row>
    <row r="356" spans="22:22" ht="15.75" customHeight="1">
      <c r="V356" s="382"/>
    </row>
    <row r="357" spans="22:22" ht="15.75" customHeight="1">
      <c r="V357" s="382"/>
    </row>
    <row r="358" spans="22:22" ht="15.75" customHeight="1">
      <c r="V358" s="382"/>
    </row>
    <row r="359" spans="22:22" ht="15.75" customHeight="1">
      <c r="V359" s="382"/>
    </row>
    <row r="360" spans="22:22" ht="15.75" customHeight="1">
      <c r="V360" s="382"/>
    </row>
    <row r="361" spans="22:22" ht="15.75" customHeight="1">
      <c r="V361" s="382"/>
    </row>
    <row r="362" spans="22:22" ht="15.75" customHeight="1">
      <c r="V362" s="382"/>
    </row>
    <row r="363" spans="22:22" ht="15.75" customHeight="1">
      <c r="V363" s="382"/>
    </row>
    <row r="364" spans="22:22" ht="15.75" customHeight="1">
      <c r="V364" s="382"/>
    </row>
    <row r="365" spans="22:22" ht="15.75" customHeight="1">
      <c r="V365" s="382"/>
    </row>
    <row r="366" spans="22:22" ht="15.75" customHeight="1">
      <c r="V366" s="382"/>
    </row>
    <row r="367" spans="22:22" ht="15.75" customHeight="1">
      <c r="V367" s="382"/>
    </row>
    <row r="368" spans="22:22" ht="15.75" customHeight="1">
      <c r="V368" s="382"/>
    </row>
    <row r="369" spans="22:22" ht="15.75" customHeight="1">
      <c r="V369" s="382"/>
    </row>
    <row r="370" spans="22:22" ht="15.75" customHeight="1">
      <c r="V370" s="382"/>
    </row>
    <row r="371" spans="22:22" ht="15.75" customHeight="1">
      <c r="V371" s="382"/>
    </row>
    <row r="372" spans="22:22" ht="15.75" customHeight="1">
      <c r="V372" s="382"/>
    </row>
    <row r="373" spans="22:22" ht="15.75" customHeight="1">
      <c r="V373" s="382"/>
    </row>
    <row r="374" spans="22:22" ht="15.75" customHeight="1">
      <c r="V374" s="382"/>
    </row>
    <row r="375" spans="22:22" ht="15.75" customHeight="1">
      <c r="V375" s="382"/>
    </row>
    <row r="376" spans="22:22" ht="15.75" customHeight="1">
      <c r="V376" s="382"/>
    </row>
    <row r="377" spans="22:22" ht="15.75" customHeight="1">
      <c r="V377" s="382"/>
    </row>
    <row r="378" spans="22:22" ht="15.75" customHeight="1">
      <c r="V378" s="382"/>
    </row>
    <row r="379" spans="22:22" ht="15.75" customHeight="1">
      <c r="V379" s="382"/>
    </row>
    <row r="380" spans="22:22" ht="15.75" customHeight="1">
      <c r="V380" s="382"/>
    </row>
    <row r="381" spans="22:22" ht="15.75" customHeight="1">
      <c r="V381" s="382"/>
    </row>
    <row r="382" spans="22:22" ht="15.75" customHeight="1">
      <c r="V382" s="382"/>
    </row>
    <row r="383" spans="22:22" ht="15.75" customHeight="1">
      <c r="V383" s="382"/>
    </row>
    <row r="384" spans="22:22" ht="15.75" customHeight="1">
      <c r="V384" s="382"/>
    </row>
    <row r="385" spans="22:22" ht="15.75" customHeight="1">
      <c r="V385" s="382"/>
    </row>
    <row r="386" spans="22:22" ht="15.75" customHeight="1">
      <c r="V386" s="382"/>
    </row>
    <row r="387" spans="22:22" ht="15.75" customHeight="1">
      <c r="V387" s="382"/>
    </row>
    <row r="388" spans="22:22" ht="15.75" customHeight="1">
      <c r="V388" s="382"/>
    </row>
    <row r="389" spans="22:22" ht="15.75" customHeight="1">
      <c r="V389" s="382"/>
    </row>
    <row r="390" spans="22:22" ht="15.75" customHeight="1">
      <c r="V390" s="382"/>
    </row>
    <row r="391" spans="22:22" ht="15.75" customHeight="1">
      <c r="V391" s="382"/>
    </row>
    <row r="392" spans="22:22" ht="15.75" customHeight="1">
      <c r="V392" s="382"/>
    </row>
    <row r="393" spans="22:22" ht="15.75" customHeight="1">
      <c r="V393" s="382"/>
    </row>
    <row r="394" spans="22:22" ht="15.75" customHeight="1">
      <c r="V394" s="382"/>
    </row>
    <row r="395" spans="22:22" ht="15.75" customHeight="1">
      <c r="V395" s="382"/>
    </row>
    <row r="396" spans="22:22" ht="15.75" customHeight="1">
      <c r="V396" s="382"/>
    </row>
    <row r="397" spans="22:22" ht="15.75" customHeight="1">
      <c r="V397" s="382"/>
    </row>
    <row r="398" spans="22:22" ht="15.75" customHeight="1">
      <c r="V398" s="382"/>
    </row>
    <row r="399" spans="22:22" ht="15.75" customHeight="1">
      <c r="V399" s="382"/>
    </row>
    <row r="400" spans="22:22" ht="15.75" customHeight="1">
      <c r="V400" s="382"/>
    </row>
    <row r="401" spans="22:22" ht="15.75" customHeight="1">
      <c r="V401" s="382"/>
    </row>
    <row r="402" spans="22:22" ht="15.75" customHeight="1">
      <c r="V402" s="382"/>
    </row>
    <row r="403" spans="22:22" ht="15.75" customHeight="1">
      <c r="V403" s="382"/>
    </row>
    <row r="404" spans="22:22" ht="15.75" customHeight="1">
      <c r="V404" s="382"/>
    </row>
    <row r="405" spans="22:22" ht="15.75" customHeight="1">
      <c r="V405" s="382"/>
    </row>
    <row r="406" spans="22:22" ht="15.75" customHeight="1">
      <c r="V406" s="382"/>
    </row>
    <row r="407" spans="22:22" ht="15.75" customHeight="1">
      <c r="V407" s="382"/>
    </row>
    <row r="408" spans="22:22" ht="15.75" customHeight="1">
      <c r="V408" s="382"/>
    </row>
    <row r="409" spans="22:22" ht="15.75" customHeight="1">
      <c r="V409" s="382"/>
    </row>
    <row r="410" spans="22:22" ht="15.75" customHeight="1">
      <c r="V410" s="382"/>
    </row>
    <row r="411" spans="22:22" ht="15.75" customHeight="1">
      <c r="V411" s="382"/>
    </row>
    <row r="412" spans="22:22" ht="15.75" customHeight="1">
      <c r="V412" s="382"/>
    </row>
    <row r="413" spans="22:22" ht="15.75" customHeight="1">
      <c r="V413" s="382"/>
    </row>
    <row r="414" spans="22:22" ht="15.75" customHeight="1">
      <c r="V414" s="382"/>
    </row>
    <row r="415" spans="22:22" ht="15.75" customHeight="1">
      <c r="V415" s="382"/>
    </row>
    <row r="416" spans="22:22" ht="15.75" customHeight="1">
      <c r="V416" s="382"/>
    </row>
    <row r="417" spans="22:22" ht="15.75" customHeight="1">
      <c r="V417" s="382"/>
    </row>
    <row r="418" spans="22:22" ht="15.75" customHeight="1">
      <c r="V418" s="382"/>
    </row>
    <row r="419" spans="22:22" ht="15.75" customHeight="1">
      <c r="V419" s="382"/>
    </row>
    <row r="420" spans="22:22" ht="15.75" customHeight="1">
      <c r="V420" s="382"/>
    </row>
    <row r="421" spans="22:22" ht="15.75" customHeight="1">
      <c r="V421" s="382"/>
    </row>
    <row r="422" spans="22:22" ht="15.75" customHeight="1">
      <c r="V422" s="382"/>
    </row>
    <row r="423" spans="22:22" ht="15.75" customHeight="1">
      <c r="V423" s="382"/>
    </row>
    <row r="424" spans="22:22" ht="15.75" customHeight="1">
      <c r="V424" s="382"/>
    </row>
    <row r="425" spans="22:22" ht="15.75" customHeight="1">
      <c r="V425" s="382"/>
    </row>
    <row r="426" spans="22:22" ht="15.75" customHeight="1">
      <c r="V426" s="382"/>
    </row>
    <row r="427" spans="22:22" ht="15.75" customHeight="1">
      <c r="V427" s="382"/>
    </row>
    <row r="428" spans="22:22" ht="15.75" customHeight="1">
      <c r="V428" s="382"/>
    </row>
    <row r="429" spans="22:22" ht="15.75" customHeight="1">
      <c r="V429" s="382"/>
    </row>
    <row r="430" spans="22:22" ht="15.75" customHeight="1">
      <c r="V430" s="382"/>
    </row>
    <row r="431" spans="22:22" ht="15.75" customHeight="1">
      <c r="V431" s="382"/>
    </row>
    <row r="432" spans="22:22" ht="15.75" customHeight="1">
      <c r="V432" s="382"/>
    </row>
    <row r="433" spans="22:22" ht="15.75" customHeight="1">
      <c r="V433" s="382"/>
    </row>
    <row r="434" spans="22:22" ht="15.75" customHeight="1">
      <c r="V434" s="382"/>
    </row>
    <row r="435" spans="22:22" ht="15.75" customHeight="1">
      <c r="V435" s="382"/>
    </row>
    <row r="436" spans="22:22" ht="15.75" customHeight="1">
      <c r="V436" s="382"/>
    </row>
    <row r="437" spans="22:22" ht="15.75" customHeight="1">
      <c r="V437" s="382"/>
    </row>
    <row r="438" spans="22:22" ht="15.75" customHeight="1">
      <c r="V438" s="382"/>
    </row>
    <row r="439" spans="22:22" ht="15.75" customHeight="1">
      <c r="V439" s="382"/>
    </row>
    <row r="440" spans="22:22" ht="15.75" customHeight="1">
      <c r="V440" s="382"/>
    </row>
    <row r="441" spans="22:22" ht="15.75" customHeight="1">
      <c r="V441" s="382"/>
    </row>
    <row r="442" spans="22:22" ht="15.75" customHeight="1">
      <c r="V442" s="382"/>
    </row>
    <row r="443" spans="22:22" ht="15.75" customHeight="1">
      <c r="V443" s="382"/>
    </row>
    <row r="444" spans="22:22" ht="15.75" customHeight="1">
      <c r="V444" s="382"/>
    </row>
    <row r="445" spans="22:22" ht="15.75" customHeight="1">
      <c r="V445" s="382"/>
    </row>
    <row r="446" spans="22:22" ht="15.75" customHeight="1">
      <c r="V446" s="382"/>
    </row>
    <row r="447" spans="22:22" ht="15.75" customHeight="1">
      <c r="V447" s="382"/>
    </row>
    <row r="448" spans="22:22" ht="15.75" customHeight="1">
      <c r="V448" s="382"/>
    </row>
    <row r="449" spans="22:22" ht="15.75" customHeight="1">
      <c r="V449" s="382"/>
    </row>
    <row r="450" spans="22:22" ht="15.75" customHeight="1">
      <c r="V450" s="382"/>
    </row>
    <row r="451" spans="22:22" ht="15.75" customHeight="1">
      <c r="V451" s="382"/>
    </row>
    <row r="452" spans="22:22" ht="15.75" customHeight="1">
      <c r="V452" s="382"/>
    </row>
    <row r="453" spans="22:22" ht="15.75" customHeight="1">
      <c r="V453" s="382"/>
    </row>
    <row r="454" spans="22:22" ht="15.75" customHeight="1">
      <c r="V454" s="382"/>
    </row>
    <row r="455" spans="22:22" ht="15.75" customHeight="1">
      <c r="V455" s="382"/>
    </row>
    <row r="456" spans="22:22" ht="15.75" customHeight="1">
      <c r="V456" s="382"/>
    </row>
    <row r="457" spans="22:22" ht="15.75" customHeight="1">
      <c r="V457" s="382"/>
    </row>
    <row r="458" spans="22:22" ht="15.75" customHeight="1">
      <c r="V458" s="382"/>
    </row>
    <row r="459" spans="22:22" ht="15.75" customHeight="1">
      <c r="V459" s="382"/>
    </row>
    <row r="460" spans="22:22" ht="15.75" customHeight="1">
      <c r="V460" s="382"/>
    </row>
    <row r="461" spans="22:22" ht="15.75" customHeight="1">
      <c r="V461" s="382"/>
    </row>
    <row r="462" spans="22:22" ht="15.75" customHeight="1">
      <c r="V462" s="382"/>
    </row>
    <row r="463" spans="22:22" ht="15.75" customHeight="1">
      <c r="V463" s="382"/>
    </row>
    <row r="464" spans="22:22" ht="15.75" customHeight="1">
      <c r="V464" s="382"/>
    </row>
    <row r="465" spans="22:22" ht="15.75" customHeight="1">
      <c r="V465" s="382"/>
    </row>
    <row r="466" spans="22:22" ht="15.75" customHeight="1">
      <c r="V466" s="382"/>
    </row>
    <row r="467" spans="22:22" ht="15.75" customHeight="1">
      <c r="V467" s="382"/>
    </row>
    <row r="468" spans="22:22" ht="15.75" customHeight="1">
      <c r="V468" s="382"/>
    </row>
    <row r="469" spans="22:22" ht="15.75" customHeight="1">
      <c r="V469" s="382"/>
    </row>
    <row r="470" spans="22:22" ht="15.75" customHeight="1">
      <c r="V470" s="382"/>
    </row>
    <row r="471" spans="22:22" ht="15.75" customHeight="1">
      <c r="V471" s="382"/>
    </row>
    <row r="472" spans="22:22" ht="15.75" customHeight="1">
      <c r="V472" s="382"/>
    </row>
    <row r="473" spans="22:22" ht="15.75" customHeight="1">
      <c r="V473" s="382"/>
    </row>
    <row r="474" spans="22:22" ht="15.75" customHeight="1">
      <c r="V474" s="382"/>
    </row>
    <row r="475" spans="22:22" ht="15.75" customHeight="1">
      <c r="V475" s="382"/>
    </row>
    <row r="476" spans="22:22" ht="15.75" customHeight="1">
      <c r="V476" s="382"/>
    </row>
    <row r="477" spans="22:22" ht="15.75" customHeight="1">
      <c r="V477" s="382"/>
    </row>
    <row r="478" spans="22:22" ht="15.75" customHeight="1">
      <c r="V478" s="382"/>
    </row>
    <row r="479" spans="22:22" ht="15.75" customHeight="1">
      <c r="V479" s="382"/>
    </row>
    <row r="480" spans="22:22" ht="15.75" customHeight="1">
      <c r="V480" s="382"/>
    </row>
    <row r="481" spans="22:22" ht="15.75" customHeight="1">
      <c r="V481" s="382"/>
    </row>
    <row r="482" spans="22:22" ht="15.75" customHeight="1">
      <c r="V482" s="382"/>
    </row>
    <row r="483" spans="22:22" ht="15.75" customHeight="1">
      <c r="V483" s="382"/>
    </row>
    <row r="484" spans="22:22" ht="15.75" customHeight="1">
      <c r="V484" s="382"/>
    </row>
    <row r="485" spans="22:22" ht="15.75" customHeight="1">
      <c r="V485" s="382"/>
    </row>
    <row r="486" spans="22:22" ht="15.75" customHeight="1">
      <c r="V486" s="382"/>
    </row>
    <row r="487" spans="22:22" ht="15.75" customHeight="1">
      <c r="V487" s="382"/>
    </row>
    <row r="488" spans="22:22" ht="15.75" customHeight="1">
      <c r="V488" s="382"/>
    </row>
    <row r="489" spans="22:22" ht="15.75" customHeight="1">
      <c r="V489" s="382"/>
    </row>
    <row r="490" spans="22:22" ht="15.75" customHeight="1">
      <c r="V490" s="382"/>
    </row>
    <row r="491" spans="22:22" ht="15.75" customHeight="1">
      <c r="V491" s="382"/>
    </row>
    <row r="492" spans="22:22" ht="15.75" customHeight="1">
      <c r="V492" s="382"/>
    </row>
    <row r="493" spans="22:22" ht="15.75" customHeight="1">
      <c r="V493" s="382"/>
    </row>
    <row r="494" spans="22:22" ht="15.75" customHeight="1">
      <c r="V494" s="382"/>
    </row>
    <row r="495" spans="22:22" ht="15.75" customHeight="1">
      <c r="V495" s="382"/>
    </row>
    <row r="496" spans="22:22" ht="15.75" customHeight="1">
      <c r="V496" s="382"/>
    </row>
    <row r="497" spans="22:22" ht="15.75" customHeight="1">
      <c r="V497" s="382"/>
    </row>
    <row r="498" spans="22:22" ht="15.75" customHeight="1">
      <c r="V498" s="382"/>
    </row>
    <row r="499" spans="22:22" ht="15.75" customHeight="1">
      <c r="V499" s="382"/>
    </row>
    <row r="500" spans="22:22" ht="15.75" customHeight="1">
      <c r="V500" s="382"/>
    </row>
    <row r="501" spans="22:22" ht="15.75" customHeight="1">
      <c r="V501" s="382"/>
    </row>
    <row r="502" spans="22:22" ht="15.75" customHeight="1">
      <c r="V502" s="382"/>
    </row>
    <row r="503" spans="22:22" ht="15.75" customHeight="1">
      <c r="V503" s="382"/>
    </row>
    <row r="504" spans="22:22" ht="15.75" customHeight="1">
      <c r="V504" s="382"/>
    </row>
    <row r="505" spans="22:22" ht="15.75" customHeight="1">
      <c r="V505" s="382"/>
    </row>
    <row r="506" spans="22:22" ht="15.75" customHeight="1">
      <c r="V506" s="382"/>
    </row>
    <row r="507" spans="22:22" ht="15.75" customHeight="1">
      <c r="V507" s="382"/>
    </row>
    <row r="508" spans="22:22" ht="15.75" customHeight="1">
      <c r="V508" s="382"/>
    </row>
    <row r="509" spans="22:22" ht="15.75" customHeight="1">
      <c r="V509" s="382"/>
    </row>
    <row r="510" spans="22:22" ht="15.75" customHeight="1">
      <c r="V510" s="382"/>
    </row>
    <row r="511" spans="22:22" ht="15.75" customHeight="1">
      <c r="V511" s="382"/>
    </row>
    <row r="512" spans="22:22" ht="15.75" customHeight="1">
      <c r="V512" s="382"/>
    </row>
    <row r="513" spans="22:22" ht="15.75" customHeight="1">
      <c r="V513" s="382"/>
    </row>
    <row r="514" spans="22:22" ht="15.75" customHeight="1">
      <c r="V514" s="382"/>
    </row>
    <row r="515" spans="22:22" ht="15.75" customHeight="1">
      <c r="V515" s="382"/>
    </row>
    <row r="516" spans="22:22" ht="15.75" customHeight="1">
      <c r="V516" s="382"/>
    </row>
    <row r="517" spans="22:22" ht="15.75" customHeight="1">
      <c r="V517" s="382"/>
    </row>
    <row r="518" spans="22:22" ht="15.75" customHeight="1">
      <c r="V518" s="382"/>
    </row>
    <row r="519" spans="22:22" ht="15.75" customHeight="1">
      <c r="V519" s="382"/>
    </row>
    <row r="520" spans="22:22" ht="15.75" customHeight="1">
      <c r="V520" s="382"/>
    </row>
    <row r="521" spans="22:22" ht="15.75" customHeight="1">
      <c r="V521" s="382"/>
    </row>
    <row r="522" spans="22:22" ht="15.75" customHeight="1">
      <c r="V522" s="382"/>
    </row>
    <row r="523" spans="22:22" ht="15.75" customHeight="1">
      <c r="V523" s="382"/>
    </row>
    <row r="524" spans="22:22" ht="15.75" customHeight="1">
      <c r="V524" s="382"/>
    </row>
    <row r="525" spans="22:22" ht="15.75" customHeight="1">
      <c r="V525" s="382"/>
    </row>
    <row r="526" spans="22:22" ht="15.75" customHeight="1">
      <c r="V526" s="382"/>
    </row>
    <row r="527" spans="22:22" ht="15.75" customHeight="1">
      <c r="V527" s="382"/>
    </row>
    <row r="528" spans="22:22" ht="15.75" customHeight="1">
      <c r="V528" s="382"/>
    </row>
    <row r="529" spans="22:22" ht="15.75" customHeight="1">
      <c r="V529" s="382"/>
    </row>
    <row r="530" spans="22:22" ht="15.75" customHeight="1">
      <c r="V530" s="382"/>
    </row>
    <row r="531" spans="22:22" ht="15.75" customHeight="1">
      <c r="V531" s="382"/>
    </row>
    <row r="532" spans="22:22" ht="15.75" customHeight="1">
      <c r="V532" s="382"/>
    </row>
    <row r="533" spans="22:22" ht="15.75" customHeight="1">
      <c r="V533" s="382"/>
    </row>
    <row r="534" spans="22:22" ht="15.75" customHeight="1">
      <c r="V534" s="382"/>
    </row>
    <row r="535" spans="22:22" ht="15.75" customHeight="1">
      <c r="V535" s="382"/>
    </row>
    <row r="536" spans="22:22" ht="15.75" customHeight="1">
      <c r="V536" s="382"/>
    </row>
    <row r="537" spans="22:22" ht="15.75" customHeight="1">
      <c r="V537" s="382"/>
    </row>
    <row r="538" spans="22:22" ht="15.75" customHeight="1">
      <c r="V538" s="382"/>
    </row>
    <row r="539" spans="22:22" ht="15.75" customHeight="1">
      <c r="V539" s="382"/>
    </row>
    <row r="540" spans="22:22" ht="15.75" customHeight="1">
      <c r="V540" s="382"/>
    </row>
    <row r="541" spans="22:22" ht="15.75" customHeight="1">
      <c r="V541" s="382"/>
    </row>
    <row r="542" spans="22:22" ht="15.75" customHeight="1">
      <c r="V542" s="382"/>
    </row>
    <row r="543" spans="22:22" ht="15.75" customHeight="1">
      <c r="V543" s="382"/>
    </row>
    <row r="544" spans="22:22" ht="15.75" customHeight="1">
      <c r="V544" s="382"/>
    </row>
    <row r="545" spans="22:22" ht="15.75" customHeight="1">
      <c r="V545" s="382"/>
    </row>
    <row r="546" spans="22:22" ht="15.75" customHeight="1">
      <c r="V546" s="382"/>
    </row>
    <row r="547" spans="22:22" ht="15.75" customHeight="1">
      <c r="V547" s="382"/>
    </row>
    <row r="548" spans="22:22" ht="15.75" customHeight="1">
      <c r="V548" s="382"/>
    </row>
    <row r="549" spans="22:22" ht="15.75" customHeight="1">
      <c r="V549" s="382"/>
    </row>
    <row r="550" spans="22:22" ht="15.75" customHeight="1">
      <c r="V550" s="382"/>
    </row>
    <row r="551" spans="22:22" ht="15.75" customHeight="1">
      <c r="V551" s="382"/>
    </row>
    <row r="552" spans="22:22" ht="15.75" customHeight="1">
      <c r="V552" s="382"/>
    </row>
    <row r="553" spans="22:22" ht="15.75" customHeight="1">
      <c r="V553" s="382"/>
    </row>
    <row r="554" spans="22:22" ht="15.75" customHeight="1">
      <c r="V554" s="382"/>
    </row>
    <row r="555" spans="22:22" ht="15.75" customHeight="1">
      <c r="V555" s="382"/>
    </row>
    <row r="556" spans="22:22" ht="15.75" customHeight="1">
      <c r="V556" s="382"/>
    </row>
    <row r="557" spans="22:22" ht="15.75" customHeight="1">
      <c r="V557" s="382"/>
    </row>
    <row r="558" spans="22:22" ht="15.75" customHeight="1">
      <c r="V558" s="382"/>
    </row>
    <row r="559" spans="22:22" ht="15.75" customHeight="1">
      <c r="V559" s="382"/>
    </row>
    <row r="560" spans="22:22" ht="15.75" customHeight="1">
      <c r="V560" s="382"/>
    </row>
    <row r="561" spans="22:22" ht="15.75" customHeight="1">
      <c r="V561" s="382"/>
    </row>
    <row r="562" spans="22:22" ht="15.75" customHeight="1">
      <c r="V562" s="382"/>
    </row>
    <row r="563" spans="22:22" ht="15.75" customHeight="1">
      <c r="V563" s="382"/>
    </row>
    <row r="564" spans="22:22" ht="15.75" customHeight="1">
      <c r="V564" s="382"/>
    </row>
    <row r="565" spans="22:22" ht="15.75" customHeight="1">
      <c r="V565" s="382"/>
    </row>
    <row r="566" spans="22:22" ht="15.75" customHeight="1">
      <c r="V566" s="382"/>
    </row>
    <row r="567" spans="22:22" ht="15.75" customHeight="1">
      <c r="V567" s="382"/>
    </row>
    <row r="568" spans="22:22" ht="15.75" customHeight="1">
      <c r="V568" s="382"/>
    </row>
    <row r="569" spans="22:22" ht="15.75" customHeight="1">
      <c r="V569" s="382"/>
    </row>
    <row r="570" spans="22:22" ht="15.75" customHeight="1">
      <c r="V570" s="382"/>
    </row>
    <row r="571" spans="22:22" ht="15.75" customHeight="1">
      <c r="V571" s="382"/>
    </row>
    <row r="572" spans="22:22" ht="15.75" customHeight="1">
      <c r="V572" s="382"/>
    </row>
    <row r="573" spans="22:22" ht="15.75" customHeight="1">
      <c r="V573" s="382"/>
    </row>
    <row r="574" spans="22:22" ht="15.75" customHeight="1">
      <c r="V574" s="382"/>
    </row>
    <row r="575" spans="22:22" ht="15.75" customHeight="1">
      <c r="V575" s="382"/>
    </row>
    <row r="576" spans="22:22" ht="15.75" customHeight="1">
      <c r="V576" s="382"/>
    </row>
    <row r="577" spans="22:22" ht="15.75" customHeight="1">
      <c r="V577" s="382"/>
    </row>
    <row r="578" spans="22:22" ht="15.75" customHeight="1">
      <c r="V578" s="382"/>
    </row>
    <row r="579" spans="22:22" ht="15.75" customHeight="1">
      <c r="V579" s="382"/>
    </row>
    <row r="580" spans="22:22" ht="15.75" customHeight="1">
      <c r="V580" s="382"/>
    </row>
    <row r="581" spans="22:22" ht="15.75" customHeight="1">
      <c r="V581" s="382"/>
    </row>
    <row r="582" spans="22:22" ht="15.75" customHeight="1">
      <c r="V582" s="382"/>
    </row>
    <row r="583" spans="22:22" ht="15.75" customHeight="1">
      <c r="V583" s="382"/>
    </row>
    <row r="584" spans="22:22" ht="15.75" customHeight="1">
      <c r="V584" s="382"/>
    </row>
    <row r="585" spans="22:22" ht="15.75" customHeight="1">
      <c r="V585" s="382"/>
    </row>
    <row r="586" spans="22:22" ht="15.75" customHeight="1">
      <c r="V586" s="382"/>
    </row>
    <row r="587" spans="22:22" ht="15.75" customHeight="1">
      <c r="V587" s="382"/>
    </row>
    <row r="588" spans="22:22" ht="15.75" customHeight="1">
      <c r="V588" s="382"/>
    </row>
    <row r="589" spans="22:22" ht="15.75" customHeight="1">
      <c r="V589" s="382"/>
    </row>
    <row r="590" spans="22:22" ht="15.75" customHeight="1">
      <c r="V590" s="382"/>
    </row>
    <row r="591" spans="22:22" ht="15.75" customHeight="1">
      <c r="V591" s="382"/>
    </row>
    <row r="592" spans="22:22" ht="15.75" customHeight="1">
      <c r="V592" s="382"/>
    </row>
    <row r="593" spans="22:22" ht="15.75" customHeight="1">
      <c r="V593" s="382"/>
    </row>
    <row r="594" spans="22:22" ht="15.75" customHeight="1">
      <c r="V594" s="382"/>
    </row>
    <row r="595" spans="22:22" ht="15.75" customHeight="1">
      <c r="V595" s="382"/>
    </row>
    <row r="596" spans="22:22" ht="15.75" customHeight="1">
      <c r="V596" s="382"/>
    </row>
    <row r="597" spans="22:22" ht="15.75" customHeight="1">
      <c r="V597" s="382"/>
    </row>
    <row r="598" spans="22:22" ht="15.75" customHeight="1">
      <c r="V598" s="382"/>
    </row>
    <row r="599" spans="22:22" ht="15.75" customHeight="1">
      <c r="V599" s="382"/>
    </row>
    <row r="600" spans="22:22" ht="15.75" customHeight="1">
      <c r="V600" s="382"/>
    </row>
    <row r="601" spans="22:22" ht="15.75" customHeight="1">
      <c r="V601" s="382"/>
    </row>
    <row r="602" spans="22:22" ht="15.75" customHeight="1">
      <c r="V602" s="382"/>
    </row>
    <row r="603" spans="22:22" ht="15.75" customHeight="1">
      <c r="V603" s="382"/>
    </row>
    <row r="604" spans="22:22" ht="15.75" customHeight="1">
      <c r="V604" s="382"/>
    </row>
    <row r="605" spans="22:22" ht="15.75" customHeight="1">
      <c r="V605" s="382"/>
    </row>
    <row r="606" spans="22:22" ht="15.75" customHeight="1">
      <c r="V606" s="382"/>
    </row>
    <row r="607" spans="22:22" ht="15.75" customHeight="1">
      <c r="V607" s="382"/>
    </row>
    <row r="608" spans="22:22" ht="15.75" customHeight="1">
      <c r="V608" s="382"/>
    </row>
    <row r="609" spans="22:22" ht="15.75" customHeight="1">
      <c r="V609" s="382"/>
    </row>
    <row r="610" spans="22:22" ht="15.75" customHeight="1">
      <c r="V610" s="382"/>
    </row>
    <row r="611" spans="22:22" ht="15.75" customHeight="1">
      <c r="V611" s="382"/>
    </row>
    <row r="612" spans="22:22" ht="15.75" customHeight="1">
      <c r="V612" s="382"/>
    </row>
    <row r="613" spans="22:22" ht="15.75" customHeight="1">
      <c r="V613" s="382"/>
    </row>
    <row r="614" spans="22:22" ht="15.75" customHeight="1">
      <c r="V614" s="382"/>
    </row>
    <row r="615" spans="22:22" ht="15.75" customHeight="1">
      <c r="V615" s="382"/>
    </row>
    <row r="616" spans="22:22" ht="15.75" customHeight="1">
      <c r="V616" s="382"/>
    </row>
    <row r="617" spans="22:22" ht="15.75" customHeight="1">
      <c r="V617" s="382"/>
    </row>
    <row r="618" spans="22:22" ht="15.75" customHeight="1">
      <c r="V618" s="382"/>
    </row>
    <row r="619" spans="22:22" ht="15.75" customHeight="1">
      <c r="V619" s="382"/>
    </row>
    <row r="620" spans="22:22" ht="15.75" customHeight="1">
      <c r="V620" s="382"/>
    </row>
    <row r="621" spans="22:22" ht="15.75" customHeight="1">
      <c r="V621" s="382"/>
    </row>
    <row r="622" spans="22:22" ht="15.75" customHeight="1">
      <c r="V622" s="382"/>
    </row>
    <row r="623" spans="22:22" ht="15.75" customHeight="1">
      <c r="V623" s="382"/>
    </row>
    <row r="624" spans="22:22" ht="15.75" customHeight="1">
      <c r="V624" s="382"/>
    </row>
    <row r="625" spans="22:22" ht="15.75" customHeight="1">
      <c r="V625" s="382"/>
    </row>
    <row r="626" spans="22:22" ht="15.75" customHeight="1">
      <c r="V626" s="382"/>
    </row>
    <row r="627" spans="22:22" ht="15.75" customHeight="1">
      <c r="V627" s="382"/>
    </row>
    <row r="628" spans="22:22" ht="15.75" customHeight="1">
      <c r="V628" s="382"/>
    </row>
    <row r="629" spans="22:22" ht="15.75" customHeight="1">
      <c r="V629" s="382"/>
    </row>
    <row r="630" spans="22:22" ht="15.75" customHeight="1">
      <c r="V630" s="382"/>
    </row>
    <row r="631" spans="22:22" ht="15.75" customHeight="1">
      <c r="V631" s="382"/>
    </row>
    <row r="632" spans="22:22" ht="15.75" customHeight="1">
      <c r="V632" s="382"/>
    </row>
    <row r="633" spans="22:22" ht="15.75" customHeight="1">
      <c r="V633" s="382"/>
    </row>
    <row r="634" spans="22:22" ht="15.75" customHeight="1">
      <c r="V634" s="382"/>
    </row>
    <row r="635" spans="22:22" ht="15.75" customHeight="1">
      <c r="V635" s="382"/>
    </row>
    <row r="636" spans="22:22" ht="15.75" customHeight="1">
      <c r="V636" s="382"/>
    </row>
    <row r="637" spans="22:22" ht="15.75" customHeight="1">
      <c r="V637" s="382"/>
    </row>
    <row r="638" spans="22:22" ht="15.75" customHeight="1">
      <c r="V638" s="382"/>
    </row>
    <row r="639" spans="22:22" ht="15.75" customHeight="1">
      <c r="V639" s="382"/>
    </row>
    <row r="640" spans="22:22" ht="15.75" customHeight="1">
      <c r="V640" s="382"/>
    </row>
    <row r="641" spans="22:22" ht="15.75" customHeight="1">
      <c r="V641" s="382"/>
    </row>
    <row r="642" spans="22:22" ht="15.75" customHeight="1">
      <c r="V642" s="382"/>
    </row>
    <row r="643" spans="22:22" ht="15.75" customHeight="1">
      <c r="V643" s="382"/>
    </row>
    <row r="644" spans="22:22" ht="15.75" customHeight="1">
      <c r="V644" s="382"/>
    </row>
    <row r="645" spans="22:22" ht="15.75" customHeight="1">
      <c r="V645" s="382"/>
    </row>
    <row r="646" spans="22:22" ht="15.75" customHeight="1">
      <c r="V646" s="382"/>
    </row>
    <row r="647" spans="22:22" ht="15.75" customHeight="1">
      <c r="V647" s="382"/>
    </row>
    <row r="648" spans="22:22" ht="15.75" customHeight="1">
      <c r="V648" s="382"/>
    </row>
    <row r="649" spans="22:22" ht="15.75" customHeight="1">
      <c r="V649" s="382"/>
    </row>
    <row r="650" spans="22:22" ht="15.75" customHeight="1">
      <c r="V650" s="382"/>
    </row>
    <row r="651" spans="22:22" ht="15.75" customHeight="1">
      <c r="V651" s="382"/>
    </row>
    <row r="652" spans="22:22" ht="15.75" customHeight="1">
      <c r="V652" s="382"/>
    </row>
    <row r="653" spans="22:22" ht="15.75" customHeight="1">
      <c r="V653" s="382"/>
    </row>
    <row r="654" spans="22:22" ht="15.75" customHeight="1">
      <c r="V654" s="382"/>
    </row>
    <row r="655" spans="22:22" ht="15.75" customHeight="1">
      <c r="V655" s="382"/>
    </row>
    <row r="656" spans="22:22" ht="15.75" customHeight="1">
      <c r="V656" s="382"/>
    </row>
    <row r="657" spans="22:22" ht="15.75" customHeight="1">
      <c r="V657" s="382"/>
    </row>
    <row r="658" spans="22:22" ht="15.75" customHeight="1">
      <c r="V658" s="382"/>
    </row>
    <row r="659" spans="22:22" ht="15.75" customHeight="1">
      <c r="V659" s="382"/>
    </row>
    <row r="660" spans="22:22" ht="15.75" customHeight="1">
      <c r="V660" s="382"/>
    </row>
    <row r="661" spans="22:22" ht="15.75" customHeight="1">
      <c r="V661" s="382"/>
    </row>
    <row r="662" spans="22:22" ht="15.75" customHeight="1">
      <c r="V662" s="382"/>
    </row>
    <row r="663" spans="22:22" ht="15.75" customHeight="1">
      <c r="V663" s="382"/>
    </row>
    <row r="664" spans="22:22" ht="15.75" customHeight="1">
      <c r="V664" s="382"/>
    </row>
    <row r="665" spans="22:22" ht="15.75" customHeight="1">
      <c r="V665" s="382"/>
    </row>
    <row r="666" spans="22:22" ht="15.75" customHeight="1">
      <c r="V666" s="382"/>
    </row>
    <row r="667" spans="22:22" ht="15.75" customHeight="1">
      <c r="V667" s="382"/>
    </row>
    <row r="668" spans="22:22" ht="15.75" customHeight="1">
      <c r="V668" s="382"/>
    </row>
    <row r="669" spans="22:22" ht="15.75" customHeight="1">
      <c r="V669" s="382"/>
    </row>
    <row r="670" spans="22:22" ht="15.75" customHeight="1">
      <c r="V670" s="382"/>
    </row>
    <row r="671" spans="22:22" ht="15.75" customHeight="1">
      <c r="V671" s="382"/>
    </row>
    <row r="672" spans="22:22" ht="15.75" customHeight="1">
      <c r="V672" s="382"/>
    </row>
    <row r="673" spans="22:22" ht="15.75" customHeight="1">
      <c r="V673" s="382"/>
    </row>
    <row r="674" spans="22:22" ht="15.75" customHeight="1">
      <c r="V674" s="382"/>
    </row>
    <row r="675" spans="22:22" ht="15.75" customHeight="1">
      <c r="V675" s="382"/>
    </row>
    <row r="676" spans="22:22" ht="15.75" customHeight="1">
      <c r="V676" s="382"/>
    </row>
    <row r="677" spans="22:22" ht="15.75" customHeight="1">
      <c r="V677" s="382"/>
    </row>
    <row r="678" spans="22:22" ht="15.75" customHeight="1">
      <c r="V678" s="382"/>
    </row>
    <row r="679" spans="22:22" ht="15.75" customHeight="1">
      <c r="V679" s="382"/>
    </row>
    <row r="680" spans="22:22" ht="15.75" customHeight="1">
      <c r="V680" s="382"/>
    </row>
    <row r="681" spans="22:22" ht="15.75" customHeight="1">
      <c r="V681" s="382"/>
    </row>
    <row r="682" spans="22:22" ht="15.75" customHeight="1">
      <c r="V682" s="382"/>
    </row>
    <row r="683" spans="22:22" ht="15.75" customHeight="1">
      <c r="V683" s="382"/>
    </row>
    <row r="684" spans="22:22" ht="15.75" customHeight="1">
      <c r="V684" s="382"/>
    </row>
    <row r="685" spans="22:22" ht="15.75" customHeight="1">
      <c r="V685" s="382"/>
    </row>
    <row r="686" spans="22:22" ht="15.75" customHeight="1">
      <c r="V686" s="382"/>
    </row>
    <row r="687" spans="22:22" ht="15.75" customHeight="1">
      <c r="V687" s="382"/>
    </row>
    <row r="688" spans="22:22" ht="15.75" customHeight="1">
      <c r="V688" s="382"/>
    </row>
    <row r="689" spans="22:22" ht="15.75" customHeight="1">
      <c r="V689" s="382"/>
    </row>
    <row r="690" spans="22:22" ht="15.75" customHeight="1">
      <c r="V690" s="382"/>
    </row>
    <row r="691" spans="22:22" ht="15.75" customHeight="1">
      <c r="V691" s="382"/>
    </row>
    <row r="692" spans="22:22" ht="15.75" customHeight="1">
      <c r="V692" s="382"/>
    </row>
    <row r="693" spans="22:22" ht="15.75" customHeight="1">
      <c r="V693" s="382"/>
    </row>
    <row r="694" spans="22:22" ht="15.75" customHeight="1">
      <c r="V694" s="382"/>
    </row>
    <row r="695" spans="22:22" ht="15.75" customHeight="1">
      <c r="V695" s="382"/>
    </row>
    <row r="696" spans="22:22" ht="15.75" customHeight="1">
      <c r="V696" s="382"/>
    </row>
    <row r="697" spans="22:22" ht="15.75" customHeight="1">
      <c r="V697" s="382"/>
    </row>
    <row r="698" spans="22:22" ht="15.75" customHeight="1">
      <c r="V698" s="382"/>
    </row>
    <row r="699" spans="22:22" ht="15.75" customHeight="1">
      <c r="V699" s="382"/>
    </row>
    <row r="700" spans="22:22" ht="15.75" customHeight="1">
      <c r="V700" s="382"/>
    </row>
    <row r="701" spans="22:22" ht="15.75" customHeight="1">
      <c r="V701" s="382"/>
    </row>
    <row r="702" spans="22:22" ht="15.75" customHeight="1">
      <c r="V702" s="382"/>
    </row>
    <row r="703" spans="22:22" ht="15.75" customHeight="1">
      <c r="V703" s="382"/>
    </row>
    <row r="704" spans="22:22" ht="15.75" customHeight="1">
      <c r="V704" s="382"/>
    </row>
    <row r="705" spans="22:22" ht="15.75" customHeight="1">
      <c r="V705" s="382"/>
    </row>
    <row r="706" spans="22:22" ht="15.75" customHeight="1">
      <c r="V706" s="382"/>
    </row>
    <row r="707" spans="22:22" ht="15.75" customHeight="1">
      <c r="V707" s="382"/>
    </row>
    <row r="708" spans="22:22" ht="15.75" customHeight="1">
      <c r="V708" s="382"/>
    </row>
    <row r="709" spans="22:22" ht="15.75" customHeight="1">
      <c r="V709" s="382"/>
    </row>
    <row r="710" spans="22:22" ht="15.75" customHeight="1">
      <c r="V710" s="382"/>
    </row>
    <row r="711" spans="22:22" ht="15.75" customHeight="1">
      <c r="V711" s="382"/>
    </row>
    <row r="712" spans="22:22" ht="15.75" customHeight="1">
      <c r="V712" s="382"/>
    </row>
    <row r="713" spans="22:22" ht="15.75" customHeight="1">
      <c r="V713" s="382"/>
    </row>
    <row r="714" spans="22:22" ht="15.75" customHeight="1">
      <c r="V714" s="382"/>
    </row>
    <row r="715" spans="22:22" ht="15.75" customHeight="1">
      <c r="V715" s="382"/>
    </row>
    <row r="716" spans="22:22" ht="15.75" customHeight="1">
      <c r="V716" s="382"/>
    </row>
    <row r="717" spans="22:22" ht="15.75" customHeight="1">
      <c r="V717" s="382"/>
    </row>
    <row r="718" spans="22:22" ht="15.75" customHeight="1">
      <c r="V718" s="382"/>
    </row>
    <row r="719" spans="22:22" ht="15.75" customHeight="1">
      <c r="V719" s="382"/>
    </row>
    <row r="720" spans="22:22" ht="15.75" customHeight="1">
      <c r="V720" s="382"/>
    </row>
    <row r="721" spans="22:22" ht="15.75" customHeight="1">
      <c r="V721" s="382"/>
    </row>
    <row r="722" spans="22:22" ht="15.75" customHeight="1">
      <c r="V722" s="382"/>
    </row>
    <row r="723" spans="22:22" ht="15.75" customHeight="1">
      <c r="V723" s="382"/>
    </row>
    <row r="724" spans="22:22" ht="15.75" customHeight="1">
      <c r="V724" s="382"/>
    </row>
    <row r="725" spans="22:22" ht="15.75" customHeight="1">
      <c r="V725" s="382"/>
    </row>
    <row r="726" spans="22:22" ht="15.75" customHeight="1">
      <c r="V726" s="382"/>
    </row>
    <row r="727" spans="22:22" ht="15.75" customHeight="1">
      <c r="V727" s="382"/>
    </row>
    <row r="728" spans="22:22" ht="15.75" customHeight="1">
      <c r="V728" s="382"/>
    </row>
    <row r="729" spans="22:22" ht="15.75" customHeight="1">
      <c r="V729" s="382"/>
    </row>
    <row r="730" spans="22:22" ht="15.75" customHeight="1">
      <c r="V730" s="382"/>
    </row>
    <row r="731" spans="22:22" ht="15.75" customHeight="1">
      <c r="V731" s="382"/>
    </row>
    <row r="732" spans="22:22" ht="15.75" customHeight="1">
      <c r="V732" s="382"/>
    </row>
    <row r="733" spans="22:22" ht="15.75" customHeight="1">
      <c r="V733" s="382"/>
    </row>
    <row r="734" spans="22:22" ht="15.75" customHeight="1">
      <c r="V734" s="382"/>
    </row>
    <row r="735" spans="22:22" ht="15.75" customHeight="1">
      <c r="V735" s="382"/>
    </row>
    <row r="736" spans="22:22" ht="15.75" customHeight="1">
      <c r="V736" s="382"/>
    </row>
    <row r="737" spans="22:22" ht="15.75" customHeight="1">
      <c r="V737" s="382"/>
    </row>
    <row r="738" spans="22:22" ht="15.75" customHeight="1">
      <c r="V738" s="382"/>
    </row>
    <row r="739" spans="22:22" ht="15.75" customHeight="1">
      <c r="V739" s="382"/>
    </row>
    <row r="740" spans="22:22" ht="15.75" customHeight="1">
      <c r="V740" s="382"/>
    </row>
    <row r="741" spans="22:22" ht="15.75" customHeight="1">
      <c r="V741" s="382"/>
    </row>
    <row r="742" spans="22:22" ht="15.75" customHeight="1">
      <c r="V742" s="382"/>
    </row>
    <row r="743" spans="22:22" ht="15.75" customHeight="1">
      <c r="V743" s="382"/>
    </row>
    <row r="744" spans="22:22" ht="15.75" customHeight="1">
      <c r="V744" s="382"/>
    </row>
    <row r="745" spans="22:22" ht="15.75" customHeight="1">
      <c r="V745" s="382"/>
    </row>
    <row r="746" spans="22:22" ht="15.75" customHeight="1">
      <c r="V746" s="382"/>
    </row>
    <row r="747" spans="22:22" ht="15.75" customHeight="1">
      <c r="V747" s="382"/>
    </row>
    <row r="748" spans="22:22" ht="15.75" customHeight="1">
      <c r="V748" s="382"/>
    </row>
    <row r="749" spans="22:22" ht="15.75" customHeight="1">
      <c r="V749" s="382"/>
    </row>
    <row r="750" spans="22:22" ht="15.75" customHeight="1">
      <c r="V750" s="382"/>
    </row>
    <row r="751" spans="22:22" ht="15.75" customHeight="1">
      <c r="V751" s="382"/>
    </row>
    <row r="752" spans="22:22" ht="15.75" customHeight="1">
      <c r="V752" s="382"/>
    </row>
    <row r="753" spans="22:22" ht="15.75" customHeight="1">
      <c r="V753" s="382"/>
    </row>
    <row r="754" spans="22:22" ht="15.75" customHeight="1">
      <c r="V754" s="382"/>
    </row>
    <row r="755" spans="22:22" ht="15.75" customHeight="1">
      <c r="V755" s="382"/>
    </row>
    <row r="756" spans="22:22" ht="15.75" customHeight="1">
      <c r="V756" s="382"/>
    </row>
    <row r="757" spans="22:22" ht="15.75" customHeight="1">
      <c r="V757" s="382"/>
    </row>
    <row r="758" spans="22:22" ht="15.75" customHeight="1">
      <c r="V758" s="382"/>
    </row>
    <row r="759" spans="22:22" ht="15.75" customHeight="1">
      <c r="V759" s="382"/>
    </row>
    <row r="760" spans="22:22" ht="15.75" customHeight="1">
      <c r="V760" s="382"/>
    </row>
    <row r="761" spans="22:22" ht="15.75" customHeight="1">
      <c r="V761" s="382"/>
    </row>
    <row r="762" spans="22:22" ht="15.75" customHeight="1">
      <c r="V762" s="382"/>
    </row>
    <row r="763" spans="22:22" ht="15.75" customHeight="1">
      <c r="V763" s="382"/>
    </row>
    <row r="764" spans="22:22" ht="15.75" customHeight="1">
      <c r="V764" s="382"/>
    </row>
    <row r="765" spans="22:22" ht="15.75" customHeight="1">
      <c r="V765" s="382"/>
    </row>
    <row r="766" spans="22:22" ht="15.75" customHeight="1">
      <c r="V766" s="382"/>
    </row>
    <row r="767" spans="22:22" ht="15.75" customHeight="1">
      <c r="V767" s="382"/>
    </row>
    <row r="768" spans="22:22" ht="15.75" customHeight="1">
      <c r="V768" s="382"/>
    </row>
    <row r="769" spans="22:22" ht="15.75" customHeight="1">
      <c r="V769" s="382"/>
    </row>
    <row r="770" spans="22:22" ht="15.75" customHeight="1">
      <c r="V770" s="382"/>
    </row>
    <row r="771" spans="22:22" ht="15.75" customHeight="1">
      <c r="V771" s="382"/>
    </row>
    <row r="772" spans="22:22" ht="15.75" customHeight="1">
      <c r="V772" s="382"/>
    </row>
    <row r="773" spans="22:22" ht="15.75" customHeight="1">
      <c r="V773" s="382"/>
    </row>
    <row r="774" spans="22:22" ht="15.75" customHeight="1">
      <c r="V774" s="382"/>
    </row>
    <row r="775" spans="22:22" ht="15.75" customHeight="1">
      <c r="V775" s="382"/>
    </row>
    <row r="776" spans="22:22" ht="15.75" customHeight="1">
      <c r="V776" s="382"/>
    </row>
    <row r="777" spans="22:22" ht="15.75" customHeight="1">
      <c r="V777" s="382"/>
    </row>
    <row r="778" spans="22:22" ht="15.75" customHeight="1">
      <c r="V778" s="382"/>
    </row>
    <row r="779" spans="22:22" ht="15.75" customHeight="1">
      <c r="V779" s="382"/>
    </row>
    <row r="780" spans="22:22" ht="15.75" customHeight="1">
      <c r="V780" s="382"/>
    </row>
    <row r="781" spans="22:22" ht="15.75" customHeight="1">
      <c r="V781" s="382"/>
    </row>
    <row r="782" spans="22:22" ht="15.75" customHeight="1">
      <c r="V782" s="382"/>
    </row>
    <row r="783" spans="22:22" ht="15.75" customHeight="1">
      <c r="V783" s="382"/>
    </row>
    <row r="784" spans="22:22" ht="15.75" customHeight="1">
      <c r="V784" s="382"/>
    </row>
    <row r="785" spans="22:22" ht="15.75" customHeight="1">
      <c r="V785" s="382"/>
    </row>
    <row r="786" spans="22:22" ht="15.75" customHeight="1">
      <c r="V786" s="382"/>
    </row>
    <row r="787" spans="22:22" ht="15.75" customHeight="1">
      <c r="V787" s="382"/>
    </row>
    <row r="788" spans="22:22" ht="15.75" customHeight="1">
      <c r="V788" s="382"/>
    </row>
    <row r="789" spans="22:22" ht="15.75" customHeight="1">
      <c r="V789" s="382"/>
    </row>
    <row r="790" spans="22:22" ht="15.75" customHeight="1">
      <c r="V790" s="382"/>
    </row>
    <row r="791" spans="22:22" ht="15.75" customHeight="1">
      <c r="V791" s="382"/>
    </row>
    <row r="792" spans="22:22" ht="15.75" customHeight="1">
      <c r="V792" s="382"/>
    </row>
    <row r="793" spans="22:22" ht="15.75" customHeight="1">
      <c r="V793" s="382"/>
    </row>
    <row r="794" spans="22:22" ht="15.75" customHeight="1">
      <c r="V794" s="382"/>
    </row>
    <row r="795" spans="22:22" ht="15.75" customHeight="1">
      <c r="V795" s="382"/>
    </row>
    <row r="796" spans="22:22" ht="15.75" customHeight="1">
      <c r="V796" s="382"/>
    </row>
    <row r="797" spans="22:22" ht="15.75" customHeight="1">
      <c r="V797" s="382"/>
    </row>
    <row r="798" spans="22:22" ht="15.75" customHeight="1">
      <c r="V798" s="382"/>
    </row>
    <row r="799" spans="22:22" ht="15.75" customHeight="1">
      <c r="V799" s="382"/>
    </row>
    <row r="800" spans="22:22" ht="15.75" customHeight="1">
      <c r="V800" s="382"/>
    </row>
    <row r="801" spans="22:22" ht="15.75" customHeight="1">
      <c r="V801" s="382"/>
    </row>
    <row r="802" spans="22:22" ht="15.75" customHeight="1">
      <c r="V802" s="382"/>
    </row>
    <row r="803" spans="22:22" ht="15.75" customHeight="1">
      <c r="V803" s="382"/>
    </row>
    <row r="804" spans="22:22" ht="15.75" customHeight="1">
      <c r="V804" s="382"/>
    </row>
    <row r="805" spans="22:22" ht="15.75" customHeight="1">
      <c r="V805" s="382"/>
    </row>
    <row r="806" spans="22:22" ht="15.75" customHeight="1">
      <c r="V806" s="382"/>
    </row>
    <row r="807" spans="22:22" ht="15.75" customHeight="1">
      <c r="V807" s="382"/>
    </row>
    <row r="808" spans="22:22" ht="15.75" customHeight="1">
      <c r="V808" s="382"/>
    </row>
    <row r="809" spans="22:22" ht="15.75" customHeight="1">
      <c r="V809" s="382"/>
    </row>
    <row r="810" spans="22:22" ht="15.75" customHeight="1">
      <c r="V810" s="382"/>
    </row>
    <row r="811" spans="22:22" ht="15.75" customHeight="1">
      <c r="V811" s="382"/>
    </row>
    <row r="812" spans="22:22" ht="15.75" customHeight="1">
      <c r="V812" s="382"/>
    </row>
    <row r="813" spans="22:22" ht="15.75" customHeight="1">
      <c r="V813" s="382"/>
    </row>
    <row r="814" spans="22:22" ht="15.75" customHeight="1">
      <c r="V814" s="382"/>
    </row>
    <row r="815" spans="22:22" ht="15.75" customHeight="1">
      <c r="V815" s="382"/>
    </row>
    <row r="816" spans="22:22" ht="15.75" customHeight="1">
      <c r="V816" s="382"/>
    </row>
    <row r="817" spans="22:22" ht="15.75" customHeight="1">
      <c r="V817" s="382"/>
    </row>
    <row r="818" spans="22:22" ht="15.75" customHeight="1">
      <c r="V818" s="382"/>
    </row>
    <row r="819" spans="22:22" ht="15.75" customHeight="1">
      <c r="V819" s="382"/>
    </row>
    <row r="820" spans="22:22" ht="15.75" customHeight="1">
      <c r="V820" s="382"/>
    </row>
    <row r="821" spans="22:22" ht="15.75" customHeight="1">
      <c r="V821" s="382"/>
    </row>
    <row r="822" spans="22:22" ht="15.75" customHeight="1">
      <c r="V822" s="382"/>
    </row>
    <row r="823" spans="22:22" ht="15.75" customHeight="1">
      <c r="V823" s="382"/>
    </row>
    <row r="824" spans="22:22" ht="15.75" customHeight="1">
      <c r="V824" s="382"/>
    </row>
    <row r="825" spans="22:22" ht="15.75" customHeight="1">
      <c r="V825" s="382"/>
    </row>
    <row r="826" spans="22:22" ht="15.75" customHeight="1">
      <c r="V826" s="382"/>
    </row>
    <row r="827" spans="22:22" ht="15.75" customHeight="1">
      <c r="V827" s="382"/>
    </row>
    <row r="828" spans="22:22" ht="15.75" customHeight="1">
      <c r="V828" s="382"/>
    </row>
    <row r="829" spans="22:22" ht="15.75" customHeight="1">
      <c r="V829" s="382"/>
    </row>
    <row r="830" spans="22:22" ht="15.75" customHeight="1">
      <c r="V830" s="382"/>
    </row>
    <row r="831" spans="22:22" ht="15.75" customHeight="1">
      <c r="V831" s="382"/>
    </row>
    <row r="832" spans="22:22" ht="15.75" customHeight="1">
      <c r="V832" s="382"/>
    </row>
    <row r="833" spans="22:22" ht="15.75" customHeight="1">
      <c r="V833" s="382"/>
    </row>
    <row r="834" spans="22:22" ht="15.75" customHeight="1">
      <c r="V834" s="382"/>
    </row>
    <row r="835" spans="22:22" ht="15.75" customHeight="1">
      <c r="V835" s="382"/>
    </row>
    <row r="836" spans="22:22" ht="15.75" customHeight="1">
      <c r="V836" s="382"/>
    </row>
    <row r="837" spans="22:22" ht="15.75" customHeight="1">
      <c r="V837" s="382"/>
    </row>
    <row r="838" spans="22:22" ht="15.75" customHeight="1">
      <c r="V838" s="382"/>
    </row>
    <row r="839" spans="22:22" ht="15.75" customHeight="1">
      <c r="V839" s="382"/>
    </row>
    <row r="840" spans="22:22" ht="15.75" customHeight="1">
      <c r="V840" s="382"/>
    </row>
    <row r="841" spans="22:22" ht="15.75" customHeight="1">
      <c r="V841" s="382"/>
    </row>
    <row r="842" spans="22:22" ht="15.75" customHeight="1">
      <c r="V842" s="382"/>
    </row>
    <row r="843" spans="22:22" ht="15.75" customHeight="1">
      <c r="V843" s="382"/>
    </row>
    <row r="844" spans="22:22" ht="15.75" customHeight="1">
      <c r="V844" s="382"/>
    </row>
    <row r="845" spans="22:22" ht="15.75" customHeight="1">
      <c r="V845" s="382"/>
    </row>
    <row r="846" spans="22:22" ht="15.75" customHeight="1">
      <c r="V846" s="382"/>
    </row>
    <row r="847" spans="22:22" ht="15.75" customHeight="1">
      <c r="V847" s="382"/>
    </row>
    <row r="848" spans="22:22" ht="15.75" customHeight="1">
      <c r="V848" s="382"/>
    </row>
    <row r="849" spans="22:22" ht="15.75" customHeight="1">
      <c r="V849" s="382"/>
    </row>
    <row r="850" spans="22:22" ht="15.75" customHeight="1">
      <c r="V850" s="382"/>
    </row>
    <row r="851" spans="22:22" ht="15.75" customHeight="1">
      <c r="V851" s="382"/>
    </row>
    <row r="852" spans="22:22" ht="15.75" customHeight="1">
      <c r="V852" s="382"/>
    </row>
    <row r="853" spans="22:22" ht="15.75" customHeight="1">
      <c r="V853" s="382"/>
    </row>
    <row r="854" spans="22:22" ht="15.75" customHeight="1">
      <c r="V854" s="382"/>
    </row>
    <row r="855" spans="22:22" ht="15.75" customHeight="1">
      <c r="V855" s="382"/>
    </row>
    <row r="856" spans="22:22" ht="15.75" customHeight="1">
      <c r="V856" s="382"/>
    </row>
    <row r="857" spans="22:22" ht="15.75" customHeight="1">
      <c r="V857" s="382"/>
    </row>
    <row r="858" spans="22:22" ht="15.75" customHeight="1">
      <c r="V858" s="382"/>
    </row>
    <row r="859" spans="22:22" ht="15.75" customHeight="1">
      <c r="V859" s="382"/>
    </row>
    <row r="860" spans="22:22" ht="15.75" customHeight="1">
      <c r="V860" s="382"/>
    </row>
    <row r="861" spans="22:22" ht="15.75" customHeight="1">
      <c r="V861" s="382"/>
    </row>
    <row r="862" spans="22:22" ht="15.75" customHeight="1">
      <c r="V862" s="382"/>
    </row>
    <row r="863" spans="22:22" ht="15.75" customHeight="1">
      <c r="V863" s="382"/>
    </row>
    <row r="864" spans="22:22" ht="15.75" customHeight="1">
      <c r="V864" s="382"/>
    </row>
    <row r="865" spans="22:22" ht="15.75" customHeight="1">
      <c r="V865" s="382"/>
    </row>
    <row r="866" spans="22:22" ht="15.75" customHeight="1">
      <c r="V866" s="382"/>
    </row>
    <row r="867" spans="22:22" ht="15.75" customHeight="1">
      <c r="V867" s="382"/>
    </row>
    <row r="868" spans="22:22" ht="15.75" customHeight="1">
      <c r="V868" s="382"/>
    </row>
    <row r="869" spans="22:22" ht="15.75" customHeight="1">
      <c r="V869" s="382"/>
    </row>
    <row r="870" spans="22:22" ht="15.75" customHeight="1">
      <c r="V870" s="382"/>
    </row>
    <row r="871" spans="22:22" ht="15.75" customHeight="1">
      <c r="V871" s="382"/>
    </row>
    <row r="872" spans="22:22" ht="15.75" customHeight="1">
      <c r="V872" s="382"/>
    </row>
    <row r="873" spans="22:22" ht="15.75" customHeight="1">
      <c r="V873" s="382"/>
    </row>
    <row r="874" spans="22:22" ht="15.75" customHeight="1">
      <c r="V874" s="382"/>
    </row>
    <row r="875" spans="22:22" ht="15.75" customHeight="1">
      <c r="V875" s="382"/>
    </row>
    <row r="876" spans="22:22" ht="15.75" customHeight="1">
      <c r="V876" s="382"/>
    </row>
    <row r="877" spans="22:22" ht="15.75" customHeight="1">
      <c r="V877" s="382"/>
    </row>
    <row r="878" spans="22:22" ht="15.75" customHeight="1">
      <c r="V878" s="382"/>
    </row>
    <row r="879" spans="22:22" ht="15.75" customHeight="1">
      <c r="V879" s="382"/>
    </row>
    <row r="880" spans="22:22" ht="15.75" customHeight="1">
      <c r="V880" s="382"/>
    </row>
    <row r="881" spans="22:22" ht="15.75" customHeight="1">
      <c r="V881" s="382"/>
    </row>
    <row r="882" spans="22:22" ht="15.75" customHeight="1">
      <c r="V882" s="382"/>
    </row>
    <row r="883" spans="22:22" ht="15.75" customHeight="1">
      <c r="V883" s="382"/>
    </row>
    <row r="884" spans="22:22" ht="15.75" customHeight="1">
      <c r="V884" s="382"/>
    </row>
    <row r="885" spans="22:22" ht="15.75" customHeight="1">
      <c r="V885" s="382"/>
    </row>
    <row r="886" spans="22:22" ht="15.75" customHeight="1">
      <c r="V886" s="382"/>
    </row>
    <row r="887" spans="22:22" ht="15.75" customHeight="1">
      <c r="V887" s="382"/>
    </row>
    <row r="888" spans="22:22" ht="15.75" customHeight="1">
      <c r="V888" s="382"/>
    </row>
    <row r="889" spans="22:22" ht="15.75" customHeight="1">
      <c r="V889" s="382"/>
    </row>
    <row r="890" spans="22:22" ht="15.75" customHeight="1">
      <c r="V890" s="382"/>
    </row>
    <row r="891" spans="22:22" ht="15.75" customHeight="1">
      <c r="V891" s="382"/>
    </row>
    <row r="892" spans="22:22" ht="15.75" customHeight="1">
      <c r="V892" s="382"/>
    </row>
    <row r="893" spans="22:22" ht="15.75" customHeight="1">
      <c r="V893" s="382"/>
    </row>
    <row r="894" spans="22:22" ht="15.75" customHeight="1">
      <c r="V894" s="382"/>
    </row>
    <row r="895" spans="22:22" ht="15.75" customHeight="1">
      <c r="V895" s="382"/>
    </row>
    <row r="896" spans="22:22" ht="15.75" customHeight="1">
      <c r="V896" s="382"/>
    </row>
    <row r="897" spans="22:22" ht="15.75" customHeight="1">
      <c r="V897" s="382"/>
    </row>
    <row r="898" spans="22:22" ht="15.75" customHeight="1">
      <c r="V898" s="382"/>
    </row>
    <row r="899" spans="22:22" ht="15.75" customHeight="1">
      <c r="V899" s="382"/>
    </row>
    <row r="900" spans="22:22" ht="15.75" customHeight="1">
      <c r="V900" s="382"/>
    </row>
    <row r="901" spans="22:22" ht="15.75" customHeight="1">
      <c r="V901" s="382"/>
    </row>
    <row r="902" spans="22:22" ht="15.75" customHeight="1">
      <c r="V902" s="382"/>
    </row>
    <row r="903" spans="22:22" ht="15.75" customHeight="1">
      <c r="V903" s="382"/>
    </row>
    <row r="904" spans="22:22" ht="15.75" customHeight="1">
      <c r="V904" s="382"/>
    </row>
    <row r="905" spans="22:22" ht="15.75" customHeight="1">
      <c r="V905" s="382"/>
    </row>
    <row r="906" spans="22:22" ht="15.75" customHeight="1">
      <c r="V906" s="382"/>
    </row>
    <row r="907" spans="22:22" ht="15.75" customHeight="1">
      <c r="V907" s="382"/>
    </row>
    <row r="908" spans="22:22" ht="15.75" customHeight="1">
      <c r="V908" s="382"/>
    </row>
    <row r="909" spans="22:22" ht="15.75" customHeight="1">
      <c r="V909" s="382"/>
    </row>
    <row r="910" spans="22:22" ht="15.75" customHeight="1">
      <c r="V910" s="382"/>
    </row>
    <row r="911" spans="22:22" ht="15.75" customHeight="1">
      <c r="V911" s="382"/>
    </row>
    <row r="912" spans="22:22" ht="15.75" customHeight="1">
      <c r="V912" s="382"/>
    </row>
    <row r="913" spans="22:22" ht="15.75" customHeight="1">
      <c r="V913" s="382"/>
    </row>
    <row r="914" spans="22:22" ht="15.75" customHeight="1">
      <c r="V914" s="382"/>
    </row>
    <row r="915" spans="22:22" ht="15.75" customHeight="1">
      <c r="V915" s="382"/>
    </row>
    <row r="916" spans="22:22" ht="15.75" customHeight="1">
      <c r="V916" s="382"/>
    </row>
    <row r="917" spans="22:22" ht="15.75" customHeight="1">
      <c r="V917" s="382"/>
    </row>
    <row r="918" spans="22:22" ht="15.75" customHeight="1">
      <c r="V918" s="382"/>
    </row>
    <row r="919" spans="22:22" ht="15.75" customHeight="1">
      <c r="V919" s="382"/>
    </row>
    <row r="920" spans="22:22" ht="15.75" customHeight="1">
      <c r="V920" s="382"/>
    </row>
    <row r="921" spans="22:22" ht="15.75" customHeight="1">
      <c r="V921" s="382"/>
    </row>
    <row r="922" spans="22:22" ht="15.75" customHeight="1">
      <c r="V922" s="382"/>
    </row>
    <row r="923" spans="22:22" ht="15.75" customHeight="1">
      <c r="V923" s="382"/>
    </row>
    <row r="924" spans="22:22" ht="15.75" customHeight="1">
      <c r="V924" s="382"/>
    </row>
    <row r="925" spans="22:22" ht="15.75" customHeight="1">
      <c r="V925" s="382"/>
    </row>
    <row r="926" spans="22:22" ht="15.75" customHeight="1">
      <c r="V926" s="382"/>
    </row>
    <row r="927" spans="22:22" ht="15.75" customHeight="1">
      <c r="V927" s="382"/>
    </row>
    <row r="928" spans="22:22" ht="15.75" customHeight="1">
      <c r="V928" s="382"/>
    </row>
    <row r="929" spans="22:22" ht="15.75" customHeight="1">
      <c r="V929" s="382"/>
    </row>
    <row r="930" spans="22:22" ht="15.75" customHeight="1">
      <c r="V930" s="382"/>
    </row>
    <row r="931" spans="22:22" ht="15.75" customHeight="1">
      <c r="V931" s="382"/>
    </row>
    <row r="932" spans="22:22" ht="15.75" customHeight="1">
      <c r="V932" s="382"/>
    </row>
    <row r="933" spans="22:22" ht="15.75" customHeight="1">
      <c r="V933" s="382"/>
    </row>
    <row r="934" spans="22:22" ht="15.75" customHeight="1">
      <c r="V934" s="382"/>
    </row>
    <row r="935" spans="22:22" ht="15.75" customHeight="1">
      <c r="V935" s="382"/>
    </row>
    <row r="936" spans="22:22" ht="15.75" customHeight="1">
      <c r="V936" s="382"/>
    </row>
    <row r="937" spans="22:22" ht="15.75" customHeight="1">
      <c r="V937" s="382"/>
    </row>
    <row r="938" spans="22:22" ht="15.75" customHeight="1">
      <c r="V938" s="382"/>
    </row>
    <row r="939" spans="22:22" ht="15.75" customHeight="1">
      <c r="V939" s="382"/>
    </row>
    <row r="940" spans="22:22" ht="15.75" customHeight="1">
      <c r="V940" s="382"/>
    </row>
    <row r="941" spans="22:22" ht="15.75" customHeight="1">
      <c r="V941" s="382"/>
    </row>
    <row r="942" spans="22:22" ht="15.75" customHeight="1">
      <c r="V942" s="382"/>
    </row>
    <row r="943" spans="22:22" ht="15.75" customHeight="1">
      <c r="V943" s="382"/>
    </row>
    <row r="944" spans="22:22" ht="15.75" customHeight="1">
      <c r="V944" s="382"/>
    </row>
    <row r="945" spans="22:22" ht="15.75" customHeight="1">
      <c r="V945" s="382"/>
    </row>
    <row r="946" spans="22:22" ht="15.75" customHeight="1">
      <c r="V946" s="382"/>
    </row>
    <row r="947" spans="22:22" ht="15.75" customHeight="1">
      <c r="V947" s="382"/>
    </row>
    <row r="948" spans="22:22" ht="15.75" customHeight="1">
      <c r="V948" s="382"/>
    </row>
    <row r="949" spans="22:22" ht="15.75" customHeight="1">
      <c r="V949" s="382"/>
    </row>
    <row r="950" spans="22:22" ht="15.75" customHeight="1">
      <c r="V950" s="382"/>
    </row>
    <row r="951" spans="22:22" ht="15.75" customHeight="1">
      <c r="V951" s="382"/>
    </row>
    <row r="952" spans="22:22" ht="15.75" customHeight="1">
      <c r="V952" s="382"/>
    </row>
    <row r="953" spans="22:22" ht="15.75" customHeight="1">
      <c r="V953" s="382"/>
    </row>
    <row r="954" spans="22:22" ht="15.75" customHeight="1">
      <c r="V954" s="382"/>
    </row>
    <row r="955" spans="22:22" ht="15.75" customHeight="1">
      <c r="V955" s="382"/>
    </row>
    <row r="956" spans="22:22" ht="15.75" customHeight="1">
      <c r="V956" s="382"/>
    </row>
    <row r="957" spans="22:22" ht="15.75" customHeight="1">
      <c r="V957" s="382"/>
    </row>
    <row r="958" spans="22:22" ht="15.75" customHeight="1">
      <c r="V958" s="382"/>
    </row>
    <row r="959" spans="22:22" ht="15.75" customHeight="1">
      <c r="V959" s="382"/>
    </row>
    <row r="960" spans="22:22" ht="15.75" customHeight="1">
      <c r="V960" s="382"/>
    </row>
    <row r="961" spans="22:22" ht="15.75" customHeight="1">
      <c r="V961" s="382"/>
    </row>
    <row r="962" spans="22:22" ht="15.75" customHeight="1">
      <c r="V962" s="382"/>
    </row>
    <row r="963" spans="22:22" ht="15.75" customHeight="1">
      <c r="V963" s="382"/>
    </row>
    <row r="964" spans="22:22" ht="15.75" customHeight="1">
      <c r="V964" s="382"/>
    </row>
    <row r="965" spans="22:22" ht="15.75" customHeight="1">
      <c r="V965" s="382"/>
    </row>
    <row r="966" spans="22:22" ht="15.75" customHeight="1">
      <c r="V966" s="382"/>
    </row>
    <row r="967" spans="22:22" ht="15.75" customHeight="1">
      <c r="V967" s="382"/>
    </row>
    <row r="968" spans="22:22" ht="15.75" customHeight="1">
      <c r="V968" s="382"/>
    </row>
    <row r="969" spans="22:22" ht="15.75" customHeight="1">
      <c r="V969" s="382"/>
    </row>
    <row r="970" spans="22:22" ht="15.75" customHeight="1">
      <c r="V970" s="382"/>
    </row>
    <row r="971" spans="22:22" ht="15.75" customHeight="1">
      <c r="V971" s="382"/>
    </row>
    <row r="972" spans="22:22" ht="15.75" customHeight="1">
      <c r="V972" s="382"/>
    </row>
    <row r="973" spans="22:22" ht="15.75" customHeight="1">
      <c r="V973" s="382"/>
    </row>
    <row r="974" spans="22:22" ht="15.75" customHeight="1">
      <c r="V974" s="382"/>
    </row>
    <row r="975" spans="22:22" ht="15.75" customHeight="1">
      <c r="V975" s="382"/>
    </row>
    <row r="976" spans="22:22" ht="15.75" customHeight="1">
      <c r="V976" s="382"/>
    </row>
    <row r="977" spans="22:22" ht="15.75" customHeight="1">
      <c r="V977" s="382"/>
    </row>
    <row r="978" spans="22:22" ht="15.75" customHeight="1">
      <c r="V978" s="382"/>
    </row>
    <row r="979" spans="22:22" ht="15.75" customHeight="1">
      <c r="V979" s="382"/>
    </row>
    <row r="980" spans="22:22" ht="15.75" customHeight="1">
      <c r="V980" s="382"/>
    </row>
    <row r="981" spans="22:22" ht="15.75" customHeight="1">
      <c r="V981" s="382"/>
    </row>
    <row r="982" spans="22:22" ht="15.75" customHeight="1">
      <c r="V982" s="382"/>
    </row>
    <row r="983" spans="22:22" ht="15.75" customHeight="1">
      <c r="V983" s="382"/>
    </row>
    <row r="984" spans="22:22" ht="15.75" customHeight="1">
      <c r="V984" s="382"/>
    </row>
    <row r="985" spans="22:22" ht="15.75" customHeight="1">
      <c r="V985" s="382"/>
    </row>
    <row r="986" spans="22:22" ht="15.75" customHeight="1">
      <c r="V986" s="382"/>
    </row>
    <row r="987" spans="22:22" ht="15.75" customHeight="1">
      <c r="V987" s="382"/>
    </row>
    <row r="988" spans="22:22" ht="15.75" customHeight="1">
      <c r="V988" s="382"/>
    </row>
    <row r="989" spans="22:22" ht="15.75" customHeight="1">
      <c r="V989" s="382"/>
    </row>
    <row r="990" spans="22:22" ht="15.75" customHeight="1">
      <c r="V990" s="382"/>
    </row>
    <row r="991" spans="22:22" ht="15.75" customHeight="1">
      <c r="V991" s="382"/>
    </row>
    <row r="992" spans="22:22" ht="15.75" customHeight="1">
      <c r="V992" s="382"/>
    </row>
    <row r="993" spans="22:22" ht="15.75" customHeight="1">
      <c r="V993" s="382"/>
    </row>
    <row r="994" spans="22:22" ht="15.75" customHeight="1">
      <c r="V994" s="382"/>
    </row>
    <row r="995" spans="22:22" ht="15.75" customHeight="1">
      <c r="V995" s="382"/>
    </row>
    <row r="996" spans="22:22" ht="15.75" customHeight="1">
      <c r="V996" s="382"/>
    </row>
    <row r="997" spans="22:22" ht="15.75" customHeight="1">
      <c r="V997" s="382"/>
    </row>
    <row r="998" spans="22:22" ht="15.75" customHeight="1">
      <c r="V998" s="382"/>
    </row>
    <row r="999" spans="22:22" ht="15.75" customHeight="1">
      <c r="V999" s="382"/>
    </row>
    <row r="1000" spans="22:22" ht="15.75" customHeight="1">
      <c r="V1000" s="382"/>
    </row>
  </sheetData>
  <mergeCells count="4">
    <mergeCell ref="H1:I1"/>
    <mergeCell ref="J1:P1"/>
    <mergeCell ref="S1:X1"/>
    <mergeCell ref="Z1:AH1"/>
  </mergeCells>
  <conditionalFormatting sqref="E3:E4">
    <cfRule type="cellIs" dxfId="174" priority="3" operator="equal">
      <formula>"Conquest"</formula>
    </cfRule>
    <cfRule type="cellIs" dxfId="173" priority="4" operator="equal">
      <formula>"Voga"</formula>
    </cfRule>
  </conditionalFormatting>
  <conditionalFormatting sqref="E19">
    <cfRule type="cellIs" dxfId="172" priority="5" operator="equal">
      <formula>"Voga"</formula>
    </cfRule>
    <cfRule type="cellIs" dxfId="171" priority="6" operator="equal">
      <formula>"Conquest"</formula>
    </cfRule>
  </conditionalFormatting>
  <conditionalFormatting sqref="E17:G18">
    <cfRule type="cellIs" dxfId="170" priority="1" operator="equal">
      <formula>"Conquest"</formula>
    </cfRule>
    <cfRule type="cellIs" dxfId="169" priority="2" operator="equal">
      <formula>"Voga"</formula>
    </cfRule>
  </conditionalFormatting>
  <conditionalFormatting sqref="F13:G13">
    <cfRule type="cellIs" dxfId="168" priority="8" operator="equal">
      <formula>"Bluemetrix"</formula>
    </cfRule>
  </conditionalFormatting>
  <conditionalFormatting sqref="F19:G19">
    <cfRule type="cellIs" dxfId="167" priority="7" operator="equal">
      <formula>"Bluemetrix"</formula>
    </cfRule>
  </conditionalFormatting>
  <conditionalFormatting sqref="W3:W4">
    <cfRule type="notContainsBlanks" dxfId="166" priority="9">
      <formula>LEN(TRIM(W3))&gt;0</formula>
    </cfRule>
  </conditionalFormatting>
  <dataValidations count="9">
    <dataValidation type="list" allowBlank="1" showErrorMessage="1" sqref="X3:X4" xr:uid="{00000000-0002-0000-0500-000000000000}">
      <formula1>"Varejo,Qualificado,Profissional"</formula1>
    </dataValidation>
    <dataValidation type="list" allowBlank="1" showErrorMessage="1" sqref="H3:H4" xr:uid="{00000000-0002-0000-0500-000001000000}">
      <formula1>"Ativo,Pode Operar,Inativo,Encerrado"</formula1>
    </dataValidation>
    <dataValidation type="list" allowBlank="1" showErrorMessage="1" sqref="W3:W4" xr:uid="{00000000-0002-0000-0500-000002000000}">
      <formula1>"Conservador,Moderado,Arrojado"</formula1>
    </dataValidation>
    <dataValidation type="list" allowBlank="1" showErrorMessage="1" sqref="V3:V4" xr:uid="{00000000-0002-0000-0500-000003000000}">
      <formula1>"Ativo,Inativo,Encerrado"</formula1>
    </dataValidation>
    <dataValidation type="list" allowBlank="1" showErrorMessage="1" sqref="D3:D4" xr:uid="{00000000-0002-0000-0500-000004000000}">
      <formula1>"Bluemetrix,Voga,Conquest"</formula1>
    </dataValidation>
    <dataValidation type="list" allowBlank="1" showErrorMessage="1" sqref="I3:I4" xr:uid="{00000000-0002-0000-0500-000005000000}">
      <formula1>"------,Sem Saldo,STVM Entrada,STVM Saída,Alteração de C.A,Monitoramento,Bloqueado"</formula1>
    </dataValidation>
    <dataValidation type="list" allowBlank="1" showErrorMessage="1" sqref="O3:O4" xr:uid="{00000000-0002-0000-0500-000006000000}">
      <formula1>"IBOV,CDI,------,IFIX,SMALL,S&amp;P 500"</formula1>
    </dataValidation>
    <dataValidation type="list" allowBlank="1" showErrorMessage="1" sqref="E3:E4" xr:uid="{00000000-0002-0000-0500-000007000000}">
      <formula1>"DF,GO,SUL,SP"</formula1>
    </dataValidation>
    <dataValidation type="list" allowBlank="1" showErrorMessage="1" sqref="S3:S4" xr:uid="{00000000-0002-0000-0500-000008000000}">
      <formula1>"PF,PJ"</formula1>
    </dataValidation>
  </dataValidations>
  <pageMargins left="0.511811024" right="0.511811024" top="0.78740157499999996" bottom="0.78740157499999996" header="0.31496062000000002" footer="0.31496062000000002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274E13"/>
    <outlinePr summaryBelow="0" summaryRight="0"/>
    <pageSetUpPr fitToPage="1"/>
  </sheetPr>
  <dimension ref="A1:AT29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14.42578125" customWidth="1"/>
    <col min="3" max="3" width="46.7109375" customWidth="1"/>
    <col min="4" max="4" width="10" customWidth="1"/>
    <col min="5" max="5" width="13.42578125" customWidth="1"/>
    <col min="6" max="6" width="9" customWidth="1"/>
    <col min="7" max="7" width="17.42578125" customWidth="1"/>
    <col min="8" max="9" width="15" customWidth="1"/>
    <col min="10" max="10" width="17.42578125" customWidth="1"/>
    <col min="11" max="13" width="15" customWidth="1"/>
    <col min="14" max="14" width="9.42578125" customWidth="1"/>
    <col min="15" max="15" width="15.140625" customWidth="1"/>
    <col min="16" max="16" width="12.85546875" customWidth="1"/>
    <col min="17" max="18" width="14.42578125" customWidth="1"/>
    <col min="19" max="19" width="37.140625" customWidth="1"/>
    <col min="20" max="20" width="60.28515625" customWidth="1"/>
    <col min="21" max="21" width="10" customWidth="1"/>
    <col min="22" max="22" width="10.7109375" customWidth="1"/>
    <col min="23" max="23" width="11.5703125" customWidth="1"/>
    <col min="24" max="24" width="12.85546875" customWidth="1"/>
    <col min="25" max="25" width="22.5703125" customWidth="1"/>
    <col min="26" max="46" width="15.42578125" customWidth="1"/>
  </cols>
  <sheetData>
    <row r="1" spans="1:46" ht="15.75" customHeight="1">
      <c r="A1" s="649" t="s">
        <v>92</v>
      </c>
      <c r="B1" s="650"/>
      <c r="C1" s="650"/>
      <c r="D1" s="650"/>
      <c r="E1" s="650"/>
      <c r="F1" s="650"/>
      <c r="G1" s="651"/>
      <c r="H1" s="652" t="s">
        <v>94</v>
      </c>
      <c r="I1" s="651"/>
      <c r="J1" s="649" t="s">
        <v>92</v>
      </c>
      <c r="K1" s="650"/>
      <c r="L1" s="650"/>
      <c r="M1" s="650"/>
      <c r="N1" s="650"/>
      <c r="O1" s="650"/>
      <c r="P1" s="650"/>
      <c r="Q1" s="650"/>
      <c r="R1" s="651"/>
      <c r="S1" s="228" t="s">
        <v>2883</v>
      </c>
      <c r="T1" s="383" t="s">
        <v>2882</v>
      </c>
      <c r="U1" s="657" t="s">
        <v>95</v>
      </c>
      <c r="V1" s="650"/>
      <c r="W1" s="650"/>
      <c r="X1" s="650"/>
      <c r="Y1" s="651"/>
      <c r="Z1" s="1" t="s">
        <v>96</v>
      </c>
      <c r="AA1" s="1" t="s">
        <v>96</v>
      </c>
      <c r="AB1" s="1" t="s">
        <v>96</v>
      </c>
      <c r="AC1" s="1" t="s">
        <v>96</v>
      </c>
      <c r="AD1" s="1" t="s">
        <v>96</v>
      </c>
      <c r="AE1" s="1" t="s">
        <v>96</v>
      </c>
      <c r="AF1" s="1" t="s">
        <v>96</v>
      </c>
      <c r="AG1" s="1" t="s">
        <v>96</v>
      </c>
      <c r="AH1" s="1" t="s">
        <v>96</v>
      </c>
      <c r="AI1" s="1" t="s">
        <v>96</v>
      </c>
      <c r="AJ1" s="1" t="s">
        <v>96</v>
      </c>
      <c r="AK1" s="1" t="s">
        <v>96</v>
      </c>
      <c r="AL1" s="1" t="s">
        <v>96</v>
      </c>
      <c r="AM1" s="1" t="s">
        <v>96</v>
      </c>
      <c r="AN1" s="1" t="s">
        <v>96</v>
      </c>
      <c r="AO1" s="1" t="s">
        <v>96</v>
      </c>
      <c r="AP1" s="1" t="s">
        <v>96</v>
      </c>
      <c r="AQ1" s="1" t="s">
        <v>96</v>
      </c>
      <c r="AR1" s="1" t="s">
        <v>96</v>
      </c>
      <c r="AS1" s="1" t="s">
        <v>96</v>
      </c>
      <c r="AT1" s="1" t="s">
        <v>96</v>
      </c>
    </row>
    <row r="2" spans="1:46" ht="12.75">
      <c r="A2" s="1" t="s">
        <v>2</v>
      </c>
      <c r="B2" s="1" t="s">
        <v>12</v>
      </c>
      <c r="C2" s="1" t="s">
        <v>97</v>
      </c>
      <c r="D2" s="384" t="s">
        <v>1</v>
      </c>
      <c r="E2" s="384" t="s">
        <v>3</v>
      </c>
      <c r="F2" s="384" t="s">
        <v>4</v>
      </c>
      <c r="G2" s="384" t="s">
        <v>5</v>
      </c>
      <c r="H2" s="1" t="s">
        <v>99</v>
      </c>
      <c r="I2" s="1" t="s">
        <v>100</v>
      </c>
      <c r="J2" s="1" t="s">
        <v>3709</v>
      </c>
      <c r="K2" s="1" t="s">
        <v>3710</v>
      </c>
      <c r="L2" s="1" t="s">
        <v>3711</v>
      </c>
      <c r="M2" s="1" t="s">
        <v>3712</v>
      </c>
      <c r="N2" s="1" t="s">
        <v>101</v>
      </c>
      <c r="O2" s="384" t="s">
        <v>102</v>
      </c>
      <c r="P2" s="384" t="s">
        <v>103</v>
      </c>
      <c r="Q2" s="384" t="s">
        <v>8</v>
      </c>
      <c r="R2" s="385" t="s">
        <v>104</v>
      </c>
      <c r="S2" s="2" t="s">
        <v>3703</v>
      </c>
      <c r="T2" s="2" t="s">
        <v>106</v>
      </c>
      <c r="U2" s="1" t="s">
        <v>107</v>
      </c>
      <c r="V2" s="384" t="s">
        <v>13</v>
      </c>
      <c r="W2" s="1" t="s">
        <v>108</v>
      </c>
      <c r="X2" s="1" t="s">
        <v>14</v>
      </c>
      <c r="Y2" s="1" t="s">
        <v>111</v>
      </c>
      <c r="Z2" s="384">
        <v>44957</v>
      </c>
      <c r="AA2" s="384">
        <v>44985</v>
      </c>
      <c r="AB2" s="384">
        <v>45016</v>
      </c>
      <c r="AC2" s="384">
        <v>45044</v>
      </c>
      <c r="AD2" s="384">
        <v>45077</v>
      </c>
      <c r="AE2" s="384">
        <v>45107</v>
      </c>
      <c r="AF2" s="384">
        <v>45138</v>
      </c>
      <c r="AG2" s="384">
        <v>45169</v>
      </c>
      <c r="AH2" s="384">
        <v>45198</v>
      </c>
      <c r="AI2" s="384">
        <v>45230</v>
      </c>
      <c r="AJ2" s="384">
        <v>45260</v>
      </c>
      <c r="AK2" s="384">
        <v>45289</v>
      </c>
      <c r="AL2" s="384">
        <v>45322</v>
      </c>
      <c r="AM2" s="384">
        <v>45351</v>
      </c>
      <c r="AN2" s="384">
        <v>45379</v>
      </c>
      <c r="AO2" s="384">
        <v>45412</v>
      </c>
      <c r="AP2" s="384">
        <v>45443</v>
      </c>
      <c r="AQ2" s="384">
        <v>45471</v>
      </c>
      <c r="AR2" s="384">
        <v>45504</v>
      </c>
      <c r="AS2" s="384">
        <v>45534</v>
      </c>
      <c r="AT2" s="386">
        <v>45565</v>
      </c>
    </row>
    <row r="3" spans="1:46" ht="15.75" customHeight="1">
      <c r="A3" s="122" t="s">
        <v>3713</v>
      </c>
      <c r="B3" s="104" t="s">
        <v>3714</v>
      </c>
      <c r="C3" s="104" t="s">
        <v>3715</v>
      </c>
      <c r="D3" s="292" t="s">
        <v>3716</v>
      </c>
      <c r="E3" s="9" t="s">
        <v>3717</v>
      </c>
      <c r="F3" s="9" t="s">
        <v>60</v>
      </c>
      <c r="G3" s="293" t="s">
        <v>3718</v>
      </c>
      <c r="H3" s="334" t="s">
        <v>152</v>
      </c>
      <c r="I3" s="24" t="s">
        <v>25</v>
      </c>
      <c r="J3" s="9" t="s">
        <v>3719</v>
      </c>
      <c r="K3" s="9" t="s">
        <v>3720</v>
      </c>
      <c r="L3" s="9" t="s">
        <v>3720</v>
      </c>
      <c r="M3" s="9"/>
      <c r="N3" s="9" t="str">
        <f t="shared" ref="N3:N24" si="0">IF(S3=0,"Não","Sim")</f>
        <v>Não</v>
      </c>
      <c r="O3" s="387">
        <v>45084</v>
      </c>
      <c r="P3" s="292"/>
      <c r="Q3" s="6" t="s">
        <v>24</v>
      </c>
      <c r="R3" s="388">
        <v>7.4999999999999997E-3</v>
      </c>
      <c r="S3" s="108"/>
      <c r="T3" s="108"/>
      <c r="U3" s="6" t="s">
        <v>187</v>
      </c>
      <c r="V3" s="6" t="s">
        <v>3079</v>
      </c>
      <c r="W3" s="7"/>
      <c r="X3" s="6"/>
      <c r="Y3" s="6"/>
      <c r="Z3" s="389">
        <v>0</v>
      </c>
      <c r="AA3" s="389">
        <v>0</v>
      </c>
      <c r="AB3" s="389">
        <v>0</v>
      </c>
      <c r="AC3" s="389">
        <v>0</v>
      </c>
      <c r="AD3" s="389">
        <v>0</v>
      </c>
      <c r="AE3" s="389">
        <v>138472.32000000001</v>
      </c>
      <c r="AF3" s="389">
        <v>282901.21000000002</v>
      </c>
      <c r="AG3" s="389">
        <v>383594.1</v>
      </c>
      <c r="AH3" s="389">
        <v>470635.65</v>
      </c>
      <c r="AI3" s="389">
        <v>468788.84</v>
      </c>
      <c r="AJ3" s="389">
        <v>577580.94999999995</v>
      </c>
      <c r="AK3" s="389">
        <v>689001.9</v>
      </c>
      <c r="AL3" s="389">
        <v>688986.26</v>
      </c>
      <c r="AM3" s="389">
        <v>686613.89</v>
      </c>
      <c r="AN3" s="389">
        <v>692206.92</v>
      </c>
      <c r="AO3" s="389">
        <v>681409.11</v>
      </c>
      <c r="AP3" s="389">
        <v>688859.81</v>
      </c>
      <c r="AQ3" s="389">
        <v>693765.96</v>
      </c>
      <c r="AR3" s="389">
        <v>702737.1</v>
      </c>
      <c r="AS3" s="389">
        <v>0</v>
      </c>
      <c r="AT3" s="389">
        <v>0</v>
      </c>
    </row>
    <row r="4" spans="1:46" ht="15.75" customHeight="1">
      <c r="A4" s="390" t="s">
        <v>3713</v>
      </c>
      <c r="B4" s="390" t="s">
        <v>201</v>
      </c>
      <c r="C4" s="390" t="s">
        <v>197</v>
      </c>
      <c r="D4" s="299" t="s">
        <v>3721</v>
      </c>
      <c r="E4" s="9" t="s">
        <v>19</v>
      </c>
      <c r="F4" s="9" t="s">
        <v>20</v>
      </c>
      <c r="G4" s="293" t="s">
        <v>2512</v>
      </c>
      <c r="H4" s="334" t="s">
        <v>152</v>
      </c>
      <c r="I4" s="24" t="s">
        <v>25</v>
      </c>
      <c r="J4" s="9" t="s">
        <v>3719</v>
      </c>
      <c r="K4" s="9" t="s">
        <v>3720</v>
      </c>
      <c r="L4" s="9" t="s">
        <v>3720</v>
      </c>
      <c r="M4" s="9"/>
      <c r="N4" s="9" t="str">
        <f t="shared" si="0"/>
        <v>Não</v>
      </c>
      <c r="O4" s="391">
        <v>44944</v>
      </c>
      <c r="P4" s="299"/>
      <c r="Q4" s="7" t="s">
        <v>24</v>
      </c>
      <c r="R4" s="392">
        <v>8.0000000000000002E-3</v>
      </c>
      <c r="S4" s="28"/>
      <c r="T4" s="28"/>
      <c r="U4" s="7" t="s">
        <v>145</v>
      </c>
      <c r="V4" s="6" t="s">
        <v>20</v>
      </c>
      <c r="W4" s="7"/>
      <c r="X4" s="7"/>
      <c r="Y4" s="7"/>
      <c r="Z4" s="393">
        <v>11803.57</v>
      </c>
      <c r="AA4" s="393">
        <v>18456.36</v>
      </c>
      <c r="AB4" s="393">
        <v>20875.330000000002</v>
      </c>
      <c r="AC4" s="393">
        <v>24997.93</v>
      </c>
      <c r="AD4" s="393">
        <v>46740.62</v>
      </c>
      <c r="AE4" s="393">
        <v>47715.17</v>
      </c>
      <c r="AF4" s="393">
        <v>57927.64</v>
      </c>
      <c r="AG4" s="393">
        <v>59410.8</v>
      </c>
      <c r="AH4" s="393">
        <v>58690.9</v>
      </c>
      <c r="AI4" s="389">
        <v>57930.35</v>
      </c>
      <c r="AJ4" s="389">
        <v>59857.120000000003</v>
      </c>
      <c r="AK4" s="389">
        <v>70574.84</v>
      </c>
      <c r="AL4" s="389">
        <v>70944.3</v>
      </c>
      <c r="AM4" s="389">
        <v>72043.62</v>
      </c>
      <c r="AN4" s="389">
        <v>74073.95</v>
      </c>
      <c r="AO4" s="389">
        <v>83067.89</v>
      </c>
      <c r="AP4" s="389">
        <v>84716.37</v>
      </c>
      <c r="AQ4" s="389">
        <v>85439.63</v>
      </c>
      <c r="AR4" s="389">
        <v>86959.8</v>
      </c>
      <c r="AS4" s="389">
        <v>88805.66</v>
      </c>
      <c r="AT4" s="389">
        <v>89327.08</v>
      </c>
    </row>
    <row r="5" spans="1:46" ht="15.75" customHeight="1">
      <c r="A5" s="390" t="s">
        <v>3713</v>
      </c>
      <c r="B5" s="390" t="s">
        <v>3722</v>
      </c>
      <c r="C5" s="23" t="s">
        <v>3723</v>
      </c>
      <c r="D5" s="7" t="s">
        <v>3724</v>
      </c>
      <c r="E5" s="9" t="s">
        <v>19</v>
      </c>
      <c r="F5" s="9" t="s">
        <v>49</v>
      </c>
      <c r="G5" s="9" t="s">
        <v>277</v>
      </c>
      <c r="H5" s="334" t="s">
        <v>167</v>
      </c>
      <c r="I5" s="24" t="s">
        <v>25</v>
      </c>
      <c r="J5" s="9" t="s">
        <v>3719</v>
      </c>
      <c r="K5" s="9" t="s">
        <v>3720</v>
      </c>
      <c r="L5" s="9" t="s">
        <v>3720</v>
      </c>
      <c r="M5" s="9"/>
      <c r="N5" s="9" t="str">
        <f t="shared" si="0"/>
        <v>Não</v>
      </c>
      <c r="O5" s="391">
        <v>45372</v>
      </c>
      <c r="P5" s="299"/>
      <c r="Q5" s="7" t="s">
        <v>24</v>
      </c>
      <c r="R5" s="392">
        <v>8.0000000000000002E-3</v>
      </c>
      <c r="S5" s="28"/>
      <c r="T5" s="28"/>
      <c r="U5" s="7" t="s">
        <v>145</v>
      </c>
      <c r="V5" s="6" t="s">
        <v>49</v>
      </c>
      <c r="W5" s="7"/>
      <c r="X5" s="7"/>
      <c r="Y5" s="7"/>
      <c r="Z5" s="389">
        <v>0</v>
      </c>
      <c r="AA5" s="389">
        <v>0</v>
      </c>
      <c r="AB5" s="389">
        <v>0</v>
      </c>
      <c r="AC5" s="389">
        <v>0</v>
      </c>
      <c r="AD5" s="389">
        <v>0</v>
      </c>
      <c r="AE5" s="389">
        <v>0</v>
      </c>
      <c r="AF5" s="389">
        <v>0</v>
      </c>
      <c r="AG5" s="389">
        <v>0</v>
      </c>
      <c r="AH5" s="389">
        <v>0</v>
      </c>
      <c r="AI5" s="389">
        <v>0</v>
      </c>
      <c r="AJ5" s="389">
        <v>0</v>
      </c>
      <c r="AK5" s="389">
        <v>0</v>
      </c>
      <c r="AL5" s="389">
        <v>0</v>
      </c>
      <c r="AM5" s="389">
        <v>0</v>
      </c>
      <c r="AN5" s="389">
        <v>0</v>
      </c>
      <c r="AO5" s="389">
        <v>207621.11</v>
      </c>
      <c r="AP5" s="389">
        <v>208569.14</v>
      </c>
      <c r="AQ5" s="389">
        <v>207651.57</v>
      </c>
      <c r="AR5" s="389">
        <v>210695.56</v>
      </c>
      <c r="AS5" s="389">
        <v>212138.64</v>
      </c>
      <c r="AT5" s="389">
        <v>214427.72</v>
      </c>
    </row>
    <row r="6" spans="1:46" ht="15.75" customHeight="1">
      <c r="A6" s="390" t="s">
        <v>3713</v>
      </c>
      <c r="B6" s="390" t="s">
        <v>425</v>
      </c>
      <c r="C6" s="390" t="s">
        <v>3725</v>
      </c>
      <c r="D6" s="299" t="s">
        <v>3726</v>
      </c>
      <c r="E6" s="9" t="s">
        <v>19</v>
      </c>
      <c r="F6" s="9" t="s">
        <v>20</v>
      </c>
      <c r="G6" s="293" t="s">
        <v>21</v>
      </c>
      <c r="H6" s="334" t="s">
        <v>143</v>
      </c>
      <c r="I6" s="24" t="s">
        <v>25</v>
      </c>
      <c r="J6" s="9" t="s">
        <v>25</v>
      </c>
      <c r="K6" s="9" t="s">
        <v>25</v>
      </c>
      <c r="L6" s="9" t="s">
        <v>25</v>
      </c>
      <c r="M6" s="9"/>
      <c r="N6" s="9" t="str">
        <f t="shared" si="0"/>
        <v>Não</v>
      </c>
      <c r="O6" s="391">
        <v>45083</v>
      </c>
      <c r="P6" s="391">
        <v>45083</v>
      </c>
      <c r="Q6" s="7" t="s">
        <v>24</v>
      </c>
      <c r="R6" s="392">
        <v>8.0000000000000002E-3</v>
      </c>
      <c r="S6" s="28"/>
      <c r="T6" s="28"/>
      <c r="U6" s="7" t="s">
        <v>187</v>
      </c>
      <c r="V6" s="6" t="s">
        <v>3079</v>
      </c>
      <c r="W6" s="7"/>
      <c r="X6" s="7"/>
      <c r="Y6" s="7"/>
      <c r="Z6" s="393">
        <v>0</v>
      </c>
      <c r="AA6" s="393">
        <v>0</v>
      </c>
      <c r="AB6" s="393">
        <v>0</v>
      </c>
      <c r="AC6" s="393">
        <v>0</v>
      </c>
      <c r="AD6" s="393">
        <v>0</v>
      </c>
      <c r="AE6" s="389">
        <v>0</v>
      </c>
      <c r="AF6" s="389">
        <v>0</v>
      </c>
      <c r="AG6" s="389">
        <v>0</v>
      </c>
      <c r="AH6" s="389">
        <v>0</v>
      </c>
      <c r="AI6" s="389">
        <v>0</v>
      </c>
      <c r="AJ6" s="389">
        <v>0</v>
      </c>
      <c r="AK6" s="389">
        <v>0</v>
      </c>
      <c r="AL6" s="389">
        <v>0</v>
      </c>
      <c r="AM6" s="389">
        <v>0</v>
      </c>
      <c r="AN6" s="389">
        <v>0</v>
      </c>
      <c r="AO6" s="389">
        <v>0</v>
      </c>
      <c r="AP6" s="389">
        <v>0</v>
      </c>
      <c r="AQ6" s="389">
        <v>0</v>
      </c>
      <c r="AR6" s="389">
        <v>0</v>
      </c>
      <c r="AS6" s="389">
        <v>0</v>
      </c>
      <c r="AT6" s="389">
        <v>0</v>
      </c>
    </row>
    <row r="7" spans="1:46" ht="15.75" customHeight="1">
      <c r="A7" s="390" t="s">
        <v>3713</v>
      </c>
      <c r="B7" s="390" t="s">
        <v>493</v>
      </c>
      <c r="C7" s="390" t="s">
        <v>3727</v>
      </c>
      <c r="D7" s="299" t="s">
        <v>3728</v>
      </c>
      <c r="E7" s="9" t="s">
        <v>19</v>
      </c>
      <c r="F7" s="9" t="s">
        <v>20</v>
      </c>
      <c r="G7" s="293" t="s">
        <v>372</v>
      </c>
      <c r="H7" s="334" t="s">
        <v>143</v>
      </c>
      <c r="I7" s="24" t="s">
        <v>25</v>
      </c>
      <c r="J7" s="9" t="s">
        <v>3719</v>
      </c>
      <c r="K7" s="9" t="s">
        <v>3720</v>
      </c>
      <c r="L7" s="9" t="s">
        <v>3720</v>
      </c>
      <c r="M7" s="9"/>
      <c r="N7" s="9" t="str">
        <f t="shared" si="0"/>
        <v>Não</v>
      </c>
      <c r="O7" s="391">
        <v>45040</v>
      </c>
      <c r="P7" s="391">
        <v>45565</v>
      </c>
      <c r="Q7" s="7" t="s">
        <v>24</v>
      </c>
      <c r="R7" s="392">
        <v>8.0000000000000002E-3</v>
      </c>
      <c r="S7" s="23"/>
      <c r="T7" s="28"/>
      <c r="U7" s="7" t="s">
        <v>187</v>
      </c>
      <c r="V7" s="6" t="s">
        <v>20</v>
      </c>
      <c r="W7" s="7"/>
      <c r="X7" s="7"/>
      <c r="Y7" s="7"/>
      <c r="Z7" s="393">
        <v>0</v>
      </c>
      <c r="AA7" s="393">
        <v>0</v>
      </c>
      <c r="AB7" s="393">
        <v>0</v>
      </c>
      <c r="AC7" s="393">
        <v>90191.83</v>
      </c>
      <c r="AD7" s="393">
        <v>188409.94</v>
      </c>
      <c r="AE7" s="393">
        <v>190915.46</v>
      </c>
      <c r="AF7" s="393">
        <v>195942.82</v>
      </c>
      <c r="AG7" s="393">
        <v>194952.22</v>
      </c>
      <c r="AH7" s="393">
        <v>229416.65</v>
      </c>
      <c r="AI7" s="389">
        <v>222366.04</v>
      </c>
      <c r="AJ7" s="389">
        <v>232669.03</v>
      </c>
      <c r="AK7" s="389">
        <v>235990.65</v>
      </c>
      <c r="AL7" s="389">
        <v>236650.8</v>
      </c>
      <c r="AM7" s="389">
        <v>241714.09</v>
      </c>
      <c r="AN7" s="389">
        <v>336717.54</v>
      </c>
      <c r="AO7" s="389">
        <v>394361.87</v>
      </c>
      <c r="AP7" s="389">
        <v>404708.28</v>
      </c>
      <c r="AQ7" s="389">
        <v>413427.96</v>
      </c>
      <c r="AR7" s="389">
        <v>411184.3</v>
      </c>
      <c r="AS7" s="389">
        <v>419905.8</v>
      </c>
      <c r="AT7" s="389">
        <v>0</v>
      </c>
    </row>
    <row r="8" spans="1:46" ht="15.75" customHeight="1">
      <c r="A8" s="390" t="s">
        <v>3713</v>
      </c>
      <c r="B8" s="394" t="s">
        <v>3729</v>
      </c>
      <c r="C8" s="394" t="s">
        <v>3730</v>
      </c>
      <c r="D8" s="299" t="s">
        <v>3731</v>
      </c>
      <c r="E8" s="9" t="s">
        <v>3717</v>
      </c>
      <c r="F8" s="9" t="s">
        <v>60</v>
      </c>
      <c r="G8" s="293" t="s">
        <v>3718</v>
      </c>
      <c r="H8" s="334" t="s">
        <v>143</v>
      </c>
      <c r="I8" s="24" t="s">
        <v>25</v>
      </c>
      <c r="J8" s="9" t="s">
        <v>25</v>
      </c>
      <c r="K8" s="9" t="s">
        <v>3732</v>
      </c>
      <c r="L8" s="9" t="s">
        <v>3732</v>
      </c>
      <c r="M8" s="9"/>
      <c r="N8" s="9" t="str">
        <f t="shared" si="0"/>
        <v>Não</v>
      </c>
      <c r="O8" s="299"/>
      <c r="P8" s="391">
        <v>45450</v>
      </c>
      <c r="Q8" s="7" t="s">
        <v>24</v>
      </c>
      <c r="R8" s="392"/>
      <c r="S8" s="28"/>
      <c r="T8" s="28"/>
      <c r="U8" s="7" t="s">
        <v>187</v>
      </c>
      <c r="V8" s="6" t="s">
        <v>3079</v>
      </c>
      <c r="W8" s="7"/>
      <c r="X8" s="7"/>
      <c r="Y8" s="7"/>
      <c r="Z8" s="393">
        <v>0</v>
      </c>
      <c r="AA8" s="393">
        <v>0</v>
      </c>
      <c r="AB8" s="393">
        <v>0</v>
      </c>
      <c r="AC8" s="393">
        <v>0</v>
      </c>
      <c r="AD8" s="393">
        <v>50100</v>
      </c>
      <c r="AE8" s="393">
        <v>10.96</v>
      </c>
      <c r="AF8" s="393">
        <v>0</v>
      </c>
      <c r="AG8" s="393">
        <v>0</v>
      </c>
      <c r="AH8" s="393">
        <v>10.96</v>
      </c>
      <c r="AI8" s="389">
        <v>0</v>
      </c>
      <c r="AJ8" s="389">
        <v>0</v>
      </c>
      <c r="AK8" s="389">
        <v>10.96</v>
      </c>
      <c r="AL8" s="389">
        <v>0</v>
      </c>
      <c r="AM8" s="389">
        <v>0</v>
      </c>
      <c r="AN8" s="389">
        <v>10.96</v>
      </c>
      <c r="AO8" s="389">
        <v>-39.04</v>
      </c>
      <c r="AP8" s="389">
        <v>0</v>
      </c>
      <c r="AQ8" s="389">
        <v>0</v>
      </c>
      <c r="AR8" s="389">
        <v>0</v>
      </c>
      <c r="AS8" s="389">
        <v>0</v>
      </c>
      <c r="AT8" s="389">
        <v>0</v>
      </c>
    </row>
    <row r="9" spans="1:46" ht="15.75" customHeight="1">
      <c r="A9" s="390" t="s">
        <v>3713</v>
      </c>
      <c r="B9" s="395">
        <v>218056950018</v>
      </c>
      <c r="C9" s="23" t="s">
        <v>3733</v>
      </c>
      <c r="D9" s="159" t="s">
        <v>3734</v>
      </c>
      <c r="E9" s="9" t="s">
        <v>64</v>
      </c>
      <c r="F9" s="9" t="s">
        <v>20</v>
      </c>
      <c r="G9" s="293" t="s">
        <v>142</v>
      </c>
      <c r="H9" s="334" t="s">
        <v>167</v>
      </c>
      <c r="I9" s="24" t="s">
        <v>25</v>
      </c>
      <c r="J9" s="9" t="s">
        <v>3719</v>
      </c>
      <c r="K9" s="9" t="s">
        <v>3720</v>
      </c>
      <c r="L9" s="9" t="s">
        <v>3720</v>
      </c>
      <c r="M9" s="9"/>
      <c r="N9" s="9" t="str">
        <f t="shared" si="0"/>
        <v>Não</v>
      </c>
      <c r="O9" s="391">
        <v>45405</v>
      </c>
      <c r="P9" s="299"/>
      <c r="Q9" s="7" t="s">
        <v>24</v>
      </c>
      <c r="R9" s="392">
        <v>8.0000000000000002E-3</v>
      </c>
      <c r="S9" s="28"/>
      <c r="T9" s="28"/>
      <c r="U9" s="7" t="s">
        <v>187</v>
      </c>
      <c r="V9" s="6"/>
      <c r="W9" s="7"/>
      <c r="X9" s="7"/>
      <c r="Y9" s="7"/>
      <c r="Z9" s="393"/>
      <c r="AA9" s="393"/>
      <c r="AB9" s="393"/>
      <c r="AC9" s="393"/>
      <c r="AD9" s="393"/>
      <c r="AE9" s="393"/>
      <c r="AF9" s="393"/>
      <c r="AG9" s="393"/>
      <c r="AH9" s="393"/>
      <c r="AI9" s="389"/>
      <c r="AJ9" s="389"/>
      <c r="AK9" s="389"/>
      <c r="AL9" s="389"/>
      <c r="AM9" s="389"/>
      <c r="AN9" s="389"/>
      <c r="AO9" s="389">
        <v>0</v>
      </c>
      <c r="AP9" s="389">
        <v>0</v>
      </c>
      <c r="AQ9" s="389">
        <v>0</v>
      </c>
      <c r="AR9" s="389">
        <v>0</v>
      </c>
      <c r="AS9" s="389">
        <v>0</v>
      </c>
      <c r="AT9" s="389">
        <v>0</v>
      </c>
    </row>
    <row r="10" spans="1:46" ht="15.75" customHeight="1">
      <c r="A10" s="390" t="s">
        <v>3713</v>
      </c>
      <c r="B10" s="396" t="s">
        <v>795</v>
      </c>
      <c r="C10" s="397" t="s">
        <v>792</v>
      </c>
      <c r="D10" s="39" t="s">
        <v>3735</v>
      </c>
      <c r="E10" s="9" t="s">
        <v>19</v>
      </c>
      <c r="F10" s="9" t="s">
        <v>20</v>
      </c>
      <c r="G10" s="293" t="s">
        <v>199</v>
      </c>
      <c r="H10" s="334" t="s">
        <v>167</v>
      </c>
      <c r="I10" s="24" t="s">
        <v>25</v>
      </c>
      <c r="J10" s="9" t="s">
        <v>3719</v>
      </c>
      <c r="K10" s="9"/>
      <c r="L10" s="9"/>
      <c r="M10" s="9"/>
      <c r="N10" s="9" t="str">
        <f t="shared" si="0"/>
        <v>Não</v>
      </c>
      <c r="O10" s="391">
        <v>45428</v>
      </c>
      <c r="P10" s="299"/>
      <c r="Q10" s="7" t="s">
        <v>24</v>
      </c>
      <c r="R10" s="392">
        <v>8.0000000000000002E-3</v>
      </c>
      <c r="S10" s="28"/>
      <c r="T10" s="28"/>
      <c r="U10" s="7" t="s">
        <v>145</v>
      </c>
      <c r="V10" s="398" t="s">
        <v>20</v>
      </c>
      <c r="W10" s="7"/>
      <c r="X10" s="7"/>
      <c r="Y10" s="7"/>
      <c r="Z10" s="393"/>
      <c r="AA10" s="393"/>
      <c r="AB10" s="393"/>
      <c r="AC10" s="393"/>
      <c r="AD10" s="393"/>
      <c r="AE10" s="393"/>
      <c r="AF10" s="393"/>
      <c r="AG10" s="393"/>
      <c r="AH10" s="393"/>
      <c r="AI10" s="389"/>
      <c r="AJ10" s="389"/>
      <c r="AK10" s="389"/>
      <c r="AL10" s="389"/>
      <c r="AM10" s="389"/>
      <c r="AN10" s="389"/>
      <c r="AO10" s="389"/>
      <c r="AP10" s="389">
        <v>58965.79</v>
      </c>
      <c r="AQ10" s="389">
        <v>97952.84</v>
      </c>
      <c r="AR10" s="389">
        <v>100114.45</v>
      </c>
      <c r="AS10" s="389">
        <v>101083.82</v>
      </c>
      <c r="AT10" s="389">
        <v>102095.6</v>
      </c>
    </row>
    <row r="11" spans="1:46" ht="15.75" customHeight="1">
      <c r="A11" s="390" t="s">
        <v>3713</v>
      </c>
      <c r="B11" s="390" t="s">
        <v>905</v>
      </c>
      <c r="C11" s="390" t="s">
        <v>903</v>
      </c>
      <c r="D11" s="299" t="s">
        <v>3736</v>
      </c>
      <c r="E11" s="9" t="s">
        <v>19</v>
      </c>
      <c r="F11" s="9" t="s">
        <v>20</v>
      </c>
      <c r="G11" s="293" t="s">
        <v>21</v>
      </c>
      <c r="H11" s="334" t="s">
        <v>143</v>
      </c>
      <c r="I11" s="24" t="s">
        <v>25</v>
      </c>
      <c r="J11" s="9" t="s">
        <v>25</v>
      </c>
      <c r="K11" s="9" t="s">
        <v>25</v>
      </c>
      <c r="L11" s="9" t="s">
        <v>25</v>
      </c>
      <c r="M11" s="9"/>
      <c r="N11" s="9" t="str">
        <f t="shared" si="0"/>
        <v>Não</v>
      </c>
      <c r="O11" s="391"/>
      <c r="P11" s="391">
        <v>45083</v>
      </c>
      <c r="Q11" s="7" t="s">
        <v>24</v>
      </c>
      <c r="R11" s="392">
        <v>8.0000000000000002E-3</v>
      </c>
      <c r="S11" s="28"/>
      <c r="T11" s="28"/>
      <c r="U11" s="7" t="s">
        <v>145</v>
      </c>
      <c r="V11" s="6" t="s">
        <v>20</v>
      </c>
      <c r="W11" s="7"/>
      <c r="X11" s="7"/>
      <c r="Y11" s="7"/>
      <c r="Z11" s="393">
        <v>0</v>
      </c>
      <c r="AA11" s="393">
        <v>0</v>
      </c>
      <c r="AB11" s="393">
        <v>0</v>
      </c>
      <c r="AC11" s="393">
        <v>0</v>
      </c>
      <c r="AD11" s="389">
        <v>0</v>
      </c>
      <c r="AE11" s="389">
        <v>0</v>
      </c>
      <c r="AF11" s="389">
        <v>0</v>
      </c>
      <c r="AG11" s="389">
        <v>0</v>
      </c>
      <c r="AH11" s="389">
        <v>0</v>
      </c>
      <c r="AI11" s="389">
        <v>0</v>
      </c>
      <c r="AJ11" s="389">
        <v>0</v>
      </c>
      <c r="AK11" s="389">
        <v>0</v>
      </c>
      <c r="AL11" s="389">
        <v>0</v>
      </c>
      <c r="AM11" s="389">
        <v>0</v>
      </c>
      <c r="AN11" s="389">
        <v>0</v>
      </c>
      <c r="AO11" s="389">
        <v>0</v>
      </c>
      <c r="AP11" s="389">
        <v>0</v>
      </c>
      <c r="AQ11" s="389">
        <v>0</v>
      </c>
      <c r="AR11" s="389">
        <v>0</v>
      </c>
      <c r="AS11" s="389">
        <v>0</v>
      </c>
      <c r="AT11" s="389">
        <v>0</v>
      </c>
    </row>
    <row r="12" spans="1:46" ht="15.75" customHeight="1">
      <c r="A12" s="390" t="s">
        <v>3713</v>
      </c>
      <c r="B12" s="390" t="s">
        <v>3737</v>
      </c>
      <c r="C12" s="390" t="s">
        <v>3738</v>
      </c>
      <c r="D12" s="299" t="s">
        <v>3739</v>
      </c>
      <c r="E12" s="9" t="s">
        <v>3717</v>
      </c>
      <c r="F12" s="9" t="s">
        <v>60</v>
      </c>
      <c r="G12" s="293" t="s">
        <v>3718</v>
      </c>
      <c r="H12" s="334" t="s">
        <v>143</v>
      </c>
      <c r="I12" s="24" t="s">
        <v>25</v>
      </c>
      <c r="J12" s="9" t="s">
        <v>25</v>
      </c>
      <c r="K12" s="9" t="s">
        <v>3732</v>
      </c>
      <c r="L12" s="9" t="s">
        <v>3732</v>
      </c>
      <c r="M12" s="9"/>
      <c r="N12" s="9" t="str">
        <f t="shared" si="0"/>
        <v>Não</v>
      </c>
      <c r="O12" s="299"/>
      <c r="P12" s="391">
        <v>45450</v>
      </c>
      <c r="Q12" s="7" t="s">
        <v>24</v>
      </c>
      <c r="R12" s="392"/>
      <c r="S12" s="69"/>
      <c r="T12" s="69"/>
      <c r="U12" s="7" t="s">
        <v>187</v>
      </c>
      <c r="V12" s="6" t="s">
        <v>3079</v>
      </c>
      <c r="W12" s="7"/>
      <c r="X12" s="7"/>
      <c r="Y12" s="7"/>
      <c r="Z12" s="393">
        <v>0</v>
      </c>
      <c r="AA12" s="393">
        <v>0</v>
      </c>
      <c r="AB12" s="393">
        <v>0</v>
      </c>
      <c r="AC12" s="393">
        <v>0</v>
      </c>
      <c r="AD12" s="393">
        <v>50000</v>
      </c>
      <c r="AE12" s="393">
        <v>42.47</v>
      </c>
      <c r="AF12" s="393">
        <v>0</v>
      </c>
      <c r="AG12" s="393">
        <v>0</v>
      </c>
      <c r="AH12" s="393">
        <v>42.47</v>
      </c>
      <c r="AI12" s="389">
        <v>0</v>
      </c>
      <c r="AJ12" s="389">
        <v>0</v>
      </c>
      <c r="AK12" s="389">
        <v>42.47</v>
      </c>
      <c r="AL12" s="389">
        <v>0</v>
      </c>
      <c r="AM12" s="389">
        <v>0</v>
      </c>
      <c r="AN12" s="389">
        <v>42.47</v>
      </c>
      <c r="AO12" s="389">
        <v>-7.53</v>
      </c>
      <c r="AP12" s="389">
        <v>0</v>
      </c>
      <c r="AQ12" s="389">
        <v>0</v>
      </c>
      <c r="AR12" s="389">
        <v>0</v>
      </c>
      <c r="AS12" s="389">
        <v>0</v>
      </c>
      <c r="AT12" s="389">
        <v>0</v>
      </c>
    </row>
    <row r="13" spans="1:46" ht="15.75" customHeight="1">
      <c r="A13" s="122" t="s">
        <v>3713</v>
      </c>
      <c r="B13" s="390" t="s">
        <v>3740</v>
      </c>
      <c r="C13" s="390" t="s">
        <v>3741</v>
      </c>
      <c r="D13" s="292" t="s">
        <v>3742</v>
      </c>
      <c r="E13" s="9" t="s">
        <v>3717</v>
      </c>
      <c r="F13" s="9" t="s">
        <v>60</v>
      </c>
      <c r="G13" s="293" t="s">
        <v>3718</v>
      </c>
      <c r="H13" s="334" t="s">
        <v>152</v>
      </c>
      <c r="I13" s="24" t="s">
        <v>25</v>
      </c>
      <c r="J13" s="9" t="s">
        <v>3719</v>
      </c>
      <c r="K13" s="9" t="s">
        <v>3720</v>
      </c>
      <c r="L13" s="9" t="s">
        <v>3720</v>
      </c>
      <c r="M13" s="9"/>
      <c r="N13" s="9" t="str">
        <f t="shared" si="0"/>
        <v>Não</v>
      </c>
      <c r="O13" s="387">
        <v>45084</v>
      </c>
      <c r="P13" s="292"/>
      <c r="Q13" s="6" t="s">
        <v>24</v>
      </c>
      <c r="R13" s="388">
        <v>7.4999999999999997E-3</v>
      </c>
      <c r="S13" s="235"/>
      <c r="T13" s="235"/>
      <c r="U13" s="6" t="s">
        <v>187</v>
      </c>
      <c r="V13" s="6" t="s">
        <v>3079</v>
      </c>
      <c r="W13" s="7"/>
      <c r="X13" s="6"/>
      <c r="Y13" s="6"/>
      <c r="Z13" s="389">
        <v>0</v>
      </c>
      <c r="AA13" s="389">
        <v>0</v>
      </c>
      <c r="AB13" s="389">
        <v>0</v>
      </c>
      <c r="AC13" s="389">
        <v>0</v>
      </c>
      <c r="AD13" s="389">
        <v>100</v>
      </c>
      <c r="AE13" s="389">
        <v>147111.76999999999</v>
      </c>
      <c r="AF13" s="389">
        <v>293154.95</v>
      </c>
      <c r="AG13" s="389">
        <v>393861.7</v>
      </c>
      <c r="AH13" s="389">
        <v>390340.6</v>
      </c>
      <c r="AI13" s="389">
        <v>508721.84</v>
      </c>
      <c r="AJ13" s="389">
        <v>607243.78</v>
      </c>
      <c r="AK13" s="389">
        <v>857931.72</v>
      </c>
      <c r="AL13" s="389">
        <v>860524.93</v>
      </c>
      <c r="AM13" s="389">
        <v>855358.56</v>
      </c>
      <c r="AN13" s="389">
        <v>862420.34</v>
      </c>
      <c r="AO13" s="389">
        <v>845912.78</v>
      </c>
      <c r="AP13" s="389">
        <v>856159.29</v>
      </c>
      <c r="AQ13" s="389">
        <v>862179.54</v>
      </c>
      <c r="AR13" s="389">
        <v>876440.29</v>
      </c>
      <c r="AS13" s="389">
        <v>0</v>
      </c>
      <c r="AT13" s="389">
        <v>0</v>
      </c>
    </row>
    <row r="14" spans="1:46" ht="15.75" customHeight="1">
      <c r="A14" s="122" t="s">
        <v>3713</v>
      </c>
      <c r="B14" s="390" t="s">
        <v>3743</v>
      </c>
      <c r="C14" s="390" t="s">
        <v>3744</v>
      </c>
      <c r="D14" s="399" t="s">
        <v>3745</v>
      </c>
      <c r="E14" s="9" t="s">
        <v>3746</v>
      </c>
      <c r="F14" s="9" t="s">
        <v>49</v>
      </c>
      <c r="G14" s="9" t="s">
        <v>81</v>
      </c>
      <c r="H14" s="334" t="s">
        <v>152</v>
      </c>
      <c r="I14" s="24" t="s">
        <v>25</v>
      </c>
      <c r="J14" s="9" t="s">
        <v>3719</v>
      </c>
      <c r="K14" s="9" t="s">
        <v>3720</v>
      </c>
      <c r="L14" s="9" t="s">
        <v>3720</v>
      </c>
      <c r="M14" s="9"/>
      <c r="N14" s="9" t="str">
        <f t="shared" si="0"/>
        <v>Não</v>
      </c>
      <c r="O14" s="387">
        <v>45231</v>
      </c>
      <c r="P14" s="292"/>
      <c r="Q14" s="6" t="s">
        <v>24</v>
      </c>
      <c r="R14" s="388">
        <v>8.9999999999999993E-3</v>
      </c>
      <c r="S14" s="235"/>
      <c r="T14" s="235"/>
      <c r="U14" s="6" t="s">
        <v>145</v>
      </c>
      <c r="V14" s="6" t="s">
        <v>3079</v>
      </c>
      <c r="W14" s="7"/>
      <c r="X14" s="6"/>
      <c r="Y14" s="6"/>
      <c r="Z14" s="389">
        <v>0</v>
      </c>
      <c r="AA14" s="389">
        <v>0</v>
      </c>
      <c r="AB14" s="389">
        <v>0</v>
      </c>
      <c r="AC14" s="389">
        <v>0</v>
      </c>
      <c r="AD14" s="389">
        <v>0</v>
      </c>
      <c r="AE14" s="389">
        <v>0</v>
      </c>
      <c r="AF14" s="389">
        <v>0</v>
      </c>
      <c r="AG14" s="389">
        <v>0</v>
      </c>
      <c r="AH14" s="389">
        <v>0</v>
      </c>
      <c r="AI14" s="389">
        <v>0</v>
      </c>
      <c r="AJ14" s="389">
        <v>99189.89</v>
      </c>
      <c r="AK14" s="389">
        <v>102048.49</v>
      </c>
      <c r="AL14" s="389">
        <v>103857.97</v>
      </c>
      <c r="AM14" s="389">
        <v>104847.92</v>
      </c>
      <c r="AN14" s="389">
        <v>107243.63</v>
      </c>
      <c r="AO14" s="389">
        <v>104846.24</v>
      </c>
      <c r="AP14" s="389">
        <v>106452.4</v>
      </c>
      <c r="AQ14" s="389">
        <v>107742.21</v>
      </c>
      <c r="AR14" s="389">
        <v>108476.58</v>
      </c>
      <c r="AS14" s="389">
        <v>111366.9</v>
      </c>
      <c r="AT14" s="389">
        <v>112705.05</v>
      </c>
    </row>
    <row r="15" spans="1:46" ht="15.75" customHeight="1">
      <c r="A15" s="122" t="s">
        <v>3713</v>
      </c>
      <c r="B15" s="304" t="s">
        <v>89</v>
      </c>
      <c r="C15" s="390" t="s">
        <v>84</v>
      </c>
      <c r="D15" s="399" t="s">
        <v>3747</v>
      </c>
      <c r="E15" s="9" t="s">
        <v>19</v>
      </c>
      <c r="F15" s="9" t="s">
        <v>60</v>
      </c>
      <c r="G15" s="9" t="s">
        <v>86</v>
      </c>
      <c r="H15" s="334" t="s">
        <v>167</v>
      </c>
      <c r="I15" s="24" t="s">
        <v>25</v>
      </c>
      <c r="J15" s="9" t="s">
        <v>3719</v>
      </c>
      <c r="K15" s="9" t="s">
        <v>3720</v>
      </c>
      <c r="L15" s="9" t="s">
        <v>3720</v>
      </c>
      <c r="M15" s="9" t="s">
        <v>3720</v>
      </c>
      <c r="N15" s="9" t="str">
        <f t="shared" si="0"/>
        <v>Não</v>
      </c>
      <c r="O15" s="387">
        <v>45572</v>
      </c>
      <c r="P15" s="292"/>
      <c r="Q15" s="6" t="s">
        <v>24</v>
      </c>
      <c r="R15" s="388">
        <v>8.0000000000000002E-3</v>
      </c>
      <c r="S15" s="235"/>
      <c r="T15" s="235"/>
      <c r="U15" s="6" t="s">
        <v>145</v>
      </c>
      <c r="V15" s="6" t="s">
        <v>90</v>
      </c>
      <c r="W15" s="7"/>
      <c r="X15" s="6"/>
      <c r="Y15" s="6"/>
      <c r="Z15" s="389"/>
      <c r="AA15" s="389"/>
      <c r="AB15" s="389"/>
      <c r="AC15" s="389"/>
      <c r="AD15" s="389"/>
      <c r="AE15" s="389"/>
      <c r="AF15" s="389"/>
      <c r="AG15" s="389"/>
      <c r="AH15" s="389"/>
      <c r="AI15" s="389"/>
      <c r="AJ15" s="389"/>
      <c r="AK15" s="389"/>
      <c r="AL15" s="389"/>
      <c r="AM15" s="389"/>
      <c r="AN15" s="389"/>
      <c r="AO15" s="389"/>
      <c r="AP15" s="389"/>
      <c r="AQ15" s="389"/>
      <c r="AR15" s="389"/>
      <c r="AS15" s="389"/>
      <c r="AT15" s="389"/>
    </row>
    <row r="16" spans="1:46" ht="15.75" customHeight="1">
      <c r="A16" s="122" t="s">
        <v>3713</v>
      </c>
      <c r="B16" s="354" t="s">
        <v>3316</v>
      </c>
      <c r="C16" s="390" t="s">
        <v>3748</v>
      </c>
      <c r="D16" s="292" t="s">
        <v>3749</v>
      </c>
      <c r="E16" s="9" t="s">
        <v>19</v>
      </c>
      <c r="F16" s="9" t="s">
        <v>20</v>
      </c>
      <c r="G16" s="293" t="s">
        <v>19</v>
      </c>
      <c r="H16" s="334" t="s">
        <v>152</v>
      </c>
      <c r="I16" s="24" t="s">
        <v>25</v>
      </c>
      <c r="J16" s="9" t="s">
        <v>3719</v>
      </c>
      <c r="K16" s="9" t="s">
        <v>3720</v>
      </c>
      <c r="L16" s="9" t="s">
        <v>3720</v>
      </c>
      <c r="M16" s="9"/>
      <c r="N16" s="9" t="str">
        <f t="shared" si="0"/>
        <v>Não</v>
      </c>
      <c r="O16" s="387">
        <v>45052</v>
      </c>
      <c r="P16" s="292"/>
      <c r="Q16" s="6" t="s">
        <v>24</v>
      </c>
      <c r="R16" s="388">
        <v>8.0000000000000002E-3</v>
      </c>
      <c r="S16" s="108"/>
      <c r="T16" s="108"/>
      <c r="U16" s="6" t="s">
        <v>145</v>
      </c>
      <c r="V16" s="6" t="s">
        <v>3079</v>
      </c>
      <c r="W16" s="7"/>
      <c r="X16" s="6"/>
      <c r="Y16" s="6"/>
      <c r="Z16" s="389">
        <v>0</v>
      </c>
      <c r="AA16" s="389">
        <v>0</v>
      </c>
      <c r="AB16" s="389">
        <v>0</v>
      </c>
      <c r="AC16" s="389">
        <v>0</v>
      </c>
      <c r="AD16" s="389">
        <v>10000</v>
      </c>
      <c r="AE16" s="389">
        <v>17823.18</v>
      </c>
      <c r="AF16" s="389">
        <v>27647.279999999999</v>
      </c>
      <c r="AG16" s="389">
        <v>27690.1</v>
      </c>
      <c r="AH16" s="389">
        <v>27610.94</v>
      </c>
      <c r="AI16" s="389">
        <v>32581.23</v>
      </c>
      <c r="AJ16" s="389">
        <v>37752.559999999998</v>
      </c>
      <c r="AK16" s="389">
        <v>43408.75</v>
      </c>
      <c r="AL16" s="389">
        <v>43676.98</v>
      </c>
      <c r="AM16" s="389">
        <v>56013.84</v>
      </c>
      <c r="AN16" s="389">
        <v>61542.01</v>
      </c>
      <c r="AO16" s="389">
        <v>69588.53</v>
      </c>
      <c r="AP16" s="389">
        <v>70579.42</v>
      </c>
      <c r="AQ16" s="389">
        <v>71243.679999999993</v>
      </c>
      <c r="AR16" s="389">
        <v>72651.27</v>
      </c>
      <c r="AS16" s="389">
        <v>73569.5</v>
      </c>
      <c r="AT16" s="389">
        <v>74398.850000000006</v>
      </c>
    </row>
    <row r="17" spans="1:46" ht="15.75" customHeight="1">
      <c r="A17" s="390" t="s">
        <v>3713</v>
      </c>
      <c r="B17" s="390" t="s">
        <v>1929</v>
      </c>
      <c r="C17" s="390" t="s">
        <v>1926</v>
      </c>
      <c r="D17" s="399" t="s">
        <v>3750</v>
      </c>
      <c r="E17" s="9" t="s">
        <v>19</v>
      </c>
      <c r="F17" s="9" t="s">
        <v>20</v>
      </c>
      <c r="G17" s="293" t="s">
        <v>372</v>
      </c>
      <c r="H17" s="334" t="s">
        <v>167</v>
      </c>
      <c r="I17" s="24" t="s">
        <v>25</v>
      </c>
      <c r="J17" s="9" t="s">
        <v>3719</v>
      </c>
      <c r="K17" s="9" t="s">
        <v>3720</v>
      </c>
      <c r="L17" s="9" t="s">
        <v>3720</v>
      </c>
      <c r="M17" s="9"/>
      <c r="N17" s="9" t="str">
        <f t="shared" si="0"/>
        <v>Não</v>
      </c>
      <c r="O17" s="391">
        <v>45215</v>
      </c>
      <c r="P17" s="299"/>
      <c r="Q17" s="7" t="s">
        <v>24</v>
      </c>
      <c r="R17" s="392">
        <v>8.0000000000000002E-3</v>
      </c>
      <c r="S17" s="28"/>
      <c r="T17" s="28"/>
      <c r="U17" s="7" t="s">
        <v>145</v>
      </c>
      <c r="V17" s="6" t="s">
        <v>20</v>
      </c>
      <c r="W17" s="7"/>
      <c r="X17" s="7"/>
      <c r="Y17" s="7"/>
      <c r="Z17" s="393">
        <v>0</v>
      </c>
      <c r="AA17" s="393">
        <v>0</v>
      </c>
      <c r="AB17" s="393">
        <v>0</v>
      </c>
      <c r="AC17" s="393">
        <v>0</v>
      </c>
      <c r="AD17" s="393">
        <v>0</v>
      </c>
      <c r="AE17" s="393">
        <v>0</v>
      </c>
      <c r="AF17" s="393">
        <v>0</v>
      </c>
      <c r="AG17" s="393">
        <v>0</v>
      </c>
      <c r="AH17" s="393">
        <v>0</v>
      </c>
      <c r="AI17" s="389">
        <v>0</v>
      </c>
      <c r="AJ17" s="389">
        <v>0</v>
      </c>
      <c r="AK17" s="389">
        <v>0</v>
      </c>
      <c r="AL17" s="389">
        <v>0</v>
      </c>
      <c r="AM17" s="389">
        <v>0</v>
      </c>
      <c r="AN17" s="389">
        <v>0</v>
      </c>
      <c r="AO17" s="389">
        <v>35327.4</v>
      </c>
      <c r="AP17" s="389">
        <v>35400.42</v>
      </c>
      <c r="AQ17" s="389">
        <v>35447.61</v>
      </c>
      <c r="AR17" s="389">
        <v>36630.980000000003</v>
      </c>
      <c r="AS17" s="389">
        <v>30357.8</v>
      </c>
      <c r="AT17" s="389">
        <v>27181.53</v>
      </c>
    </row>
    <row r="18" spans="1:46" ht="15.75" customHeight="1">
      <c r="A18" s="122" t="s">
        <v>3713</v>
      </c>
      <c r="B18" s="23" t="s">
        <v>2260</v>
      </c>
      <c r="C18" s="23" t="s">
        <v>2258</v>
      </c>
      <c r="D18" s="4" t="s">
        <v>3751</v>
      </c>
      <c r="E18" s="9" t="s">
        <v>64</v>
      </c>
      <c r="F18" s="9" t="s">
        <v>20</v>
      </c>
      <c r="G18" s="293" t="s">
        <v>142</v>
      </c>
      <c r="H18" s="334" t="s">
        <v>167</v>
      </c>
      <c r="I18" s="24" t="s">
        <v>25</v>
      </c>
      <c r="J18" s="9" t="s">
        <v>3719</v>
      </c>
      <c r="K18" s="9" t="s">
        <v>3720</v>
      </c>
      <c r="L18" s="9" t="s">
        <v>3720</v>
      </c>
      <c r="M18" s="9"/>
      <c r="N18" s="9" t="str">
        <f t="shared" si="0"/>
        <v>Não</v>
      </c>
      <c r="O18" s="387">
        <v>45314</v>
      </c>
      <c r="P18" s="292"/>
      <c r="Q18" s="6" t="s">
        <v>24</v>
      </c>
      <c r="R18" s="388">
        <v>8.0000000000000002E-3</v>
      </c>
      <c r="S18" s="108"/>
      <c r="T18" s="108"/>
      <c r="U18" s="6" t="s">
        <v>145</v>
      </c>
      <c r="V18" s="6" t="s">
        <v>20</v>
      </c>
      <c r="W18" s="7"/>
      <c r="X18" s="6"/>
      <c r="Y18" s="6"/>
      <c r="Z18" s="389">
        <v>0</v>
      </c>
      <c r="AA18" s="389">
        <v>0</v>
      </c>
      <c r="AB18" s="389">
        <v>0</v>
      </c>
      <c r="AC18" s="389">
        <v>0</v>
      </c>
      <c r="AD18" s="389">
        <v>0</v>
      </c>
      <c r="AE18" s="389">
        <v>0</v>
      </c>
      <c r="AF18" s="389">
        <v>0</v>
      </c>
      <c r="AG18" s="389">
        <v>0</v>
      </c>
      <c r="AH18" s="389">
        <v>0</v>
      </c>
      <c r="AI18" s="389">
        <v>0</v>
      </c>
      <c r="AJ18" s="389">
        <v>0</v>
      </c>
      <c r="AK18" s="389">
        <v>0</v>
      </c>
      <c r="AL18" s="389">
        <v>0</v>
      </c>
      <c r="AM18" s="389">
        <v>0</v>
      </c>
      <c r="AN18" s="389">
        <v>0</v>
      </c>
      <c r="AO18" s="389">
        <v>0</v>
      </c>
      <c r="AP18" s="389">
        <v>0</v>
      </c>
      <c r="AQ18" s="389">
        <v>0</v>
      </c>
      <c r="AR18" s="389">
        <v>0</v>
      </c>
      <c r="AS18" s="389">
        <v>0</v>
      </c>
      <c r="AT18" s="389">
        <v>0</v>
      </c>
    </row>
    <row r="19" spans="1:46" ht="15.75" customHeight="1">
      <c r="A19" s="122" t="s">
        <v>3713</v>
      </c>
      <c r="B19" s="23" t="s">
        <v>3752</v>
      </c>
      <c r="C19" s="23" t="s">
        <v>3753</v>
      </c>
      <c r="D19" s="35" t="s">
        <v>3754</v>
      </c>
      <c r="E19" s="9" t="s">
        <v>19</v>
      </c>
      <c r="F19" s="9" t="s">
        <v>20</v>
      </c>
      <c r="G19" s="293" t="s">
        <v>372</v>
      </c>
      <c r="H19" s="334" t="s">
        <v>167</v>
      </c>
      <c r="I19" s="24" t="s">
        <v>25</v>
      </c>
      <c r="J19" s="9" t="s">
        <v>3719</v>
      </c>
      <c r="K19" s="9" t="s">
        <v>3720</v>
      </c>
      <c r="L19" s="9" t="s">
        <v>3720</v>
      </c>
      <c r="M19" s="9"/>
      <c r="N19" s="9" t="str">
        <f t="shared" si="0"/>
        <v>Não</v>
      </c>
      <c r="O19" s="387">
        <v>45329</v>
      </c>
      <c r="P19" s="292"/>
      <c r="Q19" s="6" t="s">
        <v>24</v>
      </c>
      <c r="R19" s="388">
        <v>8.0000000000000002E-3</v>
      </c>
      <c r="S19" s="108"/>
      <c r="T19" s="108"/>
      <c r="U19" s="6" t="s">
        <v>145</v>
      </c>
      <c r="V19" s="6" t="s">
        <v>3079</v>
      </c>
      <c r="W19" s="7"/>
      <c r="X19" s="6"/>
      <c r="Y19" s="6"/>
      <c r="Z19" s="389">
        <v>0</v>
      </c>
      <c r="AA19" s="389">
        <v>0</v>
      </c>
      <c r="AB19" s="389">
        <v>0</v>
      </c>
      <c r="AC19" s="389">
        <v>0</v>
      </c>
      <c r="AD19" s="389">
        <v>0</v>
      </c>
      <c r="AE19" s="389">
        <v>0</v>
      </c>
      <c r="AF19" s="389">
        <v>0</v>
      </c>
      <c r="AG19" s="389">
        <v>0</v>
      </c>
      <c r="AH19" s="389">
        <v>0</v>
      </c>
      <c r="AI19" s="389">
        <v>0</v>
      </c>
      <c r="AJ19" s="389">
        <v>0</v>
      </c>
      <c r="AK19" s="389">
        <v>0</v>
      </c>
      <c r="AL19" s="389">
        <v>0</v>
      </c>
      <c r="AM19" s="389">
        <v>0</v>
      </c>
      <c r="AN19" s="389">
        <v>25253.99</v>
      </c>
      <c r="AO19" s="389">
        <v>24598.33</v>
      </c>
      <c r="AP19" s="389">
        <v>25713.99</v>
      </c>
      <c r="AQ19" s="389">
        <v>12427.11</v>
      </c>
      <c r="AR19" s="389">
        <v>12706.54</v>
      </c>
      <c r="AS19" s="389">
        <v>17446.150000000001</v>
      </c>
      <c r="AT19" s="389">
        <v>34149.910000000003</v>
      </c>
    </row>
    <row r="20" spans="1:46" ht="15.75" customHeight="1">
      <c r="A20" s="104" t="s">
        <v>3713</v>
      </c>
      <c r="B20" s="390" t="s">
        <v>2346</v>
      </c>
      <c r="C20" s="390" t="s">
        <v>3755</v>
      </c>
      <c r="D20" s="292" t="s">
        <v>3756</v>
      </c>
      <c r="E20" s="9" t="s">
        <v>19</v>
      </c>
      <c r="F20" s="9" t="s">
        <v>20</v>
      </c>
      <c r="G20" s="293" t="s">
        <v>199</v>
      </c>
      <c r="H20" s="334" t="s">
        <v>152</v>
      </c>
      <c r="I20" s="24" t="s">
        <v>25</v>
      </c>
      <c r="J20" s="9" t="s">
        <v>3757</v>
      </c>
      <c r="K20" s="9" t="s">
        <v>3732</v>
      </c>
      <c r="L20" s="9" t="s">
        <v>3732</v>
      </c>
      <c r="M20" s="9"/>
      <c r="N20" s="9" t="str">
        <f t="shared" si="0"/>
        <v>Não</v>
      </c>
      <c r="O20" s="292"/>
      <c r="P20" s="292"/>
      <c r="Q20" s="6" t="s">
        <v>24</v>
      </c>
      <c r="R20" s="388"/>
      <c r="S20" s="108"/>
      <c r="T20" s="400"/>
      <c r="U20" s="6" t="s">
        <v>145</v>
      </c>
      <c r="V20" s="6" t="s">
        <v>20</v>
      </c>
      <c r="W20" s="7"/>
      <c r="X20" s="6"/>
      <c r="Y20" s="6"/>
      <c r="Z20" s="389">
        <v>0</v>
      </c>
      <c r="AA20" s="389">
        <v>0</v>
      </c>
      <c r="AB20" s="389">
        <v>0</v>
      </c>
      <c r="AC20" s="389">
        <v>0</v>
      </c>
      <c r="AD20" s="389">
        <v>0</v>
      </c>
      <c r="AE20" s="389">
        <v>0</v>
      </c>
      <c r="AF20" s="389">
        <v>0</v>
      </c>
      <c r="AG20" s="389">
        <v>0</v>
      </c>
      <c r="AH20" s="389">
        <v>0</v>
      </c>
      <c r="AI20" s="389">
        <v>0</v>
      </c>
      <c r="AJ20" s="389">
        <v>0</v>
      </c>
      <c r="AK20" s="389">
        <v>0</v>
      </c>
      <c r="AL20" s="389">
        <v>0</v>
      </c>
      <c r="AM20" s="389">
        <v>0</v>
      </c>
      <c r="AN20" s="389">
        <v>0</v>
      </c>
      <c r="AO20" s="389">
        <v>0</v>
      </c>
      <c r="AP20" s="389">
        <v>0</v>
      </c>
      <c r="AQ20" s="389">
        <v>0</v>
      </c>
      <c r="AR20" s="389">
        <v>0</v>
      </c>
      <c r="AS20" s="389">
        <v>0</v>
      </c>
      <c r="AT20" s="389">
        <v>0</v>
      </c>
    </row>
    <row r="21" spans="1:46" ht="15.75" customHeight="1">
      <c r="A21" s="122" t="s">
        <v>3713</v>
      </c>
      <c r="B21" s="390" t="s">
        <v>3079</v>
      </c>
      <c r="C21" s="390" t="s">
        <v>3758</v>
      </c>
      <c r="D21" s="292" t="s">
        <v>3759</v>
      </c>
      <c r="E21" s="9" t="s">
        <v>19</v>
      </c>
      <c r="F21" s="9" t="s">
        <v>20</v>
      </c>
      <c r="G21" s="293" t="s">
        <v>21</v>
      </c>
      <c r="H21" s="334" t="s">
        <v>161</v>
      </c>
      <c r="I21" s="24" t="s">
        <v>25</v>
      </c>
      <c r="J21" s="9" t="s">
        <v>3719</v>
      </c>
      <c r="K21" s="9" t="s">
        <v>3720</v>
      </c>
      <c r="L21" s="9" t="s">
        <v>3720</v>
      </c>
      <c r="M21" s="9"/>
      <c r="N21" s="9" t="str">
        <f t="shared" si="0"/>
        <v>Não</v>
      </c>
      <c r="O21" s="387">
        <v>44944</v>
      </c>
      <c r="P21" s="292"/>
      <c r="Q21" s="6" t="s">
        <v>24</v>
      </c>
      <c r="R21" s="388">
        <v>8.0000000000000002E-3</v>
      </c>
      <c r="S21" s="77"/>
      <c r="T21" s="37" t="s">
        <v>3760</v>
      </c>
      <c r="U21" s="6" t="s">
        <v>187</v>
      </c>
      <c r="V21" s="6" t="s">
        <v>3079</v>
      </c>
      <c r="W21" s="7"/>
      <c r="X21" s="6"/>
      <c r="Y21" s="6"/>
      <c r="Z21" s="389">
        <v>475031.53</v>
      </c>
      <c r="AA21" s="389">
        <v>467242.31</v>
      </c>
      <c r="AB21" s="389">
        <v>475245.76</v>
      </c>
      <c r="AC21" s="389">
        <v>474056.33</v>
      </c>
      <c r="AD21" s="389">
        <v>475975.17</v>
      </c>
      <c r="AE21" s="389">
        <v>483037.09</v>
      </c>
      <c r="AF21" s="389">
        <v>492092.04</v>
      </c>
      <c r="AG21" s="389">
        <v>485533.4</v>
      </c>
      <c r="AH21" s="389">
        <v>478684.8</v>
      </c>
      <c r="AI21" s="389">
        <v>476463.51</v>
      </c>
      <c r="AJ21" s="389">
        <v>496631.17</v>
      </c>
      <c r="AK21" s="389">
        <v>511349.87</v>
      </c>
      <c r="AL21" s="389">
        <v>507269.24</v>
      </c>
      <c r="AM21" s="389">
        <v>526554.68000000005</v>
      </c>
      <c r="AN21" s="389">
        <v>553891.52</v>
      </c>
      <c r="AO21" s="389">
        <v>529283.89</v>
      </c>
      <c r="AP21" s="389">
        <v>549792.31000000006</v>
      </c>
      <c r="AQ21" s="389">
        <v>553289.14</v>
      </c>
      <c r="AR21" s="389">
        <v>561495.38</v>
      </c>
      <c r="AS21" s="389">
        <v>559626.64</v>
      </c>
      <c r="AT21" s="389">
        <v>303824.89</v>
      </c>
    </row>
    <row r="22" spans="1:46" ht="15.75" customHeight="1">
      <c r="A22" s="122" t="s">
        <v>3713</v>
      </c>
      <c r="B22" s="390" t="s">
        <v>3079</v>
      </c>
      <c r="C22" s="390" t="s">
        <v>3761</v>
      </c>
      <c r="D22" s="292" t="s">
        <v>3762</v>
      </c>
      <c r="E22" s="9" t="s">
        <v>55</v>
      </c>
      <c r="F22" s="9" t="s">
        <v>886</v>
      </c>
      <c r="G22" s="293" t="s">
        <v>3763</v>
      </c>
      <c r="H22" s="334" t="s">
        <v>167</v>
      </c>
      <c r="I22" s="24" t="s">
        <v>25</v>
      </c>
      <c r="J22" s="9" t="s">
        <v>3719</v>
      </c>
      <c r="K22" s="9" t="s">
        <v>3720</v>
      </c>
      <c r="L22" s="9" t="s">
        <v>3720</v>
      </c>
      <c r="M22" s="9" t="s">
        <v>3720</v>
      </c>
      <c r="N22" s="9" t="str">
        <f t="shared" si="0"/>
        <v>Não</v>
      </c>
      <c r="O22" s="387">
        <v>45558</v>
      </c>
      <c r="P22" s="292"/>
      <c r="Q22" s="6" t="s">
        <v>24</v>
      </c>
      <c r="R22" s="388">
        <v>8.0000000000000002E-3</v>
      </c>
      <c r="S22" s="77"/>
      <c r="T22" s="37"/>
      <c r="U22" s="6" t="s">
        <v>187</v>
      </c>
      <c r="V22" s="6"/>
      <c r="W22" s="7"/>
      <c r="X22" s="6"/>
      <c r="Y22" s="6"/>
      <c r="Z22" s="389"/>
      <c r="AA22" s="389"/>
      <c r="AB22" s="389"/>
      <c r="AC22" s="389"/>
      <c r="AD22" s="389"/>
      <c r="AE22" s="389"/>
      <c r="AF22" s="389"/>
      <c r="AG22" s="389"/>
      <c r="AH22" s="389"/>
      <c r="AI22" s="389"/>
      <c r="AJ22" s="389"/>
      <c r="AK22" s="389"/>
      <c r="AL22" s="389"/>
      <c r="AM22" s="389"/>
      <c r="AN22" s="389"/>
      <c r="AO22" s="389"/>
      <c r="AP22" s="389"/>
      <c r="AQ22" s="389"/>
      <c r="AR22" s="389"/>
      <c r="AS22" s="389"/>
      <c r="AT22" s="389">
        <v>79697.78</v>
      </c>
    </row>
    <row r="23" spans="1:46" ht="15.75" customHeight="1">
      <c r="A23" s="122" t="s">
        <v>3713</v>
      </c>
      <c r="B23" s="104" t="s">
        <v>3764</v>
      </c>
      <c r="C23" s="104" t="s">
        <v>3765</v>
      </c>
      <c r="D23" s="292" t="s">
        <v>3766</v>
      </c>
      <c r="E23" s="9" t="s">
        <v>19</v>
      </c>
      <c r="F23" s="9" t="s">
        <v>20</v>
      </c>
      <c r="G23" s="293" t="s">
        <v>372</v>
      </c>
      <c r="H23" s="334" t="s">
        <v>143</v>
      </c>
      <c r="I23" s="24" t="s">
        <v>25</v>
      </c>
      <c r="J23" s="9" t="s">
        <v>3719</v>
      </c>
      <c r="K23" s="9" t="s">
        <v>3720</v>
      </c>
      <c r="L23" s="9" t="s">
        <v>3720</v>
      </c>
      <c r="M23" s="9"/>
      <c r="N23" s="9" t="str">
        <f t="shared" si="0"/>
        <v>Não</v>
      </c>
      <c r="O23" s="387">
        <v>45001</v>
      </c>
      <c r="P23" s="387">
        <v>45565</v>
      </c>
      <c r="Q23" s="6" t="s">
        <v>24</v>
      </c>
      <c r="R23" s="388">
        <v>8.0000000000000002E-3</v>
      </c>
      <c r="S23" s="108"/>
      <c r="T23" s="108"/>
      <c r="U23" s="6" t="s">
        <v>145</v>
      </c>
      <c r="V23" s="6" t="s">
        <v>3079</v>
      </c>
      <c r="W23" s="7"/>
      <c r="X23" s="6"/>
      <c r="Y23" s="6"/>
      <c r="Z23" s="389">
        <v>0</v>
      </c>
      <c r="AA23" s="389">
        <v>0</v>
      </c>
      <c r="AB23" s="389">
        <v>253638.82</v>
      </c>
      <c r="AC23" s="389">
        <v>254673.01</v>
      </c>
      <c r="AD23" s="389">
        <v>254027.5</v>
      </c>
      <c r="AE23" s="389">
        <v>258268.19</v>
      </c>
      <c r="AF23" s="389">
        <v>261881.54</v>
      </c>
      <c r="AG23" s="389">
        <v>260319.34</v>
      </c>
      <c r="AH23" s="389">
        <v>254977.7</v>
      </c>
      <c r="AI23" s="389">
        <v>252509.3</v>
      </c>
      <c r="AJ23" s="389">
        <v>264031.76</v>
      </c>
      <c r="AK23" s="389">
        <v>270334.46000000002</v>
      </c>
      <c r="AL23" s="389">
        <v>272829.18</v>
      </c>
      <c r="AM23" s="389">
        <v>358411</v>
      </c>
      <c r="AN23" s="389">
        <v>366704.43</v>
      </c>
      <c r="AO23" s="389">
        <v>360104</v>
      </c>
      <c r="AP23" s="389">
        <v>371449.75</v>
      </c>
      <c r="AQ23" s="389">
        <v>374846.98</v>
      </c>
      <c r="AR23" s="389">
        <v>477426.64</v>
      </c>
      <c r="AS23" s="389">
        <v>589296</v>
      </c>
      <c r="AT23" s="389">
        <v>0</v>
      </c>
    </row>
    <row r="24" spans="1:46" ht="15.75" customHeight="1">
      <c r="A24" s="390" t="s">
        <v>3713</v>
      </c>
      <c r="B24" s="390" t="s">
        <v>2655</v>
      </c>
      <c r="C24" s="390" t="s">
        <v>2653</v>
      </c>
      <c r="D24" s="299" t="s">
        <v>3767</v>
      </c>
      <c r="E24" s="9" t="s">
        <v>19</v>
      </c>
      <c r="F24" s="9" t="s">
        <v>20</v>
      </c>
      <c r="G24" s="293" t="s">
        <v>21</v>
      </c>
      <c r="H24" s="334" t="s">
        <v>143</v>
      </c>
      <c r="I24" s="24" t="s">
        <v>25</v>
      </c>
      <c r="J24" s="9" t="s">
        <v>25</v>
      </c>
      <c r="K24" s="9" t="s">
        <v>25</v>
      </c>
      <c r="L24" s="9" t="s">
        <v>25</v>
      </c>
      <c r="M24" s="9"/>
      <c r="N24" s="9" t="str">
        <f t="shared" si="0"/>
        <v>Não</v>
      </c>
      <c r="O24" s="299"/>
      <c r="P24" s="391">
        <v>45083</v>
      </c>
      <c r="Q24" s="7" t="s">
        <v>24</v>
      </c>
      <c r="R24" s="392">
        <v>8.0000000000000002E-3</v>
      </c>
      <c r="S24" s="45"/>
      <c r="T24" s="28"/>
      <c r="U24" s="7" t="s">
        <v>145</v>
      </c>
      <c r="V24" s="6" t="s">
        <v>20</v>
      </c>
      <c r="W24" s="7"/>
      <c r="X24" s="7"/>
      <c r="Y24" s="7"/>
      <c r="Z24" s="393">
        <v>0</v>
      </c>
      <c r="AA24" s="393">
        <v>0</v>
      </c>
      <c r="AB24" s="393">
        <v>0</v>
      </c>
      <c r="AC24" s="393">
        <v>0</v>
      </c>
      <c r="AD24" s="393">
        <v>0</v>
      </c>
      <c r="AE24" s="393">
        <v>0</v>
      </c>
      <c r="AF24" s="393">
        <v>0</v>
      </c>
      <c r="AG24" s="393">
        <v>0</v>
      </c>
      <c r="AH24" s="393">
        <v>0</v>
      </c>
      <c r="AI24" s="393">
        <v>0</v>
      </c>
      <c r="AJ24" s="393">
        <v>0</v>
      </c>
      <c r="AK24" s="393">
        <v>0</v>
      </c>
      <c r="AL24" s="393">
        <v>0</v>
      </c>
      <c r="AM24" s="393">
        <v>0</v>
      </c>
      <c r="AN24" s="393">
        <v>0</v>
      </c>
      <c r="AO24" s="389">
        <v>0</v>
      </c>
      <c r="AP24" s="389">
        <v>0</v>
      </c>
      <c r="AQ24" s="389">
        <v>0</v>
      </c>
      <c r="AR24" s="389">
        <v>0</v>
      </c>
      <c r="AS24" s="389">
        <v>0</v>
      </c>
      <c r="AT24" s="389">
        <v>0</v>
      </c>
    </row>
    <row r="25" spans="1:46" ht="15.75" customHeight="1">
      <c r="A25" s="304"/>
      <c r="B25" s="304"/>
      <c r="C25" s="304"/>
      <c r="D25" s="305"/>
      <c r="E25" s="306"/>
      <c r="F25" s="306"/>
      <c r="G25" s="307"/>
      <c r="H25" s="202"/>
      <c r="I25" s="202"/>
      <c r="J25" s="202"/>
      <c r="K25" s="202"/>
      <c r="L25" s="202"/>
      <c r="M25" s="202"/>
      <c r="N25" s="202"/>
      <c r="O25" s="308"/>
      <c r="P25" s="308"/>
      <c r="Q25" s="307"/>
      <c r="R25" s="309"/>
      <c r="S25" s="311"/>
      <c r="T25" s="311"/>
      <c r="U25" s="307"/>
      <c r="V25" s="307"/>
      <c r="W25" s="307"/>
      <c r="X25" s="308"/>
      <c r="Y25" s="308"/>
      <c r="Z25" s="208"/>
      <c r="AA25" s="208"/>
      <c r="AB25" s="208"/>
      <c r="AC25" s="208"/>
      <c r="AD25" s="208"/>
      <c r="AE25" s="208"/>
      <c r="AF25" s="208"/>
      <c r="AG25" s="208"/>
      <c r="AH25" s="208"/>
      <c r="AI25" s="208"/>
      <c r="AJ25" s="208"/>
      <c r="AK25" s="208"/>
      <c r="AL25" s="208"/>
      <c r="AM25" s="208"/>
      <c r="AN25" s="208"/>
      <c r="AO25" s="208"/>
      <c r="AP25" s="208"/>
      <c r="AQ25" s="208"/>
      <c r="AR25" s="208"/>
      <c r="AS25" s="208"/>
      <c r="AT25" s="208"/>
    </row>
    <row r="26" spans="1:46" ht="15.75" customHeight="1">
      <c r="A26" s="312"/>
      <c r="B26" s="313"/>
      <c r="C26" s="313" t="s">
        <v>2878</v>
      </c>
      <c r="D26" s="314">
        <f>COUNTIF(H:H,"Ativo")</f>
        <v>6</v>
      </c>
      <c r="E26" s="307"/>
      <c r="F26" s="307"/>
      <c r="G26" s="307"/>
      <c r="H26" s="307"/>
      <c r="I26" s="307"/>
      <c r="J26" s="307"/>
      <c r="K26" s="307"/>
      <c r="L26" s="307"/>
      <c r="M26" s="307"/>
      <c r="N26" s="307"/>
      <c r="O26" s="308"/>
      <c r="P26" s="308"/>
      <c r="Q26" s="307"/>
      <c r="R26" s="309"/>
      <c r="S26" s="311"/>
      <c r="T26" s="311"/>
      <c r="U26" s="307"/>
      <c r="V26" s="307"/>
      <c r="W26" s="307"/>
      <c r="X26" s="308"/>
      <c r="Y26" s="308"/>
      <c r="Z26" s="401">
        <f t="shared" ref="Z26:AD26" si="1">SUM(Z4:Z24)</f>
        <v>486835.10000000003</v>
      </c>
      <c r="AA26" s="401">
        <f t="shared" si="1"/>
        <v>485698.67</v>
      </c>
      <c r="AB26" s="401">
        <f t="shared" si="1"/>
        <v>749759.91</v>
      </c>
      <c r="AC26" s="401">
        <f t="shared" si="1"/>
        <v>843919.10000000009</v>
      </c>
      <c r="AD26" s="401">
        <f t="shared" si="1"/>
        <v>1075353.23</v>
      </c>
      <c r="AE26" s="401">
        <f t="shared" ref="AE26:AT26" si="2">SUM(AE3:AE24)</f>
        <v>1283396.6099999999</v>
      </c>
      <c r="AF26" s="401">
        <f t="shared" si="2"/>
        <v>1611547.4800000002</v>
      </c>
      <c r="AG26" s="401">
        <f t="shared" si="2"/>
        <v>1805361.6600000004</v>
      </c>
      <c r="AH26" s="401">
        <f t="shared" si="2"/>
        <v>1910410.67</v>
      </c>
      <c r="AI26" s="401">
        <f t="shared" si="2"/>
        <v>2019361.11</v>
      </c>
      <c r="AJ26" s="401">
        <f t="shared" si="2"/>
        <v>2374956.2599999998</v>
      </c>
      <c r="AK26" s="401">
        <f t="shared" si="2"/>
        <v>2780694.11</v>
      </c>
      <c r="AL26" s="401">
        <f t="shared" si="2"/>
        <v>2784739.66</v>
      </c>
      <c r="AM26" s="401">
        <f t="shared" si="2"/>
        <v>2901557.6</v>
      </c>
      <c r="AN26" s="401">
        <f t="shared" si="2"/>
        <v>3080107.76</v>
      </c>
      <c r="AO26" s="401">
        <f t="shared" si="2"/>
        <v>3336074.58</v>
      </c>
      <c r="AP26" s="401">
        <f t="shared" si="2"/>
        <v>3461366.97</v>
      </c>
      <c r="AQ26" s="401">
        <f t="shared" si="2"/>
        <v>3515414.23</v>
      </c>
      <c r="AR26" s="401">
        <f t="shared" si="2"/>
        <v>3657518.89</v>
      </c>
      <c r="AS26" s="401">
        <f t="shared" si="2"/>
        <v>2203596.91</v>
      </c>
      <c r="AT26" s="401">
        <f t="shared" si="2"/>
        <v>1037808.4100000001</v>
      </c>
    </row>
    <row r="27" spans="1:46" ht="15.75" customHeight="1">
      <c r="A27" s="316"/>
      <c r="B27" s="317"/>
      <c r="C27" s="317" t="s">
        <v>2879</v>
      </c>
      <c r="D27" s="318">
        <f>COUNTIF(H:H,"Inativo")</f>
        <v>1</v>
      </c>
      <c r="E27" s="319"/>
      <c r="F27" s="319"/>
      <c r="G27" s="319"/>
      <c r="H27" s="306"/>
      <c r="I27" s="306"/>
      <c r="J27" s="306"/>
      <c r="K27" s="306"/>
      <c r="L27" s="306"/>
      <c r="M27" s="306"/>
      <c r="N27" s="306"/>
      <c r="O27" s="320"/>
      <c r="P27" s="321"/>
      <c r="Q27" s="306"/>
      <c r="R27" s="309"/>
      <c r="S27" s="311"/>
      <c r="T27" s="311"/>
      <c r="U27" s="307"/>
      <c r="V27" s="307"/>
      <c r="W27" s="307"/>
      <c r="X27" s="321"/>
      <c r="Y27" s="321"/>
      <c r="Z27" s="208"/>
      <c r="AA27" s="208"/>
      <c r="AB27" s="208"/>
      <c r="AC27" s="208"/>
      <c r="AD27" s="208"/>
      <c r="AE27" s="208"/>
      <c r="AF27" s="208"/>
      <c r="AG27" s="208"/>
      <c r="AH27" s="208"/>
      <c r="AI27" s="208"/>
      <c r="AJ27" s="208"/>
      <c r="AK27" s="208"/>
      <c r="AL27" s="208"/>
      <c r="AM27" s="208"/>
      <c r="AN27" s="208"/>
      <c r="AO27" s="208"/>
      <c r="AP27" s="208"/>
      <c r="AQ27" s="208"/>
      <c r="AR27" s="208"/>
      <c r="AS27" s="208"/>
      <c r="AT27" s="208"/>
    </row>
    <row r="28" spans="1:46" ht="15.75" customHeight="1">
      <c r="A28" s="316"/>
      <c r="B28" s="317"/>
      <c r="C28" s="317" t="s">
        <v>2880</v>
      </c>
      <c r="D28" s="318">
        <f>COUNTIF(H:H,"Encerrado")</f>
        <v>7</v>
      </c>
      <c r="E28" s="319"/>
      <c r="F28" s="319"/>
      <c r="G28" s="319"/>
      <c r="H28" s="306"/>
      <c r="I28" s="306"/>
      <c r="J28" s="306"/>
      <c r="K28" s="306"/>
      <c r="L28" s="306"/>
      <c r="M28" s="306"/>
      <c r="N28" s="306"/>
      <c r="O28" s="320"/>
      <c r="P28" s="321"/>
      <c r="Q28" s="306"/>
      <c r="R28" s="309"/>
      <c r="S28" s="311"/>
      <c r="T28" s="311"/>
      <c r="U28" s="307"/>
      <c r="V28" s="307"/>
      <c r="W28" s="307"/>
      <c r="X28" s="321"/>
      <c r="Y28" s="321"/>
      <c r="Z28" s="208"/>
      <c r="AA28" s="208"/>
      <c r="AB28" s="208"/>
      <c r="AC28" s="208"/>
      <c r="AD28" s="208"/>
      <c r="AE28" s="208"/>
      <c r="AF28" s="208"/>
      <c r="AG28" s="208"/>
      <c r="AH28" s="208"/>
      <c r="AI28" s="208"/>
      <c r="AJ28" s="208"/>
      <c r="AK28" s="208"/>
      <c r="AL28" s="208"/>
      <c r="AM28" s="208"/>
      <c r="AN28" s="208"/>
      <c r="AO28" s="208"/>
      <c r="AP28" s="208"/>
      <c r="AQ28" s="208"/>
      <c r="AR28" s="208"/>
      <c r="AS28" s="208"/>
      <c r="AT28" s="208"/>
    </row>
    <row r="29" spans="1:46" ht="15.75" customHeight="1">
      <c r="A29" s="324"/>
      <c r="B29" s="325"/>
      <c r="C29" s="325" t="s">
        <v>2881</v>
      </c>
      <c r="D29" s="326">
        <f>COUNTIF(H:H,"Pode Operar")</f>
        <v>8</v>
      </c>
      <c r="E29" s="319"/>
      <c r="F29" s="319"/>
      <c r="G29" s="319"/>
      <c r="H29" s="306"/>
      <c r="I29" s="306"/>
      <c r="J29" s="306"/>
      <c r="K29" s="306"/>
      <c r="L29" s="306"/>
      <c r="M29" s="306"/>
      <c r="N29" s="306"/>
      <c r="O29" s="320"/>
      <c r="P29" s="321"/>
      <c r="Q29" s="306"/>
      <c r="R29" s="309"/>
      <c r="S29" s="311"/>
      <c r="T29" s="311"/>
      <c r="U29" s="307"/>
      <c r="V29" s="307"/>
      <c r="W29" s="307"/>
      <c r="X29" s="321"/>
      <c r="Y29" s="321"/>
      <c r="Z29" s="208"/>
      <c r="AA29" s="208"/>
      <c r="AB29" s="208"/>
      <c r="AC29" s="208"/>
      <c r="AD29" s="208"/>
      <c r="AE29" s="208"/>
      <c r="AF29" s="208"/>
      <c r="AG29" s="208"/>
      <c r="AH29" s="208"/>
      <c r="AI29" s="208"/>
      <c r="AJ29" s="208"/>
      <c r="AK29" s="208"/>
      <c r="AL29" s="208"/>
      <c r="AM29" s="208"/>
      <c r="AN29" s="208"/>
      <c r="AO29" s="208"/>
      <c r="AP29" s="208"/>
      <c r="AQ29" s="208"/>
      <c r="AR29" s="208"/>
      <c r="AS29" s="208"/>
      <c r="AT29" s="208"/>
    </row>
  </sheetData>
  <customSheetViews>
    <customSheetView guid="{31BAD605-5612-4733-8F02-7FA30239EFFB}" filter="1" showAutoFilter="1">
      <pageMargins left="0.511811024" right="0.511811024" top="0.78740157499999996" bottom="0.78740157499999996" header="0.31496062000000002" footer="0.31496062000000002"/>
      <autoFilter ref="C2:AG24" xr:uid="{B46ECD12-BAF2-41A4-A48E-B224B348239B}"/>
    </customSheetView>
  </customSheetViews>
  <mergeCells count="4">
    <mergeCell ref="A1:G1"/>
    <mergeCell ref="H1:I1"/>
    <mergeCell ref="J1:R1"/>
    <mergeCell ref="U1:Y1"/>
  </mergeCells>
  <conditionalFormatting sqref="F3:F24">
    <cfRule type="cellIs" dxfId="165" priority="1" operator="equal">
      <formula>"Conquest"</formula>
    </cfRule>
    <cfRule type="cellIs" dxfId="164" priority="2" operator="equal">
      <formula>"Voga"</formula>
    </cfRule>
  </conditionalFormatting>
  <conditionalFormatting sqref="M1 M3:M29">
    <cfRule type="notContainsBlanks" dxfId="163" priority="4">
      <formula>LEN(TRIM(M1))&gt;0</formula>
    </cfRule>
  </conditionalFormatting>
  <conditionalFormatting sqref="X3:X24">
    <cfRule type="notContainsBlanks" dxfId="162" priority="3">
      <formula>LEN(TRIM(X3))&gt;0</formula>
    </cfRule>
  </conditionalFormatting>
  <dataValidations count="12">
    <dataValidation type="list" allowBlank="1" showErrorMessage="1" sqref="E3:E24" xr:uid="{00000000-0002-0000-0600-000000000000}">
      <formula1>"Bluemetrix,Vcinvest,Voga,Bullside,Bluemetrix (MI)"</formula1>
    </dataValidation>
    <dataValidation type="list" allowBlank="1" showErrorMessage="1" sqref="Y3:Y24" xr:uid="{00000000-0002-0000-0600-000001000000}">
      <formula1>"Varejo,Qualificado,Profissional"</formula1>
    </dataValidation>
    <dataValidation type="list" allowBlank="1" showErrorMessage="1" sqref="H3:H24" xr:uid="{00000000-0002-0000-0600-000002000000}">
      <formula1>"Ativo,Pode Operar,Inativo,Encerrado"</formula1>
    </dataValidation>
    <dataValidation type="list" allowBlank="1" showErrorMessage="1" sqref="Q3:Q24" xr:uid="{00000000-0002-0000-0600-000003000000}">
      <formula1>"INT"</formula1>
    </dataValidation>
    <dataValidation type="list" allowBlank="1" showErrorMessage="1" sqref="X3:X24" xr:uid="{00000000-0002-0000-0600-000004000000}">
      <formula1>"Conservador,Moderado,Arrojado"</formula1>
    </dataValidation>
    <dataValidation type="list" allowBlank="1" showErrorMessage="1" sqref="W3:W24" xr:uid="{00000000-0002-0000-0600-000005000000}">
      <formula1>"Ativo,Inativo,Encerrado"</formula1>
    </dataValidation>
    <dataValidation type="list" allowBlank="1" showErrorMessage="1" sqref="I3:I24" xr:uid="{00000000-0002-0000-0600-000006000000}">
      <formula1>"------,Sem Saldo,STVM Entrada,STVM Saída,Alteração de C.A,Monitoramento,Bloqueado,Distrato"</formula1>
    </dataValidation>
    <dataValidation type="list" allowBlank="1" showErrorMessage="1" sqref="M3" xr:uid="{00000000-0002-0000-0600-000007000000}">
      <formula1>"W-8,W-9,------"</formula1>
    </dataValidation>
    <dataValidation type="list" allowBlank="1" showErrorMessage="1" sqref="F3:F24" xr:uid="{00000000-0002-0000-0600-000008000000}">
      <formula1>"DF,SP,GO,SUL,RJ"</formula1>
    </dataValidation>
    <dataValidation type="list" allowBlank="1" showErrorMessage="1" sqref="J3:J24" xr:uid="{00000000-0002-0000-0600-000009000000}">
      <formula1>"Assinado,Ñ Assinado,------"</formula1>
    </dataValidation>
    <dataValidation type="list" allowBlank="1" showErrorMessage="1" sqref="K3:L3 K4:M24" xr:uid="{00000000-0002-0000-0600-00000A000000}">
      <formula1>"Atualizado,Ac. BR.Plural,------"</formula1>
    </dataValidation>
    <dataValidation type="list" allowBlank="1" showErrorMessage="1" sqref="U3:U24" xr:uid="{00000000-0002-0000-0600-00000B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274E13"/>
    <outlinePr summaryBelow="0" summaryRight="0"/>
    <pageSetUpPr fitToPage="1"/>
  </sheetPr>
  <dimension ref="A1:Y1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3.8554687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8" width="15" customWidth="1"/>
    <col min="9" max="9" width="17.4257812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23.5703125" customWidth="1"/>
    <col min="16" max="16" width="60.28515625" customWidth="1"/>
    <col min="17" max="17" width="10" customWidth="1"/>
    <col min="18" max="18" width="10.7109375" customWidth="1"/>
    <col min="19" max="19" width="11.42578125" customWidth="1"/>
    <col min="20" max="20" width="11.5703125" customWidth="1"/>
    <col min="21" max="21" width="12.85546875" customWidth="1"/>
    <col min="22" max="22" width="22.5703125" customWidth="1"/>
    <col min="23" max="25" width="15.42578125" customWidth="1"/>
  </cols>
  <sheetData>
    <row r="1" spans="1:25" ht="15.75" customHeight="1">
      <c r="A1" s="649" t="s">
        <v>92</v>
      </c>
      <c r="B1" s="650"/>
      <c r="C1" s="650"/>
      <c r="D1" s="650"/>
      <c r="E1" s="650"/>
      <c r="F1" s="651"/>
      <c r="G1" s="652" t="s">
        <v>94</v>
      </c>
      <c r="H1" s="651"/>
      <c r="I1" s="649" t="s">
        <v>92</v>
      </c>
      <c r="J1" s="650"/>
      <c r="K1" s="650"/>
      <c r="L1" s="650"/>
      <c r="M1" s="650"/>
      <c r="N1" s="651"/>
      <c r="O1" s="228" t="s">
        <v>2883</v>
      </c>
      <c r="P1" s="383" t="s">
        <v>2882</v>
      </c>
      <c r="Q1" s="657" t="s">
        <v>95</v>
      </c>
      <c r="R1" s="650"/>
      <c r="S1" s="650"/>
      <c r="T1" s="650"/>
      <c r="U1" s="650"/>
      <c r="V1" s="651"/>
      <c r="W1" s="230" t="s">
        <v>96</v>
      </c>
      <c r="X1" s="230" t="s">
        <v>96</v>
      </c>
      <c r="Y1" s="230" t="s">
        <v>96</v>
      </c>
    </row>
    <row r="2" spans="1:25" ht="25.5">
      <c r="A2" s="1" t="s">
        <v>2</v>
      </c>
      <c r="B2" s="1" t="s">
        <v>97</v>
      </c>
      <c r="C2" s="384" t="s">
        <v>1</v>
      </c>
      <c r="D2" s="384" t="s">
        <v>3</v>
      </c>
      <c r="E2" s="384" t="s">
        <v>4</v>
      </c>
      <c r="F2" s="384" t="s">
        <v>5</v>
      </c>
      <c r="G2" s="1" t="s">
        <v>99</v>
      </c>
      <c r="H2" s="1" t="s">
        <v>100</v>
      </c>
      <c r="I2" s="1" t="s">
        <v>3709</v>
      </c>
      <c r="J2" s="1" t="s">
        <v>101</v>
      </c>
      <c r="K2" s="384" t="s">
        <v>102</v>
      </c>
      <c r="L2" s="384" t="s">
        <v>103</v>
      </c>
      <c r="M2" s="384" t="s">
        <v>8</v>
      </c>
      <c r="N2" s="385" t="s">
        <v>104</v>
      </c>
      <c r="O2" s="2" t="s">
        <v>3703</v>
      </c>
      <c r="P2" s="2" t="s">
        <v>106</v>
      </c>
      <c r="Q2" s="1" t="s">
        <v>107</v>
      </c>
      <c r="R2" s="384" t="s">
        <v>13</v>
      </c>
      <c r="S2" s="1" t="s">
        <v>12</v>
      </c>
      <c r="T2" s="1" t="s">
        <v>108</v>
      </c>
      <c r="U2" s="1" t="s">
        <v>14</v>
      </c>
      <c r="V2" s="1" t="s">
        <v>111</v>
      </c>
      <c r="W2" s="384">
        <v>45504</v>
      </c>
      <c r="X2" s="384">
        <v>45534</v>
      </c>
      <c r="Y2" s="384">
        <v>45565</v>
      </c>
    </row>
    <row r="3" spans="1:25" ht="15.75" customHeight="1">
      <c r="A3" s="37" t="s">
        <v>18</v>
      </c>
      <c r="B3" s="36" t="s">
        <v>742</v>
      </c>
      <c r="C3" s="6" t="s">
        <v>3768</v>
      </c>
      <c r="D3" s="9" t="s">
        <v>19</v>
      </c>
      <c r="E3" s="9" t="s">
        <v>20</v>
      </c>
      <c r="F3" s="9" t="s">
        <v>199</v>
      </c>
      <c r="G3" s="334" t="s">
        <v>167</v>
      </c>
      <c r="H3" s="24" t="s">
        <v>25</v>
      </c>
      <c r="I3" s="9" t="s">
        <v>3719</v>
      </c>
      <c r="J3" s="9" t="str">
        <f>IF(O3=0,"Não","Sim")</f>
        <v>Não</v>
      </c>
      <c r="K3" s="107">
        <v>45484</v>
      </c>
      <c r="L3" s="6"/>
      <c r="M3" s="6" t="s">
        <v>24</v>
      </c>
      <c r="N3" s="10">
        <v>0.01</v>
      </c>
      <c r="O3" s="108"/>
      <c r="P3" s="108"/>
      <c r="Q3" s="6" t="s">
        <v>145</v>
      </c>
      <c r="R3" s="6" t="s">
        <v>20</v>
      </c>
      <c r="S3" s="36" t="s">
        <v>744</v>
      </c>
      <c r="T3" s="24" t="e">
        <f t="shared" ref="T3:T4" ca="1" si="0">_xludf.IFS(H:H="Encerrado","Encerrado",COUNTBLANK(AD3:AO3)&gt;0,"Ativo",SUM(AD3:AO3)=0,"Inativo",SUM(AD3:AO3)&gt;0,"Ativo")</f>
        <v>#NAME?</v>
      </c>
      <c r="U3" s="6" t="s">
        <v>52</v>
      </c>
      <c r="V3" s="6"/>
      <c r="W3" s="402">
        <v>183280.25</v>
      </c>
      <c r="X3" s="402">
        <v>188236.87</v>
      </c>
      <c r="Y3" s="402">
        <v>130068.69</v>
      </c>
    </row>
    <row r="4" spans="1:25" ht="15.75" customHeight="1">
      <c r="A4" s="37" t="s">
        <v>18</v>
      </c>
      <c r="B4" s="88" t="s">
        <v>1273</v>
      </c>
      <c r="C4" s="7" t="s">
        <v>3769</v>
      </c>
      <c r="D4" s="9" t="s">
        <v>19</v>
      </c>
      <c r="E4" s="9" t="s">
        <v>20</v>
      </c>
      <c r="F4" s="9" t="s">
        <v>199</v>
      </c>
      <c r="G4" s="334" t="s">
        <v>167</v>
      </c>
      <c r="H4" s="24" t="s">
        <v>25</v>
      </c>
      <c r="I4" s="9" t="s">
        <v>3719</v>
      </c>
      <c r="J4" s="9" t="s">
        <v>181</v>
      </c>
      <c r="K4" s="25">
        <v>45489</v>
      </c>
      <c r="L4" s="7"/>
      <c r="M4" s="7" t="s">
        <v>24</v>
      </c>
      <c r="N4" s="26">
        <v>0.01</v>
      </c>
      <c r="O4" s="28"/>
      <c r="P4" s="28"/>
      <c r="Q4" s="7" t="s">
        <v>145</v>
      </c>
      <c r="R4" s="6" t="s">
        <v>20</v>
      </c>
      <c r="S4" s="88" t="s">
        <v>1275</v>
      </c>
      <c r="T4" s="24" t="e">
        <f t="shared" ca="1" si="0"/>
        <v>#NAME?</v>
      </c>
      <c r="U4" s="7" t="s">
        <v>52</v>
      </c>
      <c r="V4" s="7"/>
      <c r="W4" s="403">
        <v>514810.92</v>
      </c>
      <c r="X4" s="402">
        <v>529442.29</v>
      </c>
      <c r="Y4" s="402">
        <v>536779.39</v>
      </c>
    </row>
    <row r="5" spans="1:25" ht="15.75" customHeight="1">
      <c r="A5" s="37"/>
      <c r="B5" s="23"/>
      <c r="C5" s="4"/>
      <c r="D5" s="9"/>
      <c r="E5" s="9"/>
      <c r="F5" s="9"/>
      <c r="G5" s="334"/>
      <c r="H5" s="24"/>
      <c r="I5" s="9"/>
      <c r="J5" s="9"/>
      <c r="K5" s="25"/>
      <c r="L5" s="7"/>
      <c r="M5" s="7"/>
      <c r="N5" s="26"/>
      <c r="O5" s="28"/>
      <c r="P5" s="28"/>
      <c r="Q5" s="7"/>
      <c r="R5" s="6"/>
      <c r="S5" s="88"/>
      <c r="T5" s="24"/>
      <c r="U5" s="7"/>
      <c r="V5" s="7"/>
      <c r="W5" s="402"/>
      <c r="X5" s="402"/>
      <c r="Y5" s="402"/>
    </row>
    <row r="6" spans="1:25" ht="15.75" customHeight="1">
      <c r="A6" s="304"/>
      <c r="B6" s="304"/>
      <c r="C6" s="305"/>
      <c r="D6" s="306"/>
      <c r="E6" s="306"/>
      <c r="F6" s="307"/>
      <c r="G6" s="202"/>
      <c r="H6" s="202"/>
      <c r="I6" s="202"/>
      <c r="J6" s="202"/>
      <c r="K6" s="308"/>
      <c r="L6" s="308"/>
      <c r="M6" s="307"/>
      <c r="N6" s="309"/>
      <c r="O6" s="311"/>
      <c r="P6" s="311"/>
      <c r="Q6" s="307"/>
      <c r="R6" s="307"/>
      <c r="S6" s="304"/>
      <c r="T6" s="307"/>
      <c r="U6" s="308"/>
      <c r="V6" s="308"/>
      <c r="W6" s="208"/>
      <c r="X6" s="208"/>
      <c r="Y6" s="208"/>
    </row>
    <row r="7" spans="1:25" ht="15.75" customHeight="1">
      <c r="A7" s="304"/>
      <c r="B7" s="304"/>
      <c r="C7" s="305"/>
      <c r="D7" s="306"/>
      <c r="E7" s="306"/>
      <c r="F7" s="307"/>
      <c r="G7" s="202"/>
      <c r="H7" s="202"/>
      <c r="I7" s="202"/>
      <c r="J7" s="202"/>
      <c r="K7" s="308"/>
      <c r="L7" s="308"/>
      <c r="M7" s="307"/>
      <c r="N7" s="309"/>
      <c r="O7" s="311"/>
      <c r="P7" s="311"/>
      <c r="Q7" s="307"/>
      <c r="R7" s="307"/>
      <c r="S7" s="304"/>
      <c r="T7" s="307"/>
      <c r="U7" s="308"/>
      <c r="V7" s="308"/>
      <c r="W7" s="208"/>
      <c r="X7" s="208"/>
      <c r="Y7" s="208"/>
    </row>
    <row r="8" spans="1:25" ht="15.75" customHeight="1">
      <c r="A8" s="312"/>
      <c r="B8" s="313" t="s">
        <v>2878</v>
      </c>
      <c r="C8" s="314">
        <f>COUNTIF(G:G,"Ativo")</f>
        <v>0</v>
      </c>
      <c r="D8" s="307"/>
      <c r="E8" s="307"/>
      <c r="F8" s="307"/>
      <c r="G8" s="307"/>
      <c r="H8" s="307"/>
      <c r="I8" s="307"/>
      <c r="J8" s="307"/>
      <c r="K8" s="308"/>
      <c r="L8" s="308"/>
      <c r="M8" s="307"/>
      <c r="N8" s="309"/>
      <c r="O8" s="311"/>
      <c r="P8" s="311"/>
      <c r="Q8" s="307"/>
      <c r="R8" s="307"/>
      <c r="S8" s="308"/>
      <c r="T8" s="307"/>
      <c r="U8" s="308"/>
      <c r="V8" s="308"/>
      <c r="W8" s="401">
        <f t="shared" ref="W8:Y8" si="1">SUM(W3:W5)</f>
        <v>698091.16999999993</v>
      </c>
      <c r="X8" s="401">
        <f t="shared" si="1"/>
        <v>717679.16</v>
      </c>
      <c r="Y8" s="401">
        <f t="shared" si="1"/>
        <v>666848.08000000007</v>
      </c>
    </row>
    <row r="9" spans="1:25" ht="15.75" customHeight="1">
      <c r="A9" s="316"/>
      <c r="B9" s="317" t="s">
        <v>2879</v>
      </c>
      <c r="C9" s="318">
        <f>COUNTIF(G:G,"Inativo")</f>
        <v>0</v>
      </c>
      <c r="D9" s="319"/>
      <c r="E9" s="319"/>
      <c r="F9" s="319"/>
      <c r="G9" s="306"/>
      <c r="H9" s="306"/>
      <c r="I9" s="306"/>
      <c r="J9" s="306"/>
      <c r="K9" s="320"/>
      <c r="L9" s="321"/>
      <c r="M9" s="306"/>
      <c r="N9" s="309"/>
      <c r="O9" s="311"/>
      <c r="P9" s="311"/>
      <c r="Q9" s="307"/>
      <c r="R9" s="307"/>
      <c r="S9" s="308"/>
      <c r="T9" s="307"/>
      <c r="U9" s="321"/>
      <c r="V9" s="321"/>
      <c r="W9" s="208"/>
      <c r="X9" s="208"/>
      <c r="Y9" s="208"/>
    </row>
    <row r="10" spans="1:25" ht="15.75" customHeight="1">
      <c r="A10" s="316"/>
      <c r="B10" s="317" t="s">
        <v>2880</v>
      </c>
      <c r="C10" s="318">
        <f>COUNTIF(G:G,"Encerrado")</f>
        <v>0</v>
      </c>
      <c r="D10" s="319"/>
      <c r="E10" s="319"/>
      <c r="F10" s="319"/>
      <c r="G10" s="306"/>
      <c r="H10" s="306"/>
      <c r="I10" s="306"/>
      <c r="J10" s="306"/>
      <c r="K10" s="320"/>
      <c r="L10" s="321"/>
      <c r="M10" s="306"/>
      <c r="N10" s="309"/>
      <c r="O10" s="311"/>
      <c r="P10" s="311"/>
      <c r="Q10" s="307"/>
      <c r="R10" s="307"/>
      <c r="S10" s="308"/>
      <c r="T10" s="307"/>
      <c r="U10" s="321"/>
      <c r="V10" s="321"/>
      <c r="W10" s="208"/>
      <c r="X10" s="208"/>
      <c r="Y10" s="208"/>
    </row>
    <row r="11" spans="1:25" ht="15.75" customHeight="1">
      <c r="A11" s="324"/>
      <c r="B11" s="325" t="s">
        <v>2881</v>
      </c>
      <c r="C11" s="326">
        <f>COUNTIF(G:G,"Pode Operar")</f>
        <v>2</v>
      </c>
      <c r="D11" s="319"/>
      <c r="E11" s="319"/>
      <c r="F11" s="319"/>
      <c r="G11" s="306"/>
      <c r="H11" s="306"/>
      <c r="I11" s="306"/>
      <c r="J11" s="306"/>
      <c r="K11" s="320"/>
      <c r="L11" s="321"/>
      <c r="M11" s="306"/>
      <c r="N11" s="309"/>
      <c r="O11" s="311"/>
      <c r="P11" s="311"/>
      <c r="Q11" s="307"/>
      <c r="R11" s="307"/>
      <c r="S11" s="308"/>
      <c r="T11" s="307"/>
      <c r="U11" s="321"/>
      <c r="V11" s="321"/>
      <c r="W11" s="208"/>
      <c r="X11" s="208"/>
      <c r="Y11" s="208"/>
    </row>
    <row r="12" spans="1:25" ht="15.75" customHeight="1">
      <c r="A12" s="327"/>
      <c r="B12" s="327"/>
      <c r="C12" s="328"/>
      <c r="D12" s="319"/>
      <c r="E12" s="319"/>
      <c r="F12" s="329"/>
      <c r="G12" s="306"/>
      <c r="H12" s="306"/>
      <c r="I12" s="306"/>
      <c r="J12" s="306"/>
      <c r="K12" s="320"/>
      <c r="L12" s="308"/>
      <c r="M12" s="307"/>
      <c r="N12" s="309"/>
      <c r="O12" s="311"/>
      <c r="P12" s="311"/>
      <c r="Q12" s="307"/>
      <c r="R12" s="307"/>
      <c r="S12" s="327"/>
      <c r="T12" s="307"/>
      <c r="U12" s="308"/>
      <c r="V12" s="308"/>
      <c r="W12" s="208"/>
      <c r="X12" s="208"/>
      <c r="Y12" s="208"/>
    </row>
  </sheetData>
  <customSheetViews>
    <customSheetView guid="{31BAD605-5612-4733-8F02-7FA30239EFFB}" filter="1" showAutoFilter="1">
      <pageMargins left="0.511811024" right="0.511811024" top="0.78740157499999996" bottom="0.78740157499999996" header="0.31496062000000002" footer="0.31496062000000002"/>
      <autoFilter ref="B2:W5" xr:uid="{972E569E-598E-4BD3-9A11-EB54B34F5799}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61" priority="1" operator="equal">
      <formula>"Conquest"</formula>
    </cfRule>
    <cfRule type="cellIs" dxfId="160" priority="2" operator="equal">
      <formula>"Voga"</formula>
    </cfRule>
  </conditionalFormatting>
  <conditionalFormatting sqref="U3:U5">
    <cfRule type="notContainsBlanks" dxfId="159" priority="3">
      <formula>LEN(TRIM(U3))&gt;0</formula>
    </cfRule>
  </conditionalFormatting>
  <dataValidations count="10">
    <dataValidation type="list" allowBlank="1" showErrorMessage="1" sqref="V3:V5" xr:uid="{00000000-0002-0000-0700-000000000000}">
      <formula1>"Varejo,Qualificado,Profissional"</formula1>
    </dataValidation>
    <dataValidation type="list" allowBlank="1" showErrorMessage="1" sqref="G3:G5" xr:uid="{00000000-0002-0000-0700-000001000000}">
      <formula1>"Ativo,Pode Operar,Inativo,Encerrado"</formula1>
    </dataValidation>
    <dataValidation type="list" allowBlank="1" showErrorMessage="1" sqref="M3:M5" xr:uid="{00000000-0002-0000-0700-000002000000}">
      <formula1>"INT"</formula1>
    </dataValidation>
    <dataValidation type="list" allowBlank="1" showErrorMessage="1" sqref="U3:U5" xr:uid="{00000000-0002-0000-0700-000003000000}">
      <formula1>"Conservador,Moderado,Arrojado"</formula1>
    </dataValidation>
    <dataValidation type="list" allowBlank="1" showErrorMessage="1" sqref="E3:E5" xr:uid="{00000000-0002-0000-0700-000004000000}">
      <formula1>"DF,SP,GO"</formula1>
    </dataValidation>
    <dataValidation type="list" allowBlank="1" showErrorMessage="1" sqref="T3:T5" xr:uid="{00000000-0002-0000-0700-000005000000}">
      <formula1>"Ativo,Inativo,Encerrado"</formula1>
    </dataValidation>
    <dataValidation type="list" allowBlank="1" showErrorMessage="1" sqref="H3:H5" xr:uid="{00000000-0002-0000-0700-000006000000}">
      <formula1>"------,Sem Saldo,STVM Entrada,STVM Saída,Alteração de C.A,Monitoramento,Bloqueado"</formula1>
    </dataValidation>
    <dataValidation type="list" allowBlank="1" showErrorMessage="1" sqref="I3:I5" xr:uid="{00000000-0002-0000-0700-000007000000}">
      <formula1>"Assinado,Ñ Assinado,------"</formula1>
    </dataValidation>
    <dataValidation type="list" allowBlank="1" showErrorMessage="1" sqref="D3:D5" xr:uid="{00000000-0002-0000-0700-000008000000}">
      <formula1>"Bluemetrix,Vcinvest,Voga"</formula1>
    </dataValidation>
    <dataValidation type="list" allowBlank="1" showErrorMessage="1" sqref="Q3:Q5" xr:uid="{00000000-0002-0000-07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900FF"/>
    <outlinePr summaryBelow="0" summaryRight="0"/>
    <pageSetUpPr fitToPage="1"/>
  </sheetPr>
  <dimension ref="A1:AE1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10" width="15" customWidth="1"/>
    <col min="11" max="11" width="9.42578125" customWidth="1"/>
    <col min="12" max="12" width="15.140625" customWidth="1"/>
    <col min="13" max="13" width="12.85546875" customWidth="1"/>
    <col min="14" max="15" width="14.42578125" customWidth="1"/>
    <col min="16" max="16" width="23.5703125" customWidth="1"/>
    <col min="17" max="17" width="17.85546875" customWidth="1"/>
    <col min="18" max="18" width="10" customWidth="1"/>
    <col min="19" max="19" width="11.42578125" customWidth="1"/>
    <col min="20" max="20" width="10.7109375" customWidth="1"/>
    <col min="21" max="21" width="11.5703125" customWidth="1"/>
    <col min="22" max="22" width="12.85546875" customWidth="1"/>
    <col min="23" max="23" width="22.5703125" customWidth="1"/>
    <col min="24" max="31" width="18.7109375" customWidth="1"/>
  </cols>
  <sheetData>
    <row r="1" spans="1:31" ht="15.75" customHeight="1">
      <c r="A1" s="646" t="s">
        <v>92</v>
      </c>
      <c r="B1" s="647"/>
      <c r="C1" s="647"/>
      <c r="D1" s="647"/>
      <c r="E1" s="647"/>
      <c r="F1" s="647"/>
      <c r="G1" s="648" t="s">
        <v>94</v>
      </c>
      <c r="H1" s="647"/>
      <c r="I1" s="646" t="s">
        <v>92</v>
      </c>
      <c r="J1" s="647"/>
      <c r="K1" s="647"/>
      <c r="L1" s="647"/>
      <c r="M1" s="647"/>
      <c r="N1" s="647"/>
      <c r="O1" s="647"/>
      <c r="P1" s="291" t="s">
        <v>2883</v>
      </c>
      <c r="Q1" s="17" t="s">
        <v>2882</v>
      </c>
      <c r="R1" s="655" t="s">
        <v>95</v>
      </c>
      <c r="S1" s="647"/>
      <c r="T1" s="647"/>
      <c r="U1" s="647"/>
      <c r="V1" s="647"/>
      <c r="W1" s="647"/>
      <c r="X1" s="658" t="s">
        <v>96</v>
      </c>
      <c r="Y1" s="647"/>
      <c r="Z1" s="647"/>
      <c r="AA1" s="647"/>
      <c r="AB1" s="647"/>
      <c r="AC1" s="647"/>
      <c r="AD1" s="647"/>
      <c r="AE1" s="647"/>
    </row>
    <row r="2" spans="1:31" ht="15.75" customHeight="1">
      <c r="A2" s="19" t="s">
        <v>2</v>
      </c>
      <c r="B2" s="1" t="s">
        <v>0</v>
      </c>
      <c r="C2" s="384" t="s">
        <v>1</v>
      </c>
      <c r="D2" s="384" t="s">
        <v>3</v>
      </c>
      <c r="E2" s="384" t="s">
        <v>4</v>
      </c>
      <c r="F2" s="384" t="s">
        <v>5</v>
      </c>
      <c r="G2" s="1" t="s">
        <v>99</v>
      </c>
      <c r="H2" s="1" t="s">
        <v>100</v>
      </c>
      <c r="I2" s="1" t="s">
        <v>3710</v>
      </c>
      <c r="J2" s="1" t="s">
        <v>3711</v>
      </c>
      <c r="K2" s="1" t="s">
        <v>101</v>
      </c>
      <c r="L2" s="384" t="s">
        <v>102</v>
      </c>
      <c r="M2" s="384" t="s">
        <v>103</v>
      </c>
      <c r="N2" s="384" t="s">
        <v>8</v>
      </c>
      <c r="O2" s="385" t="s">
        <v>104</v>
      </c>
      <c r="P2" s="2" t="s">
        <v>3703</v>
      </c>
      <c r="Q2" s="2" t="s">
        <v>106</v>
      </c>
      <c r="R2" s="1" t="s">
        <v>107</v>
      </c>
      <c r="S2" s="1" t="s">
        <v>3770</v>
      </c>
      <c r="T2" s="384" t="s">
        <v>13</v>
      </c>
      <c r="U2" s="1" t="s">
        <v>108</v>
      </c>
      <c r="V2" s="1" t="s">
        <v>14</v>
      </c>
      <c r="W2" s="1" t="s">
        <v>111</v>
      </c>
      <c r="X2" s="404">
        <v>44957</v>
      </c>
      <c r="Y2" s="404">
        <v>44985</v>
      </c>
      <c r="Z2" s="404">
        <v>45016</v>
      </c>
      <c r="AA2" s="404">
        <v>45044</v>
      </c>
      <c r="AB2" s="404">
        <v>45077</v>
      </c>
      <c r="AC2" s="404">
        <v>45107</v>
      </c>
      <c r="AD2" s="404">
        <v>45138</v>
      </c>
      <c r="AE2" s="404">
        <v>45169</v>
      </c>
    </row>
    <row r="3" spans="1:31" ht="15.75" customHeight="1">
      <c r="A3" s="80" t="s">
        <v>3771</v>
      </c>
      <c r="B3" s="161" t="s">
        <v>3772</v>
      </c>
      <c r="C3" s="91" t="s">
        <v>3773</v>
      </c>
      <c r="D3" s="9" t="s">
        <v>19</v>
      </c>
      <c r="E3" s="9" t="s">
        <v>20</v>
      </c>
      <c r="F3" s="405" t="s">
        <v>21</v>
      </c>
      <c r="G3" s="334" t="s">
        <v>152</v>
      </c>
      <c r="H3" s="24" t="s">
        <v>25</v>
      </c>
      <c r="I3" s="9"/>
      <c r="J3" s="9"/>
      <c r="K3" s="9" t="str">
        <f t="shared" ref="K3:K6" si="0">IF(P3=0,"Não","Sim")</f>
        <v>Não</v>
      </c>
      <c r="L3" s="391"/>
      <c r="M3" s="299"/>
      <c r="N3" s="7" t="s">
        <v>24</v>
      </c>
      <c r="O3" s="392">
        <v>8.0000000000000002E-3</v>
      </c>
      <c r="P3" s="28"/>
      <c r="Q3" s="28"/>
      <c r="R3" s="7" t="s">
        <v>145</v>
      </c>
      <c r="S3" s="80" t="s">
        <v>425</v>
      </c>
      <c r="T3" s="6" t="s">
        <v>20</v>
      </c>
      <c r="U3" s="7"/>
      <c r="V3" s="7"/>
      <c r="W3" s="7"/>
      <c r="X3" s="393"/>
      <c r="Y3" s="393"/>
      <c r="Z3" s="393"/>
      <c r="AA3" s="393"/>
      <c r="AB3" s="393"/>
      <c r="AC3" s="393"/>
      <c r="AD3" s="393"/>
      <c r="AE3" s="110"/>
    </row>
    <row r="4" spans="1:31" ht="15.75" customHeight="1">
      <c r="A4" s="80" t="s">
        <v>3771</v>
      </c>
      <c r="B4" s="406" t="s">
        <v>1062</v>
      </c>
      <c r="C4" s="399" t="s">
        <v>3774</v>
      </c>
      <c r="D4" s="9" t="s">
        <v>19</v>
      </c>
      <c r="E4" s="9" t="s">
        <v>34</v>
      </c>
      <c r="F4" s="405" t="s">
        <v>35</v>
      </c>
      <c r="G4" s="334" t="s">
        <v>152</v>
      </c>
      <c r="H4" s="24" t="s">
        <v>25</v>
      </c>
      <c r="I4" s="9"/>
      <c r="J4" s="9"/>
      <c r="K4" s="9" t="str">
        <f t="shared" si="0"/>
        <v>Não</v>
      </c>
      <c r="L4" s="391"/>
      <c r="M4" s="391"/>
      <c r="N4" s="7" t="s">
        <v>24</v>
      </c>
      <c r="O4" s="392">
        <v>8.0000000000000002E-3</v>
      </c>
      <c r="P4" s="28"/>
      <c r="Q4" s="28"/>
      <c r="R4" s="7" t="s">
        <v>145</v>
      </c>
      <c r="S4" s="80" t="s">
        <v>1065</v>
      </c>
      <c r="T4" s="6" t="s">
        <v>39</v>
      </c>
      <c r="U4" s="7"/>
      <c r="V4" s="7"/>
      <c r="W4" s="7"/>
      <c r="X4" s="393"/>
      <c r="Y4" s="393"/>
      <c r="Z4" s="393"/>
      <c r="AA4" s="393"/>
      <c r="AB4" s="393"/>
      <c r="AC4" s="393"/>
      <c r="AD4" s="393"/>
      <c r="AE4" s="110"/>
    </row>
    <row r="5" spans="1:31" ht="15.75" customHeight="1">
      <c r="A5" s="80" t="s">
        <v>3771</v>
      </c>
      <c r="B5" s="406" t="s">
        <v>1062</v>
      </c>
      <c r="C5" s="399" t="s">
        <v>3774</v>
      </c>
      <c r="D5" s="9" t="s">
        <v>19</v>
      </c>
      <c r="E5" s="9" t="s">
        <v>34</v>
      </c>
      <c r="F5" s="405" t="s">
        <v>35</v>
      </c>
      <c r="G5" s="334" t="s">
        <v>167</v>
      </c>
      <c r="H5" s="24" t="s">
        <v>25</v>
      </c>
      <c r="I5" s="9"/>
      <c r="J5" s="9"/>
      <c r="K5" s="9" t="str">
        <f t="shared" si="0"/>
        <v>Não</v>
      </c>
      <c r="L5" s="391"/>
      <c r="M5" s="391"/>
      <c r="N5" s="7" t="s">
        <v>24</v>
      </c>
      <c r="O5" s="392">
        <v>8.0000000000000002E-3</v>
      </c>
      <c r="P5" s="28"/>
      <c r="Q5" s="28"/>
      <c r="R5" s="7" t="s">
        <v>145</v>
      </c>
      <c r="S5" s="80" t="s">
        <v>1065</v>
      </c>
      <c r="T5" s="6" t="s">
        <v>39</v>
      </c>
      <c r="U5" s="7"/>
      <c r="V5" s="7"/>
      <c r="W5" s="7"/>
      <c r="X5" s="393"/>
      <c r="Y5" s="393"/>
      <c r="Z5" s="393"/>
      <c r="AA5" s="393"/>
      <c r="AB5" s="393"/>
      <c r="AC5" s="393"/>
      <c r="AD5" s="393"/>
      <c r="AE5" s="110"/>
    </row>
    <row r="6" spans="1:31" ht="15.75" customHeight="1">
      <c r="A6" s="80" t="s">
        <v>3771</v>
      </c>
      <c r="B6" s="80" t="s">
        <v>1780</v>
      </c>
      <c r="C6" s="91" t="s">
        <v>3775</v>
      </c>
      <c r="D6" s="9" t="s">
        <v>19</v>
      </c>
      <c r="E6" s="9" t="s">
        <v>34</v>
      </c>
      <c r="F6" s="405" t="s">
        <v>35</v>
      </c>
      <c r="G6" s="334" t="s">
        <v>152</v>
      </c>
      <c r="H6" s="24" t="s">
        <v>25</v>
      </c>
      <c r="I6" s="9"/>
      <c r="J6" s="9"/>
      <c r="K6" s="9" t="str">
        <f t="shared" si="0"/>
        <v>Não</v>
      </c>
      <c r="L6" s="391"/>
      <c r="M6" s="299"/>
      <c r="N6" s="7" t="s">
        <v>24</v>
      </c>
      <c r="O6" s="392">
        <v>8.0000000000000002E-3</v>
      </c>
      <c r="P6" s="28"/>
      <c r="Q6" s="28"/>
      <c r="R6" s="7" t="s">
        <v>145</v>
      </c>
      <c r="S6" s="80" t="s">
        <v>1783</v>
      </c>
      <c r="T6" s="6" t="s">
        <v>39</v>
      </c>
      <c r="U6" s="7"/>
      <c r="V6" s="7"/>
      <c r="W6" s="7"/>
      <c r="X6" s="393"/>
      <c r="Y6" s="393"/>
      <c r="Z6" s="393"/>
      <c r="AA6" s="393"/>
      <c r="AB6" s="393"/>
      <c r="AC6" s="393"/>
      <c r="AD6" s="393"/>
      <c r="AE6" s="110"/>
    </row>
    <row r="7" spans="1:31" ht="15.75" customHeight="1">
      <c r="A7" s="304"/>
      <c r="B7" s="304"/>
      <c r="C7" s="305"/>
      <c r="D7" s="306"/>
      <c r="E7" s="306"/>
      <c r="F7" s="307"/>
      <c r="G7" s="202"/>
      <c r="H7" s="202"/>
      <c r="I7" s="202"/>
      <c r="J7" s="202"/>
      <c r="K7" s="202"/>
      <c r="L7" s="308"/>
      <c r="M7" s="308"/>
      <c r="N7" s="307"/>
      <c r="O7" s="309"/>
      <c r="P7" s="311"/>
      <c r="Q7" s="311"/>
      <c r="R7" s="307"/>
      <c r="S7" s="304"/>
      <c r="T7" s="307"/>
      <c r="U7" s="307"/>
      <c r="V7" s="308"/>
      <c r="W7" s="308"/>
      <c r="X7" s="208"/>
      <c r="Y7" s="208"/>
      <c r="Z7" s="208"/>
      <c r="AA7" s="208"/>
      <c r="AB7" s="208"/>
      <c r="AC7" s="208"/>
      <c r="AD7" s="208"/>
      <c r="AE7" s="208"/>
    </row>
    <row r="8" spans="1:31" ht="15.75" customHeight="1">
      <c r="A8" s="312"/>
      <c r="B8" s="313" t="s">
        <v>2878</v>
      </c>
      <c r="C8" s="314">
        <f>COUNTIF(G:G,"Ativo")</f>
        <v>3</v>
      </c>
      <c r="D8" s="307"/>
      <c r="E8" s="307"/>
      <c r="F8" s="307"/>
      <c r="G8" s="307"/>
      <c r="H8" s="307"/>
      <c r="I8" s="307"/>
      <c r="J8" s="307"/>
      <c r="K8" s="307"/>
      <c r="L8" s="308"/>
      <c r="M8" s="308"/>
      <c r="N8" s="307"/>
      <c r="O8" s="309"/>
      <c r="P8" s="311"/>
      <c r="Q8" s="311"/>
      <c r="R8" s="307"/>
      <c r="S8" s="315"/>
      <c r="T8" s="307"/>
      <c r="U8" s="307"/>
      <c r="V8" s="308"/>
      <c r="W8" s="308"/>
      <c r="X8" s="213">
        <f t="shared" ref="X8:AE8" si="1">SUM(X3:X7)</f>
        <v>0</v>
      </c>
      <c r="Y8" s="213">
        <f t="shared" si="1"/>
        <v>0</v>
      </c>
      <c r="Z8" s="213">
        <f t="shared" si="1"/>
        <v>0</v>
      </c>
      <c r="AA8" s="213">
        <f t="shared" si="1"/>
        <v>0</v>
      </c>
      <c r="AB8" s="213">
        <f t="shared" si="1"/>
        <v>0</v>
      </c>
      <c r="AC8" s="213">
        <f t="shared" si="1"/>
        <v>0</v>
      </c>
      <c r="AD8" s="213">
        <f t="shared" si="1"/>
        <v>0</v>
      </c>
      <c r="AE8" s="213">
        <f t="shared" si="1"/>
        <v>0</v>
      </c>
    </row>
    <row r="9" spans="1:31" ht="15.75" customHeight="1">
      <c r="A9" s="316"/>
      <c r="B9" s="317" t="s">
        <v>2879</v>
      </c>
      <c r="C9" s="318">
        <f>COUNTIF(G:G,"Inativo")</f>
        <v>0</v>
      </c>
      <c r="D9" s="319"/>
      <c r="E9" s="319"/>
      <c r="F9" s="319"/>
      <c r="G9" s="306"/>
      <c r="H9" s="306"/>
      <c r="I9" s="306"/>
      <c r="J9" s="306"/>
      <c r="K9" s="306"/>
      <c r="L9" s="320"/>
      <c r="M9" s="321"/>
      <c r="N9" s="306"/>
      <c r="O9" s="309"/>
      <c r="P9" s="311"/>
      <c r="Q9" s="311"/>
      <c r="R9" s="307"/>
      <c r="S9" s="315"/>
      <c r="T9" s="307"/>
      <c r="U9" s="307"/>
      <c r="V9" s="321"/>
      <c r="W9" s="321"/>
      <c r="X9" s="208"/>
      <c r="Y9" s="208"/>
      <c r="Z9" s="208"/>
      <c r="AA9" s="208"/>
      <c r="AB9" s="208"/>
      <c r="AC9" s="208"/>
      <c r="AD9" s="208"/>
      <c r="AE9" s="208"/>
    </row>
    <row r="10" spans="1:31" ht="15.75" customHeight="1">
      <c r="A10" s="316"/>
      <c r="B10" s="317" t="s">
        <v>2880</v>
      </c>
      <c r="C10" s="318">
        <f>COUNTIF(G:G,"Encerrado")</f>
        <v>0</v>
      </c>
      <c r="D10" s="319"/>
      <c r="E10" s="319"/>
      <c r="F10" s="319"/>
      <c r="G10" s="306"/>
      <c r="H10" s="306"/>
      <c r="I10" s="306"/>
      <c r="J10" s="306"/>
      <c r="K10" s="306"/>
      <c r="L10" s="320"/>
      <c r="M10" s="321"/>
      <c r="N10" s="306"/>
      <c r="O10" s="309"/>
      <c r="P10" s="311"/>
      <c r="Q10" s="311"/>
      <c r="R10" s="307"/>
      <c r="S10" s="315"/>
      <c r="T10" s="307"/>
      <c r="U10" s="307"/>
      <c r="V10" s="321"/>
      <c r="W10" s="321"/>
      <c r="X10" s="208"/>
      <c r="Y10" s="208"/>
      <c r="Z10" s="208"/>
      <c r="AA10" s="208"/>
      <c r="AB10" s="208"/>
      <c r="AC10" s="208"/>
      <c r="AD10" s="208"/>
      <c r="AE10" s="208"/>
    </row>
    <row r="11" spans="1:31" ht="15.75" customHeight="1">
      <c r="A11" s="324"/>
      <c r="B11" s="325" t="s">
        <v>2881</v>
      </c>
      <c r="C11" s="326">
        <f>COUNTIF(G:G,"Pode Operar")</f>
        <v>1</v>
      </c>
      <c r="D11" s="319"/>
      <c r="E11" s="319"/>
      <c r="F11" s="319"/>
      <c r="G11" s="306"/>
      <c r="H11" s="306"/>
      <c r="I11" s="306"/>
      <c r="J11" s="306"/>
      <c r="K11" s="306"/>
      <c r="L11" s="320"/>
      <c r="M11" s="321"/>
      <c r="N11" s="306"/>
      <c r="O11" s="309"/>
      <c r="P11" s="311"/>
      <c r="Q11" s="311"/>
      <c r="R11" s="307"/>
      <c r="S11" s="315"/>
      <c r="T11" s="307"/>
      <c r="U11" s="307"/>
      <c r="V11" s="321"/>
      <c r="W11" s="321"/>
      <c r="X11" s="208"/>
      <c r="Y11" s="208"/>
      <c r="Z11" s="208"/>
      <c r="AA11" s="208"/>
      <c r="AB11" s="208"/>
      <c r="AC11" s="208"/>
      <c r="AD11" s="208"/>
      <c r="AE11" s="208"/>
    </row>
    <row r="12" spans="1:31" ht="15.75" customHeight="1">
      <c r="A12" s="327"/>
      <c r="B12" s="327"/>
      <c r="C12" s="328"/>
      <c r="D12" s="319"/>
      <c r="E12" s="319"/>
      <c r="F12" s="329"/>
      <c r="G12" s="306"/>
      <c r="H12" s="306"/>
      <c r="I12" s="306"/>
      <c r="J12" s="306"/>
      <c r="K12" s="306"/>
      <c r="L12" s="320"/>
      <c r="M12" s="308"/>
      <c r="N12" s="307"/>
      <c r="O12" s="309"/>
      <c r="P12" s="311"/>
      <c r="Q12" s="311"/>
      <c r="R12" s="307"/>
      <c r="S12" s="327"/>
      <c r="T12" s="307"/>
      <c r="U12" s="307"/>
      <c r="V12" s="308"/>
      <c r="W12" s="308"/>
      <c r="X12" s="208"/>
      <c r="Y12" s="208"/>
      <c r="Z12" s="208"/>
      <c r="AA12" s="208"/>
      <c r="AB12" s="208"/>
      <c r="AC12" s="208"/>
      <c r="AD12" s="208"/>
      <c r="AE12" s="208"/>
    </row>
    <row r="13" spans="1:31" ht="15.75" customHeight="1">
      <c r="A13" s="304"/>
      <c r="B13" s="304"/>
      <c r="C13" s="328"/>
      <c r="D13" s="319"/>
      <c r="E13" s="319"/>
      <c r="F13" s="319"/>
      <c r="G13" s="306"/>
      <c r="H13" s="306"/>
      <c r="I13" s="306"/>
      <c r="J13" s="306"/>
      <c r="K13" s="306"/>
      <c r="L13" s="320"/>
      <c r="M13" s="308"/>
      <c r="N13" s="307"/>
      <c r="O13" s="309"/>
      <c r="P13" s="311"/>
      <c r="Q13" s="311"/>
      <c r="R13" s="307"/>
      <c r="S13" s="304"/>
      <c r="T13" s="307"/>
      <c r="U13" s="307"/>
      <c r="V13" s="308"/>
      <c r="W13" s="308"/>
      <c r="X13" s="208"/>
      <c r="Y13" s="208"/>
      <c r="Z13" s="208"/>
      <c r="AA13" s="208"/>
      <c r="AB13" s="208"/>
      <c r="AC13" s="208"/>
      <c r="AD13" s="208"/>
      <c r="AE13" s="208"/>
    </row>
    <row r="14" spans="1:31" ht="15.75" customHeight="1">
      <c r="A14" s="327"/>
      <c r="B14" s="327"/>
      <c r="C14" s="328"/>
      <c r="D14" s="319"/>
      <c r="E14" s="319"/>
      <c r="F14" s="319"/>
      <c r="G14" s="306"/>
      <c r="H14" s="306"/>
      <c r="I14" s="306"/>
      <c r="J14" s="306"/>
      <c r="K14" s="306"/>
      <c r="L14" s="320"/>
      <c r="M14" s="321"/>
      <c r="N14" s="306"/>
      <c r="O14" s="309"/>
      <c r="P14" s="311"/>
      <c r="Q14" s="311"/>
      <c r="R14" s="307"/>
      <c r="S14" s="327"/>
      <c r="T14" s="307"/>
      <c r="U14" s="307"/>
      <c r="V14" s="321"/>
      <c r="W14" s="321"/>
      <c r="X14" s="208"/>
      <c r="Y14" s="208"/>
      <c r="Z14" s="208"/>
      <c r="AA14" s="208"/>
      <c r="AB14" s="208"/>
      <c r="AC14" s="208"/>
      <c r="AD14" s="208"/>
      <c r="AE14" s="208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58" priority="1" operator="equal">
      <formula>"Conquest"</formula>
    </cfRule>
    <cfRule type="cellIs" dxfId="157" priority="2" operator="equal">
      <formula>"Voga"</formula>
    </cfRule>
  </conditionalFormatting>
  <conditionalFormatting sqref="V3:V6">
    <cfRule type="notContainsBlanks" dxfId="156" priority="3">
      <formula>LEN(TRIM(V3))&gt;0</formula>
    </cfRule>
  </conditionalFormatting>
  <dataValidations count="10">
    <dataValidation type="list" allowBlank="1" showErrorMessage="1" sqref="W3:W6" xr:uid="{00000000-0002-0000-0800-000000000000}">
      <formula1>"Varejo,Qualificado,Profissional"</formula1>
    </dataValidation>
    <dataValidation type="list" allowBlank="1" showErrorMessage="1" sqref="G3:G6" xr:uid="{00000000-0002-0000-0800-000001000000}">
      <formula1>"Ativo,Pode Operar,Inativo,Encerrado"</formula1>
    </dataValidation>
    <dataValidation type="list" allowBlank="1" showErrorMessage="1" sqref="N3:N6" xr:uid="{00000000-0002-0000-0800-000002000000}">
      <formula1>"INT"</formula1>
    </dataValidation>
    <dataValidation type="list" allowBlank="1" showErrorMessage="1" sqref="V3:V6" xr:uid="{00000000-0002-0000-0800-000003000000}">
      <formula1>"Conservador,Moderado,Arrojado"</formula1>
    </dataValidation>
    <dataValidation type="list" allowBlank="1" showErrorMessage="1" sqref="E3:E6" xr:uid="{00000000-0002-0000-0800-000004000000}">
      <formula1>"DF,SP,SUL"</formula1>
    </dataValidation>
    <dataValidation type="list" allowBlank="1" showErrorMessage="1" sqref="U3:U6" xr:uid="{00000000-0002-0000-0800-000005000000}">
      <formula1>"Ativo,Inativo,Encerrado"</formula1>
    </dataValidation>
    <dataValidation type="list" allowBlank="1" showErrorMessage="1" sqref="H3:H6" xr:uid="{00000000-0002-0000-0800-000006000000}">
      <formula1>"------,Sem Saldo,STVM Entrada,STVM Saída,Alteração de C.A,Monitoramento,Bloqueado"</formula1>
    </dataValidation>
    <dataValidation type="list" allowBlank="1" showErrorMessage="1" sqref="D3:D6" xr:uid="{00000000-0002-0000-0800-000007000000}">
      <formula1>"Bluemetrix"</formula1>
    </dataValidation>
    <dataValidation type="list" allowBlank="1" showErrorMessage="1" sqref="I3:J6" xr:uid="{00000000-0002-0000-0800-000008000000}">
      <formula1>"Atualizado,Ass. cliente,Ac. BR.Plural,------"</formula1>
    </dataValidation>
    <dataValidation type="list" allowBlank="1" showErrorMessage="1" sqref="R3:R6" xr:uid="{00000000-0002-0000-08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0000"/>
    <outlinePr summaryBelow="0" summaryRight="0"/>
    <pageSetUpPr fitToPage="1"/>
  </sheetPr>
  <dimension ref="A1:BT55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8.140625" customWidth="1"/>
    <col min="2" max="2" width="14.42578125" customWidth="1"/>
    <col min="3" max="3" width="42.7109375" customWidth="1"/>
    <col min="4" max="4" width="8.28515625" customWidth="1"/>
    <col min="5" max="5" width="11.28515625" customWidth="1"/>
    <col min="6" max="6" width="5.7109375" customWidth="1"/>
    <col min="7" max="7" width="17.85546875" customWidth="1"/>
    <col min="8" max="8" width="16" customWidth="1"/>
    <col min="9" max="9" width="25.7109375" hidden="1" customWidth="1"/>
    <col min="10" max="10" width="15" customWidth="1"/>
    <col min="11" max="11" width="13" customWidth="1"/>
    <col min="12" max="12" width="17.42578125" customWidth="1"/>
    <col min="13" max="13" width="14.7109375" customWidth="1"/>
    <col min="14" max="14" width="10.28515625" customWidth="1"/>
    <col min="15" max="15" width="18" customWidth="1"/>
    <col min="16" max="16" width="13.140625" customWidth="1"/>
    <col min="17" max="17" width="93.5703125" customWidth="1"/>
    <col min="18" max="18" width="15.42578125" customWidth="1"/>
    <col min="19" max="19" width="15" customWidth="1"/>
    <col min="20" max="20" width="8.85546875" customWidth="1"/>
    <col min="21" max="21" width="16" customWidth="1"/>
    <col min="22" max="22" width="9.5703125" customWidth="1"/>
    <col min="23" max="23" width="23.42578125" customWidth="1"/>
    <col min="24" max="24" width="23.28515625" customWidth="1"/>
    <col min="25" max="35" width="23.42578125" customWidth="1"/>
    <col min="36" max="36" width="23.28515625" customWidth="1"/>
    <col min="37" max="39" width="23.42578125" customWidth="1"/>
    <col min="40" max="71" width="18.7109375" customWidth="1"/>
    <col min="72" max="72" width="9.5703125" customWidth="1"/>
  </cols>
  <sheetData>
    <row r="1" spans="1:72" ht="15.75" customHeight="1">
      <c r="A1" s="407" t="s">
        <v>2</v>
      </c>
      <c r="B1" s="407" t="s">
        <v>12</v>
      </c>
      <c r="C1" s="408" t="s">
        <v>97</v>
      </c>
      <c r="D1" s="409" t="s">
        <v>1</v>
      </c>
      <c r="E1" s="409" t="s">
        <v>3</v>
      </c>
      <c r="F1" s="409" t="s">
        <v>4</v>
      </c>
      <c r="G1" s="409" t="s">
        <v>5</v>
      </c>
      <c r="H1" s="408" t="s">
        <v>3776</v>
      </c>
      <c r="I1" s="408" t="s">
        <v>3777</v>
      </c>
      <c r="J1" s="409" t="s">
        <v>99</v>
      </c>
      <c r="K1" s="408" t="s">
        <v>3778</v>
      </c>
      <c r="L1" s="408" t="s">
        <v>3779</v>
      </c>
      <c r="M1" s="409" t="s">
        <v>102</v>
      </c>
      <c r="N1" s="408" t="s">
        <v>103</v>
      </c>
      <c r="O1" s="409" t="s">
        <v>8</v>
      </c>
      <c r="P1" s="410" t="s">
        <v>104</v>
      </c>
      <c r="Q1" s="411" t="s">
        <v>3780</v>
      </c>
      <c r="R1" s="412" t="s">
        <v>1045</v>
      </c>
      <c r="S1" s="408" t="s">
        <v>3781</v>
      </c>
      <c r="T1" s="408" t="s">
        <v>3782</v>
      </c>
      <c r="U1" s="409" t="s">
        <v>3783</v>
      </c>
      <c r="V1" s="409" t="s">
        <v>13</v>
      </c>
      <c r="W1" s="409">
        <v>43769</v>
      </c>
      <c r="X1" s="409">
        <v>43799</v>
      </c>
      <c r="Y1" s="409">
        <v>43830</v>
      </c>
      <c r="Z1" s="409">
        <v>43861</v>
      </c>
      <c r="AA1" s="409">
        <v>43890</v>
      </c>
      <c r="AB1" s="409">
        <v>43921</v>
      </c>
      <c r="AC1" s="409">
        <v>43951</v>
      </c>
      <c r="AD1" s="409">
        <v>43982</v>
      </c>
      <c r="AE1" s="409">
        <v>44012</v>
      </c>
      <c r="AF1" s="409">
        <v>44043</v>
      </c>
      <c r="AG1" s="409">
        <v>44074</v>
      </c>
      <c r="AH1" s="409">
        <v>44104</v>
      </c>
      <c r="AI1" s="409">
        <v>44134</v>
      </c>
      <c r="AJ1" s="409">
        <v>44165</v>
      </c>
      <c r="AK1" s="409">
        <v>44196</v>
      </c>
      <c r="AL1" s="409">
        <v>44227</v>
      </c>
      <c r="AM1" s="409">
        <v>44255</v>
      </c>
      <c r="AN1" s="409">
        <v>44264</v>
      </c>
      <c r="AO1" s="409">
        <v>44286</v>
      </c>
      <c r="AP1" s="409">
        <v>44312</v>
      </c>
      <c r="AQ1" s="409">
        <v>44316</v>
      </c>
      <c r="AR1" s="409">
        <v>44347</v>
      </c>
      <c r="AS1" s="409">
        <v>44377</v>
      </c>
      <c r="AT1" s="409">
        <v>44408</v>
      </c>
      <c r="AU1" s="409">
        <v>44439</v>
      </c>
      <c r="AV1" s="409">
        <v>44469</v>
      </c>
      <c r="AW1" s="409">
        <v>44500</v>
      </c>
      <c r="AX1" s="409">
        <v>44530</v>
      </c>
      <c r="AY1" s="409">
        <v>44561</v>
      </c>
      <c r="AZ1" s="413">
        <v>44592</v>
      </c>
      <c r="BA1" s="413">
        <v>44620</v>
      </c>
      <c r="BB1" s="413">
        <v>44651</v>
      </c>
      <c r="BC1" s="413">
        <v>44680</v>
      </c>
      <c r="BD1" s="409">
        <v>44712</v>
      </c>
      <c r="BE1" s="413">
        <v>44742</v>
      </c>
      <c r="BF1" s="413">
        <v>44771</v>
      </c>
      <c r="BG1" s="413">
        <v>44804</v>
      </c>
      <c r="BH1" s="413">
        <v>44833</v>
      </c>
      <c r="BI1" s="413">
        <v>44865</v>
      </c>
      <c r="BJ1" s="413">
        <v>44895</v>
      </c>
      <c r="BK1" s="413">
        <v>44923</v>
      </c>
      <c r="BL1" s="413">
        <v>44957</v>
      </c>
      <c r="BM1" s="413">
        <v>44985</v>
      </c>
      <c r="BN1" s="413">
        <v>45016</v>
      </c>
      <c r="BO1" s="413">
        <v>45044</v>
      </c>
      <c r="BP1" s="413">
        <v>45077</v>
      </c>
      <c r="BQ1" s="413">
        <v>45103</v>
      </c>
      <c r="BR1" s="413">
        <v>45134</v>
      </c>
      <c r="BS1" s="414" t="s">
        <v>3784</v>
      </c>
      <c r="BT1" s="414"/>
    </row>
    <row r="2" spans="1:72" ht="15.75" customHeight="1">
      <c r="A2" s="122" t="s">
        <v>3785</v>
      </c>
      <c r="B2" s="104" t="s">
        <v>3786</v>
      </c>
      <c r="C2" s="161" t="s">
        <v>3787</v>
      </c>
      <c r="D2" s="299">
        <v>4926548</v>
      </c>
      <c r="E2" s="293" t="s">
        <v>19</v>
      </c>
      <c r="F2" s="293" t="s">
        <v>20</v>
      </c>
      <c r="G2" s="293" t="s">
        <v>3641</v>
      </c>
      <c r="H2" s="293" t="str">
        <f>IFERROR(VLOOKUP(G2,'Cadastro de assessores'!A:B,2,FALSE),"Não Cadastrado")</f>
        <v>14739</v>
      </c>
      <c r="I2" s="293"/>
      <c r="J2" s="24" t="s">
        <v>3788</v>
      </c>
      <c r="K2" s="292" t="s">
        <v>152</v>
      </c>
      <c r="L2" s="415">
        <v>44475</v>
      </c>
      <c r="M2" s="416">
        <v>44482</v>
      </c>
      <c r="N2" s="299"/>
      <c r="O2" s="299" t="s">
        <v>3789</v>
      </c>
      <c r="P2" s="388">
        <v>0.02</v>
      </c>
      <c r="Q2" s="311"/>
      <c r="R2" s="417"/>
      <c r="S2" s="292" t="str">
        <f t="shared" ref="S2:S7" si="0">IF(BC2&lt;=0,"",IF(BC2&lt;=1000000,"Não Qualificado",IF(AND(BC2&gt;1000000,BC2&lt;=10000000),"Qualificado","Profissional")))</f>
        <v>Não Qualificado</v>
      </c>
      <c r="T2" s="292" t="s">
        <v>145</v>
      </c>
      <c r="U2" s="292" t="s">
        <v>3790</v>
      </c>
      <c r="V2" s="292" t="s">
        <v>49</v>
      </c>
      <c r="W2" s="350"/>
      <c r="X2" s="350"/>
      <c r="Y2" s="350"/>
      <c r="Z2" s="350"/>
      <c r="AA2" s="350"/>
      <c r="AB2" s="350"/>
      <c r="AC2" s="350"/>
      <c r="AD2" s="350"/>
      <c r="AE2" s="350"/>
      <c r="AF2" s="350"/>
      <c r="AG2" s="418"/>
      <c r="AH2" s="418"/>
      <c r="AI2" s="418"/>
      <c r="AJ2" s="339"/>
      <c r="AK2" s="339"/>
      <c r="AL2" s="339"/>
      <c r="AM2" s="339"/>
      <c r="AN2" s="339"/>
      <c r="AO2" s="339"/>
      <c r="AP2" s="339"/>
      <c r="AQ2" s="339"/>
      <c r="AR2" s="339"/>
      <c r="AS2" s="339"/>
      <c r="AT2" s="339"/>
      <c r="AU2" s="339"/>
      <c r="AV2" s="339"/>
      <c r="AW2" s="339">
        <v>114748.03</v>
      </c>
      <c r="AX2" s="339">
        <v>123862.49</v>
      </c>
      <c r="AY2" s="339">
        <v>125534.3</v>
      </c>
      <c r="AZ2" s="339">
        <v>130547.75</v>
      </c>
      <c r="BA2" s="339">
        <v>82966.009999999995</v>
      </c>
      <c r="BB2" s="339">
        <v>377.27</v>
      </c>
      <c r="BC2" s="339">
        <v>376.7</v>
      </c>
      <c r="BD2" s="339">
        <v>377.39</v>
      </c>
      <c r="BE2" s="339">
        <v>377.39</v>
      </c>
      <c r="BF2" s="339">
        <v>377.39</v>
      </c>
      <c r="BG2" s="339">
        <v>377.39</v>
      </c>
      <c r="BH2" s="339">
        <v>377.39</v>
      </c>
      <c r="BI2" s="339">
        <v>377.39</v>
      </c>
      <c r="BJ2" s="339">
        <v>0</v>
      </c>
      <c r="BK2" s="339">
        <v>0</v>
      </c>
      <c r="BL2" s="339">
        <v>0</v>
      </c>
      <c r="BM2" s="339">
        <v>0</v>
      </c>
      <c r="BN2" s="339">
        <v>0</v>
      </c>
      <c r="BO2" s="339">
        <v>0</v>
      </c>
      <c r="BP2" s="339">
        <v>0</v>
      </c>
      <c r="BQ2" s="339">
        <v>0</v>
      </c>
      <c r="BR2" s="339">
        <v>0</v>
      </c>
      <c r="BS2" s="110" t="e">
        <f t="array" aca="1" ref="BS2" ca="1">_xludf.XLOOKUP(D2,'PL TOTAL D0'!N:N,'PL TOTAL D0'!P:P,"")</f>
        <v>#NAME?</v>
      </c>
      <c r="BT2" s="110"/>
    </row>
    <row r="3" spans="1:72" ht="15.75" customHeight="1">
      <c r="A3" s="122" t="s">
        <v>3785</v>
      </c>
      <c r="B3" s="104" t="s">
        <v>3791</v>
      </c>
      <c r="C3" s="122" t="s">
        <v>3792</v>
      </c>
      <c r="D3" s="292">
        <v>4653733</v>
      </c>
      <c r="E3" s="292" t="s">
        <v>19</v>
      </c>
      <c r="F3" s="292" t="s">
        <v>20</v>
      </c>
      <c r="G3" s="292" t="s">
        <v>3793</v>
      </c>
      <c r="H3" s="292" t="str">
        <f>IFERROR(VLOOKUP(G3,'Cadastro de assessores'!A:B,2,FALSE),"Não Cadastrado")</f>
        <v>17679</v>
      </c>
      <c r="I3" s="292"/>
      <c r="J3" s="24" t="s">
        <v>143</v>
      </c>
      <c r="K3" s="292" t="s">
        <v>3794</v>
      </c>
      <c r="L3" s="419">
        <v>44186</v>
      </c>
      <c r="M3" s="419">
        <v>44186</v>
      </c>
      <c r="N3" s="387">
        <v>44456</v>
      </c>
      <c r="O3" s="292" t="s">
        <v>3795</v>
      </c>
      <c r="P3" s="388">
        <v>1.4999999999999999E-2</v>
      </c>
      <c r="Q3" s="420" t="s">
        <v>3796</v>
      </c>
      <c r="R3" s="417"/>
      <c r="S3" s="292" t="str">
        <f t="shared" si="0"/>
        <v/>
      </c>
      <c r="T3" s="292" t="s">
        <v>145</v>
      </c>
      <c r="U3" s="292" t="s">
        <v>3797</v>
      </c>
      <c r="V3" s="292" t="s">
        <v>20</v>
      </c>
      <c r="W3" s="418" t="s">
        <v>3798</v>
      </c>
      <c r="X3" s="418" t="s">
        <v>3798</v>
      </c>
      <c r="Y3" s="418" t="s">
        <v>3798</v>
      </c>
      <c r="Z3" s="418" t="s">
        <v>3798</v>
      </c>
      <c r="AA3" s="418" t="s">
        <v>3798</v>
      </c>
      <c r="AB3" s="418" t="s">
        <v>3798</v>
      </c>
      <c r="AC3" s="418" t="s">
        <v>3798</v>
      </c>
      <c r="AD3" s="418" t="s">
        <v>3798</v>
      </c>
      <c r="AE3" s="418" t="s">
        <v>3798</v>
      </c>
      <c r="AF3" s="418" t="s">
        <v>3798</v>
      </c>
      <c r="AG3" s="418" t="s">
        <v>3798</v>
      </c>
      <c r="AH3" s="418" t="s">
        <v>3798</v>
      </c>
      <c r="AI3" s="418" t="s">
        <v>3798</v>
      </c>
      <c r="AJ3" s="418" t="s">
        <v>3798</v>
      </c>
      <c r="AK3" s="339">
        <v>100649.04</v>
      </c>
      <c r="AL3" s="339">
        <v>99628.9</v>
      </c>
      <c r="AM3" s="339">
        <v>96436.89</v>
      </c>
      <c r="AN3" s="339">
        <v>96168.94</v>
      </c>
      <c r="AO3" s="339">
        <v>99059.92</v>
      </c>
      <c r="AP3" s="339">
        <v>99757.35</v>
      </c>
      <c r="AQ3" s="339">
        <v>99387.09</v>
      </c>
      <c r="AR3" s="339">
        <v>101755.71</v>
      </c>
      <c r="AS3" s="339">
        <v>101052.42</v>
      </c>
      <c r="AT3" s="339">
        <v>99114.69</v>
      </c>
      <c r="AU3" s="339">
        <v>98559.47</v>
      </c>
      <c r="AV3" s="339"/>
      <c r="AW3" s="339"/>
      <c r="AX3" s="339"/>
      <c r="AY3" s="339"/>
      <c r="AZ3" s="339"/>
      <c r="BA3" s="339">
        <v>0</v>
      </c>
      <c r="BB3" s="339">
        <v>0</v>
      </c>
      <c r="BC3" s="339"/>
      <c r="BD3" s="339" t="s">
        <v>2932</v>
      </c>
      <c r="BE3" s="339" t="s">
        <v>2932</v>
      </c>
      <c r="BF3" s="339">
        <v>0</v>
      </c>
      <c r="BG3" s="339">
        <v>0</v>
      </c>
      <c r="BH3" s="339">
        <v>0</v>
      </c>
      <c r="BI3" s="339">
        <v>0</v>
      </c>
      <c r="BJ3" s="339">
        <v>0</v>
      </c>
      <c r="BK3" s="339">
        <v>0</v>
      </c>
      <c r="BL3" s="339">
        <v>0</v>
      </c>
      <c r="BM3" s="339">
        <v>0</v>
      </c>
      <c r="BN3" s="339">
        <v>0</v>
      </c>
      <c r="BO3" s="339">
        <v>0</v>
      </c>
      <c r="BP3" s="339">
        <v>0</v>
      </c>
      <c r="BQ3" s="339">
        <v>0</v>
      </c>
      <c r="BR3" s="339">
        <v>0</v>
      </c>
      <c r="BS3" s="110" t="e">
        <f t="array" aca="1" ref="BS3" ca="1">_xludf.XLOOKUP(D3,'PL TOTAL D0'!N:N,'PL TOTAL D0'!P:P,"")</f>
        <v>#NAME?</v>
      </c>
      <c r="BT3" s="110"/>
    </row>
    <row r="4" spans="1:72" ht="15.75" customHeight="1">
      <c r="A4" s="122" t="s">
        <v>3785</v>
      </c>
      <c r="B4" s="104" t="s">
        <v>3799</v>
      </c>
      <c r="C4" s="104" t="s">
        <v>3800</v>
      </c>
      <c r="D4" s="293">
        <v>4084071</v>
      </c>
      <c r="E4" s="293" t="s">
        <v>19</v>
      </c>
      <c r="F4" s="293" t="s">
        <v>20</v>
      </c>
      <c r="G4" s="293" t="s">
        <v>3801</v>
      </c>
      <c r="H4" s="293">
        <f>IFERROR(VLOOKUP(G4,'Cadastro de assessores'!A:B,2,FALSE),"Não Cadastrado")</f>
        <v>12336</v>
      </c>
      <c r="I4" s="293"/>
      <c r="J4" s="24" t="s">
        <v>3788</v>
      </c>
      <c r="K4" s="292" t="s">
        <v>152</v>
      </c>
      <c r="L4" s="415">
        <v>44323</v>
      </c>
      <c r="M4" s="415">
        <v>44326</v>
      </c>
      <c r="N4" s="292"/>
      <c r="O4" s="299" t="s">
        <v>3802</v>
      </c>
      <c r="P4" s="392">
        <v>7.0000000000000001E-3</v>
      </c>
      <c r="Q4" s="421"/>
      <c r="R4" s="417"/>
      <c r="S4" s="292" t="str">
        <f t="shared" si="0"/>
        <v>Não Qualificado</v>
      </c>
      <c r="T4" s="292" t="s">
        <v>145</v>
      </c>
      <c r="U4" s="292" t="s">
        <v>3803</v>
      </c>
      <c r="V4" s="292" t="s">
        <v>20</v>
      </c>
      <c r="W4" s="418"/>
      <c r="X4" s="418"/>
      <c r="Y4" s="418"/>
      <c r="Z4" s="418"/>
      <c r="AA4" s="418"/>
      <c r="AB4" s="418"/>
      <c r="AC4" s="418"/>
      <c r="AD4" s="418"/>
      <c r="AE4" s="418"/>
      <c r="AF4" s="418"/>
      <c r="AG4" s="418"/>
      <c r="AH4" s="418"/>
      <c r="AI4" s="418"/>
      <c r="AJ4" s="418"/>
      <c r="AK4" s="339"/>
      <c r="AL4" s="339"/>
      <c r="AM4" s="339"/>
      <c r="AN4" s="339"/>
      <c r="AO4" s="339"/>
      <c r="AP4" s="339"/>
      <c r="AQ4" s="339"/>
      <c r="AR4" s="339">
        <v>203522.45</v>
      </c>
      <c r="AS4" s="339">
        <v>202401.02</v>
      </c>
      <c r="AT4" s="339">
        <v>198315.41</v>
      </c>
      <c r="AU4" s="339">
        <v>197175.62</v>
      </c>
      <c r="AV4" s="339">
        <v>143976.94</v>
      </c>
      <c r="AW4" s="339">
        <v>139370.09</v>
      </c>
      <c r="AX4" s="339">
        <v>139313.39000000001</v>
      </c>
      <c r="AY4" s="339">
        <v>140925.14000000001</v>
      </c>
      <c r="AZ4" s="339">
        <v>144419.1</v>
      </c>
      <c r="BA4" s="339">
        <v>145659.20000000001</v>
      </c>
      <c r="BB4" s="339">
        <v>150095.81</v>
      </c>
      <c r="BC4" s="339">
        <v>703678.73</v>
      </c>
      <c r="BD4" s="339">
        <v>133106.57999999999</v>
      </c>
      <c r="BE4" s="339">
        <v>315.11</v>
      </c>
      <c r="BF4" s="339">
        <v>266.52999999999997</v>
      </c>
      <c r="BG4" s="339">
        <v>339.38</v>
      </c>
      <c r="BH4" s="339">
        <v>339.38</v>
      </c>
      <c r="BI4" s="339">
        <v>339.38</v>
      </c>
      <c r="BJ4" s="339">
        <v>339.38</v>
      </c>
      <c r="BK4" s="339">
        <v>339.38</v>
      </c>
      <c r="BL4" s="339">
        <v>543.45000000000005</v>
      </c>
      <c r="BM4" s="339">
        <v>543.45000000000005</v>
      </c>
      <c r="BN4" s="339">
        <v>543.45000000000005</v>
      </c>
      <c r="BO4" s="339">
        <v>543.45000000000005</v>
      </c>
      <c r="BP4" s="339">
        <v>543.45000000000005</v>
      </c>
      <c r="BQ4" s="339">
        <v>543.45000000000005</v>
      </c>
      <c r="BR4" s="339">
        <v>543.45000000000005</v>
      </c>
      <c r="BS4" s="110" t="e">
        <f t="array" aca="1" ref="BS4" ca="1">_xludf.XLOOKUP(D4,'PL TOTAL D0'!N:N,'PL TOTAL D0'!P:P,"")</f>
        <v>#NAME?</v>
      </c>
      <c r="BT4" s="110"/>
    </row>
    <row r="5" spans="1:72" ht="15.75" customHeight="1">
      <c r="A5" s="122" t="s">
        <v>3785</v>
      </c>
      <c r="B5" s="104" t="s">
        <v>176</v>
      </c>
      <c r="C5" s="390" t="s">
        <v>3804</v>
      </c>
      <c r="D5" s="422">
        <v>2602612</v>
      </c>
      <c r="E5" s="293" t="s">
        <v>19</v>
      </c>
      <c r="F5" s="293" t="s">
        <v>49</v>
      </c>
      <c r="G5" s="293" t="s">
        <v>50</v>
      </c>
      <c r="H5" s="293">
        <f>IFERROR(VLOOKUP(G5,'Cadastro de assessores'!A:B,2,FALSE),"Não Cadastrado")</f>
        <v>12331</v>
      </c>
      <c r="I5" s="293"/>
      <c r="J5" s="24" t="s">
        <v>3788</v>
      </c>
      <c r="K5" s="292" t="s">
        <v>152</v>
      </c>
      <c r="L5" s="423">
        <v>44642</v>
      </c>
      <c r="M5" s="423">
        <v>44642</v>
      </c>
      <c r="N5" s="299"/>
      <c r="O5" s="299" t="s">
        <v>3805</v>
      </c>
      <c r="P5" s="388">
        <v>1.2E-2</v>
      </c>
      <c r="Q5" s="421" t="s">
        <v>3806</v>
      </c>
      <c r="R5" s="417"/>
      <c r="S5" s="292" t="str">
        <f t="shared" si="0"/>
        <v>Não Qualificado</v>
      </c>
      <c r="T5" s="292" t="s">
        <v>145</v>
      </c>
      <c r="U5" s="292"/>
      <c r="V5" s="292" t="s">
        <v>49</v>
      </c>
      <c r="W5" s="418"/>
      <c r="X5" s="418"/>
      <c r="Y5" s="418"/>
      <c r="Z5" s="418"/>
      <c r="AA5" s="418"/>
      <c r="AB5" s="418"/>
      <c r="AC5" s="418"/>
      <c r="AD5" s="418"/>
      <c r="AE5" s="418"/>
      <c r="AF5" s="418"/>
      <c r="AG5" s="418"/>
      <c r="AH5" s="418"/>
      <c r="AI5" s="418"/>
      <c r="AJ5" s="418"/>
      <c r="AK5" s="339"/>
      <c r="AL5" s="339"/>
      <c r="AM5" s="339"/>
      <c r="AN5" s="339"/>
      <c r="AO5" s="339"/>
      <c r="AP5" s="339"/>
      <c r="AQ5" s="339"/>
      <c r="AR5" s="339"/>
      <c r="AS5" s="339"/>
      <c r="AT5" s="339"/>
      <c r="AU5" s="339"/>
      <c r="AV5" s="339"/>
      <c r="AW5" s="339"/>
      <c r="AX5" s="339"/>
      <c r="AY5" s="339"/>
      <c r="AZ5" s="339"/>
      <c r="BA5" s="339"/>
      <c r="BB5" s="339"/>
      <c r="BC5" s="339">
        <v>612277.06999999995</v>
      </c>
      <c r="BD5" s="339">
        <v>809132.82</v>
      </c>
      <c r="BE5" s="339">
        <v>785256.95999999996</v>
      </c>
      <c r="BF5" s="339">
        <v>807670.01</v>
      </c>
      <c r="BG5" s="339">
        <v>819930.39650000003</v>
      </c>
      <c r="BH5" s="339">
        <v>817886.77</v>
      </c>
      <c r="BI5" s="339">
        <v>837354.72</v>
      </c>
      <c r="BJ5" s="339">
        <v>841120.48</v>
      </c>
      <c r="BK5" s="339">
        <v>834772.66</v>
      </c>
      <c r="BL5" s="339">
        <v>835832.58</v>
      </c>
      <c r="BM5" s="339">
        <v>840857.7</v>
      </c>
      <c r="BN5" s="339">
        <v>26.58</v>
      </c>
      <c r="BO5" s="339">
        <v>26.58</v>
      </c>
      <c r="BP5" s="339">
        <v>26.58</v>
      </c>
      <c r="BQ5" s="339">
        <v>26.58</v>
      </c>
      <c r="BR5" s="339">
        <v>26.58</v>
      </c>
      <c r="BS5" s="110" t="e">
        <f t="array" aca="1" ref="BS5" ca="1">_xludf.XLOOKUP(D5,'PL TOTAL D0'!N:N,'PL TOTAL D0'!P:P,"")</f>
        <v>#NAME?</v>
      </c>
      <c r="BT5" s="110"/>
    </row>
    <row r="6" spans="1:72" ht="15.75" customHeight="1">
      <c r="A6" s="122" t="s">
        <v>3785</v>
      </c>
      <c r="B6" s="104" t="s">
        <v>3807</v>
      </c>
      <c r="C6" s="424" t="s">
        <v>3808</v>
      </c>
      <c r="D6" s="425">
        <v>4442405</v>
      </c>
      <c r="E6" s="293" t="s">
        <v>19</v>
      </c>
      <c r="F6" s="293" t="s">
        <v>49</v>
      </c>
      <c r="G6" s="293" t="s">
        <v>328</v>
      </c>
      <c r="H6" s="293" t="str">
        <f>IFERROR(VLOOKUP(G6,'Cadastro de assessores'!A:B,2,FALSE),"Não Cadastrado")</f>
        <v>18009</v>
      </c>
      <c r="I6" s="293"/>
      <c r="J6" s="24" t="s">
        <v>3788</v>
      </c>
      <c r="K6" s="292" t="s">
        <v>152</v>
      </c>
      <c r="L6" s="415">
        <v>44084</v>
      </c>
      <c r="M6" s="415">
        <v>44084</v>
      </c>
      <c r="N6" s="292"/>
      <c r="O6" s="292" t="s">
        <v>3809</v>
      </c>
      <c r="P6" s="388">
        <v>2.5000000000000001E-2</v>
      </c>
      <c r="Q6" s="421" t="s">
        <v>3810</v>
      </c>
      <c r="R6" s="417"/>
      <c r="S6" s="292" t="str">
        <f t="shared" si="0"/>
        <v>Não Qualificado</v>
      </c>
      <c r="T6" s="292" t="s">
        <v>145</v>
      </c>
      <c r="U6" s="292" t="s">
        <v>3811</v>
      </c>
      <c r="V6" s="292" t="s">
        <v>20</v>
      </c>
      <c r="W6" s="418" t="s">
        <v>3798</v>
      </c>
      <c r="X6" s="418" t="s">
        <v>3798</v>
      </c>
      <c r="Y6" s="418" t="s">
        <v>3798</v>
      </c>
      <c r="Z6" s="418" t="s">
        <v>3798</v>
      </c>
      <c r="AA6" s="418" t="s">
        <v>3798</v>
      </c>
      <c r="AB6" s="418" t="s">
        <v>3798</v>
      </c>
      <c r="AC6" s="418" t="s">
        <v>3798</v>
      </c>
      <c r="AD6" s="418" t="s">
        <v>3798</v>
      </c>
      <c r="AE6" s="418" t="s">
        <v>3798</v>
      </c>
      <c r="AF6" s="418" t="s">
        <v>3798</v>
      </c>
      <c r="AG6" s="418" t="s">
        <v>3798</v>
      </c>
      <c r="AH6" s="418" t="s">
        <v>3812</v>
      </c>
      <c r="AI6" s="418" t="s">
        <v>3813</v>
      </c>
      <c r="AJ6" s="418" t="s">
        <v>3814</v>
      </c>
      <c r="AK6" s="339">
        <v>344817.66</v>
      </c>
      <c r="AL6" s="339">
        <v>330077.48</v>
      </c>
      <c r="AM6" s="339">
        <v>306962.09000000003</v>
      </c>
      <c r="AN6" s="339">
        <v>304921.19</v>
      </c>
      <c r="AO6" s="339">
        <v>330112.71999999997</v>
      </c>
      <c r="AP6" s="339">
        <v>334482.83</v>
      </c>
      <c r="AQ6" s="339">
        <v>331002.11</v>
      </c>
      <c r="AR6" s="339">
        <v>605334.19999999995</v>
      </c>
      <c r="AS6" s="339">
        <v>738371.21</v>
      </c>
      <c r="AT6" s="339">
        <v>698930.16</v>
      </c>
      <c r="AU6" s="339">
        <v>682628.01</v>
      </c>
      <c r="AV6" s="339">
        <v>642724.51</v>
      </c>
      <c r="AW6" s="339">
        <v>594862.12</v>
      </c>
      <c r="AX6" s="339">
        <v>588418.12</v>
      </c>
      <c r="AY6" s="339">
        <v>594700.22</v>
      </c>
      <c r="AZ6" s="339">
        <v>637599.92000000004</v>
      </c>
      <c r="BA6" s="339">
        <v>644225.03</v>
      </c>
      <c r="BB6" s="339">
        <v>616369.29</v>
      </c>
      <c r="BC6" s="339">
        <v>95442.29</v>
      </c>
      <c r="BD6" s="339">
        <v>7052.6</v>
      </c>
      <c r="BE6" s="339">
        <v>7174.74</v>
      </c>
      <c r="BF6" s="339">
        <v>67.180000000000007</v>
      </c>
      <c r="BG6" s="339">
        <v>991.14</v>
      </c>
      <c r="BH6" s="339">
        <v>991.14</v>
      </c>
      <c r="BI6" s="339">
        <v>991.14</v>
      </c>
      <c r="BJ6" s="339">
        <v>991.14</v>
      </c>
      <c r="BK6" s="339">
        <v>1.1399999999999999</v>
      </c>
      <c r="BL6" s="339">
        <v>524.85</v>
      </c>
      <c r="BM6" s="339">
        <v>39.44</v>
      </c>
      <c r="BN6" s="339">
        <v>40.17</v>
      </c>
      <c r="BO6" s="339">
        <v>41.08</v>
      </c>
      <c r="BP6" s="339">
        <v>42.03</v>
      </c>
      <c r="BQ6" s="339">
        <v>45.95</v>
      </c>
      <c r="BR6" s="339">
        <v>44.27</v>
      </c>
      <c r="BS6" s="110" t="e">
        <f t="array" aca="1" ref="BS6" ca="1">_xludf.XLOOKUP(D6,'PL TOTAL D0'!N:N,'PL TOTAL D0'!P:P,"")</f>
        <v>#NAME?</v>
      </c>
      <c r="BT6" s="110"/>
    </row>
    <row r="7" spans="1:72" ht="15.75" customHeight="1">
      <c r="A7" s="122" t="s">
        <v>3785</v>
      </c>
      <c r="B7" s="104" t="s">
        <v>3576</v>
      </c>
      <c r="C7" s="104" t="s">
        <v>3574</v>
      </c>
      <c r="D7" s="293">
        <v>4461647</v>
      </c>
      <c r="E7" s="293" t="s">
        <v>19</v>
      </c>
      <c r="F7" s="293" t="s">
        <v>20</v>
      </c>
      <c r="G7" s="293" t="s">
        <v>199</v>
      </c>
      <c r="H7" s="293">
        <f>IFERROR(VLOOKUP(G7,'Cadastro de assessores'!A:B,2,FALSE),"Não Cadastrado")</f>
        <v>12332</v>
      </c>
      <c r="I7" s="293"/>
      <c r="J7" s="24" t="s">
        <v>3788</v>
      </c>
      <c r="K7" s="292" t="s">
        <v>152</v>
      </c>
      <c r="L7" s="415">
        <v>44090</v>
      </c>
      <c r="M7" s="415">
        <v>44092</v>
      </c>
      <c r="N7" s="292"/>
      <c r="O7" s="292" t="s">
        <v>3805</v>
      </c>
      <c r="P7" s="388">
        <v>1.2E-2</v>
      </c>
      <c r="Q7" s="421" t="s">
        <v>3815</v>
      </c>
      <c r="R7" s="417"/>
      <c r="S7" s="292" t="str">
        <f t="shared" si="0"/>
        <v/>
      </c>
      <c r="T7" s="292" t="s">
        <v>145</v>
      </c>
      <c r="U7" s="292" t="s">
        <v>3816</v>
      </c>
      <c r="V7" s="292" t="s">
        <v>20</v>
      </c>
      <c r="W7" s="418" t="s">
        <v>3798</v>
      </c>
      <c r="X7" s="418" t="s">
        <v>3798</v>
      </c>
      <c r="Y7" s="418" t="s">
        <v>3798</v>
      </c>
      <c r="Z7" s="418" t="s">
        <v>3798</v>
      </c>
      <c r="AA7" s="418" t="s">
        <v>3798</v>
      </c>
      <c r="AB7" s="418" t="s">
        <v>3798</v>
      </c>
      <c r="AC7" s="418" t="s">
        <v>3798</v>
      </c>
      <c r="AD7" s="418" t="s">
        <v>3798</v>
      </c>
      <c r="AE7" s="418" t="s">
        <v>3798</v>
      </c>
      <c r="AF7" s="418" t="s">
        <v>3798</v>
      </c>
      <c r="AG7" s="418" t="s">
        <v>3798</v>
      </c>
      <c r="AH7" s="418" t="s">
        <v>3817</v>
      </c>
      <c r="AI7" s="418" t="s">
        <v>3818</v>
      </c>
      <c r="AJ7" s="418" t="s">
        <v>3819</v>
      </c>
      <c r="AK7" s="339">
        <v>363397.84</v>
      </c>
      <c r="AL7" s="339">
        <v>359498.99</v>
      </c>
      <c r="AM7" s="339">
        <v>352376.48</v>
      </c>
      <c r="AN7" s="339">
        <v>350686.02</v>
      </c>
      <c r="AO7" s="339">
        <v>355491.38</v>
      </c>
      <c r="AP7" s="339">
        <v>356674.15</v>
      </c>
      <c r="AQ7" s="339">
        <v>356027.31</v>
      </c>
      <c r="AR7" s="339">
        <v>360268.09</v>
      </c>
      <c r="AS7" s="339">
        <v>359567.88</v>
      </c>
      <c r="AT7" s="339">
        <v>356696.73</v>
      </c>
      <c r="AU7" s="339">
        <v>356464.05</v>
      </c>
      <c r="AV7" s="339">
        <v>403728.88</v>
      </c>
      <c r="AW7" s="339">
        <v>392764.94</v>
      </c>
      <c r="AX7" s="339">
        <v>396765.66</v>
      </c>
      <c r="AY7" s="339">
        <v>402295.61</v>
      </c>
      <c r="AZ7" s="339">
        <v>407270.58</v>
      </c>
      <c r="BA7" s="339">
        <v>408882.88</v>
      </c>
      <c r="BB7" s="339">
        <v>420273.26</v>
      </c>
      <c r="BC7" s="339"/>
      <c r="BD7" s="339">
        <v>427985.26</v>
      </c>
      <c r="BE7" s="339">
        <v>429182.03</v>
      </c>
      <c r="BF7" s="339">
        <v>434748.64</v>
      </c>
      <c r="BG7" s="339">
        <v>436369.87109999999</v>
      </c>
      <c r="BH7" s="339">
        <v>437723.9</v>
      </c>
      <c r="BI7" s="339">
        <v>445414.97</v>
      </c>
      <c r="BJ7" s="339">
        <v>446016.38</v>
      </c>
      <c r="BK7" s="339">
        <v>449211.57</v>
      </c>
      <c r="BL7" s="339">
        <v>453569.69</v>
      </c>
      <c r="BM7" s="339">
        <v>455013.65</v>
      </c>
      <c r="BN7" s="339">
        <v>124724.97</v>
      </c>
      <c r="BO7" s="339">
        <v>832</v>
      </c>
      <c r="BP7" s="339">
        <v>0</v>
      </c>
      <c r="BQ7" s="339">
        <v>0</v>
      </c>
      <c r="BR7" s="339">
        <v>0</v>
      </c>
      <c r="BS7" s="110" t="e">
        <f t="array" aca="1" ref="BS7" ca="1">_xludf.XLOOKUP(D7,'PL TOTAL D0'!N:N,'PL TOTAL D0'!P:P,"")</f>
        <v>#NAME?</v>
      </c>
      <c r="BT7" s="110"/>
    </row>
    <row r="8" spans="1:72" ht="15.75" customHeight="1">
      <c r="A8" s="122" t="s">
        <v>3785</v>
      </c>
      <c r="B8" s="104" t="s">
        <v>3576</v>
      </c>
      <c r="C8" s="104" t="s">
        <v>3574</v>
      </c>
      <c r="D8" s="293">
        <v>3345620</v>
      </c>
      <c r="E8" s="293" t="s">
        <v>19</v>
      </c>
      <c r="F8" s="293" t="s">
        <v>20</v>
      </c>
      <c r="G8" s="293" t="s">
        <v>199</v>
      </c>
      <c r="H8" s="293">
        <f>IFERROR(VLOOKUP(G8,'Cadastro de assessores'!A:B,2,FALSE),"Não Cadastrado")</f>
        <v>12332</v>
      </c>
      <c r="I8" s="293"/>
      <c r="J8" s="24" t="s">
        <v>152</v>
      </c>
      <c r="K8" s="292"/>
      <c r="L8" s="415"/>
      <c r="M8" s="415">
        <v>44960</v>
      </c>
      <c r="N8" s="292"/>
      <c r="O8" s="292" t="s">
        <v>3802</v>
      </c>
      <c r="P8" s="388">
        <v>0.01</v>
      </c>
      <c r="Q8" s="421"/>
      <c r="R8" s="417"/>
      <c r="S8" s="292"/>
      <c r="T8" s="292"/>
      <c r="U8" s="292"/>
      <c r="V8" s="292" t="s">
        <v>585</v>
      </c>
      <c r="W8" s="418"/>
      <c r="X8" s="418"/>
      <c r="Y8" s="418"/>
      <c r="Z8" s="418"/>
      <c r="AA8" s="418"/>
      <c r="AB8" s="418"/>
      <c r="AC8" s="418"/>
      <c r="AD8" s="418"/>
      <c r="AE8" s="418"/>
      <c r="AF8" s="418"/>
      <c r="AG8" s="418"/>
      <c r="AH8" s="418"/>
      <c r="AI8" s="418"/>
      <c r="AJ8" s="418"/>
      <c r="AK8" s="339"/>
      <c r="AL8" s="339"/>
      <c r="AM8" s="339"/>
      <c r="AN8" s="339"/>
      <c r="AO8" s="339"/>
      <c r="AP8" s="339"/>
      <c r="AQ8" s="339"/>
      <c r="AR8" s="339"/>
      <c r="AS8" s="339"/>
      <c r="AT8" s="339"/>
      <c r="AU8" s="339"/>
      <c r="AV8" s="339"/>
      <c r="AW8" s="339"/>
      <c r="AX8" s="339"/>
      <c r="AY8" s="339"/>
      <c r="AZ8" s="339"/>
      <c r="BA8" s="339"/>
      <c r="BB8" s="339"/>
      <c r="BC8" s="339"/>
      <c r="BD8" s="339"/>
      <c r="BE8" s="339"/>
      <c r="BF8" s="339"/>
      <c r="BG8" s="339"/>
      <c r="BH8" s="339"/>
      <c r="BI8" s="339"/>
      <c r="BJ8" s="339">
        <v>0</v>
      </c>
      <c r="BK8" s="339">
        <v>1737168.97</v>
      </c>
      <c r="BL8" s="339">
        <v>1760272.19</v>
      </c>
      <c r="BM8" s="339">
        <v>1769009.75</v>
      </c>
      <c r="BN8" s="339">
        <v>774232.52</v>
      </c>
      <c r="BO8" s="339">
        <v>775749.75</v>
      </c>
      <c r="BP8" s="339">
        <v>470109.41</v>
      </c>
      <c r="BQ8" s="339">
        <v>473139.71</v>
      </c>
      <c r="BR8" s="339">
        <v>446787.16</v>
      </c>
      <c r="BS8" s="110" t="e">
        <f t="array" aca="1" ref="BS8" ca="1">_xludf.XLOOKUP(D8,'PL TOTAL D0'!N:N,'PL TOTAL D0'!P:P,"")</f>
        <v>#NAME?</v>
      </c>
      <c r="BT8" s="110"/>
    </row>
    <row r="9" spans="1:72" ht="15.75" customHeight="1">
      <c r="A9" s="122" t="s">
        <v>3785</v>
      </c>
      <c r="B9" s="104" t="s">
        <v>3820</v>
      </c>
      <c r="C9" s="122" t="s">
        <v>3821</v>
      </c>
      <c r="D9" s="293">
        <v>3679808</v>
      </c>
      <c r="E9" s="293" t="s">
        <v>19</v>
      </c>
      <c r="F9" s="293" t="s">
        <v>49</v>
      </c>
      <c r="G9" s="293" t="s">
        <v>2036</v>
      </c>
      <c r="H9" s="293">
        <f>IFERROR(VLOOKUP(G9,'Cadastro de assessores'!A:B,2,FALSE),"Não Cadastrado")</f>
        <v>12350</v>
      </c>
      <c r="I9" s="293" t="s">
        <v>181</v>
      </c>
      <c r="J9" s="24" t="s">
        <v>3788</v>
      </c>
      <c r="K9" s="292"/>
      <c r="L9" s="415"/>
      <c r="M9" s="415"/>
      <c r="N9" s="292"/>
      <c r="O9" s="292" t="s">
        <v>3795</v>
      </c>
      <c r="P9" s="388">
        <v>1.4999999999999999E-2</v>
      </c>
      <c r="Q9" s="421"/>
      <c r="R9" s="417"/>
      <c r="S9" s="292"/>
      <c r="T9" s="292"/>
      <c r="U9" s="292"/>
      <c r="V9" s="292" t="s">
        <v>49</v>
      </c>
      <c r="W9" s="418"/>
      <c r="X9" s="418"/>
      <c r="Y9" s="418"/>
      <c r="Z9" s="418"/>
      <c r="AA9" s="418"/>
      <c r="AB9" s="418"/>
      <c r="AC9" s="418"/>
      <c r="AD9" s="418"/>
      <c r="AE9" s="418"/>
      <c r="AF9" s="418"/>
      <c r="AG9" s="418"/>
      <c r="AH9" s="418"/>
      <c r="AI9" s="418"/>
      <c r="AJ9" s="418"/>
      <c r="AK9" s="339"/>
      <c r="AL9" s="339"/>
      <c r="AM9" s="339"/>
      <c r="AN9" s="339"/>
      <c r="AO9" s="339"/>
      <c r="AP9" s="339"/>
      <c r="AQ9" s="339"/>
      <c r="AR9" s="339"/>
      <c r="AS9" s="339"/>
      <c r="AT9" s="339"/>
      <c r="AU9" s="339"/>
      <c r="AV9" s="339"/>
      <c r="AW9" s="339"/>
      <c r="AX9" s="339"/>
      <c r="AY9" s="339"/>
      <c r="AZ9" s="339"/>
      <c r="BA9" s="339"/>
      <c r="BB9" s="339"/>
      <c r="BC9" s="339"/>
      <c r="BD9" s="339"/>
      <c r="BE9" s="339"/>
      <c r="BF9" s="339"/>
      <c r="BG9" s="339"/>
      <c r="BH9" s="339">
        <v>0</v>
      </c>
      <c r="BI9" s="339">
        <v>0</v>
      </c>
      <c r="BJ9" s="339">
        <v>0</v>
      </c>
      <c r="BK9" s="339">
        <v>0</v>
      </c>
      <c r="BL9" s="339">
        <v>0</v>
      </c>
      <c r="BM9" s="339">
        <v>0</v>
      </c>
      <c r="BN9" s="339">
        <v>0</v>
      </c>
      <c r="BO9" s="339">
        <v>0</v>
      </c>
      <c r="BP9" s="339">
        <v>0</v>
      </c>
      <c r="BQ9" s="339">
        <v>0</v>
      </c>
      <c r="BR9" s="339">
        <v>0</v>
      </c>
      <c r="BS9" s="110" t="e">
        <f t="array" aca="1" ref="BS9" ca="1">_xludf.XLOOKUP(D9,'PL TOTAL D0'!N:N,'PL TOTAL D0'!P:P,"")</f>
        <v>#NAME?</v>
      </c>
      <c r="BT9" s="110"/>
    </row>
    <row r="10" spans="1:72" ht="15.75" customHeight="1">
      <c r="A10" s="122" t="s">
        <v>3785</v>
      </c>
      <c r="B10" s="104" t="s">
        <v>201</v>
      </c>
      <c r="C10" s="122" t="s">
        <v>197</v>
      </c>
      <c r="D10" s="293">
        <v>2204868</v>
      </c>
      <c r="E10" s="293" t="s">
        <v>19</v>
      </c>
      <c r="F10" s="293" t="s">
        <v>20</v>
      </c>
      <c r="G10" s="293" t="s">
        <v>2512</v>
      </c>
      <c r="H10" s="293" t="str">
        <f>IFERROR(VLOOKUP(G10,'Cadastro de assessores'!A:B,2,FALSE),"Não Cadastrado")</f>
        <v>18256</v>
      </c>
      <c r="I10" s="293"/>
      <c r="J10" s="24" t="s">
        <v>3788</v>
      </c>
      <c r="K10" s="292" t="s">
        <v>152</v>
      </c>
      <c r="L10" s="415">
        <v>44252</v>
      </c>
      <c r="M10" s="415">
        <v>44252</v>
      </c>
      <c r="N10" s="292"/>
      <c r="O10" s="292" t="s">
        <v>3795</v>
      </c>
      <c r="P10" s="388">
        <v>1.4999999999999999E-2</v>
      </c>
      <c r="Q10" s="421" t="s">
        <v>3822</v>
      </c>
      <c r="R10" s="417"/>
      <c r="S10" s="292" t="str">
        <f t="shared" ref="S10:S12" si="1">IF(BC10&lt;=0,"",IF(BC10&lt;=1000000,"Não Qualificado",IF(AND(BC10&gt;1000000,BC10&lt;=10000000),"Qualificado","Profissional")))</f>
        <v>Não Qualificado</v>
      </c>
      <c r="T10" s="292" t="s">
        <v>145</v>
      </c>
      <c r="U10" s="292" t="s">
        <v>3823</v>
      </c>
      <c r="V10" s="292" t="s">
        <v>20</v>
      </c>
      <c r="W10" s="418"/>
      <c r="X10" s="418"/>
      <c r="Y10" s="418"/>
      <c r="Z10" s="418"/>
      <c r="AA10" s="418"/>
      <c r="AB10" s="418"/>
      <c r="AC10" s="418"/>
      <c r="AD10" s="418"/>
      <c r="AE10" s="418"/>
      <c r="AF10" s="418"/>
      <c r="AG10" s="418"/>
      <c r="AH10" s="418"/>
      <c r="AI10" s="418"/>
      <c r="AJ10" s="418"/>
      <c r="AK10" s="339"/>
      <c r="AL10" s="339"/>
      <c r="AM10" s="339">
        <v>235876.29</v>
      </c>
      <c r="AN10" s="339">
        <v>235783.9</v>
      </c>
      <c r="AO10" s="339">
        <v>250539.16</v>
      </c>
      <c r="AP10" s="339">
        <v>252073.3</v>
      </c>
      <c r="AQ10" s="339">
        <v>250679.05</v>
      </c>
      <c r="AR10" s="339">
        <v>257713.82</v>
      </c>
      <c r="AS10" s="339">
        <v>255353.62</v>
      </c>
      <c r="AT10" s="339">
        <v>249407.39</v>
      </c>
      <c r="AU10" s="339">
        <v>247206.51</v>
      </c>
      <c r="AV10" s="339">
        <v>241313.65</v>
      </c>
      <c r="AW10" s="339">
        <v>233732.72</v>
      </c>
      <c r="AX10" s="339">
        <v>233329.88</v>
      </c>
      <c r="AY10" s="339">
        <v>235669.41</v>
      </c>
      <c r="AZ10" s="339">
        <v>244081.21</v>
      </c>
      <c r="BA10" s="339">
        <v>246240.27</v>
      </c>
      <c r="BB10" s="339">
        <v>255112.93</v>
      </c>
      <c r="BC10" s="339">
        <v>846942.76</v>
      </c>
      <c r="BD10" s="339">
        <v>251995.16</v>
      </c>
      <c r="BE10" s="339">
        <v>250785.8</v>
      </c>
      <c r="BF10" s="339">
        <v>256570.19</v>
      </c>
      <c r="BG10" s="339">
        <v>259308.66089999999</v>
      </c>
      <c r="BH10" s="339">
        <v>466391.38</v>
      </c>
      <c r="BI10" s="339">
        <v>503023.88</v>
      </c>
      <c r="BJ10" s="339">
        <v>498973.71</v>
      </c>
      <c r="BK10" s="339">
        <v>498101.01</v>
      </c>
      <c r="BL10" s="339">
        <v>506337.29</v>
      </c>
      <c r="BM10" s="339">
        <v>311708.78999999998</v>
      </c>
      <c r="BN10" s="339">
        <v>275.95999999999998</v>
      </c>
      <c r="BO10" s="339">
        <v>0</v>
      </c>
      <c r="BP10" s="339">
        <v>0</v>
      </c>
      <c r="BQ10" s="339">
        <v>0</v>
      </c>
      <c r="BR10" s="339">
        <v>0</v>
      </c>
      <c r="BS10" s="110" t="e">
        <f t="array" aca="1" ref="BS10" ca="1">_xludf.XLOOKUP(D10,'PL TOTAL D0'!N:N,'PL TOTAL D0'!P:P,"")</f>
        <v>#NAME?</v>
      </c>
      <c r="BT10" s="110"/>
    </row>
    <row r="11" spans="1:72" ht="15.75" customHeight="1">
      <c r="A11" s="122" t="s">
        <v>3785</v>
      </c>
      <c r="B11" s="104" t="s">
        <v>3824</v>
      </c>
      <c r="C11" s="390" t="s">
        <v>3825</v>
      </c>
      <c r="D11" s="299">
        <v>2697792</v>
      </c>
      <c r="E11" s="292" t="s">
        <v>19</v>
      </c>
      <c r="F11" s="292" t="s">
        <v>20</v>
      </c>
      <c r="G11" s="292" t="s">
        <v>3683</v>
      </c>
      <c r="H11" s="292" t="str">
        <f>IFERROR(VLOOKUP(G11,'Cadastro de assessores'!A:B,2,FALSE),"Não Cadastrado")</f>
        <v>18266</v>
      </c>
      <c r="I11" s="292"/>
      <c r="J11" s="24" t="s">
        <v>143</v>
      </c>
      <c r="K11" s="292" t="s">
        <v>3794</v>
      </c>
      <c r="L11" s="387">
        <v>44302</v>
      </c>
      <c r="M11" s="387">
        <v>44302</v>
      </c>
      <c r="N11" s="387">
        <v>44473</v>
      </c>
      <c r="O11" s="292" t="s">
        <v>3809</v>
      </c>
      <c r="P11" s="388">
        <v>2.5000000000000001E-2</v>
      </c>
      <c r="Q11" s="420" t="s">
        <v>3826</v>
      </c>
      <c r="R11" s="417"/>
      <c r="S11" s="292" t="str">
        <f t="shared" si="1"/>
        <v/>
      </c>
      <c r="T11" s="292" t="s">
        <v>145</v>
      </c>
      <c r="U11" s="292" t="s">
        <v>3827</v>
      </c>
      <c r="V11" s="292" t="s">
        <v>3828</v>
      </c>
      <c r="W11" s="418"/>
      <c r="X11" s="418"/>
      <c r="Y11" s="418"/>
      <c r="Z11" s="418"/>
      <c r="AA11" s="418"/>
      <c r="AB11" s="418"/>
      <c r="AC11" s="418"/>
      <c r="AD11" s="418"/>
      <c r="AE11" s="418"/>
      <c r="AF11" s="418"/>
      <c r="AG11" s="418"/>
      <c r="AH11" s="418"/>
      <c r="AI11" s="418"/>
      <c r="AJ11" s="418"/>
      <c r="AK11" s="339"/>
      <c r="AL11" s="339"/>
      <c r="AM11" s="339"/>
      <c r="AN11" s="339"/>
      <c r="AO11" s="339"/>
      <c r="AP11" s="339">
        <v>109781.09</v>
      </c>
      <c r="AQ11" s="339">
        <v>108552.3</v>
      </c>
      <c r="AR11" s="339">
        <v>114860.59</v>
      </c>
      <c r="AS11" s="339">
        <v>112212.72</v>
      </c>
      <c r="AT11" s="339">
        <v>106275.8</v>
      </c>
      <c r="AU11" s="339">
        <v>103775.39</v>
      </c>
      <c r="AV11" s="339">
        <v>97752.81</v>
      </c>
      <c r="AW11" s="339"/>
      <c r="AX11" s="339"/>
      <c r="AY11" s="339"/>
      <c r="AZ11" s="339"/>
      <c r="BA11" s="339">
        <v>0</v>
      </c>
      <c r="BB11" s="339">
        <v>0</v>
      </c>
      <c r="BC11" s="339"/>
      <c r="BD11" s="339" t="s">
        <v>2932</v>
      </c>
      <c r="BE11" s="339" t="s">
        <v>2932</v>
      </c>
      <c r="BF11" s="339">
        <v>0</v>
      </c>
      <c r="BG11" s="339">
        <v>0</v>
      </c>
      <c r="BH11" s="339">
        <v>0</v>
      </c>
      <c r="BI11" s="339">
        <v>0</v>
      </c>
      <c r="BJ11" s="339">
        <v>0</v>
      </c>
      <c r="BK11" s="339">
        <v>0</v>
      </c>
      <c r="BL11" s="339">
        <v>0</v>
      </c>
      <c r="BM11" s="339">
        <v>0</v>
      </c>
      <c r="BN11" s="339">
        <v>0</v>
      </c>
      <c r="BO11" s="339">
        <v>0</v>
      </c>
      <c r="BP11" s="339">
        <v>0</v>
      </c>
      <c r="BQ11" s="339">
        <v>0</v>
      </c>
      <c r="BR11" s="339">
        <v>0</v>
      </c>
      <c r="BS11" s="110" t="e">
        <f t="array" aca="1" ref="BS11" ca="1">_xludf.XLOOKUP(D11,'PL TOTAL D0'!N:N,'PL TOTAL D0'!P:P,"")</f>
        <v>#NAME?</v>
      </c>
      <c r="BT11" s="110"/>
    </row>
    <row r="12" spans="1:72" ht="15.75" customHeight="1">
      <c r="A12" s="122" t="s">
        <v>3785</v>
      </c>
      <c r="B12" s="104" t="s">
        <v>3829</v>
      </c>
      <c r="C12" s="122" t="s">
        <v>3830</v>
      </c>
      <c r="D12" s="292">
        <v>4447856</v>
      </c>
      <c r="E12" s="292" t="s">
        <v>64</v>
      </c>
      <c r="F12" s="292" t="s">
        <v>20</v>
      </c>
      <c r="G12" s="292" t="s">
        <v>3634</v>
      </c>
      <c r="H12" s="292" t="str">
        <f>IFERROR(VLOOKUP(G12,'Cadastro de assessores'!A:B,2,FALSE),"Não Cadastrado")</f>
        <v>14574</v>
      </c>
      <c r="I12" s="292"/>
      <c r="J12" s="24" t="s">
        <v>143</v>
      </c>
      <c r="K12" s="292" t="s">
        <v>3794</v>
      </c>
      <c r="L12" s="387">
        <v>44085</v>
      </c>
      <c r="M12" s="387">
        <v>44085</v>
      </c>
      <c r="N12" s="387">
        <v>44396</v>
      </c>
      <c r="O12" s="292" t="s">
        <v>3805</v>
      </c>
      <c r="P12" s="388">
        <v>1.2E-2</v>
      </c>
      <c r="Q12" s="420" t="s">
        <v>3831</v>
      </c>
      <c r="R12" s="417"/>
      <c r="S12" s="292" t="str">
        <f t="shared" si="1"/>
        <v/>
      </c>
      <c r="T12" s="292" t="s">
        <v>145</v>
      </c>
      <c r="U12" s="292" t="s">
        <v>3832</v>
      </c>
      <c r="V12" s="292" t="s">
        <v>20</v>
      </c>
      <c r="W12" s="418" t="s">
        <v>3798</v>
      </c>
      <c r="X12" s="418" t="s">
        <v>3798</v>
      </c>
      <c r="Y12" s="418" t="s">
        <v>3798</v>
      </c>
      <c r="Z12" s="418" t="s">
        <v>3798</v>
      </c>
      <c r="AA12" s="418" t="s">
        <v>3798</v>
      </c>
      <c r="AB12" s="418" t="s">
        <v>3798</v>
      </c>
      <c r="AC12" s="418" t="s">
        <v>3798</v>
      </c>
      <c r="AD12" s="418" t="s">
        <v>3798</v>
      </c>
      <c r="AE12" s="418" t="s">
        <v>3798</v>
      </c>
      <c r="AF12" s="418" t="s">
        <v>3798</v>
      </c>
      <c r="AG12" s="418" t="s">
        <v>3798</v>
      </c>
      <c r="AH12" s="418" t="s">
        <v>3833</v>
      </c>
      <c r="AI12" s="418" t="s">
        <v>3834</v>
      </c>
      <c r="AJ12" s="418" t="s">
        <v>3835</v>
      </c>
      <c r="AK12" s="339">
        <v>102877.4</v>
      </c>
      <c r="AL12" s="339">
        <v>102062.38</v>
      </c>
      <c r="AM12" s="339">
        <v>100464.93</v>
      </c>
      <c r="AN12" s="339">
        <v>99977.53</v>
      </c>
      <c r="AO12" s="339">
        <v>101115.81</v>
      </c>
      <c r="AP12" s="339">
        <v>101403.53</v>
      </c>
      <c r="AQ12" s="339">
        <v>101179.05</v>
      </c>
      <c r="AR12" s="339">
        <v>102507.44</v>
      </c>
      <c r="AS12" s="339">
        <v>102285.21</v>
      </c>
      <c r="AT12" s="339"/>
      <c r="AU12" s="339"/>
      <c r="AV12" s="339"/>
      <c r="AW12" s="339"/>
      <c r="AX12" s="339"/>
      <c r="AY12" s="339"/>
      <c r="AZ12" s="339"/>
      <c r="BA12" s="339">
        <v>0</v>
      </c>
      <c r="BB12" s="339">
        <v>0</v>
      </c>
      <c r="BC12" s="339"/>
      <c r="BD12" s="339" t="s">
        <v>2932</v>
      </c>
      <c r="BE12" s="339" t="s">
        <v>2932</v>
      </c>
      <c r="BF12" s="339">
        <v>0</v>
      </c>
      <c r="BG12" s="339">
        <v>0</v>
      </c>
      <c r="BH12" s="339">
        <v>0</v>
      </c>
      <c r="BI12" s="339">
        <v>0</v>
      </c>
      <c r="BJ12" s="339">
        <v>0</v>
      </c>
      <c r="BK12" s="339">
        <v>0</v>
      </c>
      <c r="BL12" s="339">
        <v>0</v>
      </c>
      <c r="BM12" s="339">
        <v>0</v>
      </c>
      <c r="BN12" s="339">
        <v>0</v>
      </c>
      <c r="BO12" s="339">
        <v>0</v>
      </c>
      <c r="BP12" s="339">
        <v>0</v>
      </c>
      <c r="BQ12" s="339">
        <v>0</v>
      </c>
      <c r="BR12" s="339">
        <v>0</v>
      </c>
      <c r="BS12" s="110" t="e">
        <f t="array" aca="1" ref="BS12" ca="1">_xludf.XLOOKUP(D12,'PL TOTAL D0'!N:N,'PL TOTAL D0'!P:P,"")</f>
        <v>#NAME?</v>
      </c>
      <c r="BT12" s="110"/>
    </row>
    <row r="13" spans="1:72" ht="15.75" customHeight="1">
      <c r="A13" s="122" t="s">
        <v>3785</v>
      </c>
      <c r="B13" s="104" t="s">
        <v>3836</v>
      </c>
      <c r="C13" s="390" t="s">
        <v>3837</v>
      </c>
      <c r="D13" s="422">
        <v>8227775</v>
      </c>
      <c r="E13" s="293" t="s">
        <v>19</v>
      </c>
      <c r="F13" s="293" t="s">
        <v>20</v>
      </c>
      <c r="G13" s="293" t="s">
        <v>21</v>
      </c>
      <c r="H13" s="293">
        <f>IFERROR(VLOOKUP(G13,'Cadastro de assessores'!A:B,2,FALSE),"Não Cadastrado")</f>
        <v>12344</v>
      </c>
      <c r="I13" s="293"/>
      <c r="J13" s="24" t="s">
        <v>3788</v>
      </c>
      <c r="K13" s="292" t="s">
        <v>152</v>
      </c>
      <c r="L13" s="423">
        <v>44652</v>
      </c>
      <c r="M13" s="423">
        <v>44652</v>
      </c>
      <c r="N13" s="299"/>
      <c r="O13" s="299" t="s">
        <v>3802</v>
      </c>
      <c r="P13" s="392">
        <v>7.0000000000000001E-3</v>
      </c>
      <c r="Q13" s="421"/>
      <c r="R13" s="417"/>
      <c r="S13" s="292"/>
      <c r="T13" s="292" t="s">
        <v>145</v>
      </c>
      <c r="U13" s="292" t="s">
        <v>3811</v>
      </c>
      <c r="V13" s="292" t="s">
        <v>20</v>
      </c>
      <c r="W13" s="350"/>
      <c r="X13" s="350"/>
      <c r="Y13" s="350"/>
      <c r="Z13" s="350"/>
      <c r="AA13" s="350"/>
      <c r="AB13" s="350"/>
      <c r="AC13" s="350"/>
      <c r="AD13" s="350"/>
      <c r="AE13" s="350"/>
      <c r="AF13" s="350"/>
      <c r="AG13" s="350"/>
      <c r="AH13" s="350"/>
      <c r="AI13" s="350"/>
      <c r="AJ13" s="350"/>
      <c r="AK13" s="339"/>
      <c r="AL13" s="339"/>
      <c r="AM13" s="339"/>
      <c r="AN13" s="339"/>
      <c r="AO13" s="339"/>
      <c r="AP13" s="339"/>
      <c r="AQ13" s="350"/>
      <c r="AR13" s="340"/>
      <c r="AS13" s="339"/>
      <c r="AT13" s="339"/>
      <c r="AU13" s="339"/>
      <c r="AV13" s="339"/>
      <c r="AW13" s="339"/>
      <c r="AX13" s="339"/>
      <c r="AY13" s="339"/>
      <c r="AZ13" s="339"/>
      <c r="BA13" s="339"/>
      <c r="BB13" s="339"/>
      <c r="BC13" s="339"/>
      <c r="BD13" s="339">
        <v>136876.82</v>
      </c>
      <c r="BE13" s="339">
        <v>137953.28</v>
      </c>
      <c r="BF13" s="339">
        <v>102958.08</v>
      </c>
      <c r="BG13" s="339">
        <v>104407.26820000001</v>
      </c>
      <c r="BH13" s="339">
        <v>44714.22</v>
      </c>
      <c r="BI13" s="339">
        <v>45094.14</v>
      </c>
      <c r="BJ13" s="339">
        <v>45513.52</v>
      </c>
      <c r="BK13" s="339">
        <v>38793.25</v>
      </c>
      <c r="BL13" s="339">
        <v>0.76</v>
      </c>
      <c r="BM13" s="339">
        <v>0.76</v>
      </c>
      <c r="BN13" s="339">
        <v>0.76</v>
      </c>
      <c r="BO13" s="339">
        <v>0.76</v>
      </c>
      <c r="BP13" s="339">
        <v>0.76</v>
      </c>
      <c r="BQ13" s="339">
        <v>0.76</v>
      </c>
      <c r="BR13" s="339">
        <v>0.76</v>
      </c>
      <c r="BS13" s="110" t="e">
        <f t="array" aca="1" ref="BS13" ca="1">_xludf.XLOOKUP(D13,'PL TOTAL D0'!N:N,'PL TOTAL D0'!P:P,"")</f>
        <v>#NAME?</v>
      </c>
      <c r="BT13" s="110"/>
    </row>
    <row r="14" spans="1:72" ht="15.75" customHeight="1">
      <c r="A14" s="122" t="s">
        <v>3785</v>
      </c>
      <c r="B14" s="104" t="s">
        <v>3838</v>
      </c>
      <c r="C14" s="390" t="s">
        <v>3839</v>
      </c>
      <c r="D14" s="422">
        <v>2406947</v>
      </c>
      <c r="E14" s="293" t="s">
        <v>19</v>
      </c>
      <c r="F14" s="293" t="s">
        <v>49</v>
      </c>
      <c r="G14" s="293" t="s">
        <v>50</v>
      </c>
      <c r="H14" s="293">
        <f>IFERROR(VLOOKUP(G14,'Cadastro de assessores'!A:B,2,FALSE),"Não Cadastrado")</f>
        <v>12331</v>
      </c>
      <c r="I14" s="293" t="s">
        <v>181</v>
      </c>
      <c r="J14" s="24" t="s">
        <v>3788</v>
      </c>
      <c r="K14" s="292" t="s">
        <v>152</v>
      </c>
      <c r="L14" s="423">
        <v>44453</v>
      </c>
      <c r="M14" s="423">
        <v>44609</v>
      </c>
      <c r="N14" s="426"/>
      <c r="O14" s="426" t="s">
        <v>3805</v>
      </c>
      <c r="P14" s="388">
        <v>1.2E-2</v>
      </c>
      <c r="Q14" s="421" t="s">
        <v>3840</v>
      </c>
      <c r="R14" s="417"/>
      <c r="S14" s="292" t="str">
        <f t="shared" ref="S14:S17" si="2">IF(BC14&lt;=0,"",IF(BC14&lt;=1000000,"Não Qualificado",IF(AND(BC14&gt;1000000,BC14&lt;=10000000),"Qualificado","Profissional")))</f>
        <v/>
      </c>
      <c r="T14" s="292" t="s">
        <v>145</v>
      </c>
      <c r="U14" s="292" t="s">
        <v>3841</v>
      </c>
      <c r="V14" s="299" t="s">
        <v>49</v>
      </c>
      <c r="W14" s="350"/>
      <c r="X14" s="350"/>
      <c r="Y14" s="350"/>
      <c r="Z14" s="350"/>
      <c r="AA14" s="350"/>
      <c r="AB14" s="350"/>
      <c r="AC14" s="350"/>
      <c r="AD14" s="350"/>
      <c r="AE14" s="350"/>
      <c r="AF14" s="350"/>
      <c r="AG14" s="418"/>
      <c r="AH14" s="418"/>
      <c r="AI14" s="418"/>
      <c r="AJ14" s="339"/>
      <c r="AK14" s="339"/>
      <c r="AL14" s="339"/>
      <c r="AM14" s="339"/>
      <c r="AN14" s="339"/>
      <c r="AO14" s="339"/>
      <c r="AP14" s="339"/>
      <c r="AQ14" s="339"/>
      <c r="AR14" s="339"/>
      <c r="AS14" s="339"/>
      <c r="AT14" s="339"/>
      <c r="AU14" s="339"/>
      <c r="AV14" s="339"/>
      <c r="AW14" s="339"/>
      <c r="AX14" s="350"/>
      <c r="AY14" s="350"/>
      <c r="AZ14" s="418"/>
      <c r="BA14" s="418">
        <v>481706.07</v>
      </c>
      <c r="BB14" s="418">
        <v>407735.87</v>
      </c>
      <c r="BC14" s="418"/>
      <c r="BD14" s="339">
        <v>269449.12</v>
      </c>
      <c r="BE14" s="339">
        <v>271768.98</v>
      </c>
      <c r="BF14" s="339">
        <v>159421.38</v>
      </c>
      <c r="BG14" s="339">
        <v>160461.0477</v>
      </c>
      <c r="BH14" s="339">
        <v>161648.38</v>
      </c>
      <c r="BI14" s="339">
        <v>109528.2</v>
      </c>
      <c r="BJ14" s="339">
        <v>77368.19</v>
      </c>
      <c r="BK14" s="339">
        <v>67768.72</v>
      </c>
      <c r="BL14" s="339">
        <v>68568.02</v>
      </c>
      <c r="BM14" s="339">
        <v>68896.899999999994</v>
      </c>
      <c r="BN14" s="339">
        <v>59941.78</v>
      </c>
      <c r="BO14" s="339">
        <v>60529.78</v>
      </c>
      <c r="BP14" s="339">
        <v>16907.349999999999</v>
      </c>
      <c r="BQ14" s="339">
        <v>16968.02</v>
      </c>
      <c r="BR14" s="339">
        <v>17040.28</v>
      </c>
      <c r="BS14" s="110" t="e">
        <f t="array" aca="1" ref="BS14" ca="1">_xludf.XLOOKUP(D14,'PL TOTAL D0'!N:N,'PL TOTAL D0'!P:P,"")</f>
        <v>#NAME?</v>
      </c>
      <c r="BT14" s="110"/>
    </row>
    <row r="15" spans="1:72" ht="15.75" customHeight="1">
      <c r="A15" s="122" t="s">
        <v>3785</v>
      </c>
      <c r="B15" s="104" t="s">
        <v>252</v>
      </c>
      <c r="C15" s="390" t="s">
        <v>249</v>
      </c>
      <c r="D15" s="293">
        <v>3952119</v>
      </c>
      <c r="E15" s="293" t="s">
        <v>19</v>
      </c>
      <c r="F15" s="293" t="s">
        <v>20</v>
      </c>
      <c r="G15" s="293" t="s">
        <v>3159</v>
      </c>
      <c r="H15" s="293" t="str">
        <f>IFERROR(VLOOKUP(G15,'Cadastro de assessores'!A:B,2,FALSE),"Não Cadastrado")</f>
        <v>13444</v>
      </c>
      <c r="I15" s="293"/>
      <c r="J15" s="24" t="s">
        <v>3788</v>
      </c>
      <c r="K15" s="292" t="s">
        <v>152</v>
      </c>
      <c r="L15" s="415">
        <v>44335</v>
      </c>
      <c r="M15" s="415">
        <v>44335</v>
      </c>
      <c r="N15" s="299"/>
      <c r="O15" s="299" t="s">
        <v>3842</v>
      </c>
      <c r="P15" s="392">
        <v>8.0000000000000002E-3</v>
      </c>
      <c r="Q15" s="421"/>
      <c r="R15" s="417"/>
      <c r="S15" s="292" t="str">
        <f t="shared" si="2"/>
        <v>Não Qualificado</v>
      </c>
      <c r="T15" s="292" t="s">
        <v>145</v>
      </c>
      <c r="U15" s="292" t="s">
        <v>3797</v>
      </c>
      <c r="V15" s="292" t="s">
        <v>20</v>
      </c>
      <c r="W15" s="350"/>
      <c r="X15" s="350"/>
      <c r="Y15" s="350"/>
      <c r="Z15" s="350"/>
      <c r="AA15" s="350"/>
      <c r="AB15" s="350"/>
      <c r="AC15" s="350"/>
      <c r="AD15" s="350"/>
      <c r="AE15" s="350"/>
      <c r="AF15" s="350"/>
      <c r="AG15" s="350"/>
      <c r="AH15" s="350"/>
      <c r="AI15" s="350"/>
      <c r="AJ15" s="350"/>
      <c r="AK15" s="339"/>
      <c r="AL15" s="339"/>
      <c r="AM15" s="339"/>
      <c r="AN15" s="339"/>
      <c r="AO15" s="339"/>
      <c r="AP15" s="339"/>
      <c r="AQ15" s="350"/>
      <c r="AR15" s="340">
        <v>138241.87</v>
      </c>
      <c r="AS15" s="339">
        <v>135092.06</v>
      </c>
      <c r="AT15" s="339">
        <v>137880.15</v>
      </c>
      <c r="AU15" s="339">
        <v>133766.76</v>
      </c>
      <c r="AV15" s="339">
        <v>132368.95000000001</v>
      </c>
      <c r="AW15" s="339">
        <v>131061.88</v>
      </c>
      <c r="AX15" s="339">
        <v>124496.91</v>
      </c>
      <c r="AY15" s="339">
        <v>133048.60999999999</v>
      </c>
      <c r="AZ15" s="339">
        <v>130485.14</v>
      </c>
      <c r="BA15" s="339">
        <v>128528.17</v>
      </c>
      <c r="BB15" s="339">
        <v>119627.14</v>
      </c>
      <c r="BC15" s="339">
        <v>210246.24</v>
      </c>
      <c r="BD15" s="339">
        <v>109168.84</v>
      </c>
      <c r="BE15" s="339">
        <v>104575.21</v>
      </c>
      <c r="BF15" s="339">
        <v>99122.67</v>
      </c>
      <c r="BG15" s="339">
        <v>96890.72</v>
      </c>
      <c r="BH15" s="339">
        <v>95722.23</v>
      </c>
      <c r="BI15" s="339">
        <v>91282.74</v>
      </c>
      <c r="BJ15" s="339">
        <v>82471.48</v>
      </c>
      <c r="BK15" s="339">
        <v>77339.87</v>
      </c>
      <c r="BL15" s="339">
        <v>66911.42</v>
      </c>
      <c r="BM15" s="339">
        <v>62772.9</v>
      </c>
      <c r="BN15" s="339">
        <v>59018.35</v>
      </c>
      <c r="BO15" s="339">
        <v>60744.01</v>
      </c>
      <c r="BP15" s="339">
        <v>63083.38</v>
      </c>
      <c r="BQ15" s="339">
        <v>65613.429999999993</v>
      </c>
      <c r="BR15" s="339">
        <v>67382.42</v>
      </c>
      <c r="BS15" s="110" t="e">
        <f t="array" aca="1" ref="BS15" ca="1">_xludf.XLOOKUP(D15,'PL TOTAL D0'!N:N,'PL TOTAL D0'!P:P,"")</f>
        <v>#NAME?</v>
      </c>
      <c r="BT15" s="110"/>
    </row>
    <row r="16" spans="1:72" ht="15.75" customHeight="1">
      <c r="A16" s="122" t="s">
        <v>3785</v>
      </c>
      <c r="B16" s="104" t="s">
        <v>3843</v>
      </c>
      <c r="C16" s="86" t="s">
        <v>3844</v>
      </c>
      <c r="D16" s="299">
        <v>7435703</v>
      </c>
      <c r="E16" s="292" t="s">
        <v>19</v>
      </c>
      <c r="F16" s="292" t="s">
        <v>49</v>
      </c>
      <c r="G16" s="292" t="s">
        <v>328</v>
      </c>
      <c r="H16" s="292" t="str">
        <f>IFERROR(VLOOKUP(G16,'Cadastro de assessores'!A:B,2,FALSE),"Não Cadastrado")</f>
        <v>18009</v>
      </c>
      <c r="I16" s="292" t="s">
        <v>181</v>
      </c>
      <c r="J16" s="24" t="s">
        <v>143</v>
      </c>
      <c r="K16" s="292"/>
      <c r="L16" s="419">
        <v>44547</v>
      </c>
      <c r="M16" s="419">
        <v>44547</v>
      </c>
      <c r="N16" s="391">
        <v>44664</v>
      </c>
      <c r="O16" s="299" t="s">
        <v>3809</v>
      </c>
      <c r="P16" s="388">
        <v>2.5000000000000001E-2</v>
      </c>
      <c r="Q16" s="420" t="s">
        <v>3845</v>
      </c>
      <c r="R16" s="417"/>
      <c r="S16" s="292" t="str">
        <f t="shared" si="2"/>
        <v>Não Qualificado</v>
      </c>
      <c r="T16" s="292" t="s">
        <v>145</v>
      </c>
      <c r="U16" s="292" t="s">
        <v>3846</v>
      </c>
      <c r="V16" s="299" t="s">
        <v>46</v>
      </c>
      <c r="W16" s="350"/>
      <c r="X16" s="350"/>
      <c r="Y16" s="350"/>
      <c r="Z16" s="350"/>
      <c r="AA16" s="350"/>
      <c r="AB16" s="350"/>
      <c r="AC16" s="350"/>
      <c r="AD16" s="350"/>
      <c r="AE16" s="350"/>
      <c r="AF16" s="350"/>
      <c r="AG16" s="418"/>
      <c r="AH16" s="418"/>
      <c r="AI16" s="418"/>
      <c r="AJ16" s="339"/>
      <c r="AK16" s="339"/>
      <c r="AL16" s="339"/>
      <c r="AM16" s="339"/>
      <c r="AN16" s="339"/>
      <c r="AO16" s="339"/>
      <c r="AP16" s="339"/>
      <c r="AQ16" s="339"/>
      <c r="AR16" s="339"/>
      <c r="AS16" s="339"/>
      <c r="AT16" s="339"/>
      <c r="AU16" s="339"/>
      <c r="AV16" s="339"/>
      <c r="AW16" s="339"/>
      <c r="AX16" s="350"/>
      <c r="AY16" s="350"/>
      <c r="AZ16" s="418"/>
      <c r="BA16" s="418">
        <v>0</v>
      </c>
      <c r="BB16" s="418">
        <v>67365.600000000006</v>
      </c>
      <c r="BC16" s="418">
        <v>542216.27</v>
      </c>
      <c r="BD16" s="339" t="s">
        <v>2932</v>
      </c>
      <c r="BE16" s="339" t="s">
        <v>2932</v>
      </c>
      <c r="BF16" s="339">
        <v>0</v>
      </c>
      <c r="BG16" s="339">
        <v>0</v>
      </c>
      <c r="BH16" s="339">
        <v>0</v>
      </c>
      <c r="BI16" s="339">
        <v>0</v>
      </c>
      <c r="BJ16" s="339">
        <v>0</v>
      </c>
      <c r="BK16" s="339">
        <v>0</v>
      </c>
      <c r="BL16" s="339">
        <v>0</v>
      </c>
      <c r="BM16" s="339">
        <v>0</v>
      </c>
      <c r="BN16" s="339">
        <v>0</v>
      </c>
      <c r="BO16" s="339">
        <v>0</v>
      </c>
      <c r="BP16" s="339">
        <v>0</v>
      </c>
      <c r="BQ16" s="339">
        <v>0</v>
      </c>
      <c r="BR16" s="339">
        <v>0</v>
      </c>
      <c r="BS16" s="110" t="e">
        <f t="array" aca="1" ref="BS16" ca="1">_xludf.XLOOKUP(D16,'PL TOTAL D0'!N:N,'PL TOTAL D0'!P:P,"")</f>
        <v>#NAME?</v>
      </c>
      <c r="BT16" s="110"/>
    </row>
    <row r="17" spans="1:72" ht="15.75" customHeight="1">
      <c r="A17" s="122" t="s">
        <v>3785</v>
      </c>
      <c r="B17" s="104" t="s">
        <v>274</v>
      </c>
      <c r="C17" s="122" t="s">
        <v>271</v>
      </c>
      <c r="D17" s="292">
        <v>4831456</v>
      </c>
      <c r="E17" s="293" t="s">
        <v>64</v>
      </c>
      <c r="F17" s="293" t="s">
        <v>20</v>
      </c>
      <c r="G17" s="293" t="s">
        <v>3847</v>
      </c>
      <c r="H17" s="293" t="str">
        <f>IFERROR(VLOOKUP(G17,'Cadastro de assessores'!A:B,2,FALSE),"Não Cadastrado")</f>
        <v>12624</v>
      </c>
      <c r="I17" s="293"/>
      <c r="J17" s="24" t="s">
        <v>3788</v>
      </c>
      <c r="K17" s="292" t="s">
        <v>152</v>
      </c>
      <c r="L17" s="415">
        <v>44231</v>
      </c>
      <c r="M17" s="415">
        <v>44231</v>
      </c>
      <c r="N17" s="292"/>
      <c r="O17" s="292" t="s">
        <v>3809</v>
      </c>
      <c r="P17" s="388">
        <v>2.5000000000000001E-2</v>
      </c>
      <c r="Q17" s="421" t="s">
        <v>3848</v>
      </c>
      <c r="R17" s="417"/>
      <c r="S17" s="292" t="str">
        <f t="shared" si="2"/>
        <v>Não Qualificado</v>
      </c>
      <c r="T17" s="292" t="s">
        <v>145</v>
      </c>
      <c r="U17" s="292" t="s">
        <v>3849</v>
      </c>
      <c r="V17" s="292" t="s">
        <v>20</v>
      </c>
      <c r="W17" s="418"/>
      <c r="X17" s="418"/>
      <c r="Y17" s="418"/>
      <c r="Z17" s="418"/>
      <c r="AA17" s="418"/>
      <c r="AB17" s="418"/>
      <c r="AC17" s="418"/>
      <c r="AD17" s="418"/>
      <c r="AE17" s="418"/>
      <c r="AF17" s="418"/>
      <c r="AG17" s="418"/>
      <c r="AH17" s="418"/>
      <c r="AI17" s="418"/>
      <c r="AJ17" s="418"/>
      <c r="AK17" s="339"/>
      <c r="AL17" s="339"/>
      <c r="AM17" s="339">
        <v>267665.98</v>
      </c>
      <c r="AN17" s="339">
        <v>266717.03000000003</v>
      </c>
      <c r="AO17" s="339">
        <v>290348.86</v>
      </c>
      <c r="AP17" s="339">
        <v>294231.02</v>
      </c>
      <c r="AQ17" s="339">
        <v>291134.42</v>
      </c>
      <c r="AR17" s="339">
        <v>308071.32</v>
      </c>
      <c r="AS17" s="339">
        <v>300926.90000000002</v>
      </c>
      <c r="AT17" s="339">
        <v>284923.15999999997</v>
      </c>
      <c r="AU17" s="339">
        <v>278963.11</v>
      </c>
      <c r="AV17" s="339">
        <v>262666.62</v>
      </c>
      <c r="AW17" s="339">
        <v>243197.59</v>
      </c>
      <c r="AX17" s="339">
        <v>240932.76</v>
      </c>
      <c r="AY17" s="339">
        <v>245429.22</v>
      </c>
      <c r="AZ17" s="339">
        <v>262984.51</v>
      </c>
      <c r="BA17" s="339">
        <v>265615.61</v>
      </c>
      <c r="BB17" s="339">
        <v>283473.14</v>
      </c>
      <c r="BC17" s="339">
        <v>48857.02</v>
      </c>
      <c r="BD17" s="339">
        <v>266623.34999999998</v>
      </c>
      <c r="BE17" s="339">
        <v>254758.57</v>
      </c>
      <c r="BF17" s="339">
        <v>286396.77</v>
      </c>
      <c r="BG17" s="339">
        <v>285394.80709999998</v>
      </c>
      <c r="BH17" s="339">
        <v>284620.64</v>
      </c>
      <c r="BI17" s="339">
        <v>310154.31</v>
      </c>
      <c r="BJ17" s="339">
        <v>300412.03000000003</v>
      </c>
      <c r="BK17" s="339">
        <v>299135.56</v>
      </c>
      <c r="BL17" s="339">
        <v>305347.01</v>
      </c>
      <c r="BM17" s="339">
        <v>292288.46000000002</v>
      </c>
      <c r="BN17" s="339">
        <v>288807.23</v>
      </c>
      <c r="BO17" s="339">
        <v>285078.28999999998</v>
      </c>
      <c r="BP17" s="339">
        <v>291212.69</v>
      </c>
      <c r="BQ17" s="339">
        <v>308909.05</v>
      </c>
      <c r="BR17" s="339">
        <v>319939.46000000002</v>
      </c>
      <c r="BS17" s="110" t="e">
        <f t="array" aca="1" ref="BS17" ca="1">_xludf.XLOOKUP(D17,'PL TOTAL D0'!N:N,'PL TOTAL D0'!P:P,"")</f>
        <v>#NAME?</v>
      </c>
      <c r="BT17" s="110"/>
    </row>
    <row r="18" spans="1:72" ht="15.75" customHeight="1">
      <c r="A18" s="122" t="s">
        <v>3785</v>
      </c>
      <c r="B18" s="104" t="s">
        <v>3850</v>
      </c>
      <c r="C18" s="104" t="s">
        <v>3851</v>
      </c>
      <c r="D18" s="427">
        <v>8742121</v>
      </c>
      <c r="E18" s="293" t="s">
        <v>19</v>
      </c>
      <c r="F18" s="293" t="s">
        <v>49</v>
      </c>
      <c r="G18" s="293" t="s">
        <v>277</v>
      </c>
      <c r="H18" s="293" t="str">
        <f>IFERROR(VLOOKUP(G18,'Cadastro de assessores'!A:B,2,FALSE),"Não Cadastrado")</f>
        <v>17831</v>
      </c>
      <c r="I18" s="293"/>
      <c r="J18" s="24" t="s">
        <v>3788</v>
      </c>
      <c r="K18" s="292" t="s">
        <v>152</v>
      </c>
      <c r="L18" s="415">
        <v>44722</v>
      </c>
      <c r="M18" s="415">
        <v>44729</v>
      </c>
      <c r="N18" s="292"/>
      <c r="O18" s="292" t="s">
        <v>3805</v>
      </c>
      <c r="P18" s="388">
        <v>1.2E-2</v>
      </c>
      <c r="Q18" s="420"/>
      <c r="R18" s="417"/>
      <c r="S18" s="292" t="s">
        <v>253</v>
      </c>
      <c r="T18" s="292" t="s">
        <v>145</v>
      </c>
      <c r="U18" s="292" t="s">
        <v>3811</v>
      </c>
      <c r="V18" s="292" t="s">
        <v>20</v>
      </c>
      <c r="W18" s="418"/>
      <c r="X18" s="418"/>
      <c r="Y18" s="418"/>
      <c r="Z18" s="418"/>
      <c r="AA18" s="418"/>
      <c r="AB18" s="418"/>
      <c r="AC18" s="418"/>
      <c r="AD18" s="418"/>
      <c r="AE18" s="418"/>
      <c r="AF18" s="418"/>
      <c r="AG18" s="418"/>
      <c r="AH18" s="418"/>
      <c r="AI18" s="418"/>
      <c r="AJ18" s="418"/>
      <c r="AK18" s="339"/>
      <c r="AL18" s="339"/>
      <c r="AM18" s="339"/>
      <c r="AN18" s="339"/>
      <c r="AO18" s="339"/>
      <c r="AP18" s="339"/>
      <c r="AQ18" s="339"/>
      <c r="AR18" s="339"/>
      <c r="AS18" s="339"/>
      <c r="AT18" s="339"/>
      <c r="AU18" s="339"/>
      <c r="AV18" s="339"/>
      <c r="AW18" s="339"/>
      <c r="AX18" s="339"/>
      <c r="AY18" s="339"/>
      <c r="AZ18" s="339"/>
      <c r="BA18" s="339"/>
      <c r="BB18" s="339"/>
      <c r="BC18" s="339"/>
      <c r="BD18" s="339"/>
      <c r="BE18" s="339" t="s">
        <v>2932</v>
      </c>
      <c r="BF18" s="339">
        <v>76529.02</v>
      </c>
      <c r="BG18" s="339">
        <v>77300.903470000005</v>
      </c>
      <c r="BH18" s="339">
        <v>77735.58</v>
      </c>
      <c r="BI18" s="339">
        <v>78284.52</v>
      </c>
      <c r="BJ18" s="339">
        <v>78894.649999999994</v>
      </c>
      <c r="BK18" s="339">
        <v>79605.899999999994</v>
      </c>
      <c r="BL18" s="339">
        <v>80513.39</v>
      </c>
      <c r="BM18" s="339">
        <v>73613.56</v>
      </c>
      <c r="BN18" s="339">
        <v>0.5</v>
      </c>
      <c r="BO18" s="339">
        <v>0.5</v>
      </c>
      <c r="BP18" s="339">
        <v>0.5</v>
      </c>
      <c r="BQ18" s="339">
        <v>0.5</v>
      </c>
      <c r="BR18" s="339">
        <v>0.5</v>
      </c>
      <c r="BS18" s="110" t="e">
        <f t="array" aca="1" ref="BS18" ca="1">_xludf.XLOOKUP(D18,'PL TOTAL D0'!N:N,'PL TOTAL D0'!P:P,"")</f>
        <v>#NAME?</v>
      </c>
      <c r="BT18" s="110"/>
    </row>
    <row r="19" spans="1:72" ht="15.75" customHeight="1">
      <c r="A19" s="122" t="s">
        <v>3785</v>
      </c>
      <c r="B19" s="104" t="s">
        <v>290</v>
      </c>
      <c r="C19" s="104" t="s">
        <v>3852</v>
      </c>
      <c r="D19" s="293">
        <v>2931994</v>
      </c>
      <c r="E19" s="293" t="s">
        <v>64</v>
      </c>
      <c r="F19" s="293" t="s">
        <v>20</v>
      </c>
      <c r="G19" s="293" t="s">
        <v>3853</v>
      </c>
      <c r="H19" s="293" t="str">
        <f>IFERROR(VLOOKUP(G19,'Cadastro de assessores'!A:B,2,FALSE),"Não Cadastrado")</f>
        <v>1441</v>
      </c>
      <c r="I19" s="293"/>
      <c r="J19" s="24" t="s">
        <v>152</v>
      </c>
      <c r="K19" s="292" t="s">
        <v>152</v>
      </c>
      <c r="L19" s="415">
        <v>44134</v>
      </c>
      <c r="M19" s="415">
        <v>44138</v>
      </c>
      <c r="N19" s="292"/>
      <c r="O19" s="292" t="s">
        <v>3809</v>
      </c>
      <c r="P19" s="388">
        <v>2.5000000000000001E-2</v>
      </c>
      <c r="Q19" s="420"/>
      <c r="R19" s="417"/>
      <c r="S19" s="292" t="str">
        <f t="shared" ref="S19:S33" si="3">IF(BC19&lt;=0,"",IF(BC19&lt;=1000000,"Não Qualificado",IF(AND(BC19&gt;1000000,BC19&lt;=10000000),"Qualificado","Profissional")))</f>
        <v>Não Qualificado</v>
      </c>
      <c r="T19" s="292" t="s">
        <v>145</v>
      </c>
      <c r="U19" s="292" t="s">
        <v>3811</v>
      </c>
      <c r="V19" s="292" t="s">
        <v>20</v>
      </c>
      <c r="W19" s="418" t="s">
        <v>3798</v>
      </c>
      <c r="X19" s="418" t="s">
        <v>3798</v>
      </c>
      <c r="Y19" s="418" t="s">
        <v>3798</v>
      </c>
      <c r="Z19" s="418" t="s">
        <v>3798</v>
      </c>
      <c r="AA19" s="418" t="s">
        <v>3798</v>
      </c>
      <c r="AB19" s="418" t="s">
        <v>3798</v>
      </c>
      <c r="AC19" s="418" t="s">
        <v>3798</v>
      </c>
      <c r="AD19" s="418" t="s">
        <v>3798</v>
      </c>
      <c r="AE19" s="418" t="s">
        <v>3798</v>
      </c>
      <c r="AF19" s="418" t="s">
        <v>3798</v>
      </c>
      <c r="AG19" s="418" t="s">
        <v>3798</v>
      </c>
      <c r="AH19" s="418" t="s">
        <v>3798</v>
      </c>
      <c r="AI19" s="418" t="s">
        <v>3854</v>
      </c>
      <c r="AJ19" s="418" t="s">
        <v>3855</v>
      </c>
      <c r="AK19" s="339">
        <v>102228.8</v>
      </c>
      <c r="AL19" s="339">
        <v>97365.65</v>
      </c>
      <c r="AM19" s="339">
        <v>90381.4</v>
      </c>
      <c r="AN19" s="339">
        <v>89560.07</v>
      </c>
      <c r="AO19" s="339">
        <v>95848.65</v>
      </c>
      <c r="AP19" s="339">
        <v>97123.35</v>
      </c>
      <c r="AQ19" s="339">
        <v>96126.83</v>
      </c>
      <c r="AR19" s="339">
        <v>101535.73</v>
      </c>
      <c r="AS19" s="339">
        <v>99180.92</v>
      </c>
      <c r="AT19" s="339">
        <v>93953.16</v>
      </c>
      <c r="AU19" s="339">
        <v>91973.81</v>
      </c>
      <c r="AV19" s="339">
        <v>86541.37</v>
      </c>
      <c r="AW19" s="339">
        <v>80264.05</v>
      </c>
      <c r="AX19" s="339">
        <v>79455.08</v>
      </c>
      <c r="AY19" s="339">
        <v>80870.740000000005</v>
      </c>
      <c r="AZ19" s="339">
        <v>85730.27</v>
      </c>
      <c r="BA19" s="339">
        <v>86683.25</v>
      </c>
      <c r="BB19" s="339">
        <v>92742.3</v>
      </c>
      <c r="BC19" s="339">
        <v>583300.93999999994</v>
      </c>
      <c r="BD19" s="339">
        <v>86873.03</v>
      </c>
      <c r="BE19" s="339">
        <v>83070.8</v>
      </c>
      <c r="BF19" s="339">
        <v>87198.12</v>
      </c>
      <c r="BG19" s="339">
        <v>88178.86</v>
      </c>
      <c r="BH19" s="339">
        <v>86831.14</v>
      </c>
      <c r="BI19" s="339">
        <v>94906</v>
      </c>
      <c r="BJ19" s="339">
        <v>91668.82</v>
      </c>
      <c r="BK19" s="339">
        <v>91104.12</v>
      </c>
      <c r="BL19" s="339">
        <v>93005.87</v>
      </c>
      <c r="BM19" s="339">
        <v>89810.7</v>
      </c>
      <c r="BN19" s="339">
        <v>60618.77</v>
      </c>
      <c r="BO19" s="339">
        <v>59028.55</v>
      </c>
      <c r="BP19" s="339">
        <v>22934.65</v>
      </c>
      <c r="BQ19" s="339">
        <v>24395.32</v>
      </c>
      <c r="BR19" s="339">
        <v>25745.65</v>
      </c>
      <c r="BS19" s="110" t="e">
        <f t="array" aca="1" ref="BS19" ca="1">_xludf.XLOOKUP(D19,'PL TOTAL D0'!N:N,'PL TOTAL D0'!P:P,"")</f>
        <v>#NAME?</v>
      </c>
      <c r="BT19" s="110"/>
    </row>
    <row r="20" spans="1:72" ht="15.75" customHeight="1">
      <c r="A20" s="122" t="s">
        <v>3785</v>
      </c>
      <c r="B20" s="104" t="s">
        <v>3856</v>
      </c>
      <c r="C20" s="104" t="s">
        <v>3857</v>
      </c>
      <c r="D20" s="293">
        <v>4608802</v>
      </c>
      <c r="E20" s="293" t="s">
        <v>2923</v>
      </c>
      <c r="F20" s="293" t="s">
        <v>20</v>
      </c>
      <c r="G20" s="293" t="s">
        <v>2923</v>
      </c>
      <c r="H20" s="293" t="str">
        <f>IFERROR(VLOOKUP(G20,'Cadastro de assessores'!A:B,2,FALSE),"Não Cadastrado")</f>
        <v>18986</v>
      </c>
      <c r="I20" s="293" t="s">
        <v>181</v>
      </c>
      <c r="J20" s="24" t="s">
        <v>152</v>
      </c>
      <c r="K20" s="292" t="s">
        <v>152</v>
      </c>
      <c r="L20" s="416">
        <v>44158</v>
      </c>
      <c r="M20" s="416">
        <v>44180</v>
      </c>
      <c r="N20" s="292"/>
      <c r="O20" s="292" t="s">
        <v>3795</v>
      </c>
      <c r="P20" s="388">
        <v>1.4999999999999999E-2</v>
      </c>
      <c r="Q20" s="421" t="s">
        <v>3858</v>
      </c>
      <c r="R20" s="417"/>
      <c r="S20" s="292" t="str">
        <f t="shared" si="3"/>
        <v/>
      </c>
      <c r="T20" s="293" t="s">
        <v>145</v>
      </c>
      <c r="U20" s="293" t="s">
        <v>3859</v>
      </c>
      <c r="V20" s="293" t="s">
        <v>20</v>
      </c>
      <c r="W20" s="418" t="s">
        <v>3798</v>
      </c>
      <c r="X20" s="418" t="s">
        <v>3798</v>
      </c>
      <c r="Y20" s="418" t="s">
        <v>3798</v>
      </c>
      <c r="Z20" s="418" t="s">
        <v>3798</v>
      </c>
      <c r="AA20" s="418" t="s">
        <v>3798</v>
      </c>
      <c r="AB20" s="418" t="s">
        <v>3798</v>
      </c>
      <c r="AC20" s="418" t="s">
        <v>3798</v>
      </c>
      <c r="AD20" s="418" t="s">
        <v>3798</v>
      </c>
      <c r="AE20" s="418" t="s">
        <v>3798</v>
      </c>
      <c r="AF20" s="418" t="s">
        <v>3798</v>
      </c>
      <c r="AG20" s="418" t="s">
        <v>3798</v>
      </c>
      <c r="AH20" s="418" t="s">
        <v>3798</v>
      </c>
      <c r="AI20" s="418" t="s">
        <v>3798</v>
      </c>
      <c r="AJ20" s="418" t="s">
        <v>3798</v>
      </c>
      <c r="AK20" s="339">
        <v>401271.13</v>
      </c>
      <c r="AL20" s="339">
        <v>396313.99</v>
      </c>
      <c r="AM20" s="339">
        <v>307499.44</v>
      </c>
      <c r="AN20" s="339">
        <v>307069.45</v>
      </c>
      <c r="AO20" s="339">
        <v>369448.21</v>
      </c>
      <c r="AP20" s="339">
        <v>370825.15</v>
      </c>
      <c r="AQ20" s="339">
        <v>369468.12</v>
      </c>
      <c r="AR20" s="339">
        <v>377254.61</v>
      </c>
      <c r="AS20" s="339">
        <v>374638.27</v>
      </c>
      <c r="AT20" s="339">
        <v>368914.18</v>
      </c>
      <c r="AU20" s="339">
        <v>223937.74</v>
      </c>
      <c r="AV20" s="339">
        <v>163700.43</v>
      </c>
      <c r="AW20" s="339">
        <v>210533.37</v>
      </c>
      <c r="AX20" s="339">
        <v>210191.29</v>
      </c>
      <c r="AY20" s="339">
        <v>206664.23</v>
      </c>
      <c r="AZ20" s="339">
        <v>213218.31</v>
      </c>
      <c r="BA20" s="339">
        <v>215505.02</v>
      </c>
      <c r="BB20" s="339">
        <v>215388.52</v>
      </c>
      <c r="BC20" s="339"/>
      <c r="BD20" s="339">
        <v>152784.15</v>
      </c>
      <c r="BE20" s="339">
        <v>141838.81</v>
      </c>
      <c r="BF20" s="339">
        <v>74081.33</v>
      </c>
      <c r="BG20" s="339">
        <v>309287.20319999999</v>
      </c>
      <c r="BH20" s="339">
        <v>295712.94</v>
      </c>
      <c r="BI20" s="339">
        <v>289884.55</v>
      </c>
      <c r="BJ20" s="339">
        <v>267259.65999999997</v>
      </c>
      <c r="BK20" s="339">
        <v>220827.66</v>
      </c>
      <c r="BL20" s="339">
        <v>221933.93</v>
      </c>
      <c r="BM20" s="339">
        <v>202768.87</v>
      </c>
      <c r="BN20" s="339">
        <v>181541.28</v>
      </c>
      <c r="BO20" s="339">
        <v>159695.07999999999</v>
      </c>
      <c r="BP20" s="339">
        <v>129017.97</v>
      </c>
      <c r="BQ20" s="339">
        <v>109362.56</v>
      </c>
      <c r="BR20" s="339">
        <v>43209.01</v>
      </c>
      <c r="BS20" s="110" t="e">
        <f t="array" aca="1" ref="BS20" ca="1">_xludf.XLOOKUP(D20,'PL TOTAL D0'!N:N,'PL TOTAL D0'!P:P,"")</f>
        <v>#NAME?</v>
      </c>
      <c r="BT20" s="110"/>
    </row>
    <row r="21" spans="1:72" ht="15.75" customHeight="1">
      <c r="A21" s="122" t="s">
        <v>3785</v>
      </c>
      <c r="B21" s="104" t="s">
        <v>3860</v>
      </c>
      <c r="C21" s="104" t="s">
        <v>3861</v>
      </c>
      <c r="D21" s="293">
        <v>4441469</v>
      </c>
      <c r="E21" s="293" t="s">
        <v>64</v>
      </c>
      <c r="F21" s="293" t="s">
        <v>20</v>
      </c>
      <c r="G21" s="293" t="s">
        <v>3862</v>
      </c>
      <c r="H21" s="293" t="str">
        <f>IFERROR(VLOOKUP(G21,'Cadastro de assessores'!A:B,2,FALSE),"Não Cadastrado")</f>
        <v>1298</v>
      </c>
      <c r="I21" s="293"/>
      <c r="J21" s="24" t="s">
        <v>3788</v>
      </c>
      <c r="K21" s="292" t="s">
        <v>152</v>
      </c>
      <c r="L21" s="415">
        <v>44078</v>
      </c>
      <c r="M21" s="415">
        <v>44085</v>
      </c>
      <c r="N21" s="292"/>
      <c r="O21" s="292" t="s">
        <v>3795</v>
      </c>
      <c r="P21" s="388">
        <v>1.4999999999999999E-2</v>
      </c>
      <c r="Q21" s="420" t="s">
        <v>3863</v>
      </c>
      <c r="R21" s="417"/>
      <c r="S21" s="292" t="str">
        <f t="shared" si="3"/>
        <v>Não Qualificado</v>
      </c>
      <c r="T21" s="292" t="s">
        <v>145</v>
      </c>
      <c r="U21" s="292" t="s">
        <v>3803</v>
      </c>
      <c r="V21" s="292" t="s">
        <v>20</v>
      </c>
      <c r="W21" s="418" t="s">
        <v>3798</v>
      </c>
      <c r="X21" s="418" t="s">
        <v>3798</v>
      </c>
      <c r="Y21" s="418" t="s">
        <v>3798</v>
      </c>
      <c r="Z21" s="418" t="s">
        <v>3798</v>
      </c>
      <c r="AA21" s="418" t="s">
        <v>3798</v>
      </c>
      <c r="AB21" s="418" t="s">
        <v>3798</v>
      </c>
      <c r="AC21" s="418" t="s">
        <v>3798</v>
      </c>
      <c r="AD21" s="418" t="s">
        <v>3798</v>
      </c>
      <c r="AE21" s="418" t="s">
        <v>3798</v>
      </c>
      <c r="AF21" s="418" t="s">
        <v>3798</v>
      </c>
      <c r="AG21" s="418" t="s">
        <v>3798</v>
      </c>
      <c r="AH21" s="418" t="s">
        <v>3864</v>
      </c>
      <c r="AI21" s="418" t="s">
        <v>3865</v>
      </c>
      <c r="AJ21" s="418" t="s">
        <v>3866</v>
      </c>
      <c r="AK21" s="339">
        <v>264767.33</v>
      </c>
      <c r="AL21" s="339">
        <v>259012.26</v>
      </c>
      <c r="AM21" s="339">
        <v>249285.97</v>
      </c>
      <c r="AN21" s="339">
        <v>247929.82</v>
      </c>
      <c r="AO21" s="339">
        <v>254949.24</v>
      </c>
      <c r="AP21" s="339">
        <v>256376.85</v>
      </c>
      <c r="AQ21" s="339">
        <v>255350.8</v>
      </c>
      <c r="AR21" s="339">
        <v>261557.37</v>
      </c>
      <c r="AS21" s="339">
        <v>259503.84</v>
      </c>
      <c r="AT21" s="339">
        <v>255390.95</v>
      </c>
      <c r="AU21" s="339">
        <v>254967.87</v>
      </c>
      <c r="AV21" s="339">
        <v>251257.88</v>
      </c>
      <c r="AW21" s="339">
        <v>242466.76</v>
      </c>
      <c r="AX21" s="339">
        <v>243049.79</v>
      </c>
      <c r="AY21" s="339">
        <v>220912.08</v>
      </c>
      <c r="AZ21" s="339">
        <v>226611.95</v>
      </c>
      <c r="BA21" s="339">
        <v>228849.42</v>
      </c>
      <c r="BB21" s="339">
        <v>237539.78</v>
      </c>
      <c r="BC21" s="339">
        <v>47275.83</v>
      </c>
      <c r="BD21" s="339">
        <v>236661.8</v>
      </c>
      <c r="BE21" s="339">
        <v>221097.64</v>
      </c>
      <c r="BF21" s="339">
        <v>225018.96</v>
      </c>
      <c r="BG21" s="339">
        <v>226465.73620000001</v>
      </c>
      <c r="BH21" s="339">
        <v>228108.02</v>
      </c>
      <c r="BI21" s="339">
        <v>237354.06</v>
      </c>
      <c r="BJ21" s="339">
        <v>220948.95</v>
      </c>
      <c r="BK21" s="339">
        <v>222500.43</v>
      </c>
      <c r="BL21" s="339">
        <v>207079.45</v>
      </c>
      <c r="BM21" s="339">
        <v>9958.58</v>
      </c>
      <c r="BN21" s="339">
        <v>10191.6</v>
      </c>
      <c r="BO21" s="339">
        <v>9433.02</v>
      </c>
      <c r="BP21" s="339">
        <v>9524.42</v>
      </c>
      <c r="BQ21" s="339">
        <v>9594.5300000000007</v>
      </c>
      <c r="BR21" s="339">
        <v>9665.6200000000008</v>
      </c>
      <c r="BS21" s="110" t="e">
        <f t="array" aca="1" ref="BS21" ca="1">_xludf.XLOOKUP(D21,'PL TOTAL D0'!N:N,'PL TOTAL D0'!P:P,"")</f>
        <v>#NAME?</v>
      </c>
      <c r="BT21" s="110"/>
    </row>
    <row r="22" spans="1:72" ht="15.75" customHeight="1">
      <c r="A22" s="122" t="s">
        <v>3785</v>
      </c>
      <c r="B22" s="104" t="s">
        <v>3867</v>
      </c>
      <c r="C22" s="86" t="s">
        <v>3868</v>
      </c>
      <c r="D22" s="426">
        <v>6032020</v>
      </c>
      <c r="E22" s="293" t="s">
        <v>19</v>
      </c>
      <c r="F22" s="293" t="s">
        <v>20</v>
      </c>
      <c r="G22" s="426" t="s">
        <v>2512</v>
      </c>
      <c r="H22" s="293" t="str">
        <f>IFERROR(VLOOKUP(G22,'Cadastro de assessores'!A:B,2,FALSE),"Não Cadastrado")</f>
        <v>18256</v>
      </c>
      <c r="I22" s="293"/>
      <c r="J22" s="24" t="s">
        <v>3788</v>
      </c>
      <c r="K22" s="292" t="s">
        <v>152</v>
      </c>
      <c r="L22" s="415">
        <v>44537</v>
      </c>
      <c r="M22" s="415">
        <v>44537</v>
      </c>
      <c r="N22" s="426"/>
      <c r="O22" s="426" t="s">
        <v>3802</v>
      </c>
      <c r="P22" s="392">
        <v>7.0000000000000001E-3</v>
      </c>
      <c r="Q22" s="311" t="s">
        <v>3869</v>
      </c>
      <c r="R22" s="417"/>
      <c r="S22" s="292" t="str">
        <f t="shared" si="3"/>
        <v>Não Qualificado</v>
      </c>
      <c r="T22" s="292" t="s">
        <v>145</v>
      </c>
      <c r="U22" s="292" t="s">
        <v>3797</v>
      </c>
      <c r="V22" s="292" t="s">
        <v>20</v>
      </c>
      <c r="W22" s="350"/>
      <c r="X22" s="350"/>
      <c r="Y22" s="350"/>
      <c r="Z22" s="350"/>
      <c r="AA22" s="350"/>
      <c r="AB22" s="350"/>
      <c r="AC22" s="350"/>
      <c r="AD22" s="350"/>
      <c r="AE22" s="350"/>
      <c r="AF22" s="350"/>
      <c r="AG22" s="418"/>
      <c r="AH22" s="418"/>
      <c r="AI22" s="418"/>
      <c r="AJ22" s="339"/>
      <c r="AK22" s="339"/>
      <c r="AL22" s="339"/>
      <c r="AM22" s="339"/>
      <c r="AN22" s="339"/>
      <c r="AO22" s="339"/>
      <c r="AP22" s="339"/>
      <c r="AQ22" s="339"/>
      <c r="AR22" s="339"/>
      <c r="AS22" s="339"/>
      <c r="AT22" s="339"/>
      <c r="AU22" s="339"/>
      <c r="AV22" s="339"/>
      <c r="AW22" s="350"/>
      <c r="AX22" s="340"/>
      <c r="AY22" s="340"/>
      <c r="AZ22" s="339"/>
      <c r="BA22" s="339">
        <v>0</v>
      </c>
      <c r="BB22" s="339">
        <v>155318.26999999999</v>
      </c>
      <c r="BC22" s="339">
        <v>142474.29999999999</v>
      </c>
      <c r="BD22" s="339">
        <v>201310.21</v>
      </c>
      <c r="BE22" s="339">
        <v>225266.76</v>
      </c>
      <c r="BF22" s="339">
        <v>243152.66</v>
      </c>
      <c r="BG22" s="339">
        <v>239039.00339999999</v>
      </c>
      <c r="BH22" s="339">
        <v>243799.78</v>
      </c>
      <c r="BI22" s="339">
        <v>252666.44</v>
      </c>
      <c r="BJ22" s="339">
        <v>257862.03</v>
      </c>
      <c r="BK22" s="339">
        <v>263023.17</v>
      </c>
      <c r="BL22" s="339">
        <v>268890.96000000002</v>
      </c>
      <c r="BM22" s="339">
        <v>273823.68</v>
      </c>
      <c r="BN22" s="339">
        <v>184078.57</v>
      </c>
      <c r="BO22" s="339">
        <v>0</v>
      </c>
      <c r="BP22" s="339">
        <v>0</v>
      </c>
      <c r="BQ22" s="339">
        <v>0</v>
      </c>
      <c r="BR22" s="339">
        <v>0</v>
      </c>
      <c r="BS22" s="110" t="e">
        <f t="array" aca="1" ref="BS22" ca="1">_xludf.XLOOKUP(D22,'PL TOTAL D0'!N:N,'PL TOTAL D0'!P:P,"")</f>
        <v>#NAME?</v>
      </c>
      <c r="BT22" s="110"/>
    </row>
    <row r="23" spans="1:72" ht="15.75" customHeight="1">
      <c r="A23" s="122" t="s">
        <v>3785</v>
      </c>
      <c r="B23" s="104" t="s">
        <v>3870</v>
      </c>
      <c r="C23" s="122" t="s">
        <v>3871</v>
      </c>
      <c r="D23" s="292">
        <v>4656935</v>
      </c>
      <c r="E23" s="292" t="s">
        <v>64</v>
      </c>
      <c r="F23" s="292" t="s">
        <v>20</v>
      </c>
      <c r="G23" s="292" t="s">
        <v>3872</v>
      </c>
      <c r="H23" s="292" t="str">
        <f>IFERROR(VLOOKUP(G23,'Cadastro de assessores'!A:B,2,FALSE),"Não Cadastrado")</f>
        <v>13598</v>
      </c>
      <c r="I23" s="292"/>
      <c r="J23" s="24" t="s">
        <v>143</v>
      </c>
      <c r="K23" s="292" t="s">
        <v>3794</v>
      </c>
      <c r="L23" s="419">
        <v>44180</v>
      </c>
      <c r="M23" s="419">
        <v>44180</v>
      </c>
      <c r="N23" s="387">
        <v>44705</v>
      </c>
      <c r="O23" s="292" t="s">
        <v>3805</v>
      </c>
      <c r="P23" s="388">
        <v>1.2E-2</v>
      </c>
      <c r="Q23" s="420" t="s">
        <v>3873</v>
      </c>
      <c r="R23" s="417"/>
      <c r="S23" s="292" t="str">
        <f t="shared" si="3"/>
        <v>Não Qualificado</v>
      </c>
      <c r="T23" s="292" t="s">
        <v>145</v>
      </c>
      <c r="U23" s="292" t="s">
        <v>3816</v>
      </c>
      <c r="V23" s="292" t="s">
        <v>20</v>
      </c>
      <c r="W23" s="418" t="s">
        <v>3798</v>
      </c>
      <c r="X23" s="418" t="s">
        <v>3798</v>
      </c>
      <c r="Y23" s="418" t="s">
        <v>3798</v>
      </c>
      <c r="Z23" s="418" t="s">
        <v>3798</v>
      </c>
      <c r="AA23" s="418" t="s">
        <v>3798</v>
      </c>
      <c r="AB23" s="418" t="s">
        <v>3798</v>
      </c>
      <c r="AC23" s="418" t="s">
        <v>3798</v>
      </c>
      <c r="AD23" s="418" t="s">
        <v>3798</v>
      </c>
      <c r="AE23" s="418" t="s">
        <v>3798</v>
      </c>
      <c r="AF23" s="418" t="s">
        <v>3798</v>
      </c>
      <c r="AG23" s="418" t="s">
        <v>3798</v>
      </c>
      <c r="AH23" s="418" t="s">
        <v>3798</v>
      </c>
      <c r="AI23" s="418" t="s">
        <v>3798</v>
      </c>
      <c r="AJ23" s="418" t="s">
        <v>3798</v>
      </c>
      <c r="AK23" s="339">
        <v>151252.96</v>
      </c>
      <c r="AL23" s="339">
        <v>147982.23000000001</v>
      </c>
      <c r="AM23" s="339">
        <v>140940.63</v>
      </c>
      <c r="AN23" s="339">
        <v>140161.95000000001</v>
      </c>
      <c r="AO23" s="339">
        <v>146044.07999999999</v>
      </c>
      <c r="AP23" s="339">
        <v>168451.95</v>
      </c>
      <c r="AQ23" s="339">
        <v>610692.63</v>
      </c>
      <c r="AR23" s="339">
        <v>617674.96</v>
      </c>
      <c r="AS23" s="339">
        <v>508732.5</v>
      </c>
      <c r="AT23" s="339">
        <v>498845.63</v>
      </c>
      <c r="AU23" s="339">
        <v>459251.31</v>
      </c>
      <c r="AV23" s="339">
        <v>418847.74</v>
      </c>
      <c r="AW23" s="339">
        <v>397558.29</v>
      </c>
      <c r="AX23" s="339">
        <v>377822.42</v>
      </c>
      <c r="AY23" s="339">
        <v>398271.58</v>
      </c>
      <c r="AZ23" s="339">
        <v>397830.43</v>
      </c>
      <c r="BA23" s="339">
        <v>406699.46</v>
      </c>
      <c r="BB23" s="339">
        <v>392121.08</v>
      </c>
      <c r="BC23" s="339">
        <v>126423.01</v>
      </c>
      <c r="BD23" s="339">
        <v>141061.48000000001</v>
      </c>
      <c r="BE23" s="339">
        <v>208.96</v>
      </c>
      <c r="BF23" s="339">
        <v>209.34</v>
      </c>
      <c r="BG23" s="339">
        <v>209.81</v>
      </c>
      <c r="BH23" s="339">
        <v>210.29</v>
      </c>
      <c r="BI23" s="339">
        <v>211.34</v>
      </c>
      <c r="BJ23" s="339">
        <v>210.06</v>
      </c>
      <c r="BK23" s="339">
        <v>210.06</v>
      </c>
      <c r="BL23" s="339">
        <v>210.06</v>
      </c>
      <c r="BM23" s="339">
        <v>210.06</v>
      </c>
      <c r="BN23" s="339">
        <v>210.06</v>
      </c>
      <c r="BO23" s="339">
        <v>210.06</v>
      </c>
      <c r="BP23" s="339">
        <v>210.06</v>
      </c>
      <c r="BQ23" s="339">
        <v>210.06</v>
      </c>
      <c r="BR23" s="339">
        <v>210.06</v>
      </c>
      <c r="BS23" s="110" t="e">
        <f t="array" aca="1" ref="BS23" ca="1">_xludf.XLOOKUP(D23,'PL TOTAL D0'!N:N,'PL TOTAL D0'!P:P,"")</f>
        <v>#NAME?</v>
      </c>
      <c r="BT23" s="110"/>
    </row>
    <row r="24" spans="1:72" ht="15.75" customHeight="1">
      <c r="A24" s="122" t="s">
        <v>3785</v>
      </c>
      <c r="B24" s="104" t="s">
        <v>3874</v>
      </c>
      <c r="C24" s="390" t="s">
        <v>3875</v>
      </c>
      <c r="D24" s="422">
        <v>7988957</v>
      </c>
      <c r="E24" s="293" t="s">
        <v>64</v>
      </c>
      <c r="F24" s="293" t="s">
        <v>20</v>
      </c>
      <c r="G24" s="293" t="s">
        <v>3876</v>
      </c>
      <c r="H24" s="293">
        <f>IFERROR(VLOOKUP(G24,'Cadastro de assessores'!A:B,2,FALSE),"Não Cadastrado")</f>
        <v>12356</v>
      </c>
      <c r="I24" s="293"/>
      <c r="J24" s="24" t="s">
        <v>3788</v>
      </c>
      <c r="K24" s="292" t="s">
        <v>152</v>
      </c>
      <c r="L24" s="415">
        <v>44636</v>
      </c>
      <c r="M24" s="415">
        <v>44655</v>
      </c>
      <c r="N24" s="292"/>
      <c r="O24" s="292" t="s">
        <v>3877</v>
      </c>
      <c r="P24" s="388">
        <v>0.01</v>
      </c>
      <c r="Q24" s="420" t="s">
        <v>3878</v>
      </c>
      <c r="R24" s="417"/>
      <c r="S24" s="292" t="str">
        <f t="shared" si="3"/>
        <v>Não Qualificado</v>
      </c>
      <c r="T24" s="292" t="s">
        <v>145</v>
      </c>
      <c r="U24" s="292" t="s">
        <v>3823</v>
      </c>
      <c r="V24" s="292" t="s">
        <v>20</v>
      </c>
      <c r="W24" s="418"/>
      <c r="X24" s="418"/>
      <c r="Y24" s="418"/>
      <c r="Z24" s="418"/>
      <c r="AA24" s="418"/>
      <c r="AB24" s="418"/>
      <c r="AC24" s="418"/>
      <c r="AD24" s="418"/>
      <c r="AE24" s="418"/>
      <c r="AF24" s="418"/>
      <c r="AG24" s="418"/>
      <c r="AH24" s="418"/>
      <c r="AI24" s="418"/>
      <c r="AJ24" s="418"/>
      <c r="AK24" s="339"/>
      <c r="AL24" s="339"/>
      <c r="AM24" s="339"/>
      <c r="AN24" s="339"/>
      <c r="AO24" s="339"/>
      <c r="AP24" s="339"/>
      <c r="AQ24" s="339"/>
      <c r="AR24" s="339"/>
      <c r="AS24" s="339"/>
      <c r="AT24" s="339"/>
      <c r="AU24" s="339"/>
      <c r="AV24" s="339"/>
      <c r="AW24" s="339"/>
      <c r="AX24" s="339"/>
      <c r="AY24" s="339"/>
      <c r="AZ24" s="339"/>
      <c r="BA24" s="339"/>
      <c r="BB24" s="339"/>
      <c r="BC24" s="339">
        <v>3303.44</v>
      </c>
      <c r="BD24" s="339">
        <v>709680.93</v>
      </c>
      <c r="BE24" s="339">
        <v>714295.99</v>
      </c>
      <c r="BF24" s="339">
        <v>720720.5</v>
      </c>
      <c r="BG24" s="339">
        <v>727499.46279999998</v>
      </c>
      <c r="BH24" s="339">
        <v>730970.42</v>
      </c>
      <c r="BI24" s="339">
        <v>736705.21</v>
      </c>
      <c r="BJ24" s="339">
        <v>735918.15</v>
      </c>
      <c r="BK24" s="339">
        <v>740808.97</v>
      </c>
      <c r="BL24" s="339">
        <v>747866.14</v>
      </c>
      <c r="BM24" s="339">
        <v>750050.8</v>
      </c>
      <c r="BN24" s="339">
        <v>752302.16</v>
      </c>
      <c r="BO24" s="339">
        <v>224182.06</v>
      </c>
      <c r="BP24" s="339">
        <v>3898.87</v>
      </c>
      <c r="BQ24" s="339">
        <v>3923.69</v>
      </c>
      <c r="BR24" s="339">
        <v>3959.71</v>
      </c>
      <c r="BS24" s="110" t="e">
        <f t="array" aca="1" ref="BS24" ca="1">_xludf.XLOOKUP(D24,'PL TOTAL D0'!N:N,'PL TOTAL D0'!P:P,"")</f>
        <v>#NAME?</v>
      </c>
      <c r="BT24" s="110"/>
    </row>
    <row r="25" spans="1:72" ht="15.75" customHeight="1">
      <c r="A25" s="122" t="s">
        <v>3785</v>
      </c>
      <c r="B25" s="104" t="s">
        <v>3879</v>
      </c>
      <c r="C25" s="104" t="s">
        <v>3880</v>
      </c>
      <c r="D25" s="293">
        <v>97869</v>
      </c>
      <c r="E25" s="293" t="s">
        <v>2923</v>
      </c>
      <c r="F25" s="293" t="s">
        <v>20</v>
      </c>
      <c r="G25" s="293" t="s">
        <v>2923</v>
      </c>
      <c r="H25" s="293" t="str">
        <f>IFERROR(VLOOKUP(G25,'Cadastro de assessores'!A:B,2,FALSE),"Não Cadastrado")</f>
        <v>18986</v>
      </c>
      <c r="I25" s="293" t="s">
        <v>181</v>
      </c>
      <c r="J25" s="24" t="s">
        <v>3788</v>
      </c>
      <c r="K25" s="292" t="s">
        <v>152</v>
      </c>
      <c r="L25" s="415">
        <v>44218</v>
      </c>
      <c r="M25" s="415">
        <v>44218</v>
      </c>
      <c r="N25" s="292"/>
      <c r="O25" s="292" t="s">
        <v>3795</v>
      </c>
      <c r="P25" s="388">
        <v>1.4999999999999999E-2</v>
      </c>
      <c r="Q25" s="420"/>
      <c r="R25" s="417"/>
      <c r="S25" s="292" t="str">
        <f t="shared" si="3"/>
        <v/>
      </c>
      <c r="T25" s="292" t="s">
        <v>145</v>
      </c>
      <c r="U25" s="292" t="s">
        <v>3811</v>
      </c>
      <c r="V25" s="292" t="s">
        <v>20</v>
      </c>
      <c r="W25" s="418"/>
      <c r="X25" s="418"/>
      <c r="Y25" s="418"/>
      <c r="Z25" s="418"/>
      <c r="AA25" s="418"/>
      <c r="AB25" s="418"/>
      <c r="AC25" s="418"/>
      <c r="AD25" s="418"/>
      <c r="AE25" s="418"/>
      <c r="AF25" s="418"/>
      <c r="AG25" s="418"/>
      <c r="AH25" s="418"/>
      <c r="AI25" s="418" t="s">
        <v>3798</v>
      </c>
      <c r="AJ25" s="418" t="s">
        <v>3798</v>
      </c>
      <c r="AK25" s="339">
        <v>115943.78</v>
      </c>
      <c r="AL25" s="339">
        <v>369135.68</v>
      </c>
      <c r="AM25" s="339">
        <v>163967.03</v>
      </c>
      <c r="AN25" s="339">
        <v>164324.57</v>
      </c>
      <c r="AO25" s="339">
        <v>168508.7</v>
      </c>
      <c r="AP25" s="339">
        <v>169484.21</v>
      </c>
      <c r="AQ25" s="339">
        <v>168835.53</v>
      </c>
      <c r="AR25" s="339">
        <v>172591.57</v>
      </c>
      <c r="AS25" s="339">
        <v>171439.82</v>
      </c>
      <c r="AT25" s="339">
        <v>168018.81</v>
      </c>
      <c r="AU25" s="339">
        <v>166976.07999999999</v>
      </c>
      <c r="AV25" s="339">
        <v>164044.25</v>
      </c>
      <c r="AW25" s="339">
        <v>158768.71</v>
      </c>
      <c r="AX25" s="339">
        <v>158857.01999999999</v>
      </c>
      <c r="AY25" s="339">
        <v>160919.97</v>
      </c>
      <c r="AZ25" s="339">
        <v>164311.6</v>
      </c>
      <c r="BA25" s="339">
        <v>165435.01999999999</v>
      </c>
      <c r="BB25" s="339">
        <v>171561.3</v>
      </c>
      <c r="BC25" s="339"/>
      <c r="BD25" s="339">
        <v>170632.13</v>
      </c>
      <c r="BE25" s="339">
        <v>170023.95</v>
      </c>
      <c r="BF25" s="339">
        <v>172501.33</v>
      </c>
      <c r="BG25" s="339">
        <v>173236.46580000001</v>
      </c>
      <c r="BH25" s="339">
        <v>174010.16</v>
      </c>
      <c r="BI25" s="339">
        <v>179769.65</v>
      </c>
      <c r="BJ25" s="339">
        <v>179139.56</v>
      </c>
      <c r="BK25" s="339">
        <v>180104.75</v>
      </c>
      <c r="BL25" s="339">
        <v>181741.75</v>
      </c>
      <c r="BM25" s="339">
        <v>155111.39000000001</v>
      </c>
      <c r="BN25" s="339">
        <v>0</v>
      </c>
      <c r="BO25" s="339">
        <v>0</v>
      </c>
      <c r="BP25" s="339">
        <v>0</v>
      </c>
      <c r="BQ25" s="339">
        <v>0</v>
      </c>
      <c r="BR25" s="339">
        <v>0</v>
      </c>
      <c r="BS25" s="110" t="e">
        <f t="array" aca="1" ref="BS25" ca="1">_xludf.XLOOKUP(D25,'PL TOTAL D0'!N:N,'PL TOTAL D0'!P:P,"")</f>
        <v>#NAME?</v>
      </c>
      <c r="BT25" s="110"/>
    </row>
    <row r="26" spans="1:72" ht="15.75" customHeight="1">
      <c r="A26" s="122" t="s">
        <v>3785</v>
      </c>
      <c r="B26" s="104" t="s">
        <v>3881</v>
      </c>
      <c r="C26" s="390" t="s">
        <v>3882</v>
      </c>
      <c r="D26" s="299">
        <v>5959474</v>
      </c>
      <c r="E26" s="292" t="s">
        <v>19</v>
      </c>
      <c r="F26" s="292" t="s">
        <v>49</v>
      </c>
      <c r="G26" s="292" t="s">
        <v>328</v>
      </c>
      <c r="H26" s="292" t="str">
        <f>IFERROR(VLOOKUP(G26,'Cadastro de assessores'!A:B,2,FALSE),"Não Cadastrado")</f>
        <v>18009</v>
      </c>
      <c r="I26" s="292" t="s">
        <v>181</v>
      </c>
      <c r="J26" s="24" t="s">
        <v>143</v>
      </c>
      <c r="K26" s="292" t="s">
        <v>3794</v>
      </c>
      <c r="L26" s="387">
        <v>44405</v>
      </c>
      <c r="M26" s="387">
        <v>44405</v>
      </c>
      <c r="N26" s="299"/>
      <c r="O26" s="299" t="s">
        <v>3809</v>
      </c>
      <c r="P26" s="388">
        <v>2.5000000000000001E-2</v>
      </c>
      <c r="Q26" s="167"/>
      <c r="R26" s="417"/>
      <c r="S26" s="292" t="str">
        <f t="shared" si="3"/>
        <v/>
      </c>
      <c r="T26" s="292" t="s">
        <v>145</v>
      </c>
      <c r="U26" s="292" t="s">
        <v>3883</v>
      </c>
      <c r="V26" s="292" t="s">
        <v>3884</v>
      </c>
      <c r="W26" s="350"/>
      <c r="X26" s="350"/>
      <c r="Y26" s="350"/>
      <c r="Z26" s="350"/>
      <c r="AA26" s="350"/>
      <c r="AB26" s="350"/>
      <c r="AC26" s="350"/>
      <c r="AD26" s="350"/>
      <c r="AE26" s="350"/>
      <c r="AF26" s="350"/>
      <c r="AG26" s="350"/>
      <c r="AH26" s="418"/>
      <c r="AI26" s="418"/>
      <c r="AJ26" s="339"/>
      <c r="AK26" s="339"/>
      <c r="AL26" s="339"/>
      <c r="AM26" s="339"/>
      <c r="AN26" s="339"/>
      <c r="AO26" s="339"/>
      <c r="AP26" s="339"/>
      <c r="AQ26" s="339"/>
      <c r="AR26" s="339"/>
      <c r="AS26" s="350"/>
      <c r="AT26" s="340">
        <v>38940.839999999997</v>
      </c>
      <c r="AU26" s="340">
        <v>37977.25</v>
      </c>
      <c r="AV26" s="339">
        <v>35890.83</v>
      </c>
      <c r="AW26" s="339">
        <v>33015.629999999997</v>
      </c>
      <c r="AX26" s="339">
        <v>32611.57</v>
      </c>
      <c r="AY26" s="339">
        <v>33155.74</v>
      </c>
      <c r="AZ26" s="339">
        <v>35146.959999999999</v>
      </c>
      <c r="BA26" s="339">
        <v>35605.08</v>
      </c>
      <c r="BB26" s="339">
        <v>37741.269999999997</v>
      </c>
      <c r="BC26" s="339"/>
      <c r="BD26" s="339">
        <v>35606.26</v>
      </c>
      <c r="BE26" s="339" t="s">
        <v>2932</v>
      </c>
      <c r="BF26" s="339">
        <v>0</v>
      </c>
      <c r="BG26" s="339">
        <v>0</v>
      </c>
      <c r="BH26" s="339">
        <v>0</v>
      </c>
      <c r="BI26" s="339">
        <v>0</v>
      </c>
      <c r="BJ26" s="339">
        <v>0</v>
      </c>
      <c r="BK26" s="339">
        <v>0</v>
      </c>
      <c r="BL26" s="339">
        <v>0</v>
      </c>
      <c r="BM26" s="339">
        <v>0</v>
      </c>
      <c r="BN26" s="339">
        <v>0</v>
      </c>
      <c r="BO26" s="339">
        <v>0</v>
      </c>
      <c r="BP26" s="339">
        <v>0</v>
      </c>
      <c r="BQ26" s="339">
        <v>0</v>
      </c>
      <c r="BR26" s="339">
        <v>0</v>
      </c>
      <c r="BS26" s="110" t="e">
        <f t="array" aca="1" ref="BS26" ca="1">_xludf.XLOOKUP(D26,'PL TOTAL D0'!N:N,'PL TOTAL D0'!P:P,"")</f>
        <v>#NAME?</v>
      </c>
      <c r="BT26" s="110"/>
    </row>
    <row r="27" spans="1:72" ht="15.75" customHeight="1">
      <c r="A27" s="122" t="s">
        <v>3785</v>
      </c>
      <c r="B27" s="104" t="s">
        <v>3885</v>
      </c>
      <c r="C27" s="122" t="s">
        <v>3886</v>
      </c>
      <c r="D27" s="292">
        <v>4701151</v>
      </c>
      <c r="E27" s="292" t="s">
        <v>19</v>
      </c>
      <c r="F27" s="292" t="s">
        <v>20</v>
      </c>
      <c r="G27" s="292" t="s">
        <v>3793</v>
      </c>
      <c r="H27" s="292" t="str">
        <f>IFERROR(VLOOKUP(G27,'Cadastro de assessores'!A:B,2,FALSE),"Não Cadastrado")</f>
        <v>17679</v>
      </c>
      <c r="I27" s="292"/>
      <c r="J27" s="24" t="s">
        <v>143</v>
      </c>
      <c r="K27" s="292" t="s">
        <v>3794</v>
      </c>
      <c r="L27" s="387">
        <v>44245</v>
      </c>
      <c r="M27" s="387">
        <v>44245</v>
      </c>
      <c r="N27" s="387">
        <v>44442</v>
      </c>
      <c r="O27" s="292" t="s">
        <v>3795</v>
      </c>
      <c r="P27" s="388">
        <v>1.4999999999999999E-2</v>
      </c>
      <c r="Q27" s="420" t="s">
        <v>3887</v>
      </c>
      <c r="R27" s="417"/>
      <c r="S27" s="292" t="str">
        <f t="shared" si="3"/>
        <v>Não Qualificado</v>
      </c>
      <c r="T27" s="292" t="s">
        <v>145</v>
      </c>
      <c r="U27" s="292" t="s">
        <v>3797</v>
      </c>
      <c r="V27" s="292" t="s">
        <v>20</v>
      </c>
      <c r="W27" s="418"/>
      <c r="X27" s="418"/>
      <c r="Y27" s="418"/>
      <c r="Z27" s="418"/>
      <c r="AA27" s="418"/>
      <c r="AB27" s="418"/>
      <c r="AC27" s="418"/>
      <c r="AD27" s="418"/>
      <c r="AE27" s="418"/>
      <c r="AF27" s="418"/>
      <c r="AG27" s="418"/>
      <c r="AH27" s="418"/>
      <c r="AI27" s="418"/>
      <c r="AJ27" s="418"/>
      <c r="AK27" s="339"/>
      <c r="AL27" s="339"/>
      <c r="AM27" s="339">
        <v>96886.21</v>
      </c>
      <c r="AN27" s="339">
        <v>96864.77</v>
      </c>
      <c r="AO27" s="339">
        <v>99825.95</v>
      </c>
      <c r="AP27" s="339">
        <v>100391.23</v>
      </c>
      <c r="AQ27" s="339">
        <v>100053.73</v>
      </c>
      <c r="AR27" s="339">
        <v>102215.22</v>
      </c>
      <c r="AS27" s="339">
        <v>101594.81</v>
      </c>
      <c r="AT27" s="339">
        <v>99699.55</v>
      </c>
      <c r="AU27" s="339">
        <v>99154.98</v>
      </c>
      <c r="AV27" s="339"/>
      <c r="AW27" s="339"/>
      <c r="AX27" s="339"/>
      <c r="AY27" s="339"/>
      <c r="AZ27" s="339"/>
      <c r="BA27" s="339">
        <v>0</v>
      </c>
      <c r="BB27" s="339">
        <v>0</v>
      </c>
      <c r="BC27" s="339">
        <v>128936.35</v>
      </c>
      <c r="BD27" s="339" t="s">
        <v>2932</v>
      </c>
      <c r="BE27" s="339" t="s">
        <v>2932</v>
      </c>
      <c r="BF27" s="339">
        <v>0</v>
      </c>
      <c r="BG27" s="339">
        <v>0</v>
      </c>
      <c r="BH27" s="339">
        <v>0</v>
      </c>
      <c r="BI27" s="339">
        <v>0</v>
      </c>
      <c r="BJ27" s="339">
        <v>0</v>
      </c>
      <c r="BK27" s="339">
        <v>0</v>
      </c>
      <c r="BL27" s="339">
        <v>0</v>
      </c>
      <c r="BM27" s="339">
        <v>0</v>
      </c>
      <c r="BN27" s="339">
        <v>0</v>
      </c>
      <c r="BO27" s="339">
        <v>0</v>
      </c>
      <c r="BP27" s="339">
        <v>0</v>
      </c>
      <c r="BQ27" s="339">
        <v>0</v>
      </c>
      <c r="BR27" s="339">
        <v>0</v>
      </c>
      <c r="BS27" s="110" t="e">
        <f t="array" aca="1" ref="BS27" ca="1">_xludf.XLOOKUP(D27,'PL TOTAL D0'!N:N,'PL TOTAL D0'!P:P,"")</f>
        <v>#NAME?</v>
      </c>
      <c r="BT27" s="110"/>
    </row>
    <row r="28" spans="1:72" ht="15.75" customHeight="1">
      <c r="A28" s="122" t="s">
        <v>3785</v>
      </c>
      <c r="B28" s="104" t="s">
        <v>3888</v>
      </c>
      <c r="C28" s="122" t="s">
        <v>3889</v>
      </c>
      <c r="D28" s="292">
        <v>4711937</v>
      </c>
      <c r="E28" s="292" t="s">
        <v>64</v>
      </c>
      <c r="F28" s="292" t="s">
        <v>20</v>
      </c>
      <c r="G28" s="292" t="s">
        <v>3890</v>
      </c>
      <c r="H28" s="292" t="str">
        <f>IFERROR(VLOOKUP(G28,'Cadastro de assessores'!A:B,2,FALSE),"Não Cadastrado")</f>
        <v>14284</v>
      </c>
      <c r="I28" s="292"/>
      <c r="J28" s="24" t="s">
        <v>143</v>
      </c>
      <c r="K28" s="292" t="s">
        <v>3794</v>
      </c>
      <c r="L28" s="387">
        <v>44202</v>
      </c>
      <c r="M28" s="387">
        <v>44202</v>
      </c>
      <c r="N28" s="292" t="s">
        <v>3891</v>
      </c>
      <c r="O28" s="292" t="s">
        <v>3789</v>
      </c>
      <c r="P28" s="388">
        <v>0.02</v>
      </c>
      <c r="Q28" s="420" t="s">
        <v>3892</v>
      </c>
      <c r="R28" s="417"/>
      <c r="S28" s="292" t="str">
        <f t="shared" si="3"/>
        <v>Não Qualificado</v>
      </c>
      <c r="T28" s="292" t="s">
        <v>145</v>
      </c>
      <c r="U28" s="292" t="s">
        <v>3816</v>
      </c>
      <c r="V28" s="292" t="s">
        <v>20</v>
      </c>
      <c r="W28" s="418"/>
      <c r="X28" s="418"/>
      <c r="Y28" s="418"/>
      <c r="Z28" s="418"/>
      <c r="AA28" s="418"/>
      <c r="AB28" s="418"/>
      <c r="AC28" s="418"/>
      <c r="AD28" s="418"/>
      <c r="AE28" s="418"/>
      <c r="AF28" s="418"/>
      <c r="AG28" s="418"/>
      <c r="AH28" s="418"/>
      <c r="AI28" s="418"/>
      <c r="AJ28" s="418"/>
      <c r="AK28" s="339"/>
      <c r="AL28" s="339">
        <v>195090.84</v>
      </c>
      <c r="AM28" s="339">
        <v>187715.54</v>
      </c>
      <c r="AN28" s="339">
        <v>187485.57</v>
      </c>
      <c r="AO28" s="339">
        <v>195621.78</v>
      </c>
      <c r="AP28" s="339">
        <v>197272.33</v>
      </c>
      <c r="AQ28" s="339">
        <v>196049.93</v>
      </c>
      <c r="AR28" s="339">
        <v>202928.14</v>
      </c>
      <c r="AS28" s="339">
        <v>200256.6</v>
      </c>
      <c r="AT28" s="339">
        <v>193919.94</v>
      </c>
      <c r="AU28" s="339">
        <v>191767.5</v>
      </c>
      <c r="AV28" s="339">
        <v>185697.92000000001</v>
      </c>
      <c r="AW28" s="339">
        <v>177793.09</v>
      </c>
      <c r="AX28" s="339">
        <v>139706.64000000001</v>
      </c>
      <c r="AY28" s="339">
        <v>96399.59</v>
      </c>
      <c r="AZ28" s="339"/>
      <c r="BA28" s="339">
        <v>0</v>
      </c>
      <c r="BB28" s="339">
        <v>0</v>
      </c>
      <c r="BC28" s="339">
        <v>39418.339999999997</v>
      </c>
      <c r="BD28" s="339" t="s">
        <v>2932</v>
      </c>
      <c r="BE28" s="339" t="s">
        <v>2932</v>
      </c>
      <c r="BF28" s="339">
        <v>0</v>
      </c>
      <c r="BG28" s="339">
        <v>0</v>
      </c>
      <c r="BH28" s="339">
        <v>0</v>
      </c>
      <c r="BI28" s="339">
        <v>0</v>
      </c>
      <c r="BJ28" s="339">
        <v>0</v>
      </c>
      <c r="BK28" s="339">
        <v>0</v>
      </c>
      <c r="BL28" s="339">
        <v>0</v>
      </c>
      <c r="BM28" s="339">
        <v>0</v>
      </c>
      <c r="BN28" s="339">
        <v>0</v>
      </c>
      <c r="BO28" s="339">
        <v>0</v>
      </c>
      <c r="BP28" s="339">
        <v>0</v>
      </c>
      <c r="BQ28" s="339">
        <v>0</v>
      </c>
      <c r="BR28" s="339">
        <v>0</v>
      </c>
      <c r="BS28" s="110" t="e">
        <f t="array" aca="1" ref="BS28" ca="1">_xludf.XLOOKUP(D28,'PL TOTAL D0'!N:N,'PL TOTAL D0'!P:P,"")</f>
        <v>#NAME?</v>
      </c>
      <c r="BT28" s="110"/>
    </row>
    <row r="29" spans="1:72" ht="15.75" customHeight="1">
      <c r="A29" s="122" t="s">
        <v>3785</v>
      </c>
      <c r="B29" s="104" t="s">
        <v>3893</v>
      </c>
      <c r="C29" s="390" t="s">
        <v>3894</v>
      </c>
      <c r="D29" s="299">
        <v>5251498</v>
      </c>
      <c r="E29" s="293" t="s">
        <v>19</v>
      </c>
      <c r="F29" s="293" t="s">
        <v>49</v>
      </c>
      <c r="G29" s="293" t="s">
        <v>328</v>
      </c>
      <c r="H29" s="293" t="str">
        <f>IFERROR(VLOOKUP(G29,'Cadastro de assessores'!A:B,2,FALSE),"Não Cadastrado")</f>
        <v>18009</v>
      </c>
      <c r="I29" s="293"/>
      <c r="J29" s="24" t="s">
        <v>3788</v>
      </c>
      <c r="K29" s="292" t="s">
        <v>152</v>
      </c>
      <c r="L29" s="415">
        <v>44671</v>
      </c>
      <c r="M29" s="415">
        <v>44308</v>
      </c>
      <c r="N29" s="292"/>
      <c r="O29" s="292" t="s">
        <v>3809</v>
      </c>
      <c r="P29" s="388">
        <v>2.5000000000000001E-2</v>
      </c>
      <c r="Q29" s="167"/>
      <c r="R29" s="417"/>
      <c r="S29" s="292" t="str">
        <f t="shared" si="3"/>
        <v/>
      </c>
      <c r="T29" s="292" t="s">
        <v>145</v>
      </c>
      <c r="U29" s="292" t="s">
        <v>3846</v>
      </c>
      <c r="V29" s="299" t="s">
        <v>46</v>
      </c>
      <c r="W29" s="350"/>
      <c r="X29" s="350"/>
      <c r="Y29" s="350"/>
      <c r="Z29" s="350"/>
      <c r="AA29" s="350"/>
      <c r="AB29" s="350"/>
      <c r="AC29" s="350"/>
      <c r="AD29" s="350"/>
      <c r="AE29" s="350"/>
      <c r="AF29" s="350"/>
      <c r="AG29" s="350"/>
      <c r="AH29" s="350"/>
      <c r="AI29" s="350"/>
      <c r="AJ29" s="350"/>
      <c r="AK29" s="350"/>
      <c r="AL29" s="339"/>
      <c r="AM29" s="339"/>
      <c r="AN29" s="339"/>
      <c r="AO29" s="339"/>
      <c r="AP29" s="339">
        <v>99413.119999999995</v>
      </c>
      <c r="AQ29" s="339">
        <v>98282.49</v>
      </c>
      <c r="AR29" s="339">
        <v>103900.21</v>
      </c>
      <c r="AS29" s="339">
        <v>101484.62</v>
      </c>
      <c r="AT29" s="339">
        <v>96116.45</v>
      </c>
      <c r="AU29" s="339">
        <v>94096.92</v>
      </c>
      <c r="AV29" s="339">
        <v>88664.81</v>
      </c>
      <c r="AW29" s="339">
        <v>82049.960000000006</v>
      </c>
      <c r="AX29" s="339">
        <v>81209.570000000007</v>
      </c>
      <c r="AY29" s="339">
        <v>82486.52</v>
      </c>
      <c r="AZ29" s="339">
        <v>88378.28</v>
      </c>
      <c r="BA29" s="339">
        <v>89166.49</v>
      </c>
      <c r="BB29" s="339">
        <v>94891.31</v>
      </c>
      <c r="BC29" s="339"/>
      <c r="BD29" s="339">
        <v>89481.06</v>
      </c>
      <c r="BE29" s="339">
        <v>85465.52</v>
      </c>
      <c r="BF29" s="339">
        <v>90119.39</v>
      </c>
      <c r="BG29" s="339">
        <v>91444.67</v>
      </c>
      <c r="BH29" s="339">
        <v>89642.39</v>
      </c>
      <c r="BI29" s="339">
        <v>97387.51</v>
      </c>
      <c r="BJ29" s="339">
        <v>93998.24</v>
      </c>
      <c r="BK29" s="339">
        <v>93356.77</v>
      </c>
      <c r="BL29" s="339">
        <v>95762.9</v>
      </c>
      <c r="BM29" s="339">
        <v>92157.19</v>
      </c>
      <c r="BN29" s="339">
        <v>91325.47</v>
      </c>
      <c r="BO29" s="339">
        <v>90565.57</v>
      </c>
      <c r="BP29" s="339">
        <v>92344.639999999999</v>
      </c>
      <c r="BQ29" s="339">
        <v>96934.01</v>
      </c>
      <c r="BR29" s="339">
        <v>0</v>
      </c>
      <c r="BS29" s="110" t="e">
        <f t="array" aca="1" ref="BS29" ca="1">_xludf.XLOOKUP(D29,'PL TOTAL D0'!N:N,'PL TOTAL D0'!P:P,"")</f>
        <v>#NAME?</v>
      </c>
      <c r="BT29" s="110"/>
    </row>
    <row r="30" spans="1:72" ht="15.75" customHeight="1">
      <c r="A30" s="122" t="s">
        <v>3785</v>
      </c>
      <c r="B30" s="104" t="s">
        <v>390</v>
      </c>
      <c r="C30" s="104" t="s">
        <v>2980</v>
      </c>
      <c r="D30" s="293">
        <v>3403198</v>
      </c>
      <c r="E30" s="293" t="s">
        <v>19</v>
      </c>
      <c r="F30" s="293" t="s">
        <v>20</v>
      </c>
      <c r="G30" s="293" t="s">
        <v>449</v>
      </c>
      <c r="H30" s="293" t="str">
        <f>IFERROR(VLOOKUP(G30,'Cadastro de assessores'!A:B,2,FALSE),"Não Cadastrado")</f>
        <v>18993</v>
      </c>
      <c r="I30" s="293"/>
      <c r="J30" s="24" t="s">
        <v>3788</v>
      </c>
      <c r="K30" s="292" t="s">
        <v>152</v>
      </c>
      <c r="L30" s="415">
        <v>44188</v>
      </c>
      <c r="M30" s="415">
        <v>43675</v>
      </c>
      <c r="N30" s="292"/>
      <c r="O30" s="292" t="s">
        <v>3802</v>
      </c>
      <c r="P30" s="428">
        <v>1E-4</v>
      </c>
      <c r="Q30" s="420"/>
      <c r="R30" s="417"/>
      <c r="S30" s="292" t="str">
        <f t="shared" si="3"/>
        <v/>
      </c>
      <c r="T30" s="292" t="s">
        <v>145</v>
      </c>
      <c r="U30" s="292" t="s">
        <v>3816</v>
      </c>
      <c r="V30" s="292" t="s">
        <v>20</v>
      </c>
      <c r="W30" s="418" t="s">
        <v>3798</v>
      </c>
      <c r="X30" s="418" t="s">
        <v>3798</v>
      </c>
      <c r="Y30" s="418" t="s">
        <v>3798</v>
      </c>
      <c r="Z30" s="418" t="s">
        <v>3798</v>
      </c>
      <c r="AA30" s="418" t="s">
        <v>3798</v>
      </c>
      <c r="AB30" s="418" t="s">
        <v>3798</v>
      </c>
      <c r="AC30" s="418" t="s">
        <v>3798</v>
      </c>
      <c r="AD30" s="418" t="s">
        <v>3798</v>
      </c>
      <c r="AE30" s="418" t="s">
        <v>3798</v>
      </c>
      <c r="AF30" s="418" t="s">
        <v>3798</v>
      </c>
      <c r="AG30" s="418" t="s">
        <v>3798</v>
      </c>
      <c r="AH30" s="418"/>
      <c r="AI30" s="418"/>
      <c r="AJ30" s="418"/>
      <c r="AK30" s="339"/>
      <c r="AL30" s="339"/>
      <c r="AM30" s="339">
        <v>349437.65</v>
      </c>
      <c r="AN30" s="339">
        <v>350668.31</v>
      </c>
      <c r="AO30" s="339">
        <v>358395.3</v>
      </c>
      <c r="AP30" s="339">
        <v>475557</v>
      </c>
      <c r="AQ30" s="339">
        <v>476961.66</v>
      </c>
      <c r="AR30" s="339">
        <v>744057.52</v>
      </c>
      <c r="AS30" s="339">
        <v>739002.53</v>
      </c>
      <c r="AT30" s="339">
        <v>725600.33</v>
      </c>
      <c r="AU30" s="339">
        <v>713749.76</v>
      </c>
      <c r="AV30" s="339">
        <v>1219096.25</v>
      </c>
      <c r="AW30" s="339">
        <v>685634.25</v>
      </c>
      <c r="AX30" s="339">
        <v>669690.18999999994</v>
      </c>
      <c r="AY30" s="339">
        <v>681523.28</v>
      </c>
      <c r="AZ30" s="339">
        <v>690523.35</v>
      </c>
      <c r="BA30" s="339">
        <v>681092.42</v>
      </c>
      <c r="BB30" s="339">
        <v>721330.63</v>
      </c>
      <c r="BC30" s="339"/>
      <c r="BD30" s="339">
        <v>1211442.6299999999</v>
      </c>
      <c r="BE30" s="339">
        <v>1170781.43</v>
      </c>
      <c r="BF30" s="339">
        <v>1206989.31</v>
      </c>
      <c r="BG30" s="339">
        <v>1236418.08</v>
      </c>
      <c r="BH30" s="339">
        <v>1231761.3400000001</v>
      </c>
      <c r="BI30" s="339">
        <v>1301969.04</v>
      </c>
      <c r="BJ30" s="339">
        <v>1290695.6499999999</v>
      </c>
      <c r="BK30" s="339">
        <v>1289815.17</v>
      </c>
      <c r="BL30" s="339">
        <v>1307327.8799999999</v>
      </c>
      <c r="BM30" s="339">
        <v>690123.72</v>
      </c>
      <c r="BN30" s="339">
        <v>669957.44999999995</v>
      </c>
      <c r="BO30" s="339">
        <v>668590.21</v>
      </c>
      <c r="BP30" s="339">
        <v>650609.21</v>
      </c>
      <c r="BQ30" s="339">
        <v>671682.15</v>
      </c>
      <c r="BR30" s="339">
        <v>690180.51</v>
      </c>
      <c r="BS30" s="110" t="e">
        <f t="array" aca="1" ref="BS30" ca="1">_xludf.XLOOKUP(D30,'PL TOTAL D0'!N:N,'PL TOTAL D0'!P:P,"")</f>
        <v>#NAME?</v>
      </c>
      <c r="BT30" s="110"/>
    </row>
    <row r="31" spans="1:72" ht="15.75" customHeight="1">
      <c r="A31" s="122" t="s">
        <v>3785</v>
      </c>
      <c r="B31" s="104" t="s">
        <v>3895</v>
      </c>
      <c r="C31" s="390" t="s">
        <v>3896</v>
      </c>
      <c r="D31" s="299">
        <v>8446035</v>
      </c>
      <c r="E31" s="293" t="s">
        <v>19</v>
      </c>
      <c r="F31" s="293" t="s">
        <v>49</v>
      </c>
      <c r="G31" s="299" t="s">
        <v>277</v>
      </c>
      <c r="H31" s="293" t="str">
        <f>IFERROR(VLOOKUP(G31,'Cadastro de assessores'!A:B,2,FALSE),"Não Cadastrado")</f>
        <v>17831</v>
      </c>
      <c r="I31" s="293" t="s">
        <v>181</v>
      </c>
      <c r="J31" s="24" t="s">
        <v>3788</v>
      </c>
      <c r="K31" s="292" t="s">
        <v>161</v>
      </c>
      <c r="L31" s="293" t="s">
        <v>3897</v>
      </c>
      <c r="M31" s="415">
        <v>44692</v>
      </c>
      <c r="N31" s="299"/>
      <c r="O31" s="299" t="s">
        <v>3795</v>
      </c>
      <c r="P31" s="388">
        <v>1.4999999999999999E-2</v>
      </c>
      <c r="Q31" s="167" t="s">
        <v>3898</v>
      </c>
      <c r="R31" s="417"/>
      <c r="S31" s="292" t="str">
        <f t="shared" si="3"/>
        <v>Não Qualificado</v>
      </c>
      <c r="T31" s="292" t="s">
        <v>145</v>
      </c>
      <c r="U31" s="292" t="s">
        <v>3841</v>
      </c>
      <c r="V31" s="299" t="s">
        <v>49</v>
      </c>
      <c r="W31" s="350"/>
      <c r="X31" s="350"/>
      <c r="Y31" s="350"/>
      <c r="Z31" s="350"/>
      <c r="AA31" s="350"/>
      <c r="AB31" s="350"/>
      <c r="AC31" s="350"/>
      <c r="AD31" s="350"/>
      <c r="AE31" s="350"/>
      <c r="AF31" s="350"/>
      <c r="AG31" s="350"/>
      <c r="AH31" s="350"/>
      <c r="AI31" s="350"/>
      <c r="AJ31" s="350"/>
      <c r="AK31" s="339"/>
      <c r="AL31" s="339"/>
      <c r="AM31" s="339"/>
      <c r="AN31" s="339"/>
      <c r="AO31" s="339"/>
      <c r="AP31" s="339"/>
      <c r="AQ31" s="350"/>
      <c r="AR31" s="340"/>
      <c r="AS31" s="339"/>
      <c r="AT31" s="339"/>
      <c r="AU31" s="339"/>
      <c r="AV31" s="339"/>
      <c r="AW31" s="339"/>
      <c r="AX31" s="339"/>
      <c r="AY31" s="339"/>
      <c r="AZ31" s="339"/>
      <c r="BA31" s="339"/>
      <c r="BB31" s="339"/>
      <c r="BC31" s="339">
        <v>216.25</v>
      </c>
      <c r="BD31" s="339" t="s">
        <v>2932</v>
      </c>
      <c r="BE31" s="339" t="s">
        <v>2932</v>
      </c>
      <c r="BF31" s="339">
        <v>0</v>
      </c>
      <c r="BG31" s="339">
        <v>0</v>
      </c>
      <c r="BH31" s="339">
        <v>0</v>
      </c>
      <c r="BI31" s="339">
        <v>0</v>
      </c>
      <c r="BJ31" s="339">
        <v>0</v>
      </c>
      <c r="BK31" s="339">
        <v>0</v>
      </c>
      <c r="BL31" s="339">
        <v>0</v>
      </c>
      <c r="BM31" s="339">
        <v>0</v>
      </c>
      <c r="BN31" s="339">
        <v>0</v>
      </c>
      <c r="BO31" s="339">
        <v>0</v>
      </c>
      <c r="BP31" s="339">
        <v>0</v>
      </c>
      <c r="BQ31" s="339">
        <v>0</v>
      </c>
      <c r="BR31" s="339">
        <v>0</v>
      </c>
      <c r="BS31" s="110" t="e">
        <f t="array" aca="1" ref="BS31" ca="1">_xludf.XLOOKUP(D31,'PL TOTAL D0'!N:N,'PL TOTAL D0'!P:P,"")</f>
        <v>#NAME?</v>
      </c>
      <c r="BT31" s="110"/>
    </row>
    <row r="32" spans="1:72" ht="15.75" customHeight="1">
      <c r="A32" s="122" t="s">
        <v>3785</v>
      </c>
      <c r="B32" s="104" t="s">
        <v>396</v>
      </c>
      <c r="C32" s="104" t="s">
        <v>3899</v>
      </c>
      <c r="D32" s="293">
        <v>4425564</v>
      </c>
      <c r="E32" s="293" t="s">
        <v>19</v>
      </c>
      <c r="F32" s="293" t="s">
        <v>20</v>
      </c>
      <c r="G32" s="293" t="s">
        <v>372</v>
      </c>
      <c r="H32" s="293">
        <f>IFERROR(VLOOKUP(G32,'Cadastro de assessores'!A:B,2,FALSE),"Não Cadastrado")</f>
        <v>12359</v>
      </c>
      <c r="I32" s="293"/>
      <c r="J32" s="24" t="s">
        <v>3788</v>
      </c>
      <c r="K32" s="292" t="s">
        <v>152</v>
      </c>
      <c r="L32" s="415">
        <v>44076</v>
      </c>
      <c r="M32" s="415">
        <v>44076</v>
      </c>
      <c r="N32" s="292"/>
      <c r="O32" s="292" t="s">
        <v>3805</v>
      </c>
      <c r="P32" s="388">
        <v>1.2E-2</v>
      </c>
      <c r="Q32" s="420" t="s">
        <v>3900</v>
      </c>
      <c r="R32" s="417"/>
      <c r="S32" s="292" t="str">
        <f t="shared" si="3"/>
        <v>Não Qualificado</v>
      </c>
      <c r="T32" s="292" t="s">
        <v>145</v>
      </c>
      <c r="U32" s="292" t="s">
        <v>3823</v>
      </c>
      <c r="V32" s="292" t="s">
        <v>20</v>
      </c>
      <c r="W32" s="418" t="s">
        <v>3798</v>
      </c>
      <c r="X32" s="418" t="s">
        <v>3798</v>
      </c>
      <c r="Y32" s="418" t="s">
        <v>3798</v>
      </c>
      <c r="Z32" s="418" t="s">
        <v>3798</v>
      </c>
      <c r="AA32" s="418" t="s">
        <v>3798</v>
      </c>
      <c r="AB32" s="418" t="s">
        <v>3798</v>
      </c>
      <c r="AC32" s="418" t="s">
        <v>3798</v>
      </c>
      <c r="AD32" s="418" t="s">
        <v>3798</v>
      </c>
      <c r="AE32" s="418" t="s">
        <v>3798</v>
      </c>
      <c r="AF32" s="418" t="s">
        <v>3798</v>
      </c>
      <c r="AG32" s="418" t="s">
        <v>3798</v>
      </c>
      <c r="AH32" s="418" t="s">
        <v>3901</v>
      </c>
      <c r="AI32" s="418" t="s">
        <v>3902</v>
      </c>
      <c r="AJ32" s="418" t="s">
        <v>3903</v>
      </c>
      <c r="AK32" s="339">
        <v>254941.98</v>
      </c>
      <c r="AL32" s="339">
        <v>253262.16</v>
      </c>
      <c r="AM32" s="339">
        <v>249263.64</v>
      </c>
      <c r="AN32" s="339">
        <v>248948.93</v>
      </c>
      <c r="AO32" s="339">
        <v>251186.63</v>
      </c>
      <c r="AP32" s="339">
        <v>251872.27</v>
      </c>
      <c r="AQ32" s="339">
        <v>251391.08</v>
      </c>
      <c r="AR32" s="339">
        <v>254760.48</v>
      </c>
      <c r="AS32" s="339">
        <v>254184.18</v>
      </c>
      <c r="AT32" s="339">
        <v>252202.53</v>
      </c>
      <c r="AU32" s="339">
        <v>251972.25</v>
      </c>
      <c r="AV32" s="339">
        <v>250092.59</v>
      </c>
      <c r="AW32" s="339">
        <v>244727.38</v>
      </c>
      <c r="AX32" s="339">
        <v>246998.73</v>
      </c>
      <c r="AY32" s="339">
        <v>250019.17</v>
      </c>
      <c r="AZ32" s="339">
        <v>253895.54</v>
      </c>
      <c r="BA32" s="339">
        <v>255364.64</v>
      </c>
      <c r="BB32" s="339">
        <v>262495.58</v>
      </c>
      <c r="BC32" s="339">
        <v>918261.13</v>
      </c>
      <c r="BD32" s="339">
        <v>266074.01</v>
      </c>
      <c r="BE32" s="339">
        <v>266511.03999999998</v>
      </c>
      <c r="BF32" s="339">
        <v>270063.65999999997</v>
      </c>
      <c r="BG32" s="339">
        <v>271001.3259</v>
      </c>
      <c r="BH32" s="339">
        <v>210219.07</v>
      </c>
      <c r="BI32" s="339">
        <v>215197.72</v>
      </c>
      <c r="BJ32" s="339">
        <v>215095.97</v>
      </c>
      <c r="BK32" s="339">
        <v>204777.37</v>
      </c>
      <c r="BL32" s="339">
        <v>207016.67</v>
      </c>
      <c r="BM32" s="339">
        <v>5.73</v>
      </c>
      <c r="BN32" s="339">
        <v>9.4499999999999993</v>
      </c>
      <c r="BO32" s="339">
        <v>9.4499999999999993</v>
      </c>
      <c r="BP32" s="339">
        <v>9.4499999999999993</v>
      </c>
      <c r="BQ32" s="339">
        <v>9.4499999999999993</v>
      </c>
      <c r="BR32" s="339">
        <v>9.4499999999999993</v>
      </c>
      <c r="BS32" s="110" t="e">
        <f t="array" aca="1" ref="BS32" ca="1">_xludf.XLOOKUP(D32,'PL TOTAL D0'!N:N,'PL TOTAL D0'!P:P,"")</f>
        <v>#NAME?</v>
      </c>
      <c r="BT32" s="110"/>
    </row>
    <row r="33" spans="1:72" ht="15.75" customHeight="1">
      <c r="A33" s="122" t="s">
        <v>3785</v>
      </c>
      <c r="B33" s="104" t="s">
        <v>399</v>
      </c>
      <c r="C33" s="390" t="s">
        <v>3904</v>
      </c>
      <c r="D33" s="299">
        <v>5613795</v>
      </c>
      <c r="E33" s="293" t="s">
        <v>19</v>
      </c>
      <c r="F33" s="293" t="s">
        <v>49</v>
      </c>
      <c r="G33" s="299" t="s">
        <v>277</v>
      </c>
      <c r="H33" s="299" t="str">
        <f>IFERROR(VLOOKUP(G33,'Cadastro de assessores'!A:B,2,FALSE),"Não Cadastrado")</f>
        <v>17831</v>
      </c>
      <c r="I33" s="299" t="s">
        <v>181</v>
      </c>
      <c r="J33" s="24" t="s">
        <v>3788</v>
      </c>
      <c r="K33" s="292" t="s">
        <v>152</v>
      </c>
      <c r="L33" s="415">
        <v>44351</v>
      </c>
      <c r="M33" s="415">
        <v>44351</v>
      </c>
      <c r="N33" s="292"/>
      <c r="O33" s="292" t="s">
        <v>3795</v>
      </c>
      <c r="P33" s="388">
        <v>1.4999999999999999E-2</v>
      </c>
      <c r="Q33" s="167"/>
      <c r="R33" s="417"/>
      <c r="S33" s="292" t="str">
        <f t="shared" si="3"/>
        <v>Não Qualificado</v>
      </c>
      <c r="T33" s="292" t="s">
        <v>145</v>
      </c>
      <c r="U33" s="292" t="s">
        <v>3905</v>
      </c>
      <c r="V33" s="299" t="s">
        <v>49</v>
      </c>
      <c r="W33" s="350"/>
      <c r="X33" s="350"/>
      <c r="Y33" s="350"/>
      <c r="Z33" s="350"/>
      <c r="AA33" s="350"/>
      <c r="AB33" s="350"/>
      <c r="AC33" s="350"/>
      <c r="AD33" s="350"/>
      <c r="AE33" s="350"/>
      <c r="AF33" s="350"/>
      <c r="AG33" s="350"/>
      <c r="AH33" s="350"/>
      <c r="AI33" s="350"/>
      <c r="AJ33" s="350"/>
      <c r="AK33" s="339"/>
      <c r="AL33" s="339"/>
      <c r="AM33" s="339"/>
      <c r="AN33" s="339"/>
      <c r="AO33" s="339"/>
      <c r="AP33" s="339"/>
      <c r="AQ33" s="350"/>
      <c r="AR33" s="340"/>
      <c r="AS33" s="339">
        <v>591790.74</v>
      </c>
      <c r="AT33" s="339">
        <v>580263.57999999996</v>
      </c>
      <c r="AU33" s="339">
        <v>576592.41</v>
      </c>
      <c r="AV33" s="339">
        <v>566416.04</v>
      </c>
      <c r="AW33" s="339">
        <v>548375.69999999995</v>
      </c>
      <c r="AX33" s="339">
        <v>547804.18999999994</v>
      </c>
      <c r="AY33" s="339">
        <v>554567.82999999996</v>
      </c>
      <c r="AZ33" s="339">
        <v>569903.57999999996</v>
      </c>
      <c r="BA33" s="339">
        <v>575013.71</v>
      </c>
      <c r="BB33" s="339">
        <v>593874.88</v>
      </c>
      <c r="BC33" s="339">
        <v>902.16</v>
      </c>
      <c r="BD33" s="339">
        <v>588230.86</v>
      </c>
      <c r="BE33" s="339">
        <v>585525.80000000005</v>
      </c>
      <c r="BF33" s="339">
        <v>595743.05000000005</v>
      </c>
      <c r="BG33" s="339">
        <v>598695.09129999997</v>
      </c>
      <c r="BH33" s="339">
        <v>599894.14</v>
      </c>
      <c r="BI33" s="339">
        <v>614556.17000000004</v>
      </c>
      <c r="BJ33" s="339">
        <v>621739.31000000006</v>
      </c>
      <c r="BK33" s="339">
        <v>625782.69999999995</v>
      </c>
      <c r="BL33" s="339">
        <v>143996.39000000001</v>
      </c>
      <c r="BM33" s="339">
        <v>138481.49</v>
      </c>
      <c r="BN33" s="339">
        <v>24.75</v>
      </c>
      <c r="BO33" s="339">
        <v>24.75</v>
      </c>
      <c r="BP33" s="339">
        <v>24.75</v>
      </c>
      <c r="BQ33" s="339">
        <v>24.75</v>
      </c>
      <c r="BR33" s="339">
        <v>24.75</v>
      </c>
      <c r="BS33" s="110" t="e">
        <f t="array" aca="1" ref="BS33" ca="1">_xludf.XLOOKUP(D33,'PL TOTAL D0'!N:N,'PL TOTAL D0'!P:P,"")</f>
        <v>#NAME?</v>
      </c>
      <c r="BT33" s="110"/>
    </row>
    <row r="34" spans="1:72" ht="15.75" customHeight="1">
      <c r="A34" s="122" t="s">
        <v>3785</v>
      </c>
      <c r="B34" s="104" t="s">
        <v>3906</v>
      </c>
      <c r="C34" s="390" t="s">
        <v>47</v>
      </c>
      <c r="D34" s="299">
        <v>429563</v>
      </c>
      <c r="E34" s="293" t="s">
        <v>19</v>
      </c>
      <c r="F34" s="293" t="s">
        <v>49</v>
      </c>
      <c r="G34" s="293" t="s">
        <v>50</v>
      </c>
      <c r="H34" s="299">
        <f>IFERROR(VLOOKUP(G34,'Cadastro de assessores'!A:B,2,FALSE),"Não Cadastrado")</f>
        <v>12331</v>
      </c>
      <c r="I34" s="293" t="s">
        <v>181</v>
      </c>
      <c r="J34" s="24" t="s">
        <v>3788</v>
      </c>
      <c r="K34" s="292" t="s">
        <v>152</v>
      </c>
      <c r="L34" s="423">
        <v>44820</v>
      </c>
      <c r="M34" s="423">
        <v>44820</v>
      </c>
      <c r="N34" s="292"/>
      <c r="O34" s="292" t="s">
        <v>3795</v>
      </c>
      <c r="P34" s="388">
        <v>1.4999999999999999E-2</v>
      </c>
      <c r="Q34" s="420"/>
      <c r="R34" s="417"/>
      <c r="S34" s="292"/>
      <c r="T34" s="292"/>
      <c r="U34" s="292"/>
      <c r="V34" s="292" t="s">
        <v>49</v>
      </c>
      <c r="W34" s="418"/>
      <c r="X34" s="418"/>
      <c r="Y34" s="418"/>
      <c r="Z34" s="418"/>
      <c r="AA34" s="418"/>
      <c r="AB34" s="418"/>
      <c r="AC34" s="418"/>
      <c r="AD34" s="418"/>
      <c r="AE34" s="418"/>
      <c r="AF34" s="418"/>
      <c r="AG34" s="418"/>
      <c r="AH34" s="418"/>
      <c r="AI34" s="418"/>
      <c r="AJ34" s="418"/>
      <c r="AK34" s="339"/>
      <c r="AL34" s="339"/>
      <c r="AM34" s="339"/>
      <c r="AN34" s="339"/>
      <c r="AO34" s="339"/>
      <c r="AP34" s="339"/>
      <c r="AQ34" s="339"/>
      <c r="AR34" s="339"/>
      <c r="AS34" s="339"/>
      <c r="AT34" s="339"/>
      <c r="AU34" s="339"/>
      <c r="AV34" s="339"/>
      <c r="AW34" s="339"/>
      <c r="AX34" s="339"/>
      <c r="AY34" s="339"/>
      <c r="AZ34" s="339"/>
      <c r="BA34" s="339"/>
      <c r="BB34" s="339"/>
      <c r="BC34" s="339"/>
      <c r="BD34" s="339"/>
      <c r="BE34" s="339"/>
      <c r="BF34" s="339"/>
      <c r="BG34" s="339"/>
      <c r="BH34" s="339">
        <v>407621.49</v>
      </c>
      <c r="BI34" s="339">
        <v>424331.63</v>
      </c>
      <c r="BJ34" s="339">
        <v>424926.19</v>
      </c>
      <c r="BK34" s="339">
        <v>425582.54</v>
      </c>
      <c r="BL34" s="339">
        <v>424317.48</v>
      </c>
      <c r="BM34" s="339">
        <v>32166.13</v>
      </c>
      <c r="BN34" s="339">
        <v>549.65</v>
      </c>
      <c r="BO34" s="339">
        <v>0</v>
      </c>
      <c r="BP34" s="339">
        <v>0</v>
      </c>
      <c r="BQ34" s="339">
        <v>0</v>
      </c>
      <c r="BR34" s="339">
        <v>0</v>
      </c>
      <c r="BS34" s="110" t="e">
        <f t="array" aca="1" ref="BS34" ca="1">_xludf.XLOOKUP(D34,'PL TOTAL D0'!N:N,'PL TOTAL D0'!P:P,"")</f>
        <v>#NAME?</v>
      </c>
      <c r="BT34" s="110"/>
    </row>
    <row r="35" spans="1:72" ht="15.75" customHeight="1">
      <c r="A35" s="122" t="s">
        <v>3785</v>
      </c>
      <c r="B35" s="104" t="s">
        <v>414</v>
      </c>
      <c r="C35" s="390" t="s">
        <v>412</v>
      </c>
      <c r="D35" s="299">
        <v>4085020</v>
      </c>
      <c r="E35" s="293" t="s">
        <v>19</v>
      </c>
      <c r="F35" s="293" t="s">
        <v>49</v>
      </c>
      <c r="G35" s="293" t="s">
        <v>166</v>
      </c>
      <c r="H35" s="293" t="s">
        <v>3907</v>
      </c>
      <c r="I35" s="293" t="s">
        <v>181</v>
      </c>
      <c r="J35" s="24" t="s">
        <v>152</v>
      </c>
      <c r="K35" s="292" t="s">
        <v>152</v>
      </c>
      <c r="L35" s="423">
        <v>44767</v>
      </c>
      <c r="M35" s="423">
        <v>44767</v>
      </c>
      <c r="N35" s="292"/>
      <c r="O35" s="292" t="s">
        <v>3802</v>
      </c>
      <c r="P35" s="388">
        <v>7.0000000000000001E-3</v>
      </c>
      <c r="Q35" s="420" t="s">
        <v>3908</v>
      </c>
      <c r="R35" s="417"/>
      <c r="S35" s="292" t="s">
        <v>253</v>
      </c>
      <c r="T35" s="292" t="s">
        <v>145</v>
      </c>
      <c r="U35" s="292" t="s">
        <v>3841</v>
      </c>
      <c r="V35" s="292" t="s">
        <v>49</v>
      </c>
      <c r="W35" s="418"/>
      <c r="X35" s="418"/>
      <c r="Y35" s="418"/>
      <c r="Z35" s="418"/>
      <c r="AA35" s="418"/>
      <c r="AB35" s="418"/>
      <c r="AC35" s="418"/>
      <c r="AD35" s="418"/>
      <c r="AE35" s="418"/>
      <c r="AF35" s="418"/>
      <c r="AG35" s="418"/>
      <c r="AH35" s="418"/>
      <c r="AI35" s="418"/>
      <c r="AJ35" s="418"/>
      <c r="AK35" s="339"/>
      <c r="AL35" s="339"/>
      <c r="AM35" s="339"/>
      <c r="AN35" s="339"/>
      <c r="AO35" s="339"/>
      <c r="AP35" s="339"/>
      <c r="AQ35" s="339"/>
      <c r="AR35" s="339"/>
      <c r="AS35" s="339"/>
      <c r="AT35" s="339"/>
      <c r="AU35" s="339"/>
      <c r="AV35" s="339"/>
      <c r="AW35" s="339"/>
      <c r="AX35" s="339"/>
      <c r="AY35" s="339"/>
      <c r="AZ35" s="339"/>
      <c r="BA35" s="339"/>
      <c r="BB35" s="339"/>
      <c r="BC35" s="339"/>
      <c r="BD35" s="339" t="s">
        <v>2932</v>
      </c>
      <c r="BE35" s="339" t="s">
        <v>2932</v>
      </c>
      <c r="BF35" s="339">
        <v>31252.78</v>
      </c>
      <c r="BG35" s="339">
        <v>31613.265009999999</v>
      </c>
      <c r="BH35" s="339">
        <v>25479.87</v>
      </c>
      <c r="BI35" s="339">
        <v>25721.85</v>
      </c>
      <c r="BJ35" s="339">
        <v>19838.91</v>
      </c>
      <c r="BK35" s="339">
        <v>19997.22</v>
      </c>
      <c r="BL35" s="339">
        <v>14121.87</v>
      </c>
      <c r="BM35" s="339">
        <v>8703.5300000000007</v>
      </c>
      <c r="BN35" s="339">
        <v>3353.39</v>
      </c>
      <c r="BO35" s="339">
        <v>3383.83</v>
      </c>
      <c r="BP35" s="339">
        <v>3382.7</v>
      </c>
      <c r="BQ35" s="339">
        <v>3402.97</v>
      </c>
      <c r="BR35" s="339">
        <v>3439.16</v>
      </c>
      <c r="BS35" s="110" t="e">
        <f t="array" aca="1" ref="BS35" ca="1">_xludf.XLOOKUP(D35,'PL TOTAL D0'!N:N,'PL TOTAL D0'!P:P,"")</f>
        <v>#NAME?</v>
      </c>
      <c r="BT35" s="110"/>
    </row>
    <row r="36" spans="1:72" ht="15.75" customHeight="1">
      <c r="A36" s="122" t="s">
        <v>3785</v>
      </c>
      <c r="B36" s="104" t="s">
        <v>3909</v>
      </c>
      <c r="C36" s="390" t="s">
        <v>3910</v>
      </c>
      <c r="D36" s="299">
        <v>6582452</v>
      </c>
      <c r="E36" s="293" t="s">
        <v>19</v>
      </c>
      <c r="F36" s="293" t="s">
        <v>49</v>
      </c>
      <c r="G36" s="293" t="s">
        <v>328</v>
      </c>
      <c r="H36" s="299" t="str">
        <f>IFERROR(VLOOKUP(G36,'Cadastro de assessores'!A:B,2,FALSE),"Não Cadastrado")</f>
        <v>18009</v>
      </c>
      <c r="I36" s="293" t="s">
        <v>181</v>
      </c>
      <c r="J36" s="24" t="s">
        <v>143</v>
      </c>
      <c r="K36" s="292" t="s">
        <v>152</v>
      </c>
      <c r="L36" s="391">
        <v>44454</v>
      </c>
      <c r="M36" s="391">
        <v>44460</v>
      </c>
      <c r="N36" s="429">
        <v>44838</v>
      </c>
      <c r="O36" s="426" t="s">
        <v>3911</v>
      </c>
      <c r="P36" s="388">
        <v>8.0000000000000002E-3</v>
      </c>
      <c r="Q36" s="167" t="s">
        <v>3912</v>
      </c>
      <c r="R36" s="417"/>
      <c r="S36" s="292" t="str">
        <f t="shared" ref="S36:S37" si="4">IF(BC36&lt;=0,"",IF(BC36&lt;=1000000,"Não Qualificado",IF(AND(BC36&gt;1000000,BC36&lt;=10000000),"Qualificado","Profissional")))</f>
        <v>Não Qualificado</v>
      </c>
      <c r="T36" s="292" t="s">
        <v>145</v>
      </c>
      <c r="U36" s="292" t="s">
        <v>3846</v>
      </c>
      <c r="V36" s="299" t="s">
        <v>46</v>
      </c>
      <c r="W36" s="350"/>
      <c r="X36" s="350"/>
      <c r="Y36" s="350"/>
      <c r="Z36" s="350"/>
      <c r="AA36" s="350"/>
      <c r="AB36" s="350"/>
      <c r="AC36" s="350"/>
      <c r="AD36" s="350"/>
      <c r="AE36" s="350"/>
      <c r="AF36" s="350"/>
      <c r="AG36" s="418"/>
      <c r="AH36" s="418"/>
      <c r="AI36" s="418"/>
      <c r="AJ36" s="339"/>
      <c r="AK36" s="339"/>
      <c r="AL36" s="339"/>
      <c r="AM36" s="339"/>
      <c r="AN36" s="339"/>
      <c r="AO36" s="339"/>
      <c r="AP36" s="339"/>
      <c r="AQ36" s="339"/>
      <c r="AR36" s="339"/>
      <c r="AS36" s="339"/>
      <c r="AT36" s="339"/>
      <c r="AU36" s="350"/>
      <c r="AV36" s="339"/>
      <c r="AW36" s="339" t="s">
        <v>3913</v>
      </c>
      <c r="AX36" s="339">
        <v>1012285.33</v>
      </c>
      <c r="AY36" s="339">
        <v>1019262.4</v>
      </c>
      <c r="AZ36" s="339">
        <v>1026250.25</v>
      </c>
      <c r="BA36" s="339">
        <v>1034164.92</v>
      </c>
      <c r="BB36" s="339">
        <v>1046873.4</v>
      </c>
      <c r="BC36" s="339">
        <v>352.33</v>
      </c>
      <c r="BD36" s="339">
        <v>1066405.5900000001</v>
      </c>
      <c r="BE36" s="339">
        <v>102419.4</v>
      </c>
      <c r="BF36" s="339">
        <v>103121.06</v>
      </c>
      <c r="BG36" s="339">
        <v>103618.60159999999</v>
      </c>
      <c r="BH36" s="339">
        <v>104144.81</v>
      </c>
      <c r="BI36" s="339">
        <v>0</v>
      </c>
      <c r="BJ36" s="339">
        <v>0</v>
      </c>
      <c r="BK36" s="339">
        <v>0</v>
      </c>
      <c r="BL36" s="339">
        <v>0</v>
      </c>
      <c r="BM36" s="339">
        <v>0</v>
      </c>
      <c r="BN36" s="339">
        <v>0</v>
      </c>
      <c r="BO36" s="339">
        <v>0</v>
      </c>
      <c r="BP36" s="339">
        <v>0</v>
      </c>
      <c r="BQ36" s="339">
        <v>0</v>
      </c>
      <c r="BR36" s="339">
        <v>0</v>
      </c>
      <c r="BS36" s="110" t="e">
        <f t="array" aca="1" ref="BS36" ca="1">_xludf.XLOOKUP(D36,'PL TOTAL D0'!N:N,'PL TOTAL D0'!P:P,"")</f>
        <v>#NAME?</v>
      </c>
      <c r="BT36" s="110"/>
    </row>
    <row r="37" spans="1:72" ht="15.75" customHeight="1">
      <c r="A37" s="122" t="s">
        <v>3785</v>
      </c>
      <c r="B37" s="104" t="s">
        <v>3914</v>
      </c>
      <c r="C37" s="390" t="s">
        <v>3915</v>
      </c>
      <c r="D37" s="292">
        <v>4432780</v>
      </c>
      <c r="E37" s="293" t="s">
        <v>19</v>
      </c>
      <c r="F37" s="293" t="s">
        <v>49</v>
      </c>
      <c r="G37" s="293" t="s">
        <v>328</v>
      </c>
      <c r="H37" s="293" t="str">
        <f>IFERROR(VLOOKUP(G37,'Cadastro de assessores'!A:B,2,FALSE),"Não Cadastrado")</f>
        <v>18009</v>
      </c>
      <c r="I37" s="293" t="s">
        <v>181</v>
      </c>
      <c r="J37" s="24" t="s">
        <v>3788</v>
      </c>
      <c r="K37" s="292" t="s">
        <v>152</v>
      </c>
      <c r="L37" s="415">
        <v>44078</v>
      </c>
      <c r="M37" s="415">
        <v>44078</v>
      </c>
      <c r="N37" s="292"/>
      <c r="O37" s="292" t="s">
        <v>3809</v>
      </c>
      <c r="P37" s="388">
        <v>2.5000000000000001E-2</v>
      </c>
      <c r="Q37" s="421" t="s">
        <v>3916</v>
      </c>
      <c r="R37" s="417"/>
      <c r="S37" s="292" t="str">
        <f t="shared" si="4"/>
        <v>Não Qualificado</v>
      </c>
      <c r="T37" s="293" t="s">
        <v>187</v>
      </c>
      <c r="U37" s="293" t="s">
        <v>3797</v>
      </c>
      <c r="V37" s="293" t="s">
        <v>20</v>
      </c>
      <c r="W37" s="418" t="s">
        <v>3798</v>
      </c>
      <c r="X37" s="418" t="s">
        <v>3798</v>
      </c>
      <c r="Y37" s="418" t="s">
        <v>3798</v>
      </c>
      <c r="Z37" s="418" t="s">
        <v>3798</v>
      </c>
      <c r="AA37" s="418" t="s">
        <v>3798</v>
      </c>
      <c r="AB37" s="418" t="s">
        <v>3798</v>
      </c>
      <c r="AC37" s="418" t="s">
        <v>3798</v>
      </c>
      <c r="AD37" s="418" t="s">
        <v>3798</v>
      </c>
      <c r="AE37" s="418" t="s">
        <v>3798</v>
      </c>
      <c r="AF37" s="418" t="s">
        <v>3798</v>
      </c>
      <c r="AG37" s="418" t="s">
        <v>3798</v>
      </c>
      <c r="AH37" s="418" t="s">
        <v>3917</v>
      </c>
      <c r="AI37" s="418" t="s">
        <v>3918</v>
      </c>
      <c r="AJ37" s="418" t="s">
        <v>3919</v>
      </c>
      <c r="AK37" s="339">
        <v>111476.32</v>
      </c>
      <c r="AL37" s="339">
        <v>107002.08</v>
      </c>
      <c r="AM37" s="339">
        <v>97815.1</v>
      </c>
      <c r="AN37" s="339">
        <v>96658.02</v>
      </c>
      <c r="AO37" s="339">
        <v>104019.24</v>
      </c>
      <c r="AP37" s="339">
        <v>105400.11</v>
      </c>
      <c r="AQ37" s="339">
        <v>104315</v>
      </c>
      <c r="AR37" s="339">
        <v>110154.4</v>
      </c>
      <c r="AS37" s="339">
        <v>107647.1</v>
      </c>
      <c r="AT37" s="339">
        <v>102026.95</v>
      </c>
      <c r="AU37" s="339">
        <v>99908.479999999996</v>
      </c>
      <c r="AV37" s="339">
        <v>94061.15</v>
      </c>
      <c r="AW37" s="339">
        <v>87282.93</v>
      </c>
      <c r="AX37" s="339">
        <v>86404.55</v>
      </c>
      <c r="AY37" s="339">
        <v>87970.72</v>
      </c>
      <c r="AZ37" s="339">
        <v>93749.27</v>
      </c>
      <c r="BA37" s="339">
        <v>94811.09</v>
      </c>
      <c r="BB37" s="339">
        <v>100691.32</v>
      </c>
      <c r="BC37" s="339">
        <v>46886.15</v>
      </c>
      <c r="BD37" s="339">
        <v>95564.32</v>
      </c>
      <c r="BE37" s="339">
        <v>90509.24</v>
      </c>
      <c r="BF37" s="339">
        <v>95193.14</v>
      </c>
      <c r="BG37" s="339">
        <v>96111.56</v>
      </c>
      <c r="BH37" s="339">
        <v>94926.1</v>
      </c>
      <c r="BI37" s="339">
        <v>104853.29</v>
      </c>
      <c r="BJ37" s="339">
        <v>102629.12</v>
      </c>
      <c r="BK37" s="339">
        <v>1683.08</v>
      </c>
      <c r="BL37" s="339">
        <v>1987.59</v>
      </c>
      <c r="BM37" s="339">
        <v>2110.67</v>
      </c>
      <c r="BN37" s="339">
        <v>2130.89</v>
      </c>
      <c r="BO37" s="339">
        <v>258.51</v>
      </c>
      <c r="BP37" s="339">
        <v>258.51</v>
      </c>
      <c r="BQ37" s="339">
        <v>258.51</v>
      </c>
      <c r="BR37" s="339">
        <v>258.51</v>
      </c>
      <c r="BS37" s="110" t="e">
        <f t="array" aca="1" ref="BS37" ca="1">_xludf.XLOOKUP(D37,'PL TOTAL D0'!N:N,'PL TOTAL D0'!P:P,"")</f>
        <v>#NAME?</v>
      </c>
      <c r="BT37" s="110"/>
    </row>
    <row r="38" spans="1:72" ht="15.75" customHeight="1">
      <c r="A38" s="122" t="s">
        <v>3785</v>
      </c>
      <c r="B38" s="104" t="s">
        <v>3920</v>
      </c>
      <c r="C38" s="122" t="s">
        <v>3921</v>
      </c>
      <c r="D38" s="430">
        <v>8104478</v>
      </c>
      <c r="E38" s="293" t="s">
        <v>19</v>
      </c>
      <c r="F38" s="293" t="s">
        <v>49</v>
      </c>
      <c r="G38" s="293" t="s">
        <v>2036</v>
      </c>
      <c r="H38" s="293">
        <f>IFERROR(VLOOKUP(G38,'Cadastro de assessores'!A:B,2,FALSE),"Não Cadastrado")</f>
        <v>12350</v>
      </c>
      <c r="I38" s="293"/>
      <c r="J38" s="24" t="s">
        <v>3788</v>
      </c>
      <c r="K38" s="292" t="s">
        <v>152</v>
      </c>
      <c r="L38" s="423">
        <v>44798</v>
      </c>
      <c r="M38" s="423">
        <v>44812</v>
      </c>
      <c r="N38" s="299"/>
      <c r="O38" s="299" t="s">
        <v>3802</v>
      </c>
      <c r="P38" s="388">
        <v>0.01</v>
      </c>
      <c r="Q38" s="420" t="s">
        <v>3922</v>
      </c>
      <c r="R38" s="417"/>
      <c r="S38" s="292"/>
      <c r="T38" s="293"/>
      <c r="U38" s="293"/>
      <c r="V38" s="293" t="s">
        <v>49</v>
      </c>
      <c r="W38" s="418"/>
      <c r="X38" s="418"/>
      <c r="Y38" s="418"/>
      <c r="Z38" s="418"/>
      <c r="AA38" s="418"/>
      <c r="AB38" s="418"/>
      <c r="AC38" s="418"/>
      <c r="AD38" s="418"/>
      <c r="AE38" s="418"/>
      <c r="AF38" s="418"/>
      <c r="AG38" s="418"/>
      <c r="AH38" s="418"/>
      <c r="AI38" s="418"/>
      <c r="AJ38" s="418"/>
      <c r="AK38" s="339"/>
      <c r="AL38" s="339"/>
      <c r="AM38" s="339"/>
      <c r="AN38" s="339"/>
      <c r="AO38" s="339"/>
      <c r="AP38" s="339"/>
      <c r="AQ38" s="339"/>
      <c r="AR38" s="339"/>
      <c r="AS38" s="339"/>
      <c r="AT38" s="339"/>
      <c r="AU38" s="339"/>
      <c r="AV38" s="339"/>
      <c r="AW38" s="339"/>
      <c r="AX38" s="339"/>
      <c r="AY38" s="339"/>
      <c r="AZ38" s="339"/>
      <c r="BA38" s="339"/>
      <c r="BB38" s="339"/>
      <c r="BC38" s="339"/>
      <c r="BD38" s="339"/>
      <c r="BE38" s="339"/>
      <c r="BF38" s="339"/>
      <c r="BG38" s="339">
        <v>0</v>
      </c>
      <c r="BH38" s="339">
        <v>212359.62</v>
      </c>
      <c r="BI38" s="339">
        <v>214441.51</v>
      </c>
      <c r="BJ38" s="339">
        <v>105516.56</v>
      </c>
      <c r="BK38" s="339">
        <v>106442.72</v>
      </c>
      <c r="BL38" s="339">
        <v>103408.42</v>
      </c>
      <c r="BM38" s="339">
        <v>94124.2</v>
      </c>
      <c r="BN38" s="339">
        <v>91425.48</v>
      </c>
      <c r="BO38" s="339">
        <v>72871.92</v>
      </c>
      <c r="BP38" s="339">
        <v>71580.649999999994</v>
      </c>
      <c r="BQ38" s="339">
        <v>53980.23</v>
      </c>
      <c r="BR38" s="339">
        <v>49741.19</v>
      </c>
      <c r="BS38" s="110" t="e">
        <f t="array" aca="1" ref="BS38" ca="1">_xludf.XLOOKUP(D38,'PL TOTAL D0'!N:N,'PL TOTAL D0'!P:P,"")</f>
        <v>#NAME?</v>
      </c>
      <c r="BT38" s="110"/>
    </row>
    <row r="39" spans="1:72" ht="15.75" customHeight="1">
      <c r="A39" s="122" t="s">
        <v>3785</v>
      </c>
      <c r="B39" s="104" t="s">
        <v>425</v>
      </c>
      <c r="C39" s="122" t="s">
        <v>423</v>
      </c>
      <c r="D39" s="292">
        <v>8039639</v>
      </c>
      <c r="E39" s="293" t="s">
        <v>19</v>
      </c>
      <c r="F39" s="293" t="s">
        <v>20</v>
      </c>
      <c r="G39" s="293" t="s">
        <v>21</v>
      </c>
      <c r="H39" s="293">
        <f>IFERROR(VLOOKUP(G39,'Cadastro de assessores'!A:B,2,FALSE),"Não Cadastrado")</f>
        <v>12344</v>
      </c>
      <c r="I39" s="293"/>
      <c r="J39" s="24" t="s">
        <v>3788</v>
      </c>
      <c r="K39" s="292" t="s">
        <v>152</v>
      </c>
      <c r="L39" s="423">
        <v>44631</v>
      </c>
      <c r="M39" s="423">
        <v>44636</v>
      </c>
      <c r="N39" s="299"/>
      <c r="O39" s="299" t="s">
        <v>3802</v>
      </c>
      <c r="P39" s="388">
        <v>7.0000000000000001E-3</v>
      </c>
      <c r="Q39" s="420"/>
      <c r="R39" s="417"/>
      <c r="S39" s="292" t="str">
        <f t="shared" ref="S39:S43" si="5">IF(BC39&lt;=0,"",IF(BC39&lt;=1000000,"Não Qualificado",IF(AND(BC39&gt;1000000,BC39&lt;=10000000),"Qualificado","Profissional")))</f>
        <v>Não Qualificado</v>
      </c>
      <c r="T39" s="293" t="s">
        <v>145</v>
      </c>
      <c r="U39" s="293" t="s">
        <v>3923</v>
      </c>
      <c r="V39" s="293" t="s">
        <v>20</v>
      </c>
      <c r="W39" s="418"/>
      <c r="X39" s="418"/>
      <c r="Y39" s="418"/>
      <c r="Z39" s="418"/>
      <c r="AA39" s="418"/>
      <c r="AB39" s="418"/>
      <c r="AC39" s="418"/>
      <c r="AD39" s="418"/>
      <c r="AE39" s="418"/>
      <c r="AF39" s="418"/>
      <c r="AG39" s="418"/>
      <c r="AH39" s="418"/>
      <c r="AI39" s="418"/>
      <c r="AJ39" s="418"/>
      <c r="AK39" s="339"/>
      <c r="AL39" s="339"/>
      <c r="AM39" s="339"/>
      <c r="AN39" s="339"/>
      <c r="AO39" s="339"/>
      <c r="AP39" s="339"/>
      <c r="AQ39" s="339"/>
      <c r="AR39" s="339"/>
      <c r="AS39" s="339"/>
      <c r="AT39" s="339"/>
      <c r="AU39" s="339"/>
      <c r="AV39" s="339"/>
      <c r="AW39" s="339"/>
      <c r="AX39" s="339"/>
      <c r="AY39" s="339"/>
      <c r="AZ39" s="339"/>
      <c r="BA39" s="339"/>
      <c r="BB39" s="339">
        <v>0</v>
      </c>
      <c r="BC39" s="339">
        <v>63.88</v>
      </c>
      <c r="BD39" s="339">
        <v>334289.03999999998</v>
      </c>
      <c r="BE39" s="339">
        <v>578891.43999999994</v>
      </c>
      <c r="BF39" s="339">
        <v>584400.29</v>
      </c>
      <c r="BG39" s="339">
        <v>589060.55859999999</v>
      </c>
      <c r="BH39" s="339">
        <v>691064.51</v>
      </c>
      <c r="BI39" s="339">
        <v>747693.54</v>
      </c>
      <c r="BJ39" s="339">
        <v>817792.38</v>
      </c>
      <c r="BK39" s="339">
        <v>890638.44</v>
      </c>
      <c r="BL39" s="339">
        <v>901050.89</v>
      </c>
      <c r="BM39" s="339">
        <v>908070.33</v>
      </c>
      <c r="BN39" s="339">
        <v>0</v>
      </c>
      <c r="BO39" s="339">
        <v>0</v>
      </c>
      <c r="BP39" s="339">
        <v>0</v>
      </c>
      <c r="BQ39" s="339">
        <v>0</v>
      </c>
      <c r="BR39" s="339">
        <v>0</v>
      </c>
      <c r="BS39" s="110" t="e">
        <f t="array" aca="1" ref="BS39" ca="1">_xludf.XLOOKUP(D39,'PL TOTAL D0'!N:N,'PL TOTAL D0'!P:P,"")</f>
        <v>#NAME?</v>
      </c>
      <c r="BT39" s="110"/>
    </row>
    <row r="40" spans="1:72" ht="15.75" customHeight="1">
      <c r="A40" s="122" t="s">
        <v>3785</v>
      </c>
      <c r="B40" s="104" t="s">
        <v>3924</v>
      </c>
      <c r="C40" s="122" t="s">
        <v>3925</v>
      </c>
      <c r="D40" s="292">
        <v>4785856</v>
      </c>
      <c r="E40" s="293" t="s">
        <v>19</v>
      </c>
      <c r="F40" s="293" t="s">
        <v>20</v>
      </c>
      <c r="G40" s="293" t="s">
        <v>372</v>
      </c>
      <c r="H40" s="293">
        <f>IFERROR(VLOOKUP(G40,'Cadastro de assessores'!A:B,2,FALSE),"Não Cadastrado")</f>
        <v>12359</v>
      </c>
      <c r="I40" s="293"/>
      <c r="J40" s="24" t="s">
        <v>3788</v>
      </c>
      <c r="K40" s="292" t="s">
        <v>152</v>
      </c>
      <c r="L40" s="415">
        <v>44582</v>
      </c>
      <c r="M40" s="415">
        <v>44217</v>
      </c>
      <c r="N40" s="292"/>
      <c r="O40" s="292" t="s">
        <v>3795</v>
      </c>
      <c r="P40" s="388">
        <v>1.4999999999999999E-2</v>
      </c>
      <c r="Q40" s="420" t="s">
        <v>3900</v>
      </c>
      <c r="R40" s="417"/>
      <c r="S40" s="292" t="str">
        <f t="shared" si="5"/>
        <v>Não Qualificado</v>
      </c>
      <c r="T40" s="293" t="s">
        <v>145</v>
      </c>
      <c r="U40" s="293" t="s">
        <v>3797</v>
      </c>
      <c r="V40" s="293" t="s">
        <v>20</v>
      </c>
      <c r="W40" s="418"/>
      <c r="X40" s="418"/>
      <c r="Y40" s="418"/>
      <c r="Z40" s="418"/>
      <c r="AA40" s="418"/>
      <c r="AB40" s="418"/>
      <c r="AC40" s="418"/>
      <c r="AD40" s="418"/>
      <c r="AE40" s="418"/>
      <c r="AF40" s="418"/>
      <c r="AG40" s="418"/>
      <c r="AH40" s="418"/>
      <c r="AI40" s="418" t="s">
        <v>3798</v>
      </c>
      <c r="AJ40" s="418"/>
      <c r="AK40" s="339" t="s">
        <v>3147</v>
      </c>
      <c r="AL40" s="339">
        <v>152098.12</v>
      </c>
      <c r="AM40" s="339">
        <v>212183.15</v>
      </c>
      <c r="AN40" s="339">
        <v>212893.36</v>
      </c>
      <c r="AO40" s="339">
        <v>219672.34</v>
      </c>
      <c r="AP40" s="339">
        <v>221052.67</v>
      </c>
      <c r="AQ40" s="339">
        <v>220134.52</v>
      </c>
      <c r="AR40" s="339">
        <v>225138.42</v>
      </c>
      <c r="AS40" s="339">
        <v>223601.47</v>
      </c>
      <c r="AT40" s="339">
        <v>219103.13</v>
      </c>
      <c r="AU40" s="339">
        <v>217685.2</v>
      </c>
      <c r="AV40" s="339">
        <v>214468.76</v>
      </c>
      <c r="AW40" s="339">
        <v>206493.98</v>
      </c>
      <c r="AX40" s="339">
        <v>206371.87</v>
      </c>
      <c r="AY40" s="339">
        <v>209003.05</v>
      </c>
      <c r="AZ40" s="339">
        <v>214283.91</v>
      </c>
      <c r="BA40" s="339">
        <v>215384.03</v>
      </c>
      <c r="BB40" s="339">
        <v>223670.57</v>
      </c>
      <c r="BC40" s="339">
        <v>55227.14</v>
      </c>
      <c r="BD40" s="339">
        <v>222534.91</v>
      </c>
      <c r="BE40" s="339">
        <v>221491.58</v>
      </c>
      <c r="BF40" s="339">
        <v>226027.03</v>
      </c>
      <c r="BG40" s="339">
        <v>227957.05669999999</v>
      </c>
      <c r="BH40" s="339">
        <v>228670.85</v>
      </c>
      <c r="BI40" s="339">
        <v>227193.58</v>
      </c>
      <c r="BJ40" s="339">
        <v>225784.41</v>
      </c>
      <c r="BK40" s="339">
        <v>227212.31</v>
      </c>
      <c r="BL40" s="339">
        <v>229599.32</v>
      </c>
      <c r="BM40" s="339">
        <v>230682.43</v>
      </c>
      <c r="BN40" s="339">
        <v>232794.05</v>
      </c>
      <c r="BO40" s="339">
        <v>234763.26</v>
      </c>
      <c r="BP40" s="339">
        <v>241792.95</v>
      </c>
      <c r="BQ40" s="339">
        <v>243387.67</v>
      </c>
      <c r="BR40" s="339">
        <v>245669.14</v>
      </c>
      <c r="BS40" s="110" t="e">
        <f t="array" aca="1" ref="BS40" ca="1">_xludf.XLOOKUP(D40,'PL TOTAL D0'!N:N,'PL TOTAL D0'!P:P,"")</f>
        <v>#NAME?</v>
      </c>
      <c r="BT40" s="110"/>
    </row>
    <row r="41" spans="1:72" ht="15.75" customHeight="1">
      <c r="A41" s="122" t="s">
        <v>3785</v>
      </c>
      <c r="B41" s="104" t="s">
        <v>3926</v>
      </c>
      <c r="C41" s="390" t="s">
        <v>3927</v>
      </c>
      <c r="D41" s="299">
        <v>6456469</v>
      </c>
      <c r="E41" s="293" t="s">
        <v>19</v>
      </c>
      <c r="F41" s="293" t="s">
        <v>20</v>
      </c>
      <c r="G41" s="293" t="s">
        <v>800</v>
      </c>
      <c r="H41" s="293" t="str">
        <f>IFERROR(VLOOKUP(G41,'Cadastro de assessores'!A:B,2,FALSE),"Não Cadastrado")</f>
        <v>18467</v>
      </c>
      <c r="I41" s="293"/>
      <c r="J41" s="24" t="s">
        <v>143</v>
      </c>
      <c r="K41" s="292" t="s">
        <v>152</v>
      </c>
      <c r="L41" s="415">
        <v>44463</v>
      </c>
      <c r="M41" s="415">
        <v>44466</v>
      </c>
      <c r="N41" s="391">
        <v>45154</v>
      </c>
      <c r="O41" s="299" t="s">
        <v>3789</v>
      </c>
      <c r="P41" s="388">
        <v>0.02</v>
      </c>
      <c r="Q41" s="167" t="s">
        <v>3928</v>
      </c>
      <c r="R41" s="417"/>
      <c r="S41" s="292" t="str">
        <f t="shared" si="5"/>
        <v>Não Qualificado</v>
      </c>
      <c r="T41" s="292" t="s">
        <v>145</v>
      </c>
      <c r="U41" s="292" t="s">
        <v>3929</v>
      </c>
      <c r="V41" s="292" t="s">
        <v>20</v>
      </c>
      <c r="W41" s="350"/>
      <c r="X41" s="350"/>
      <c r="Y41" s="350"/>
      <c r="Z41" s="350"/>
      <c r="AA41" s="350"/>
      <c r="AB41" s="350"/>
      <c r="AC41" s="350"/>
      <c r="AD41" s="350"/>
      <c r="AE41" s="350"/>
      <c r="AF41" s="350"/>
      <c r="AG41" s="350"/>
      <c r="AH41" s="350"/>
      <c r="AI41" s="350"/>
      <c r="AJ41" s="339"/>
      <c r="AK41" s="339"/>
      <c r="AL41" s="339"/>
      <c r="AM41" s="339"/>
      <c r="AN41" s="339"/>
      <c r="AO41" s="339"/>
      <c r="AP41" s="339"/>
      <c r="AQ41" s="350"/>
      <c r="AR41" s="339"/>
      <c r="AS41" s="339"/>
      <c r="AT41" s="339"/>
      <c r="AU41" s="350"/>
      <c r="AV41" s="339">
        <v>595025.5</v>
      </c>
      <c r="AW41" s="339">
        <v>564798.26</v>
      </c>
      <c r="AX41" s="339">
        <v>562790.32999999996</v>
      </c>
      <c r="AY41" s="339">
        <v>570846.75</v>
      </c>
      <c r="AZ41" s="339">
        <v>597369.41</v>
      </c>
      <c r="BA41" s="339">
        <v>601965.69999999995</v>
      </c>
      <c r="BB41" s="339">
        <v>628441.87</v>
      </c>
      <c r="BC41" s="339">
        <v>264187.05</v>
      </c>
      <c r="BD41" s="339">
        <v>610203.51</v>
      </c>
      <c r="BE41" s="339">
        <v>597962.02</v>
      </c>
      <c r="BF41" s="339">
        <v>617040.80000000005</v>
      </c>
      <c r="BG41" s="339">
        <v>628086.03460000001</v>
      </c>
      <c r="BH41" s="339">
        <v>623661.17000000004</v>
      </c>
      <c r="BI41" s="339">
        <v>609116.98</v>
      </c>
      <c r="BJ41" s="339">
        <v>606827</v>
      </c>
      <c r="BK41" s="339">
        <v>608724.99</v>
      </c>
      <c r="BL41" s="339">
        <v>609322.72</v>
      </c>
      <c r="BM41" s="339">
        <v>606513.76</v>
      </c>
      <c r="BN41" s="339">
        <v>608754.28</v>
      </c>
      <c r="BO41" s="339">
        <v>612612.36</v>
      </c>
      <c r="BP41" s="339">
        <v>619174.71</v>
      </c>
      <c r="BQ41" s="339">
        <v>629656.14</v>
      </c>
      <c r="BR41" s="339">
        <v>640647.86</v>
      </c>
      <c r="BS41" s="110" t="e">
        <f t="array" aca="1" ref="BS41" ca="1">_xludf.XLOOKUP(D41,'PL TOTAL D0'!N:N,'PL TOTAL D0'!P:P,"")</f>
        <v>#NAME?</v>
      </c>
      <c r="BT41" s="110"/>
    </row>
    <row r="42" spans="1:72" ht="15.75" customHeight="1">
      <c r="A42" s="122" t="s">
        <v>3785</v>
      </c>
      <c r="B42" s="104" t="s">
        <v>3930</v>
      </c>
      <c r="C42" s="390" t="s">
        <v>3931</v>
      </c>
      <c r="D42" s="299">
        <v>5650271</v>
      </c>
      <c r="E42" s="292" t="s">
        <v>64</v>
      </c>
      <c r="F42" s="292" t="s">
        <v>20</v>
      </c>
      <c r="G42" s="292" t="s">
        <v>3634</v>
      </c>
      <c r="H42" s="292" t="str">
        <f>IFERROR(VLOOKUP(G42,'Cadastro de assessores'!A:B,2,FALSE),"Não Cadastrado")</f>
        <v>14574</v>
      </c>
      <c r="I42" s="292"/>
      <c r="J42" s="24" t="s">
        <v>143</v>
      </c>
      <c r="K42" s="292" t="s">
        <v>3794</v>
      </c>
      <c r="L42" s="387">
        <v>44362</v>
      </c>
      <c r="M42" s="387">
        <v>44362</v>
      </c>
      <c r="N42" s="387">
        <v>44680</v>
      </c>
      <c r="O42" s="292" t="s">
        <v>3805</v>
      </c>
      <c r="P42" s="388">
        <v>1.2E-2</v>
      </c>
      <c r="Q42" s="167" t="s">
        <v>3932</v>
      </c>
      <c r="R42" s="417"/>
      <c r="S42" s="292" t="str">
        <f t="shared" si="5"/>
        <v/>
      </c>
      <c r="T42" s="292" t="s">
        <v>145</v>
      </c>
      <c r="U42" s="292" t="s">
        <v>3933</v>
      </c>
      <c r="V42" s="299" t="s">
        <v>20</v>
      </c>
      <c r="W42" s="350"/>
      <c r="X42" s="350"/>
      <c r="Y42" s="350"/>
      <c r="Z42" s="350"/>
      <c r="AA42" s="350"/>
      <c r="AB42" s="350"/>
      <c r="AC42" s="350"/>
      <c r="AD42" s="350"/>
      <c r="AE42" s="350"/>
      <c r="AF42" s="350"/>
      <c r="AG42" s="350"/>
      <c r="AH42" s="350"/>
      <c r="AI42" s="350"/>
      <c r="AJ42" s="350"/>
      <c r="AK42" s="339"/>
      <c r="AL42" s="339"/>
      <c r="AM42" s="339"/>
      <c r="AN42" s="339"/>
      <c r="AO42" s="339"/>
      <c r="AP42" s="339"/>
      <c r="AQ42" s="339"/>
      <c r="AR42" s="350"/>
      <c r="AS42" s="339">
        <v>253063.45</v>
      </c>
      <c r="AT42" s="339">
        <v>263755.96000000002</v>
      </c>
      <c r="AU42" s="339">
        <v>260523.5</v>
      </c>
      <c r="AV42" s="339">
        <v>248814.02</v>
      </c>
      <c r="AW42" s="339">
        <v>216829.37</v>
      </c>
      <c r="AX42" s="339">
        <v>215871.04</v>
      </c>
      <c r="AY42" s="339">
        <v>218473.75</v>
      </c>
      <c r="AZ42" s="339">
        <v>228819.05</v>
      </c>
      <c r="BA42" s="339">
        <v>226727.27</v>
      </c>
      <c r="BB42" s="339">
        <v>161521.46</v>
      </c>
      <c r="BC42" s="339"/>
      <c r="BD42" s="339" t="s">
        <v>2932</v>
      </c>
      <c r="BE42" s="339" t="s">
        <v>2932</v>
      </c>
      <c r="BF42" s="339">
        <v>0</v>
      </c>
      <c r="BG42" s="339">
        <v>0</v>
      </c>
      <c r="BH42" s="339">
        <v>0</v>
      </c>
      <c r="BI42" s="339">
        <v>0</v>
      </c>
      <c r="BJ42" s="339">
        <v>0</v>
      </c>
      <c r="BK42" s="339">
        <v>0</v>
      </c>
      <c r="BL42" s="339">
        <v>0</v>
      </c>
      <c r="BM42" s="339">
        <v>0</v>
      </c>
      <c r="BN42" s="339">
        <v>0</v>
      </c>
      <c r="BO42" s="339">
        <v>0</v>
      </c>
      <c r="BP42" s="339">
        <v>0</v>
      </c>
      <c r="BQ42" s="339">
        <v>0</v>
      </c>
      <c r="BR42" s="339">
        <v>0</v>
      </c>
      <c r="BS42" s="110" t="e">
        <f t="array" aca="1" ref="BS42" ca="1">_xludf.XLOOKUP(D42,'PL TOTAL D0'!N:N,'PL TOTAL D0'!P:P,"")</f>
        <v>#NAME?</v>
      </c>
      <c r="BT42" s="110"/>
    </row>
    <row r="43" spans="1:72" ht="15.75" customHeight="1">
      <c r="A43" s="122" t="s">
        <v>3785</v>
      </c>
      <c r="B43" s="104" t="s">
        <v>3934</v>
      </c>
      <c r="C43" s="390" t="s">
        <v>3935</v>
      </c>
      <c r="D43" s="299">
        <v>5167097</v>
      </c>
      <c r="E43" s="293" t="s">
        <v>19</v>
      </c>
      <c r="F43" s="293" t="s">
        <v>49</v>
      </c>
      <c r="G43" s="293" t="s">
        <v>328</v>
      </c>
      <c r="H43" s="293" t="str">
        <f>IFERROR(VLOOKUP(G43,'Cadastro de assessores'!A:B,2,FALSE),"Não Cadastrado")</f>
        <v>18009</v>
      </c>
      <c r="I43" s="293"/>
      <c r="J43" s="24" t="s">
        <v>3788</v>
      </c>
      <c r="K43" s="292" t="s">
        <v>152</v>
      </c>
      <c r="L43" s="415">
        <v>44295</v>
      </c>
      <c r="M43" s="415">
        <v>44298</v>
      </c>
      <c r="N43" s="292"/>
      <c r="O43" s="292" t="s">
        <v>3805</v>
      </c>
      <c r="P43" s="388">
        <v>1.2E-2</v>
      </c>
      <c r="Q43" s="167" t="s">
        <v>3936</v>
      </c>
      <c r="R43" s="417"/>
      <c r="S43" s="292" t="str">
        <f t="shared" si="5"/>
        <v/>
      </c>
      <c r="T43" s="292" t="s">
        <v>145</v>
      </c>
      <c r="U43" s="292" t="s">
        <v>3883</v>
      </c>
      <c r="V43" s="292" t="s">
        <v>3884</v>
      </c>
      <c r="W43" s="418"/>
      <c r="X43" s="418"/>
      <c r="Y43" s="418"/>
      <c r="Z43" s="418"/>
      <c r="AA43" s="418"/>
      <c r="AB43" s="418"/>
      <c r="AC43" s="418"/>
      <c r="AD43" s="418"/>
      <c r="AE43" s="418"/>
      <c r="AF43" s="418"/>
      <c r="AG43" s="418"/>
      <c r="AH43" s="418"/>
      <c r="AI43" s="418"/>
      <c r="AJ43" s="418"/>
      <c r="AK43" s="339"/>
      <c r="AL43" s="339"/>
      <c r="AM43" s="339"/>
      <c r="AN43" s="339"/>
      <c r="AO43" s="339"/>
      <c r="AP43" s="339">
        <v>55054.76</v>
      </c>
      <c r="AQ43" s="339">
        <v>54952.800000000003</v>
      </c>
      <c r="AR43" s="339">
        <v>130044.64</v>
      </c>
      <c r="AS43" s="339">
        <v>116642.26</v>
      </c>
      <c r="AT43" s="339">
        <v>115821.65</v>
      </c>
      <c r="AU43" s="339">
        <v>115784.6</v>
      </c>
      <c r="AV43" s="339">
        <v>115292.28</v>
      </c>
      <c r="AW43" s="339">
        <v>113566.31</v>
      </c>
      <c r="AX43" s="339">
        <v>7783.84</v>
      </c>
      <c r="AY43" s="339">
        <v>2865.09</v>
      </c>
      <c r="AZ43" s="339">
        <v>2864.15</v>
      </c>
      <c r="BA43" s="339">
        <v>2871.24</v>
      </c>
      <c r="BB43" s="339">
        <v>2893.5</v>
      </c>
      <c r="BC43" s="339"/>
      <c r="BD43" s="339">
        <v>8.5399999999999991</v>
      </c>
      <c r="BE43" s="339" t="s">
        <v>2932</v>
      </c>
      <c r="BF43" s="339">
        <v>2.96</v>
      </c>
      <c r="BG43" s="339">
        <v>0</v>
      </c>
      <c r="BH43" s="339">
        <v>0</v>
      </c>
      <c r="BI43" s="339">
        <v>0</v>
      </c>
      <c r="BJ43" s="339">
        <v>0</v>
      </c>
      <c r="BK43" s="339">
        <v>0</v>
      </c>
      <c r="BL43" s="339">
        <v>0</v>
      </c>
      <c r="BM43" s="339">
        <v>0</v>
      </c>
      <c r="BN43" s="339">
        <v>0</v>
      </c>
      <c r="BO43" s="339">
        <v>0</v>
      </c>
      <c r="BP43" s="339">
        <v>0</v>
      </c>
      <c r="BQ43" s="339">
        <v>0</v>
      </c>
      <c r="BR43" s="339">
        <v>0</v>
      </c>
      <c r="BS43" s="110" t="e">
        <f t="array" aca="1" ref="BS43" ca="1">_xludf.XLOOKUP(D43,'PL TOTAL D0'!N:N,'PL TOTAL D0'!P:P,"")</f>
        <v>#NAME?</v>
      </c>
      <c r="BT43" s="110"/>
    </row>
    <row r="44" spans="1:72" ht="15.75" customHeight="1">
      <c r="A44" s="122" t="s">
        <v>3785</v>
      </c>
      <c r="B44" s="104" t="s">
        <v>3937</v>
      </c>
      <c r="C44" s="122" t="s">
        <v>3938</v>
      </c>
      <c r="D44" s="292">
        <v>3214407</v>
      </c>
      <c r="E44" s="293" t="s">
        <v>19</v>
      </c>
      <c r="F44" s="293" t="s">
        <v>49</v>
      </c>
      <c r="G44" s="293" t="s">
        <v>166</v>
      </c>
      <c r="H44" s="292" t="str">
        <f>IFERROR(VLOOKUP(G44,'Cadastro de assessores'!A:B,2,FALSE),"Não Cadastrado")</f>
        <v>18890</v>
      </c>
      <c r="I44" s="292"/>
      <c r="J44" s="24" t="s">
        <v>3788</v>
      </c>
      <c r="K44" s="292" t="s">
        <v>161</v>
      </c>
      <c r="L44" s="293" t="s">
        <v>3147</v>
      </c>
      <c r="M44" s="415"/>
      <c r="N44" s="292"/>
      <c r="O44" s="292" t="s">
        <v>3809</v>
      </c>
      <c r="P44" s="388">
        <v>2.5000000000000001E-2</v>
      </c>
      <c r="Q44" s="420"/>
      <c r="R44" s="417"/>
      <c r="S44" s="292"/>
      <c r="T44" s="292"/>
      <c r="U44" s="292"/>
      <c r="V44" s="292" t="s">
        <v>49</v>
      </c>
      <c r="W44" s="418"/>
      <c r="X44" s="418"/>
      <c r="Y44" s="418"/>
      <c r="Z44" s="418"/>
      <c r="AA44" s="418"/>
      <c r="AB44" s="418"/>
      <c r="AC44" s="418"/>
      <c r="AD44" s="418"/>
      <c r="AE44" s="418"/>
      <c r="AF44" s="418"/>
      <c r="AG44" s="418"/>
      <c r="AH44" s="418"/>
      <c r="AI44" s="418"/>
      <c r="AJ44" s="418"/>
      <c r="AK44" s="339"/>
      <c r="AL44" s="339"/>
      <c r="AM44" s="339"/>
      <c r="AN44" s="339"/>
      <c r="AO44" s="339"/>
      <c r="AP44" s="339"/>
      <c r="AQ44" s="339"/>
      <c r="AR44" s="339"/>
      <c r="AS44" s="339"/>
      <c r="AT44" s="339"/>
      <c r="AU44" s="339"/>
      <c r="AV44" s="339"/>
      <c r="AW44" s="339"/>
      <c r="AX44" s="339"/>
      <c r="AY44" s="339"/>
      <c r="AZ44" s="339"/>
      <c r="BA44" s="339"/>
      <c r="BB44" s="339"/>
      <c r="BC44" s="339"/>
      <c r="BD44" s="339"/>
      <c r="BE44" s="339"/>
      <c r="BF44" s="339">
        <v>0</v>
      </c>
      <c r="BG44" s="339">
        <v>0</v>
      </c>
      <c r="BH44" s="339">
        <v>0</v>
      </c>
      <c r="BI44" s="339">
        <v>0</v>
      </c>
      <c r="BJ44" s="339">
        <v>0</v>
      </c>
      <c r="BK44" s="339">
        <v>0</v>
      </c>
      <c r="BL44" s="339">
        <v>0</v>
      </c>
      <c r="BM44" s="339">
        <v>0</v>
      </c>
      <c r="BN44" s="339">
        <v>0</v>
      </c>
      <c r="BO44" s="339">
        <v>0</v>
      </c>
      <c r="BP44" s="339">
        <v>0</v>
      </c>
      <c r="BQ44" s="339">
        <v>0</v>
      </c>
      <c r="BR44" s="339">
        <v>0</v>
      </c>
      <c r="BS44" s="110" t="e">
        <f t="array" aca="1" ref="BS44" ca="1">_xludf.XLOOKUP(D44,'PL TOTAL D0'!N:N,'PL TOTAL D0'!P:P,"")</f>
        <v>#NAME?</v>
      </c>
      <c r="BT44" s="110"/>
    </row>
    <row r="45" spans="1:72" ht="15.75" customHeight="1">
      <c r="A45" s="122" t="s">
        <v>3785</v>
      </c>
      <c r="B45" s="104" t="s">
        <v>3939</v>
      </c>
      <c r="C45" s="122" t="s">
        <v>3940</v>
      </c>
      <c r="D45" s="292">
        <v>2352697</v>
      </c>
      <c r="E45" s="292" t="s">
        <v>2923</v>
      </c>
      <c r="F45" s="292" t="s">
        <v>20</v>
      </c>
      <c r="G45" s="292" t="s">
        <v>2923</v>
      </c>
      <c r="H45" s="292" t="str">
        <f>IFERROR(VLOOKUP(G45,'Cadastro de assessores'!A:B,2,FALSE),"Não Cadastrado")</f>
        <v>18986</v>
      </c>
      <c r="I45" s="292"/>
      <c r="J45" s="24" t="s">
        <v>143</v>
      </c>
      <c r="K45" s="292" t="s">
        <v>3794</v>
      </c>
      <c r="L45" s="387">
        <v>43838</v>
      </c>
      <c r="M45" s="387">
        <v>43838</v>
      </c>
      <c r="N45" s="387">
        <v>44042</v>
      </c>
      <c r="O45" s="292" t="s">
        <v>3941</v>
      </c>
      <c r="P45" s="388">
        <v>2.5000000000000001E-2</v>
      </c>
      <c r="Q45" s="420" t="s">
        <v>3942</v>
      </c>
      <c r="R45" s="417"/>
      <c r="S45" s="292" t="str">
        <f>IF(BC45&lt;=0,"",IF(BC45&lt;=1000000,"Não Qualificado",IF(AND(BC45&gt;1000000,BC45&lt;=10000000),"Qualificado","Profissional")))</f>
        <v>Não Qualificado</v>
      </c>
      <c r="T45" s="292" t="s">
        <v>145</v>
      </c>
      <c r="U45" s="292" t="s">
        <v>3929</v>
      </c>
      <c r="V45" s="292" t="s">
        <v>20</v>
      </c>
      <c r="W45" s="418" t="s">
        <v>3798</v>
      </c>
      <c r="X45" s="418" t="s">
        <v>3798</v>
      </c>
      <c r="Y45" s="418" t="s">
        <v>3798</v>
      </c>
      <c r="Z45" s="418" t="s">
        <v>3943</v>
      </c>
      <c r="AA45" s="418" t="s">
        <v>3944</v>
      </c>
      <c r="AB45" s="418" t="s">
        <v>3945</v>
      </c>
      <c r="AC45" s="418" t="s">
        <v>3946</v>
      </c>
      <c r="AD45" s="418" t="s">
        <v>3947</v>
      </c>
      <c r="AE45" s="418" t="s">
        <v>3798</v>
      </c>
      <c r="AF45" s="418" t="s">
        <v>3798</v>
      </c>
      <c r="AG45" s="418" t="s">
        <v>3798</v>
      </c>
      <c r="AH45" s="418"/>
      <c r="AI45" s="418"/>
      <c r="AJ45" s="418"/>
      <c r="AK45" s="339"/>
      <c r="AL45" s="339"/>
      <c r="AM45" s="339" t="s">
        <v>3147</v>
      </c>
      <c r="AN45" s="339"/>
      <c r="AO45" s="339"/>
      <c r="AP45" s="339"/>
      <c r="AQ45" s="339"/>
      <c r="AR45" s="339"/>
      <c r="AS45" s="339"/>
      <c r="AT45" s="339"/>
      <c r="AU45" s="339"/>
      <c r="AV45" s="339"/>
      <c r="AW45" s="339"/>
      <c r="AX45" s="339"/>
      <c r="AY45" s="339"/>
      <c r="AZ45" s="339"/>
      <c r="BA45" s="339">
        <v>0</v>
      </c>
      <c r="BB45" s="339">
        <v>0</v>
      </c>
      <c r="BC45" s="339">
        <v>94507.37</v>
      </c>
      <c r="BD45" s="339" t="s">
        <v>2932</v>
      </c>
      <c r="BE45" s="339" t="s">
        <v>2932</v>
      </c>
      <c r="BF45" s="339">
        <v>0</v>
      </c>
      <c r="BG45" s="339">
        <v>0</v>
      </c>
      <c r="BH45" s="339">
        <v>0</v>
      </c>
      <c r="BI45" s="339">
        <v>0</v>
      </c>
      <c r="BJ45" s="339">
        <v>0</v>
      </c>
      <c r="BK45" s="339">
        <v>0</v>
      </c>
      <c r="BL45" s="339">
        <v>0</v>
      </c>
      <c r="BM45" s="339">
        <v>0</v>
      </c>
      <c r="BN45" s="339">
        <v>0</v>
      </c>
      <c r="BO45" s="339">
        <v>0</v>
      </c>
      <c r="BP45" s="339">
        <v>0</v>
      </c>
      <c r="BQ45" s="339">
        <v>0</v>
      </c>
      <c r="BR45" s="339">
        <v>0</v>
      </c>
      <c r="BS45" s="110" t="e">
        <f t="array" aca="1" ref="BS45" ca="1">_xludf.XLOOKUP(D45,'PL TOTAL D0'!N:N,'PL TOTAL D0'!P:P,"")</f>
        <v>#NAME?</v>
      </c>
      <c r="BT45" s="110"/>
    </row>
    <row r="46" spans="1:72" ht="15.75" customHeight="1">
      <c r="A46" s="122" t="s">
        <v>3785</v>
      </c>
      <c r="B46" s="104" t="s">
        <v>3948</v>
      </c>
      <c r="C46" s="122" t="s">
        <v>3949</v>
      </c>
      <c r="D46" s="292">
        <v>3653911</v>
      </c>
      <c r="E46" s="293" t="s">
        <v>19</v>
      </c>
      <c r="F46" s="293" t="s">
        <v>49</v>
      </c>
      <c r="G46" s="293" t="s">
        <v>50</v>
      </c>
      <c r="H46" s="293"/>
      <c r="I46" s="293"/>
      <c r="J46" s="24" t="s">
        <v>3788</v>
      </c>
      <c r="K46" s="293"/>
      <c r="L46" s="415"/>
      <c r="M46" s="415">
        <v>44936</v>
      </c>
      <c r="N46" s="292"/>
      <c r="O46" s="292" t="s">
        <v>3802</v>
      </c>
      <c r="P46" s="388">
        <v>1.2E-2</v>
      </c>
      <c r="Q46" s="420"/>
      <c r="R46" s="417"/>
      <c r="S46" s="292"/>
      <c r="T46" s="292"/>
      <c r="U46" s="292"/>
      <c r="V46" s="292" t="s">
        <v>49</v>
      </c>
      <c r="W46" s="418"/>
      <c r="X46" s="418"/>
      <c r="Y46" s="418"/>
      <c r="Z46" s="418"/>
      <c r="AA46" s="418"/>
      <c r="AB46" s="418"/>
      <c r="AC46" s="418"/>
      <c r="AD46" s="418"/>
      <c r="AE46" s="418"/>
      <c r="AF46" s="418"/>
      <c r="AG46" s="418"/>
      <c r="AH46" s="418"/>
      <c r="AI46" s="418"/>
      <c r="AJ46" s="418"/>
      <c r="AK46" s="339"/>
      <c r="AL46" s="339"/>
      <c r="AM46" s="339"/>
      <c r="AN46" s="339"/>
      <c r="AO46" s="339"/>
      <c r="AP46" s="339"/>
      <c r="AQ46" s="339"/>
      <c r="AR46" s="339"/>
      <c r="AS46" s="339"/>
      <c r="AT46" s="339"/>
      <c r="AU46" s="339"/>
      <c r="AV46" s="339"/>
      <c r="AW46" s="339"/>
      <c r="AX46" s="339"/>
      <c r="AY46" s="339"/>
      <c r="AZ46" s="339"/>
      <c r="BA46" s="339"/>
      <c r="BB46" s="339"/>
      <c r="BC46" s="339"/>
      <c r="BD46" s="339"/>
      <c r="BE46" s="339"/>
      <c r="BF46" s="339"/>
      <c r="BG46" s="339"/>
      <c r="BH46" s="339"/>
      <c r="BI46" s="339"/>
      <c r="BJ46" s="339"/>
      <c r="BK46" s="339"/>
      <c r="BL46" s="339">
        <v>168457.36</v>
      </c>
      <c r="BM46" s="339">
        <v>169543.1</v>
      </c>
      <c r="BN46" s="339">
        <v>0</v>
      </c>
      <c r="BO46" s="339">
        <v>0</v>
      </c>
      <c r="BP46" s="339">
        <v>0</v>
      </c>
      <c r="BQ46" s="339">
        <v>0</v>
      </c>
      <c r="BR46" s="339">
        <v>0</v>
      </c>
      <c r="BS46" s="110" t="e">
        <f t="array" aca="1" ref="BS46" ca="1">_xludf.XLOOKUP(D46,'PL TOTAL D0'!N:N,'PL TOTAL D0'!P:P,"")</f>
        <v>#NAME?</v>
      </c>
      <c r="BT46" s="110"/>
    </row>
    <row r="47" spans="1:72" ht="15.75" customHeight="1">
      <c r="A47" s="122" t="s">
        <v>3785</v>
      </c>
      <c r="B47" s="104" t="s">
        <v>3950</v>
      </c>
      <c r="C47" s="122" t="s">
        <v>3951</v>
      </c>
      <c r="D47" s="292">
        <v>3022313</v>
      </c>
      <c r="E47" s="293" t="s">
        <v>19</v>
      </c>
      <c r="F47" s="293" t="s">
        <v>20</v>
      </c>
      <c r="G47" s="293" t="s">
        <v>3952</v>
      </c>
      <c r="H47" s="293" t="str">
        <f>IFERROR(VLOOKUP(G47,'Cadastro de assessores'!A:B,2,FALSE),"Não Cadastrado")</f>
        <v>16855</v>
      </c>
      <c r="I47" s="293"/>
      <c r="J47" s="24" t="s">
        <v>152</v>
      </c>
      <c r="K47" s="293" t="s">
        <v>152</v>
      </c>
      <c r="L47" s="415">
        <v>43964</v>
      </c>
      <c r="M47" s="415">
        <v>44061</v>
      </c>
      <c r="N47" s="292"/>
      <c r="O47" s="292" t="s">
        <v>3795</v>
      </c>
      <c r="P47" s="388">
        <v>1.4999999999999999E-2</v>
      </c>
      <c r="Q47" s="420"/>
      <c r="R47" s="417"/>
      <c r="S47" s="292" t="str">
        <f t="shared" ref="S47:S52" si="6">IF(BC47&lt;=0,"",IF(BC47&lt;=1000000,"Não Qualificado",IF(AND(BC47&gt;1000000,BC47&lt;=10000000),"Qualificado","Profissional")))</f>
        <v/>
      </c>
      <c r="T47" s="292" t="s">
        <v>145</v>
      </c>
      <c r="U47" s="292" t="s">
        <v>3923</v>
      </c>
      <c r="V47" s="292" t="s">
        <v>20</v>
      </c>
      <c r="W47" s="418" t="s">
        <v>3798</v>
      </c>
      <c r="X47" s="418" t="s">
        <v>3798</v>
      </c>
      <c r="Y47" s="418" t="s">
        <v>3798</v>
      </c>
      <c r="Z47" s="418" t="s">
        <v>3798</v>
      </c>
      <c r="AA47" s="418" t="s">
        <v>3798</v>
      </c>
      <c r="AB47" s="418" t="s">
        <v>3798</v>
      </c>
      <c r="AC47" s="418" t="s">
        <v>3798</v>
      </c>
      <c r="AD47" s="418" t="s">
        <v>3798</v>
      </c>
      <c r="AE47" s="418" t="s">
        <v>3798</v>
      </c>
      <c r="AF47" s="418" t="s">
        <v>3798</v>
      </c>
      <c r="AG47" s="418" t="s">
        <v>3953</v>
      </c>
      <c r="AH47" s="418" t="s">
        <v>3954</v>
      </c>
      <c r="AI47" s="418" t="s">
        <v>3955</v>
      </c>
      <c r="AJ47" s="418" t="s">
        <v>3956</v>
      </c>
      <c r="AK47" s="339">
        <v>264282.33</v>
      </c>
      <c r="AL47" s="339">
        <v>259652.78</v>
      </c>
      <c r="AM47" s="339">
        <v>250761.85</v>
      </c>
      <c r="AN47" s="339">
        <v>249943.51</v>
      </c>
      <c r="AO47" s="339">
        <v>256506.49</v>
      </c>
      <c r="AP47" s="339">
        <v>257775.89</v>
      </c>
      <c r="AQ47" s="339">
        <v>256677.18</v>
      </c>
      <c r="AR47" s="339">
        <v>262891.34000000003</v>
      </c>
      <c r="AS47" s="339">
        <v>260843.68</v>
      </c>
      <c r="AT47" s="339">
        <v>255782.75</v>
      </c>
      <c r="AU47" s="339">
        <v>254073.72</v>
      </c>
      <c r="AV47" s="339">
        <v>250024.06</v>
      </c>
      <c r="AW47" s="339">
        <v>240848.67</v>
      </c>
      <c r="AX47" s="339">
        <v>241369.06</v>
      </c>
      <c r="AY47" s="339">
        <v>244712.09</v>
      </c>
      <c r="AZ47" s="339">
        <v>199796.93</v>
      </c>
      <c r="BA47" s="339">
        <v>201197.42</v>
      </c>
      <c r="BB47" s="339">
        <v>208485.71</v>
      </c>
      <c r="BC47" s="339"/>
      <c r="BD47" s="339">
        <v>207521.63</v>
      </c>
      <c r="BE47" s="339">
        <v>206710.08</v>
      </c>
      <c r="BF47" s="339">
        <v>183005.1</v>
      </c>
      <c r="BG47" s="339">
        <v>158591.5779</v>
      </c>
      <c r="BH47" s="339">
        <v>132849.49</v>
      </c>
      <c r="BI47" s="339">
        <v>113362.93</v>
      </c>
      <c r="BJ47" s="339">
        <v>91724.55</v>
      </c>
      <c r="BK47" s="339">
        <v>142725.15</v>
      </c>
      <c r="BL47" s="339">
        <v>144482.26</v>
      </c>
      <c r="BM47" s="339">
        <v>145475.22</v>
      </c>
      <c r="BN47" s="339">
        <v>146608.43</v>
      </c>
      <c r="BO47" s="339">
        <v>147629.35999999999</v>
      </c>
      <c r="BP47" s="339">
        <v>149065.62</v>
      </c>
      <c r="BQ47" s="339">
        <v>150083.68</v>
      </c>
      <c r="BR47" s="339">
        <v>6052.38</v>
      </c>
      <c r="BS47" s="110" t="e">
        <f t="array" aca="1" ref="BS47" ca="1">_xludf.XLOOKUP(D47,'PL TOTAL D0'!N:N,'PL TOTAL D0'!P:P,"")</f>
        <v>#NAME?</v>
      </c>
      <c r="BT47" s="110"/>
    </row>
    <row r="48" spans="1:72" ht="15.75" customHeight="1">
      <c r="A48" s="122" t="s">
        <v>3785</v>
      </c>
      <c r="B48" s="104" t="s">
        <v>3957</v>
      </c>
      <c r="C48" s="122" t="s">
        <v>3958</v>
      </c>
      <c r="D48" s="292">
        <v>4744962</v>
      </c>
      <c r="E48" s="293" t="s">
        <v>2923</v>
      </c>
      <c r="F48" s="293" t="s">
        <v>20</v>
      </c>
      <c r="G48" s="293" t="s">
        <v>2924</v>
      </c>
      <c r="H48" s="293" t="str">
        <f>IFERROR(VLOOKUP(G48,'Cadastro de assessores'!A:B,2,FALSE),"Não Cadastrado")</f>
        <v>17573</v>
      </c>
      <c r="I48" s="293"/>
      <c r="J48" s="24" t="s">
        <v>3788</v>
      </c>
      <c r="K48" s="292" t="s">
        <v>161</v>
      </c>
      <c r="L48" s="293" t="s">
        <v>3147</v>
      </c>
      <c r="M48" s="424"/>
      <c r="N48" s="292"/>
      <c r="O48" s="292" t="s">
        <v>3805</v>
      </c>
      <c r="P48" s="388">
        <v>1.2E-2</v>
      </c>
      <c r="Q48" s="420"/>
      <c r="R48" s="417"/>
      <c r="S48" s="292" t="str">
        <f t="shared" si="6"/>
        <v>Não Qualificado</v>
      </c>
      <c r="T48" s="292" t="s">
        <v>145</v>
      </c>
      <c r="U48" s="292" t="s">
        <v>3846</v>
      </c>
      <c r="V48" s="292" t="s">
        <v>46</v>
      </c>
      <c r="W48" s="418"/>
      <c r="X48" s="418"/>
      <c r="Y48" s="418"/>
      <c r="Z48" s="418"/>
      <c r="AA48" s="418"/>
      <c r="AB48" s="418"/>
      <c r="AC48" s="418"/>
      <c r="AD48" s="418"/>
      <c r="AE48" s="418"/>
      <c r="AF48" s="418"/>
      <c r="AG48" s="418"/>
      <c r="AH48" s="418"/>
      <c r="AI48" s="418"/>
      <c r="AJ48" s="418"/>
      <c r="AK48" s="339"/>
      <c r="AL48" s="339"/>
      <c r="AM48" s="339"/>
      <c r="AN48" s="339"/>
      <c r="AO48" s="339"/>
      <c r="AP48" s="339"/>
      <c r="AQ48" s="339"/>
      <c r="AR48" s="339"/>
      <c r="AS48" s="339"/>
      <c r="AT48" s="339"/>
      <c r="AU48" s="339"/>
      <c r="AV48" s="339"/>
      <c r="AW48" s="339"/>
      <c r="AX48" s="339"/>
      <c r="AY48" s="339"/>
      <c r="AZ48" s="339"/>
      <c r="BA48" s="339">
        <v>0</v>
      </c>
      <c r="BB48" s="339">
        <v>0</v>
      </c>
      <c r="BC48" s="339">
        <v>96030.62</v>
      </c>
      <c r="BD48" s="339" t="s">
        <v>2932</v>
      </c>
      <c r="BE48" s="339" t="s">
        <v>2932</v>
      </c>
      <c r="BF48" s="339">
        <v>0</v>
      </c>
      <c r="BG48" s="339">
        <v>0</v>
      </c>
      <c r="BH48" s="339">
        <v>0</v>
      </c>
      <c r="BI48" s="339">
        <v>0</v>
      </c>
      <c r="BJ48" s="339">
        <v>0</v>
      </c>
      <c r="BK48" s="339">
        <v>0</v>
      </c>
      <c r="BL48" s="339">
        <v>0</v>
      </c>
      <c r="BM48" s="339">
        <v>0</v>
      </c>
      <c r="BN48" s="339">
        <v>0</v>
      </c>
      <c r="BO48" s="339">
        <v>0</v>
      </c>
      <c r="BP48" s="339">
        <v>0</v>
      </c>
      <c r="BQ48" s="339">
        <v>0</v>
      </c>
      <c r="BR48" s="339">
        <v>0</v>
      </c>
      <c r="BS48" s="110" t="e">
        <f t="array" aca="1" ref="BS48" ca="1">_xludf.XLOOKUP(D48,'PL TOTAL D0'!N:N,'PL TOTAL D0'!P:P,"")</f>
        <v>#NAME?</v>
      </c>
      <c r="BT48" s="110"/>
    </row>
    <row r="49" spans="1:72" ht="15.75" customHeight="1">
      <c r="A49" s="122" t="s">
        <v>3785</v>
      </c>
      <c r="B49" s="104" t="s">
        <v>3959</v>
      </c>
      <c r="C49" s="390" t="s">
        <v>3960</v>
      </c>
      <c r="D49" s="292">
        <v>4448534</v>
      </c>
      <c r="E49" s="293" t="s">
        <v>19</v>
      </c>
      <c r="F49" s="293" t="s">
        <v>49</v>
      </c>
      <c r="G49" s="293" t="s">
        <v>328</v>
      </c>
      <c r="H49" s="293" t="str">
        <f>IFERROR(VLOOKUP(G49,'Cadastro de assessores'!A:B,2,FALSE),"Não Cadastrado")</f>
        <v>18009</v>
      </c>
      <c r="I49" s="293"/>
      <c r="J49" s="24" t="s">
        <v>143</v>
      </c>
      <c r="K49" s="293" t="s">
        <v>152</v>
      </c>
      <c r="L49" s="415">
        <v>44090</v>
      </c>
      <c r="M49" s="415">
        <v>44090</v>
      </c>
      <c r="N49" s="387">
        <v>44942</v>
      </c>
      <c r="O49" s="292" t="s">
        <v>3809</v>
      </c>
      <c r="P49" s="388">
        <v>2.5000000000000001E-2</v>
      </c>
      <c r="Q49" s="420"/>
      <c r="R49" s="417"/>
      <c r="S49" s="292" t="str">
        <f t="shared" si="6"/>
        <v>Não Qualificado</v>
      </c>
      <c r="T49" s="292" t="s">
        <v>145</v>
      </c>
      <c r="U49" s="292" t="s">
        <v>3823</v>
      </c>
      <c r="V49" s="292" t="s">
        <v>20</v>
      </c>
      <c r="W49" s="418" t="s">
        <v>3798</v>
      </c>
      <c r="X49" s="418" t="s">
        <v>3798</v>
      </c>
      <c r="Y49" s="418" t="s">
        <v>3798</v>
      </c>
      <c r="Z49" s="418" t="s">
        <v>3798</v>
      </c>
      <c r="AA49" s="418" t="s">
        <v>3798</v>
      </c>
      <c r="AB49" s="418" t="s">
        <v>3798</v>
      </c>
      <c r="AC49" s="418" t="s">
        <v>3798</v>
      </c>
      <c r="AD49" s="418" t="s">
        <v>3798</v>
      </c>
      <c r="AE49" s="418" t="s">
        <v>3798</v>
      </c>
      <c r="AF49" s="418" t="s">
        <v>3798</v>
      </c>
      <c r="AG49" s="418" t="s">
        <v>3798</v>
      </c>
      <c r="AH49" s="418" t="s">
        <v>3961</v>
      </c>
      <c r="AI49" s="418" t="s">
        <v>3962</v>
      </c>
      <c r="AJ49" s="418" t="s">
        <v>3963</v>
      </c>
      <c r="AK49" s="339">
        <v>228444.35</v>
      </c>
      <c r="AL49" s="339">
        <v>219483.84</v>
      </c>
      <c r="AM49" s="339">
        <v>197886.96</v>
      </c>
      <c r="AN49" s="339">
        <v>195392.07</v>
      </c>
      <c r="AO49" s="339">
        <v>210963.63</v>
      </c>
      <c r="AP49" s="339">
        <v>213743.52</v>
      </c>
      <c r="AQ49" s="339">
        <v>211518.99</v>
      </c>
      <c r="AR49" s="339">
        <v>223582.59</v>
      </c>
      <c r="AS49" s="339">
        <v>218423.21</v>
      </c>
      <c r="AT49" s="339">
        <v>206889.21</v>
      </c>
      <c r="AU49" s="339">
        <v>202553.28</v>
      </c>
      <c r="AV49" s="339">
        <v>190760.77</v>
      </c>
      <c r="AW49" s="339">
        <v>176735.63</v>
      </c>
      <c r="AX49" s="339">
        <v>175057.39</v>
      </c>
      <c r="AY49" s="339">
        <v>178414.73</v>
      </c>
      <c r="AZ49" s="339">
        <v>191499.87</v>
      </c>
      <c r="BA49" s="339">
        <v>193446.97</v>
      </c>
      <c r="BB49" s="339">
        <v>207605.33</v>
      </c>
      <c r="BC49" s="339">
        <v>90564.85</v>
      </c>
      <c r="BD49" s="339">
        <v>194624.19</v>
      </c>
      <c r="BE49" s="339">
        <v>186028.19</v>
      </c>
      <c r="BF49" s="339">
        <v>195857.79</v>
      </c>
      <c r="BG49" s="339">
        <v>197901.5735</v>
      </c>
      <c r="BH49" s="339">
        <v>194542.34</v>
      </c>
      <c r="BI49" s="339">
        <v>212667.29</v>
      </c>
      <c r="BJ49" s="339">
        <v>206060.94</v>
      </c>
      <c r="BK49" s="339">
        <v>205698.89</v>
      </c>
      <c r="BL49" s="339">
        <v>0</v>
      </c>
      <c r="BM49" s="339">
        <v>0</v>
      </c>
      <c r="BN49" s="339">
        <v>0</v>
      </c>
      <c r="BO49" s="339">
        <v>0</v>
      </c>
      <c r="BP49" s="339">
        <v>0</v>
      </c>
      <c r="BQ49" s="339">
        <v>0</v>
      </c>
      <c r="BR49" s="339">
        <v>0</v>
      </c>
      <c r="BS49" s="110" t="e">
        <f t="array" aca="1" ref="BS49" ca="1">_xludf.XLOOKUP(D49,'PL TOTAL D0'!N:N,'PL TOTAL D0'!P:P,"")</f>
        <v>#NAME?</v>
      </c>
      <c r="BT49" s="110"/>
    </row>
    <row r="50" spans="1:72" ht="15.75" customHeight="1">
      <c r="A50" s="122" t="s">
        <v>3785</v>
      </c>
      <c r="B50" s="104" t="s">
        <v>3964</v>
      </c>
      <c r="C50" s="390" t="s">
        <v>3965</v>
      </c>
      <c r="D50" s="299">
        <v>3533638</v>
      </c>
      <c r="E50" s="292" t="s">
        <v>19</v>
      </c>
      <c r="F50" s="292" t="s">
        <v>20</v>
      </c>
      <c r="G50" s="292" t="s">
        <v>3683</v>
      </c>
      <c r="H50" s="292" t="str">
        <f>IFERROR(VLOOKUP(G50,'Cadastro de assessores'!A:B,2,FALSE),"Não Cadastrado")</f>
        <v>18266</v>
      </c>
      <c r="I50" s="292"/>
      <c r="J50" s="24" t="s">
        <v>143</v>
      </c>
      <c r="K50" s="292" t="s">
        <v>3794</v>
      </c>
      <c r="L50" s="387">
        <v>44354</v>
      </c>
      <c r="M50" s="387">
        <v>44354</v>
      </c>
      <c r="N50" s="419">
        <v>44559</v>
      </c>
      <c r="O50" s="292" t="s">
        <v>3809</v>
      </c>
      <c r="P50" s="388">
        <v>2.5000000000000001E-2</v>
      </c>
      <c r="Q50" s="420" t="s">
        <v>3966</v>
      </c>
      <c r="R50" s="417"/>
      <c r="S50" s="292" t="str">
        <f t="shared" si="6"/>
        <v>Não Qualificado</v>
      </c>
      <c r="T50" s="292" t="s">
        <v>145</v>
      </c>
      <c r="U50" s="292" t="s">
        <v>3967</v>
      </c>
      <c r="V50" s="299" t="s">
        <v>49</v>
      </c>
      <c r="W50" s="350"/>
      <c r="X50" s="350"/>
      <c r="Y50" s="350"/>
      <c r="Z50" s="350"/>
      <c r="AA50" s="350"/>
      <c r="AB50" s="350"/>
      <c r="AC50" s="350"/>
      <c r="AD50" s="350"/>
      <c r="AE50" s="350"/>
      <c r="AF50" s="350"/>
      <c r="AG50" s="350"/>
      <c r="AH50" s="350"/>
      <c r="AI50" s="350"/>
      <c r="AJ50" s="350"/>
      <c r="AK50" s="339"/>
      <c r="AL50" s="339"/>
      <c r="AM50" s="339"/>
      <c r="AN50" s="339"/>
      <c r="AO50" s="339"/>
      <c r="AP50" s="339"/>
      <c r="AQ50" s="339"/>
      <c r="AR50" s="350"/>
      <c r="AS50" s="339">
        <v>103387.08</v>
      </c>
      <c r="AT50" s="339">
        <v>102882.68</v>
      </c>
      <c r="AU50" s="339">
        <v>104345.96</v>
      </c>
      <c r="AV50" s="339">
        <v>101885.27</v>
      </c>
      <c r="AW50" s="339">
        <v>93246.47</v>
      </c>
      <c r="AX50" s="339">
        <v>92017.73</v>
      </c>
      <c r="AY50" s="339">
        <v>97049.24</v>
      </c>
      <c r="AZ50" s="339"/>
      <c r="BA50" s="339">
        <v>0</v>
      </c>
      <c r="BB50" s="339">
        <v>0</v>
      </c>
      <c r="BC50" s="339">
        <v>247588.28</v>
      </c>
      <c r="BD50" s="339" t="s">
        <v>2932</v>
      </c>
      <c r="BE50" s="339" t="s">
        <v>2932</v>
      </c>
      <c r="BF50" s="339">
        <v>0</v>
      </c>
      <c r="BG50" s="339">
        <v>0</v>
      </c>
      <c r="BH50" s="339">
        <v>0</v>
      </c>
      <c r="BI50" s="339">
        <v>0</v>
      </c>
      <c r="BJ50" s="339">
        <v>0</v>
      </c>
      <c r="BK50" s="339">
        <v>0</v>
      </c>
      <c r="BL50" s="339">
        <v>0</v>
      </c>
      <c r="BM50" s="339">
        <v>0</v>
      </c>
      <c r="BN50" s="339">
        <v>0</v>
      </c>
      <c r="BO50" s="339">
        <v>0</v>
      </c>
      <c r="BP50" s="339">
        <v>0</v>
      </c>
      <c r="BQ50" s="339">
        <v>0</v>
      </c>
      <c r="BR50" s="339">
        <v>0</v>
      </c>
      <c r="BS50" s="110" t="e">
        <f t="array" aca="1" ref="BS50" ca="1">_xludf.XLOOKUP(D50,'PL TOTAL D0'!N:N,'PL TOTAL D0'!P:P,"")</f>
        <v>#NAME?</v>
      </c>
      <c r="BT50" s="110"/>
    </row>
    <row r="51" spans="1:72" ht="15.75" customHeight="1">
      <c r="A51" s="122" t="s">
        <v>3785</v>
      </c>
      <c r="B51" s="104" t="s">
        <v>3968</v>
      </c>
      <c r="C51" s="122" t="s">
        <v>3969</v>
      </c>
      <c r="D51" s="292">
        <v>4859203</v>
      </c>
      <c r="E51" s="292" t="s">
        <v>19</v>
      </c>
      <c r="F51" s="292" t="s">
        <v>49</v>
      </c>
      <c r="G51" s="292" t="s">
        <v>328</v>
      </c>
      <c r="H51" s="292" t="str">
        <f>IFERROR(VLOOKUP(G51,'Cadastro de assessores'!A:B,2,FALSE),"Não Cadastrado")</f>
        <v>18009</v>
      </c>
      <c r="I51" s="292"/>
      <c r="J51" s="24" t="s">
        <v>143</v>
      </c>
      <c r="K51" s="292" t="s">
        <v>3794</v>
      </c>
      <c r="L51" s="387">
        <v>44239</v>
      </c>
      <c r="M51" s="387">
        <v>44239</v>
      </c>
      <c r="N51" s="387">
        <v>44700</v>
      </c>
      <c r="O51" s="292" t="s">
        <v>3789</v>
      </c>
      <c r="P51" s="388">
        <v>0.02</v>
      </c>
      <c r="Q51" s="420" t="s">
        <v>3970</v>
      </c>
      <c r="R51" s="417"/>
      <c r="S51" s="292" t="str">
        <f t="shared" si="6"/>
        <v>Não Qualificado</v>
      </c>
      <c r="T51" s="292" t="s">
        <v>145</v>
      </c>
      <c r="U51" s="292" t="s">
        <v>3846</v>
      </c>
      <c r="V51" s="292" t="s">
        <v>46</v>
      </c>
      <c r="W51" s="418"/>
      <c r="X51" s="418"/>
      <c r="Y51" s="418"/>
      <c r="Z51" s="418"/>
      <c r="AA51" s="418"/>
      <c r="AB51" s="418"/>
      <c r="AC51" s="418"/>
      <c r="AD51" s="418"/>
      <c r="AE51" s="418"/>
      <c r="AF51" s="418"/>
      <c r="AG51" s="418"/>
      <c r="AH51" s="418"/>
      <c r="AI51" s="418"/>
      <c r="AJ51" s="418"/>
      <c r="AK51" s="339"/>
      <c r="AL51" s="339"/>
      <c r="AM51" s="339">
        <v>66229.27</v>
      </c>
      <c r="AN51" s="339">
        <v>66460.820000000007</v>
      </c>
      <c r="AO51" s="339">
        <v>69471.679999999993</v>
      </c>
      <c r="AP51" s="339">
        <v>70041.31</v>
      </c>
      <c r="AQ51" s="339">
        <v>69600.19</v>
      </c>
      <c r="AR51" s="339">
        <v>101644.8</v>
      </c>
      <c r="AS51" s="339">
        <v>100565.17</v>
      </c>
      <c r="AT51" s="339">
        <v>97350.58</v>
      </c>
      <c r="AU51" s="339">
        <v>96215.83</v>
      </c>
      <c r="AV51" s="339">
        <v>93537.39</v>
      </c>
      <c r="AW51" s="339">
        <v>88966.89</v>
      </c>
      <c r="AX51" s="339">
        <v>88505.22</v>
      </c>
      <c r="AY51" s="339">
        <v>89709.72</v>
      </c>
      <c r="AZ51" s="339">
        <v>93189.99</v>
      </c>
      <c r="BA51" s="339">
        <v>93670.43</v>
      </c>
      <c r="BB51" s="339">
        <v>98185.09</v>
      </c>
      <c r="BC51" s="339">
        <v>72096.69</v>
      </c>
      <c r="BD51" s="339" t="s">
        <v>2932</v>
      </c>
      <c r="BE51" s="339" t="s">
        <v>2932</v>
      </c>
      <c r="BF51" s="339">
        <v>0</v>
      </c>
      <c r="BG51" s="339">
        <v>0</v>
      </c>
      <c r="BH51" s="339">
        <v>0</v>
      </c>
      <c r="BI51" s="339">
        <v>0</v>
      </c>
      <c r="BJ51" s="339">
        <v>0</v>
      </c>
      <c r="BK51" s="339">
        <v>0</v>
      </c>
      <c r="BL51" s="339">
        <v>0</v>
      </c>
      <c r="BM51" s="339">
        <v>0</v>
      </c>
      <c r="BN51" s="339">
        <v>0</v>
      </c>
      <c r="BO51" s="339">
        <v>0</v>
      </c>
      <c r="BP51" s="339">
        <v>0</v>
      </c>
      <c r="BQ51" s="339">
        <v>0</v>
      </c>
      <c r="BR51" s="339">
        <v>0</v>
      </c>
      <c r="BS51" s="110" t="e">
        <f t="array" aca="1" ref="BS51" ca="1">_xludf.XLOOKUP(D51,'PL TOTAL D0'!N:N,'PL TOTAL D0'!P:P,"")</f>
        <v>#NAME?</v>
      </c>
      <c r="BT51" s="110"/>
    </row>
    <row r="52" spans="1:72" ht="15.75" customHeight="1">
      <c r="A52" s="122" t="s">
        <v>3785</v>
      </c>
      <c r="B52" s="104" t="s">
        <v>3971</v>
      </c>
      <c r="C52" s="122" t="s">
        <v>3972</v>
      </c>
      <c r="D52" s="292">
        <v>4409995</v>
      </c>
      <c r="E52" s="292" t="s">
        <v>64</v>
      </c>
      <c r="F52" s="292" t="s">
        <v>20</v>
      </c>
      <c r="G52" s="292" t="s">
        <v>3973</v>
      </c>
      <c r="H52" s="292" t="str">
        <f>IFERROR(VLOOKUP(G52,'Cadastro de assessores'!A:B,2,FALSE),"Não Cadastrado")</f>
        <v>16459</v>
      </c>
      <c r="I52" s="292"/>
      <c r="J52" s="24" t="s">
        <v>143</v>
      </c>
      <c r="K52" s="292" t="s">
        <v>3794</v>
      </c>
      <c r="L52" s="419">
        <v>44120</v>
      </c>
      <c r="M52" s="419">
        <v>44120</v>
      </c>
      <c r="N52" s="387">
        <v>44413</v>
      </c>
      <c r="O52" s="292" t="s">
        <v>3795</v>
      </c>
      <c r="P52" s="388">
        <v>1.4999999999999999E-2</v>
      </c>
      <c r="Q52" s="420" t="s">
        <v>3974</v>
      </c>
      <c r="R52" s="417"/>
      <c r="S52" s="292" t="str">
        <f t="shared" si="6"/>
        <v/>
      </c>
      <c r="T52" s="292" t="s">
        <v>145</v>
      </c>
      <c r="U52" s="292" t="s">
        <v>3816</v>
      </c>
      <c r="V52" s="292" t="s">
        <v>20</v>
      </c>
      <c r="W52" s="418" t="s">
        <v>3798</v>
      </c>
      <c r="X52" s="418" t="s">
        <v>3798</v>
      </c>
      <c r="Y52" s="418" t="s">
        <v>3798</v>
      </c>
      <c r="Z52" s="418" t="s">
        <v>3798</v>
      </c>
      <c r="AA52" s="418" t="s">
        <v>3798</v>
      </c>
      <c r="AB52" s="418" t="s">
        <v>3798</v>
      </c>
      <c r="AC52" s="418" t="s">
        <v>3798</v>
      </c>
      <c r="AD52" s="418" t="s">
        <v>3798</v>
      </c>
      <c r="AE52" s="418" t="s">
        <v>3798</v>
      </c>
      <c r="AF52" s="418" t="s">
        <v>3798</v>
      </c>
      <c r="AG52" s="418" t="s">
        <v>3798</v>
      </c>
      <c r="AH52" s="418" t="s">
        <v>3798</v>
      </c>
      <c r="AI52" s="418" t="s">
        <v>3975</v>
      </c>
      <c r="AJ52" s="418" t="s">
        <v>3976</v>
      </c>
      <c r="AK52" s="339">
        <v>206276.65</v>
      </c>
      <c r="AL52" s="339">
        <v>202074.54</v>
      </c>
      <c r="AM52" s="339">
        <v>195592.66</v>
      </c>
      <c r="AN52" s="339">
        <v>195144.17</v>
      </c>
      <c r="AO52" s="339">
        <v>200442</v>
      </c>
      <c r="AP52" s="339">
        <v>201639.45</v>
      </c>
      <c r="AQ52" s="339">
        <v>200810.92</v>
      </c>
      <c r="AR52" s="339">
        <v>205533.39</v>
      </c>
      <c r="AS52" s="339">
        <v>203901.48</v>
      </c>
      <c r="AT52" s="339">
        <v>199844.32</v>
      </c>
      <c r="AU52" s="339"/>
      <c r="AV52" s="339"/>
      <c r="AW52" s="339"/>
      <c r="AX52" s="339"/>
      <c r="AY52" s="339"/>
      <c r="AZ52" s="339"/>
      <c r="BA52" s="339">
        <v>0</v>
      </c>
      <c r="BB52" s="339">
        <v>0</v>
      </c>
      <c r="BC52" s="339">
        <v>0</v>
      </c>
      <c r="BD52" s="339" t="s">
        <v>2932</v>
      </c>
      <c r="BE52" s="339" t="s">
        <v>2932</v>
      </c>
      <c r="BF52" s="339">
        <v>0</v>
      </c>
      <c r="BG52" s="339">
        <v>0</v>
      </c>
      <c r="BH52" s="339">
        <v>0</v>
      </c>
      <c r="BI52" s="339">
        <v>0</v>
      </c>
      <c r="BJ52" s="339">
        <v>0</v>
      </c>
      <c r="BK52" s="339">
        <v>0</v>
      </c>
      <c r="BL52" s="339">
        <v>0</v>
      </c>
      <c r="BM52" s="339">
        <v>0</v>
      </c>
      <c r="BN52" s="339">
        <v>0</v>
      </c>
      <c r="BO52" s="339">
        <v>0</v>
      </c>
      <c r="BP52" s="339">
        <v>0</v>
      </c>
      <c r="BQ52" s="339">
        <v>0</v>
      </c>
      <c r="BR52" s="339">
        <v>0</v>
      </c>
      <c r="BS52" s="110" t="e">
        <f t="array" aca="1" ref="BS52" ca="1">_xludf.XLOOKUP(D52,'PL TOTAL D0'!N:N,'PL TOTAL D0'!P:P,"")</f>
        <v>#NAME?</v>
      </c>
      <c r="BT52" s="110"/>
    </row>
    <row r="53" spans="1:72" ht="15.75" customHeight="1">
      <c r="A53" s="122" t="s">
        <v>3785</v>
      </c>
      <c r="B53" s="104" t="s">
        <v>3977</v>
      </c>
      <c r="C53" s="122" t="s">
        <v>513</v>
      </c>
      <c r="D53" s="292">
        <v>3281393</v>
      </c>
      <c r="E53" s="293" t="s">
        <v>19</v>
      </c>
      <c r="F53" s="293" t="s">
        <v>49</v>
      </c>
      <c r="G53" s="293" t="s">
        <v>50</v>
      </c>
      <c r="H53" s="292">
        <f>IFERROR(VLOOKUP(G53,'Cadastro de assessores'!A:B,2,FALSE),"Não Cadastrado")</f>
        <v>12331</v>
      </c>
      <c r="I53" s="292"/>
      <c r="J53" s="24" t="s">
        <v>3788</v>
      </c>
      <c r="K53" s="293" t="s">
        <v>152</v>
      </c>
      <c r="L53" s="415">
        <v>44795</v>
      </c>
      <c r="M53" s="415">
        <v>44795</v>
      </c>
      <c r="N53" s="292"/>
      <c r="O53" s="292" t="s">
        <v>3805</v>
      </c>
      <c r="P53" s="428">
        <v>1.2E-2</v>
      </c>
      <c r="Q53" s="420"/>
      <c r="R53" s="417"/>
      <c r="S53" s="292"/>
      <c r="T53" s="292" t="s">
        <v>187</v>
      </c>
      <c r="U53" s="292"/>
      <c r="V53" s="292" t="s">
        <v>49</v>
      </c>
      <c r="W53" s="418"/>
      <c r="X53" s="418"/>
      <c r="Y53" s="418"/>
      <c r="Z53" s="418"/>
      <c r="AA53" s="418"/>
      <c r="AB53" s="418"/>
      <c r="AC53" s="418"/>
      <c r="AD53" s="418"/>
      <c r="AE53" s="418"/>
      <c r="AF53" s="418"/>
      <c r="AG53" s="418"/>
      <c r="AH53" s="418"/>
      <c r="AI53" s="418"/>
      <c r="AJ53" s="418"/>
      <c r="AK53" s="339"/>
      <c r="AL53" s="339"/>
      <c r="AM53" s="339"/>
      <c r="AN53" s="339"/>
      <c r="AO53" s="339"/>
      <c r="AP53" s="339"/>
      <c r="AQ53" s="339"/>
      <c r="AR53" s="339"/>
      <c r="AS53" s="339"/>
      <c r="AT53" s="339"/>
      <c r="AU53" s="339"/>
      <c r="AV53" s="339"/>
      <c r="AW53" s="339"/>
      <c r="AX53" s="339"/>
      <c r="AY53" s="339"/>
      <c r="AZ53" s="339"/>
      <c r="BA53" s="339"/>
      <c r="BB53" s="339"/>
      <c r="BC53" s="339"/>
      <c r="BD53" s="339"/>
      <c r="BE53" s="339"/>
      <c r="BF53" s="339"/>
      <c r="BG53" s="339">
        <v>399958.33039999998</v>
      </c>
      <c r="BH53" s="339">
        <v>404438.39</v>
      </c>
      <c r="BI53" s="339">
        <v>412873.19</v>
      </c>
      <c r="BJ53" s="339">
        <v>413726.5</v>
      </c>
      <c r="BK53" s="339">
        <v>417778.22</v>
      </c>
      <c r="BL53" s="339">
        <v>422753.52</v>
      </c>
      <c r="BM53" s="339">
        <v>6.22</v>
      </c>
      <c r="BN53" s="339">
        <v>6.57</v>
      </c>
      <c r="BO53" s="339">
        <v>6.57</v>
      </c>
      <c r="BP53" s="339">
        <v>6.57</v>
      </c>
      <c r="BQ53" s="339">
        <v>6.57</v>
      </c>
      <c r="BR53" s="339">
        <v>6.57</v>
      </c>
      <c r="BS53" s="110" t="e">
        <f t="array" aca="1" ref="BS53" ca="1">_xludf.XLOOKUP(D53,'PL TOTAL D0'!N:N,'PL TOTAL D0'!P:P,"")</f>
        <v>#NAME?</v>
      </c>
      <c r="BT53" s="110"/>
    </row>
    <row r="54" spans="1:72" ht="15.75" customHeight="1">
      <c r="A54" s="122" t="s">
        <v>3785</v>
      </c>
      <c r="B54" s="104" t="s">
        <v>521</v>
      </c>
      <c r="C54" s="122" t="s">
        <v>519</v>
      </c>
      <c r="D54" s="292">
        <v>1000249</v>
      </c>
      <c r="E54" s="293" t="s">
        <v>64</v>
      </c>
      <c r="F54" s="293" t="s">
        <v>20</v>
      </c>
      <c r="G54" s="293" t="s">
        <v>337</v>
      </c>
      <c r="H54" s="293" t="str">
        <f>IFERROR(VLOOKUP(G54,'Cadastro de assessores'!A:B,2,FALSE),"Não Cadastrado")</f>
        <v>17896</v>
      </c>
      <c r="I54" s="293"/>
      <c r="J54" s="24" t="s">
        <v>3788</v>
      </c>
      <c r="K54" s="293" t="s">
        <v>152</v>
      </c>
      <c r="L54" s="415">
        <v>44110</v>
      </c>
      <c r="M54" s="415">
        <v>44112</v>
      </c>
      <c r="N54" s="292"/>
      <c r="O54" s="292" t="s">
        <v>3978</v>
      </c>
      <c r="P54" s="428">
        <v>0.02</v>
      </c>
      <c r="Q54" s="420"/>
      <c r="R54" s="417"/>
      <c r="S54" s="292" t="str">
        <f t="shared" ref="S54:S68" si="7">IF(BC54&lt;=0,"",IF(BC54&lt;=1000000,"Não Qualificado",IF(AND(BC54&gt;1000000,BC54&lt;=10000000),"Qualificado","Profissional")))</f>
        <v>Não Qualificado</v>
      </c>
      <c r="T54" s="292" t="s">
        <v>187</v>
      </c>
      <c r="U54" s="292" t="s">
        <v>3979</v>
      </c>
      <c r="V54" s="292" t="s">
        <v>20</v>
      </c>
      <c r="W54" s="418" t="s">
        <v>3798</v>
      </c>
      <c r="X54" s="418" t="s">
        <v>3798</v>
      </c>
      <c r="Y54" s="418" t="s">
        <v>3798</v>
      </c>
      <c r="Z54" s="418" t="s">
        <v>3798</v>
      </c>
      <c r="AA54" s="418" t="s">
        <v>3798</v>
      </c>
      <c r="AB54" s="418" t="s">
        <v>3798</v>
      </c>
      <c r="AC54" s="418" t="s">
        <v>3798</v>
      </c>
      <c r="AD54" s="418" t="s">
        <v>3798</v>
      </c>
      <c r="AE54" s="418" t="s">
        <v>3798</v>
      </c>
      <c r="AF54" s="418" t="s">
        <v>3798</v>
      </c>
      <c r="AG54" s="418" t="s">
        <v>3798</v>
      </c>
      <c r="AH54" s="418" t="s">
        <v>3798</v>
      </c>
      <c r="AI54" s="418" t="s">
        <v>3980</v>
      </c>
      <c r="AJ54" s="418" t="s">
        <v>3981</v>
      </c>
      <c r="AK54" s="339">
        <v>2058796.83</v>
      </c>
      <c r="AL54" s="339">
        <v>1982078.24</v>
      </c>
      <c r="AM54" s="339">
        <v>2818391.51</v>
      </c>
      <c r="AN54" s="339">
        <v>2817783.28</v>
      </c>
      <c r="AO54" s="339">
        <v>3022338.76</v>
      </c>
      <c r="AP54" s="339">
        <v>3048553.25</v>
      </c>
      <c r="AQ54" s="339">
        <v>3027303.04</v>
      </c>
      <c r="AR54" s="339">
        <v>3177566.98</v>
      </c>
      <c r="AS54" s="339">
        <v>3117628.69</v>
      </c>
      <c r="AT54" s="339">
        <v>2982366.87</v>
      </c>
      <c r="AU54" s="339">
        <v>2931376.16</v>
      </c>
      <c r="AV54" s="339">
        <v>2795723</v>
      </c>
      <c r="AW54" s="339">
        <v>2629139.46</v>
      </c>
      <c r="AX54" s="339">
        <v>2595782.46</v>
      </c>
      <c r="AY54" s="339">
        <v>2637503.21</v>
      </c>
      <c r="AZ54" s="339">
        <v>2778938.78</v>
      </c>
      <c r="BA54" s="339">
        <v>2800364.15</v>
      </c>
      <c r="BB54" s="339">
        <v>2962403.25</v>
      </c>
      <c r="BC54" s="339">
        <v>93147.27</v>
      </c>
      <c r="BD54" s="339">
        <v>2851409.2</v>
      </c>
      <c r="BE54" s="339">
        <v>2757755.19</v>
      </c>
      <c r="BF54" s="339">
        <v>2874894.47</v>
      </c>
      <c r="BG54" s="339">
        <v>2947928.4389999998</v>
      </c>
      <c r="BH54" s="339">
        <v>2922433.08</v>
      </c>
      <c r="BI54" s="339">
        <v>3123580.35</v>
      </c>
      <c r="BJ54" s="339">
        <v>3120882.45</v>
      </c>
      <c r="BK54" s="339">
        <v>3133695.75</v>
      </c>
      <c r="BL54" s="339">
        <v>3128131.67</v>
      </c>
      <c r="BM54" s="339">
        <v>3088642.64</v>
      </c>
      <c r="BN54" s="339">
        <v>746670.55</v>
      </c>
      <c r="BO54" s="339">
        <v>31318.91</v>
      </c>
      <c r="BP54" s="339">
        <v>31710.47</v>
      </c>
      <c r="BQ54" s="339">
        <v>31920.5</v>
      </c>
      <c r="BR54" s="339">
        <v>0</v>
      </c>
      <c r="BS54" s="110" t="e">
        <f t="array" aca="1" ref="BS54" ca="1">_xludf.XLOOKUP(D54,'PL TOTAL D0'!N:N,'PL TOTAL D0'!P:P,"")</f>
        <v>#NAME?</v>
      </c>
      <c r="BT54" s="110"/>
    </row>
    <row r="55" spans="1:72" ht="15.75" customHeight="1">
      <c r="A55" s="122" t="s">
        <v>3785</v>
      </c>
      <c r="B55" s="104" t="s">
        <v>530</v>
      </c>
      <c r="C55" s="122" t="s">
        <v>3982</v>
      </c>
      <c r="D55" s="292">
        <v>552896</v>
      </c>
      <c r="E55" s="293" t="s">
        <v>19</v>
      </c>
      <c r="F55" s="293" t="s">
        <v>49</v>
      </c>
      <c r="G55" s="293" t="s">
        <v>3983</v>
      </c>
      <c r="H55" s="293">
        <f>IFERROR(VLOOKUP(G55,'Cadastro de assessores'!A:B,2,FALSE),"Não Cadastrado")</f>
        <v>12351</v>
      </c>
      <c r="I55" s="293"/>
      <c r="J55" s="24" t="s">
        <v>152</v>
      </c>
      <c r="K55" s="293" t="s">
        <v>152</v>
      </c>
      <c r="L55" s="415">
        <v>44694</v>
      </c>
      <c r="M55" s="415">
        <v>44694</v>
      </c>
      <c r="N55" s="292"/>
      <c r="O55" s="292" t="s">
        <v>3795</v>
      </c>
      <c r="P55" s="388">
        <v>1.4999999999999999E-2</v>
      </c>
      <c r="Q55" s="420"/>
      <c r="R55" s="417"/>
      <c r="S55" s="292" t="str">
        <f t="shared" si="7"/>
        <v>Não Qualificado</v>
      </c>
      <c r="T55" s="292" t="s">
        <v>145</v>
      </c>
      <c r="U55" s="292" t="s">
        <v>3841</v>
      </c>
      <c r="V55" s="292" t="s">
        <v>49</v>
      </c>
      <c r="W55" s="418"/>
      <c r="X55" s="418"/>
      <c r="Y55" s="418"/>
      <c r="Z55" s="418"/>
      <c r="AA55" s="418"/>
      <c r="AB55" s="418"/>
      <c r="AC55" s="418"/>
      <c r="AD55" s="418"/>
      <c r="AE55" s="418"/>
      <c r="AF55" s="418"/>
      <c r="AG55" s="418"/>
      <c r="AH55" s="418"/>
      <c r="AI55" s="418"/>
      <c r="AJ55" s="418"/>
      <c r="AK55" s="339"/>
      <c r="AL55" s="339"/>
      <c r="AM55" s="339"/>
      <c r="AN55" s="339"/>
      <c r="AO55" s="339"/>
      <c r="AP55" s="339"/>
      <c r="AQ55" s="339"/>
      <c r="AR55" s="339"/>
      <c r="AS55" s="339"/>
      <c r="AT55" s="339"/>
      <c r="AU55" s="339"/>
      <c r="AV55" s="339"/>
      <c r="AW55" s="339"/>
      <c r="AX55" s="339"/>
      <c r="AY55" s="339"/>
      <c r="AZ55" s="339"/>
      <c r="BA55" s="339"/>
      <c r="BB55" s="339"/>
      <c r="BC55" s="339">
        <v>296576.96999999997</v>
      </c>
      <c r="BD55" s="339">
        <v>148800.54999999999</v>
      </c>
      <c r="BE55" s="339">
        <v>148308.66</v>
      </c>
      <c r="BF55" s="339">
        <v>147898.56</v>
      </c>
      <c r="BG55" s="339">
        <v>147121.82279999999</v>
      </c>
      <c r="BH55" s="339">
        <v>201678.28</v>
      </c>
      <c r="BI55" s="339">
        <v>205868.51</v>
      </c>
      <c r="BJ55" s="339">
        <v>215261.23</v>
      </c>
      <c r="BK55" s="339">
        <v>209337.33</v>
      </c>
      <c r="BL55" s="339">
        <v>144265.47</v>
      </c>
      <c r="BM55" s="339">
        <v>122703.52</v>
      </c>
      <c r="BN55" s="339">
        <v>144969.99</v>
      </c>
      <c r="BO55" s="339">
        <v>168010.5</v>
      </c>
      <c r="BP55" s="339">
        <v>169171.26</v>
      </c>
      <c r="BQ55" s="339">
        <v>169774.87</v>
      </c>
      <c r="BR55" s="339">
        <v>170421.21</v>
      </c>
      <c r="BS55" s="110" t="e">
        <f t="array" aca="1" ref="BS55" ca="1">_xludf.XLOOKUP(D55,'PL TOTAL D0'!N:N,'PL TOTAL D0'!P:P,"")</f>
        <v>#NAME?</v>
      </c>
      <c r="BT55" s="110"/>
    </row>
    <row r="56" spans="1:72" ht="15.75" customHeight="1">
      <c r="A56" s="122" t="s">
        <v>3785</v>
      </c>
      <c r="B56" s="104" t="s">
        <v>3984</v>
      </c>
      <c r="C56" s="122" t="s">
        <v>3985</v>
      </c>
      <c r="D56" s="292">
        <v>4743547</v>
      </c>
      <c r="E56" s="292" t="s">
        <v>19</v>
      </c>
      <c r="F56" s="292" t="s">
        <v>49</v>
      </c>
      <c r="G56" s="292" t="s">
        <v>328</v>
      </c>
      <c r="H56" s="292" t="str">
        <f>IFERROR(VLOOKUP(G56,'Cadastro de assessores'!A:B,2,FALSE),"Não Cadastrado")</f>
        <v>18009</v>
      </c>
      <c r="I56" s="292"/>
      <c r="J56" s="24" t="s">
        <v>143</v>
      </c>
      <c r="K56" s="292" t="s">
        <v>3794</v>
      </c>
      <c r="L56" s="387">
        <v>44252</v>
      </c>
      <c r="M56" s="387">
        <v>44252</v>
      </c>
      <c r="N56" s="387">
        <v>44657</v>
      </c>
      <c r="O56" s="292" t="s">
        <v>3789</v>
      </c>
      <c r="P56" s="388">
        <v>0.02</v>
      </c>
      <c r="Q56" s="420" t="s">
        <v>3986</v>
      </c>
      <c r="R56" s="417"/>
      <c r="S56" s="292" t="str">
        <f t="shared" si="7"/>
        <v>Não Qualificado</v>
      </c>
      <c r="T56" s="292" t="s">
        <v>145</v>
      </c>
      <c r="U56" s="292" t="s">
        <v>3846</v>
      </c>
      <c r="V56" s="292" t="s">
        <v>46</v>
      </c>
      <c r="W56" s="418"/>
      <c r="X56" s="418"/>
      <c r="Y56" s="418"/>
      <c r="Z56" s="418"/>
      <c r="AA56" s="418"/>
      <c r="AB56" s="418"/>
      <c r="AC56" s="418"/>
      <c r="AD56" s="418"/>
      <c r="AE56" s="418"/>
      <c r="AF56" s="418"/>
      <c r="AG56" s="418"/>
      <c r="AH56" s="418"/>
      <c r="AI56" s="418"/>
      <c r="AJ56" s="418"/>
      <c r="AK56" s="339"/>
      <c r="AL56" s="339"/>
      <c r="AM56" s="339">
        <v>146675.21</v>
      </c>
      <c r="AN56" s="339">
        <v>146359.4</v>
      </c>
      <c r="AO56" s="339">
        <v>152101.04</v>
      </c>
      <c r="AP56" s="339">
        <v>151670.01</v>
      </c>
      <c r="AQ56" s="339">
        <v>150891.63</v>
      </c>
      <c r="AR56" s="339">
        <v>153984.5</v>
      </c>
      <c r="AS56" s="339">
        <v>251324.57</v>
      </c>
      <c r="AT56" s="339">
        <v>242826.61</v>
      </c>
      <c r="AU56" s="339">
        <v>239152.25</v>
      </c>
      <c r="AV56" s="339">
        <v>232974.03</v>
      </c>
      <c r="AW56" s="339">
        <v>215001.82</v>
      </c>
      <c r="AX56" s="339">
        <v>214190.37</v>
      </c>
      <c r="AY56" s="339">
        <v>212226.73</v>
      </c>
      <c r="AZ56" s="339">
        <v>220340.15</v>
      </c>
      <c r="BA56" s="339">
        <v>221568.51</v>
      </c>
      <c r="BB56" s="339">
        <v>225722.39</v>
      </c>
      <c r="BC56" s="339">
        <v>150943.45000000001</v>
      </c>
      <c r="BD56" s="339" t="s">
        <v>2932</v>
      </c>
      <c r="BE56" s="339" t="s">
        <v>2932</v>
      </c>
      <c r="BF56" s="339">
        <v>0</v>
      </c>
      <c r="BG56" s="339">
        <v>0</v>
      </c>
      <c r="BH56" s="339">
        <v>0</v>
      </c>
      <c r="BI56" s="339">
        <v>0</v>
      </c>
      <c r="BJ56" s="339">
        <v>0</v>
      </c>
      <c r="BK56" s="339">
        <v>0</v>
      </c>
      <c r="BL56" s="339">
        <v>0</v>
      </c>
      <c r="BM56" s="339">
        <v>0</v>
      </c>
      <c r="BN56" s="339">
        <v>0</v>
      </c>
      <c r="BO56" s="339">
        <v>0</v>
      </c>
      <c r="BP56" s="339">
        <v>0</v>
      </c>
      <c r="BQ56" s="339">
        <v>0</v>
      </c>
      <c r="BR56" s="339">
        <v>0</v>
      </c>
      <c r="BS56" s="110" t="e">
        <f t="array" aca="1" ref="BS56" ca="1">_xludf.XLOOKUP(D56,'PL TOTAL D0'!N:N,'PL TOTAL D0'!P:P,"")</f>
        <v>#NAME?</v>
      </c>
      <c r="BT56" s="110"/>
    </row>
    <row r="57" spans="1:72" ht="15.75" customHeight="1">
      <c r="A57" s="122" t="s">
        <v>3785</v>
      </c>
      <c r="B57" s="104" t="s">
        <v>3026</v>
      </c>
      <c r="C57" s="122" t="s">
        <v>3024</v>
      </c>
      <c r="D57" s="292">
        <v>4648767</v>
      </c>
      <c r="E57" s="293" t="s">
        <v>19</v>
      </c>
      <c r="F57" s="293" t="s">
        <v>20</v>
      </c>
      <c r="G57" s="293" t="s">
        <v>449</v>
      </c>
      <c r="H57" s="293" t="str">
        <f>IFERROR(VLOOKUP(G57,'Cadastro de assessores'!A:B,2,FALSE),"Não Cadastrado")</f>
        <v>18993</v>
      </c>
      <c r="I57" s="293"/>
      <c r="J57" s="24" t="s">
        <v>3788</v>
      </c>
      <c r="K57" s="293" t="s">
        <v>152</v>
      </c>
      <c r="L57" s="415">
        <v>44312</v>
      </c>
      <c r="M57" s="415">
        <v>44312</v>
      </c>
      <c r="N57" s="292"/>
      <c r="O57" s="292" t="s">
        <v>3789</v>
      </c>
      <c r="P57" s="388">
        <v>0.01</v>
      </c>
      <c r="Q57" s="420"/>
      <c r="R57" s="417"/>
      <c r="S57" s="292" t="str">
        <f t="shared" si="7"/>
        <v>Não Qualificado</v>
      </c>
      <c r="T57" s="292" t="s">
        <v>145</v>
      </c>
      <c r="U57" s="292" t="s">
        <v>3923</v>
      </c>
      <c r="V57" s="292" t="s">
        <v>20</v>
      </c>
      <c r="W57" s="418"/>
      <c r="X57" s="418"/>
      <c r="Y57" s="418"/>
      <c r="Z57" s="418"/>
      <c r="AA57" s="418"/>
      <c r="AB57" s="418"/>
      <c r="AC57" s="418"/>
      <c r="AD57" s="418"/>
      <c r="AE57" s="418"/>
      <c r="AF57" s="418"/>
      <c r="AG57" s="418"/>
      <c r="AH57" s="418"/>
      <c r="AI57" s="418"/>
      <c r="AJ57" s="418"/>
      <c r="AK57" s="339"/>
      <c r="AL57" s="339"/>
      <c r="AM57" s="339" t="s">
        <v>3147</v>
      </c>
      <c r="AN57" s="339" t="s">
        <v>3147</v>
      </c>
      <c r="AO57" s="339"/>
      <c r="AP57" s="339">
        <v>728041.67</v>
      </c>
      <c r="AQ57" s="339">
        <v>723817.15</v>
      </c>
      <c r="AR57" s="339">
        <v>744823.93</v>
      </c>
      <c r="AS57" s="339">
        <v>738369.48</v>
      </c>
      <c r="AT57" s="339">
        <v>717197.21</v>
      </c>
      <c r="AU57" s="339">
        <v>709298.71</v>
      </c>
      <c r="AV57" s="339">
        <v>783752.21</v>
      </c>
      <c r="AW57" s="339">
        <v>747191.59</v>
      </c>
      <c r="AX57" s="339">
        <v>745049.93</v>
      </c>
      <c r="AY57" s="339">
        <v>756811.43</v>
      </c>
      <c r="AZ57" s="339">
        <v>788215.37</v>
      </c>
      <c r="BA57" s="339">
        <v>795942.74</v>
      </c>
      <c r="BB57" s="339">
        <v>852409.27</v>
      </c>
      <c r="BC57" s="339">
        <v>304328.98</v>
      </c>
      <c r="BD57" s="339">
        <v>843046.76</v>
      </c>
      <c r="BE57" s="339">
        <v>826003.46</v>
      </c>
      <c r="BF57" s="339">
        <v>857967.68</v>
      </c>
      <c r="BG57" s="339">
        <v>853606.0773</v>
      </c>
      <c r="BH57" s="339">
        <v>955414.19</v>
      </c>
      <c r="BI57" s="339">
        <v>1007805.45</v>
      </c>
      <c r="BJ57" s="339">
        <v>1008981.65</v>
      </c>
      <c r="BK57" s="339">
        <v>1053013.1000000001</v>
      </c>
      <c r="BL57" s="339">
        <v>1064743.3899999999</v>
      </c>
      <c r="BM57" s="339">
        <v>987748.88</v>
      </c>
      <c r="BN57" s="339">
        <v>932134.39</v>
      </c>
      <c r="BO57" s="339">
        <v>65432.04</v>
      </c>
      <c r="BP57" s="339">
        <v>0</v>
      </c>
      <c r="BQ57" s="339">
        <v>0</v>
      </c>
      <c r="BR57" s="339">
        <v>0</v>
      </c>
      <c r="BS57" s="110" t="e">
        <f t="array" aca="1" ref="BS57" ca="1">_xludf.XLOOKUP(D57,'PL TOTAL D0'!N:N,'PL TOTAL D0'!P:P,"")</f>
        <v>#NAME?</v>
      </c>
      <c r="BT57" s="110"/>
    </row>
    <row r="58" spans="1:72" ht="15.75" customHeight="1">
      <c r="A58" s="122" t="s">
        <v>3785</v>
      </c>
      <c r="B58" s="104" t="s">
        <v>3987</v>
      </c>
      <c r="C58" s="390" t="s">
        <v>3988</v>
      </c>
      <c r="D58" s="293">
        <v>6889397</v>
      </c>
      <c r="E58" s="293" t="s">
        <v>19</v>
      </c>
      <c r="F58" s="293" t="s">
        <v>49</v>
      </c>
      <c r="G58" s="293" t="s">
        <v>328</v>
      </c>
      <c r="H58" s="293" t="str">
        <f>IFERROR(VLOOKUP(G58,'Cadastro de assessores'!A:B,2,FALSE),"Não Cadastrado")</f>
        <v>18009</v>
      </c>
      <c r="I58" s="293"/>
      <c r="J58" s="24" t="s">
        <v>3788</v>
      </c>
      <c r="K58" s="293" t="s">
        <v>152</v>
      </c>
      <c r="L58" s="416">
        <v>44519</v>
      </c>
      <c r="M58" s="416">
        <v>44522</v>
      </c>
      <c r="N58" s="299"/>
      <c r="O58" s="299" t="s">
        <v>3805</v>
      </c>
      <c r="P58" s="388">
        <v>1.2E-2</v>
      </c>
      <c r="Q58" s="311" t="s">
        <v>928</v>
      </c>
      <c r="R58" s="417"/>
      <c r="S58" s="292" t="str">
        <f t="shared" si="7"/>
        <v>Não Qualificado</v>
      </c>
      <c r="T58" s="292" t="s">
        <v>145</v>
      </c>
      <c r="U58" s="292" t="s">
        <v>3933</v>
      </c>
      <c r="V58" s="299" t="s">
        <v>20</v>
      </c>
      <c r="W58" s="350"/>
      <c r="X58" s="350"/>
      <c r="Y58" s="350"/>
      <c r="Z58" s="350"/>
      <c r="AA58" s="350"/>
      <c r="AB58" s="350"/>
      <c r="AC58" s="350"/>
      <c r="AD58" s="350"/>
      <c r="AE58" s="350"/>
      <c r="AF58" s="350"/>
      <c r="AG58" s="418"/>
      <c r="AH58" s="418"/>
      <c r="AI58" s="418"/>
      <c r="AJ58" s="339"/>
      <c r="AK58" s="339"/>
      <c r="AL58" s="339"/>
      <c r="AM58" s="339"/>
      <c r="AN58" s="339"/>
      <c r="AO58" s="339"/>
      <c r="AP58" s="339"/>
      <c r="AQ58" s="339"/>
      <c r="AR58" s="339"/>
      <c r="AS58" s="339"/>
      <c r="AT58" s="339"/>
      <c r="AU58" s="339"/>
      <c r="AV58" s="339"/>
      <c r="AW58" s="339"/>
      <c r="AX58" s="339"/>
      <c r="AY58" s="339">
        <v>2676023</v>
      </c>
      <c r="AZ58" s="339">
        <v>2720856.68</v>
      </c>
      <c r="BA58" s="339">
        <v>2742116.63</v>
      </c>
      <c r="BB58" s="339">
        <v>2816876.17</v>
      </c>
      <c r="BC58" s="339">
        <v>574756.05000000005</v>
      </c>
      <c r="BD58" s="339">
        <v>3185902.07</v>
      </c>
      <c r="BE58" s="339">
        <v>3182679.37</v>
      </c>
      <c r="BF58" s="339">
        <v>3213505.97</v>
      </c>
      <c r="BG58" s="339">
        <v>3237513.1719999998</v>
      </c>
      <c r="BH58" s="339">
        <v>3255834.34</v>
      </c>
      <c r="BI58" s="339">
        <v>65.459999999999994</v>
      </c>
      <c r="BJ58" s="339">
        <v>65.459999999999994</v>
      </c>
      <c r="BK58" s="339">
        <v>65.459999999999994</v>
      </c>
      <c r="BL58" s="339">
        <v>2646.65</v>
      </c>
      <c r="BM58" s="339">
        <v>2646.65</v>
      </c>
      <c r="BN58" s="339">
        <v>0</v>
      </c>
      <c r="BO58" s="339">
        <v>0</v>
      </c>
      <c r="BP58" s="339">
        <v>0</v>
      </c>
      <c r="BQ58" s="339">
        <v>0</v>
      </c>
      <c r="BR58" s="339">
        <v>0</v>
      </c>
      <c r="BS58" s="110" t="e">
        <f t="array" aca="1" ref="BS58" ca="1">_xludf.XLOOKUP(D58,'PL TOTAL D0'!N:N,'PL TOTAL D0'!P:P,"")</f>
        <v>#NAME?</v>
      </c>
      <c r="BT58" s="110"/>
    </row>
    <row r="59" spans="1:72" ht="15.75" customHeight="1">
      <c r="A59" s="122" t="s">
        <v>3785</v>
      </c>
      <c r="B59" s="104" t="s">
        <v>3989</v>
      </c>
      <c r="C59" s="122" t="s">
        <v>3990</v>
      </c>
      <c r="D59" s="292">
        <v>3774100</v>
      </c>
      <c r="E59" s="293" t="s">
        <v>2923</v>
      </c>
      <c r="F59" s="293" t="s">
        <v>20</v>
      </c>
      <c r="G59" s="293" t="s">
        <v>2923</v>
      </c>
      <c r="H59" s="293" t="str">
        <f>IFERROR(VLOOKUP(G59,'Cadastro de assessores'!A:B,2,FALSE),"Não Cadastrado")</f>
        <v>18986</v>
      </c>
      <c r="I59" s="293"/>
      <c r="J59" s="24" t="s">
        <v>3788</v>
      </c>
      <c r="K59" s="292" t="s">
        <v>161</v>
      </c>
      <c r="L59" s="415">
        <v>43818</v>
      </c>
      <c r="M59" s="415">
        <v>43847</v>
      </c>
      <c r="N59" s="292"/>
      <c r="O59" s="292" t="s">
        <v>3795</v>
      </c>
      <c r="P59" s="388">
        <v>1.4999999999999999E-2</v>
      </c>
      <c r="Q59" s="420"/>
      <c r="R59" s="417"/>
      <c r="S59" s="292" t="str">
        <f t="shared" si="7"/>
        <v/>
      </c>
      <c r="T59" s="292" t="s">
        <v>145</v>
      </c>
      <c r="U59" s="292" t="s">
        <v>3991</v>
      </c>
      <c r="V59" s="292" t="s">
        <v>20</v>
      </c>
      <c r="W59" s="418" t="s">
        <v>3798</v>
      </c>
      <c r="X59" s="418" t="s">
        <v>3798</v>
      </c>
      <c r="Y59" s="418" t="s">
        <v>3798</v>
      </c>
      <c r="Z59" s="418" t="s">
        <v>3992</v>
      </c>
      <c r="AA59" s="418" t="s">
        <v>3993</v>
      </c>
      <c r="AB59" s="418" t="s">
        <v>3994</v>
      </c>
      <c r="AC59" s="418" t="s">
        <v>3995</v>
      </c>
      <c r="AD59" s="418" t="s">
        <v>3996</v>
      </c>
      <c r="AE59" s="418" t="s">
        <v>3997</v>
      </c>
      <c r="AF59" s="418" t="s">
        <v>3998</v>
      </c>
      <c r="AG59" s="418" t="s">
        <v>3999</v>
      </c>
      <c r="AH59" s="418" t="s">
        <v>4000</v>
      </c>
      <c r="AI59" s="418" t="s">
        <v>4001</v>
      </c>
      <c r="AJ59" s="418" t="s">
        <v>4002</v>
      </c>
      <c r="AK59" s="339">
        <v>98570.53</v>
      </c>
      <c r="AL59" s="339">
        <v>56742.84</v>
      </c>
      <c r="AM59" s="339">
        <v>33961.75</v>
      </c>
      <c r="AN59" s="339">
        <v>33655.040000000001</v>
      </c>
      <c r="AO59" s="339">
        <v>243.51</v>
      </c>
      <c r="AP59" s="339">
        <v>243.36</v>
      </c>
      <c r="AQ59" s="339">
        <v>243.32</v>
      </c>
      <c r="AR59" s="339">
        <v>243.11</v>
      </c>
      <c r="AS59" s="339">
        <v>242.9</v>
      </c>
      <c r="AT59" s="339">
        <v>242.68</v>
      </c>
      <c r="AU59" s="339">
        <v>242.46</v>
      </c>
      <c r="AV59" s="339">
        <v>172.44</v>
      </c>
      <c r="AW59" s="339">
        <v>242.05</v>
      </c>
      <c r="AX59" s="339">
        <v>241.85</v>
      </c>
      <c r="AY59" s="339"/>
      <c r="AZ59" s="339"/>
      <c r="BA59" s="339">
        <v>0</v>
      </c>
      <c r="BB59" s="339">
        <v>0</v>
      </c>
      <c r="BC59" s="339">
        <v>0</v>
      </c>
      <c r="BD59" s="339" t="s">
        <v>2932</v>
      </c>
      <c r="BE59" s="339" t="s">
        <v>2932</v>
      </c>
      <c r="BF59" s="339">
        <v>0</v>
      </c>
      <c r="BG59" s="339">
        <v>0</v>
      </c>
      <c r="BH59" s="339">
        <v>0</v>
      </c>
      <c r="BI59" s="339">
        <v>0</v>
      </c>
      <c r="BJ59" s="339">
        <v>0</v>
      </c>
      <c r="BK59" s="339">
        <v>0</v>
      </c>
      <c r="BL59" s="339">
        <v>0</v>
      </c>
      <c r="BM59" s="339">
        <v>0</v>
      </c>
      <c r="BN59" s="339">
        <v>0</v>
      </c>
      <c r="BO59" s="339">
        <v>0</v>
      </c>
      <c r="BP59" s="339">
        <v>0</v>
      </c>
      <c r="BQ59" s="339">
        <v>0</v>
      </c>
      <c r="BR59" s="339">
        <v>0</v>
      </c>
      <c r="BS59" s="110" t="e">
        <f t="array" aca="1" ref="BS59" ca="1">_xludf.XLOOKUP(D59,'PL TOTAL D0'!N:N,'PL TOTAL D0'!P:P,"")</f>
        <v>#NAME?</v>
      </c>
      <c r="BT59" s="110"/>
    </row>
    <row r="60" spans="1:72" ht="15.75" customHeight="1">
      <c r="A60" s="122" t="s">
        <v>3785</v>
      </c>
      <c r="B60" s="104" t="s">
        <v>4003</v>
      </c>
      <c r="C60" s="390" t="s">
        <v>4004</v>
      </c>
      <c r="D60" s="299">
        <v>2588890</v>
      </c>
      <c r="E60" s="292" t="s">
        <v>2923</v>
      </c>
      <c r="F60" s="292" t="s">
        <v>20</v>
      </c>
      <c r="G60" s="292" t="s">
        <v>2923</v>
      </c>
      <c r="H60" s="292" t="str">
        <f>IFERROR(VLOOKUP(G60,'Cadastro de assessores'!A:B,2,FALSE),"Não Cadastrado")</f>
        <v>18986</v>
      </c>
      <c r="I60" s="292"/>
      <c r="J60" s="24" t="s">
        <v>143</v>
      </c>
      <c r="K60" s="292" t="s">
        <v>3794</v>
      </c>
      <c r="L60" s="387">
        <v>44390</v>
      </c>
      <c r="M60" s="387">
        <v>44390</v>
      </c>
      <c r="N60" s="419">
        <v>44524</v>
      </c>
      <c r="O60" s="292" t="s">
        <v>3795</v>
      </c>
      <c r="P60" s="388">
        <v>1.4999999999999999E-2</v>
      </c>
      <c r="Q60" s="420" t="s">
        <v>4005</v>
      </c>
      <c r="R60" s="417"/>
      <c r="S60" s="292" t="str">
        <f t="shared" si="7"/>
        <v>Não Qualificado</v>
      </c>
      <c r="T60" s="292" t="s">
        <v>145</v>
      </c>
      <c r="U60" s="299" t="s">
        <v>4006</v>
      </c>
      <c r="V60" s="299" t="s">
        <v>4007</v>
      </c>
      <c r="W60" s="350"/>
      <c r="X60" s="350"/>
      <c r="Y60" s="350"/>
      <c r="Z60" s="350"/>
      <c r="AA60" s="350"/>
      <c r="AB60" s="350"/>
      <c r="AC60" s="350"/>
      <c r="AD60" s="350"/>
      <c r="AE60" s="350"/>
      <c r="AF60" s="350"/>
      <c r="AG60" s="350"/>
      <c r="AH60" s="350"/>
      <c r="AI60" s="418"/>
      <c r="AJ60" s="339"/>
      <c r="AK60" s="339"/>
      <c r="AL60" s="339"/>
      <c r="AM60" s="339"/>
      <c r="AN60" s="339"/>
      <c r="AO60" s="339"/>
      <c r="AP60" s="339"/>
      <c r="AQ60" s="339"/>
      <c r="AR60" s="350"/>
      <c r="AS60" s="339">
        <v>106011.83</v>
      </c>
      <c r="AT60" s="339">
        <v>102334.76</v>
      </c>
      <c r="AU60" s="339">
        <v>101319.29</v>
      </c>
      <c r="AV60" s="339">
        <v>99354.17</v>
      </c>
      <c r="AW60" s="339">
        <v>97509.26</v>
      </c>
      <c r="AX60" s="339">
        <v>97806.26</v>
      </c>
      <c r="AY60" s="339"/>
      <c r="AZ60" s="339"/>
      <c r="BA60" s="339">
        <v>0</v>
      </c>
      <c r="BB60" s="339">
        <v>0</v>
      </c>
      <c r="BC60" s="339">
        <v>191013.63</v>
      </c>
      <c r="BD60" s="339" t="s">
        <v>2932</v>
      </c>
      <c r="BE60" s="339" t="s">
        <v>2932</v>
      </c>
      <c r="BF60" s="339">
        <v>0</v>
      </c>
      <c r="BG60" s="339">
        <v>0</v>
      </c>
      <c r="BH60" s="339">
        <v>0</v>
      </c>
      <c r="BI60" s="339">
        <v>0</v>
      </c>
      <c r="BJ60" s="339">
        <v>0</v>
      </c>
      <c r="BK60" s="339">
        <v>0</v>
      </c>
      <c r="BL60" s="339">
        <v>0</v>
      </c>
      <c r="BM60" s="339">
        <v>0</v>
      </c>
      <c r="BN60" s="339">
        <v>0</v>
      </c>
      <c r="BO60" s="339">
        <v>0</v>
      </c>
      <c r="BP60" s="339">
        <v>0</v>
      </c>
      <c r="BQ60" s="339">
        <v>0</v>
      </c>
      <c r="BR60" s="339">
        <v>0</v>
      </c>
      <c r="BS60" s="110" t="e">
        <f t="array" aca="1" ref="BS60" ca="1">_xludf.XLOOKUP(D60,'PL TOTAL D0'!N:N,'PL TOTAL D0'!P:P,"")</f>
        <v>#NAME?</v>
      </c>
      <c r="BT60" s="110"/>
    </row>
    <row r="61" spans="1:72" ht="15.75" customHeight="1">
      <c r="A61" s="122" t="s">
        <v>3785</v>
      </c>
      <c r="B61" s="104" t="s">
        <v>4008</v>
      </c>
      <c r="C61" s="390" t="s">
        <v>4009</v>
      </c>
      <c r="D61" s="299">
        <v>4742962</v>
      </c>
      <c r="E61" s="292" t="s">
        <v>19</v>
      </c>
      <c r="F61" s="292" t="s">
        <v>49</v>
      </c>
      <c r="G61" s="292" t="s">
        <v>328</v>
      </c>
      <c r="H61" s="292" t="str">
        <f>IFERROR(VLOOKUP(G61,'Cadastro de assessores'!A:B,2,FALSE),"Não Cadastrado")</f>
        <v>18009</v>
      </c>
      <c r="I61" s="292"/>
      <c r="J61" s="24" t="s">
        <v>143</v>
      </c>
      <c r="K61" s="292" t="s">
        <v>3794</v>
      </c>
      <c r="L61" s="387">
        <v>44204</v>
      </c>
      <c r="M61" s="387">
        <v>44204</v>
      </c>
      <c r="N61" s="387">
        <v>44657</v>
      </c>
      <c r="O61" s="292" t="s">
        <v>4010</v>
      </c>
      <c r="P61" s="388">
        <v>0.02</v>
      </c>
      <c r="Q61" s="420" t="s">
        <v>3986</v>
      </c>
      <c r="R61" s="417"/>
      <c r="S61" s="292" t="str">
        <f t="shared" si="7"/>
        <v>Não Qualificado</v>
      </c>
      <c r="T61" s="292" t="s">
        <v>145</v>
      </c>
      <c r="U61" s="292" t="s">
        <v>3846</v>
      </c>
      <c r="V61" s="292" t="s">
        <v>46</v>
      </c>
      <c r="W61" s="418"/>
      <c r="X61" s="418"/>
      <c r="Y61" s="418"/>
      <c r="Z61" s="418"/>
      <c r="AA61" s="418"/>
      <c r="AB61" s="418"/>
      <c r="AC61" s="418"/>
      <c r="AD61" s="418"/>
      <c r="AE61" s="418"/>
      <c r="AF61" s="418"/>
      <c r="AG61" s="418"/>
      <c r="AH61" s="418"/>
      <c r="AI61" s="418"/>
      <c r="AJ61" s="418"/>
      <c r="AK61" s="339"/>
      <c r="AL61" s="339">
        <v>434726.01</v>
      </c>
      <c r="AM61" s="339">
        <v>418475.72</v>
      </c>
      <c r="AN61" s="339">
        <v>417618.83</v>
      </c>
      <c r="AO61" s="339">
        <v>436143.66</v>
      </c>
      <c r="AP61" s="339">
        <v>439786.4</v>
      </c>
      <c r="AQ61" s="339">
        <v>437059.42</v>
      </c>
      <c r="AR61" s="339">
        <v>452443.61</v>
      </c>
      <c r="AS61" s="339">
        <v>446471.15</v>
      </c>
      <c r="AT61" s="339">
        <v>431450.69</v>
      </c>
      <c r="AU61" s="339">
        <v>425085.63</v>
      </c>
      <c r="AV61" s="339">
        <v>271862.24</v>
      </c>
      <c r="AW61" s="339">
        <v>251776.23</v>
      </c>
      <c r="AX61" s="339">
        <v>133073.57999999999</v>
      </c>
      <c r="AY61" s="339">
        <v>135555.20000000001</v>
      </c>
      <c r="AZ61" s="339">
        <v>1919.43</v>
      </c>
      <c r="BA61" s="339">
        <v>1927.67</v>
      </c>
      <c r="BB61" s="339">
        <v>1939.39</v>
      </c>
      <c r="BC61" s="339">
        <v>131733.32</v>
      </c>
      <c r="BD61" s="339" t="s">
        <v>2932</v>
      </c>
      <c r="BE61" s="339" t="s">
        <v>2932</v>
      </c>
      <c r="BF61" s="339">
        <v>0</v>
      </c>
      <c r="BG61" s="339">
        <v>0</v>
      </c>
      <c r="BH61" s="339">
        <v>0</v>
      </c>
      <c r="BI61" s="339">
        <v>0</v>
      </c>
      <c r="BJ61" s="339">
        <v>0</v>
      </c>
      <c r="BK61" s="339">
        <v>0</v>
      </c>
      <c r="BL61" s="339">
        <v>0</v>
      </c>
      <c r="BM61" s="339">
        <v>0</v>
      </c>
      <c r="BN61" s="339">
        <v>0</v>
      </c>
      <c r="BO61" s="339">
        <v>0</v>
      </c>
      <c r="BP61" s="339">
        <v>0</v>
      </c>
      <c r="BQ61" s="339">
        <v>0</v>
      </c>
      <c r="BR61" s="339">
        <v>0</v>
      </c>
      <c r="BS61" s="110" t="e">
        <f t="array" aca="1" ref="BS61" ca="1">_xludf.XLOOKUP(D61,'PL TOTAL D0'!N:N,'PL TOTAL D0'!P:P,"")</f>
        <v>#NAME?</v>
      </c>
      <c r="BT61" s="110"/>
    </row>
    <row r="62" spans="1:72" ht="15.75" customHeight="1">
      <c r="A62" s="122" t="s">
        <v>3785</v>
      </c>
      <c r="B62" s="104" t="s">
        <v>4008</v>
      </c>
      <c r="C62" s="390" t="s">
        <v>4009</v>
      </c>
      <c r="D62" s="299">
        <v>3556718</v>
      </c>
      <c r="E62" s="292" t="s">
        <v>19</v>
      </c>
      <c r="F62" s="292" t="s">
        <v>49</v>
      </c>
      <c r="G62" s="292" t="s">
        <v>328</v>
      </c>
      <c r="H62" s="292" t="str">
        <f>IFERROR(VLOOKUP(G62,'Cadastro de assessores'!A:B,2,FALSE),"Não Cadastrado")</f>
        <v>18009</v>
      </c>
      <c r="I62" s="292"/>
      <c r="J62" s="24" t="s">
        <v>143</v>
      </c>
      <c r="K62" s="292" t="s">
        <v>3794</v>
      </c>
      <c r="L62" s="387">
        <v>44426</v>
      </c>
      <c r="M62" s="387">
        <v>44426</v>
      </c>
      <c r="N62" s="387">
        <v>44657</v>
      </c>
      <c r="O62" s="292" t="s">
        <v>4011</v>
      </c>
      <c r="P62" s="388">
        <v>8.0000000000000002E-3</v>
      </c>
      <c r="Q62" s="420" t="s">
        <v>3986</v>
      </c>
      <c r="R62" s="417"/>
      <c r="S62" s="292" t="str">
        <f t="shared" si="7"/>
        <v>Não Qualificado</v>
      </c>
      <c r="T62" s="292" t="s">
        <v>145</v>
      </c>
      <c r="U62" s="292" t="s">
        <v>3846</v>
      </c>
      <c r="V62" s="292" t="s">
        <v>46</v>
      </c>
      <c r="W62" s="350"/>
      <c r="X62" s="350"/>
      <c r="Y62" s="350"/>
      <c r="Z62" s="350"/>
      <c r="AA62" s="350"/>
      <c r="AB62" s="350"/>
      <c r="AC62" s="350"/>
      <c r="AD62" s="350"/>
      <c r="AE62" s="350"/>
      <c r="AF62" s="350"/>
      <c r="AG62" s="350"/>
      <c r="AH62" s="418"/>
      <c r="AI62" s="418"/>
      <c r="AJ62" s="339"/>
      <c r="AK62" s="339"/>
      <c r="AL62" s="339"/>
      <c r="AM62" s="339"/>
      <c r="AN62" s="339"/>
      <c r="AO62" s="339"/>
      <c r="AP62" s="339"/>
      <c r="AQ62" s="339"/>
      <c r="AR62" s="339"/>
      <c r="AS62" s="431"/>
      <c r="AT62" s="340"/>
      <c r="AU62" s="340">
        <v>60288.99</v>
      </c>
      <c r="AV62" s="339">
        <v>2904051.38</v>
      </c>
      <c r="AW62" s="339">
        <v>2792162.39</v>
      </c>
      <c r="AX62" s="339">
        <v>2836438.21</v>
      </c>
      <c r="AY62" s="339">
        <v>2844691.05</v>
      </c>
      <c r="AZ62" s="339">
        <v>2864328.68</v>
      </c>
      <c r="BA62" s="339">
        <v>2882375.23</v>
      </c>
      <c r="BB62" s="339">
        <v>2961585.95</v>
      </c>
      <c r="BC62" s="339">
        <v>563979.42000000004</v>
      </c>
      <c r="BD62" s="339" t="s">
        <v>2932</v>
      </c>
      <c r="BE62" s="339" t="s">
        <v>2932</v>
      </c>
      <c r="BF62" s="339">
        <v>0</v>
      </c>
      <c r="BG62" s="339">
        <v>0</v>
      </c>
      <c r="BH62" s="339">
        <v>0</v>
      </c>
      <c r="BI62" s="339">
        <v>0</v>
      </c>
      <c r="BJ62" s="339">
        <v>0</v>
      </c>
      <c r="BK62" s="339">
        <v>0</v>
      </c>
      <c r="BL62" s="339">
        <v>0</v>
      </c>
      <c r="BM62" s="339">
        <v>0</v>
      </c>
      <c r="BN62" s="339">
        <v>0</v>
      </c>
      <c r="BO62" s="339">
        <v>0</v>
      </c>
      <c r="BP62" s="339">
        <v>0</v>
      </c>
      <c r="BQ62" s="339">
        <v>0</v>
      </c>
      <c r="BR62" s="339">
        <v>0</v>
      </c>
      <c r="BS62" s="110" t="e">
        <f t="array" aca="1" ref="BS62" ca="1">_xludf.XLOOKUP(D62,'PL TOTAL D0'!N:N,'PL TOTAL D0'!P:P,"")</f>
        <v>#NAME?</v>
      </c>
      <c r="BT62" s="110"/>
    </row>
    <row r="63" spans="1:72" ht="15.75" customHeight="1">
      <c r="A63" s="122" t="s">
        <v>3785</v>
      </c>
      <c r="B63" s="104" t="s">
        <v>563</v>
      </c>
      <c r="C63" s="86" t="s">
        <v>560</v>
      </c>
      <c r="D63" s="299">
        <v>43315</v>
      </c>
      <c r="E63" s="293" t="s">
        <v>19</v>
      </c>
      <c r="F63" s="293" t="s">
        <v>34</v>
      </c>
      <c r="G63" s="293" t="s">
        <v>262</v>
      </c>
      <c r="H63" s="426" t="str">
        <f>IFERROR(VLOOKUP(G63,'Cadastro de assessores'!A:B,2,FALSE),"Não Cadastrado")</f>
        <v>28411</v>
      </c>
      <c r="I63" s="426"/>
      <c r="J63" s="24" t="s">
        <v>3788</v>
      </c>
      <c r="K63" s="293" t="s">
        <v>152</v>
      </c>
      <c r="L63" s="415">
        <v>44564</v>
      </c>
      <c r="M63" s="415">
        <v>44586</v>
      </c>
      <c r="N63" s="299"/>
      <c r="O63" s="299" t="s">
        <v>3802</v>
      </c>
      <c r="P63" s="388">
        <v>1.2E-2</v>
      </c>
      <c r="Q63" s="420" t="s">
        <v>4012</v>
      </c>
      <c r="R63" s="417"/>
      <c r="S63" s="292" t="str">
        <f t="shared" si="7"/>
        <v/>
      </c>
      <c r="T63" s="292" t="s">
        <v>145</v>
      </c>
      <c r="U63" s="292" t="s">
        <v>4013</v>
      </c>
      <c r="V63" s="292" t="s">
        <v>39</v>
      </c>
      <c r="W63" s="350"/>
      <c r="X63" s="350"/>
      <c r="Y63" s="350"/>
      <c r="Z63" s="350"/>
      <c r="AA63" s="350"/>
      <c r="AB63" s="350"/>
      <c r="AC63" s="350"/>
      <c r="AD63" s="350"/>
      <c r="AE63" s="350"/>
      <c r="AF63" s="350"/>
      <c r="AG63" s="350"/>
      <c r="AH63" s="350"/>
      <c r="AI63" s="418"/>
      <c r="AJ63" s="339"/>
      <c r="AK63" s="339"/>
      <c r="AL63" s="339"/>
      <c r="AM63" s="339"/>
      <c r="AN63" s="339"/>
      <c r="AO63" s="339"/>
      <c r="AP63" s="339"/>
      <c r="AQ63" s="339"/>
      <c r="AR63" s="339"/>
      <c r="AS63" s="339"/>
      <c r="AT63" s="339"/>
      <c r="AU63" s="339"/>
      <c r="AV63" s="339"/>
      <c r="AW63" s="339"/>
      <c r="AX63" s="339"/>
      <c r="AY63" s="350"/>
      <c r="AZ63" s="418"/>
      <c r="BA63" s="418">
        <v>97879.360000000001</v>
      </c>
      <c r="BB63" s="418">
        <v>95156.47</v>
      </c>
      <c r="BC63" s="418">
        <v>0</v>
      </c>
      <c r="BD63" s="339">
        <v>156957.35</v>
      </c>
      <c r="BE63" s="339">
        <v>158562.10999999999</v>
      </c>
      <c r="BF63" s="339">
        <v>164970.10999999999</v>
      </c>
      <c r="BG63" s="339">
        <v>179209.57449999999</v>
      </c>
      <c r="BH63" s="339">
        <v>184698.41</v>
      </c>
      <c r="BI63" s="339">
        <v>193407.34</v>
      </c>
      <c r="BJ63" s="339">
        <v>192307.34</v>
      </c>
      <c r="BK63" s="339">
        <v>166842.57</v>
      </c>
      <c r="BL63" s="339">
        <v>169422.92</v>
      </c>
      <c r="BM63" s="339">
        <v>171895.57</v>
      </c>
      <c r="BN63" s="339">
        <v>174217.07</v>
      </c>
      <c r="BO63" s="339">
        <v>176873.06</v>
      </c>
      <c r="BP63" s="339">
        <v>111695.7</v>
      </c>
      <c r="BQ63" s="339">
        <v>41482.47</v>
      </c>
      <c r="BR63" s="339">
        <v>42068.97</v>
      </c>
      <c r="BS63" s="110" t="e">
        <f t="array" aca="1" ref="BS63" ca="1">_xludf.XLOOKUP(D63,'PL TOTAL D0'!N:N,'PL TOTAL D0'!P:P,"")</f>
        <v>#NAME?</v>
      </c>
      <c r="BT63" s="110"/>
    </row>
    <row r="64" spans="1:72" ht="15.75" customHeight="1">
      <c r="A64" s="122" t="s">
        <v>3785</v>
      </c>
      <c r="B64" s="104" t="s">
        <v>4014</v>
      </c>
      <c r="C64" s="390" t="s">
        <v>4015</v>
      </c>
      <c r="D64" s="299">
        <v>3500160</v>
      </c>
      <c r="E64" s="293" t="s">
        <v>64</v>
      </c>
      <c r="F64" s="293" t="s">
        <v>20</v>
      </c>
      <c r="G64" s="299" t="s">
        <v>3847</v>
      </c>
      <c r="H64" s="426" t="str">
        <f>IFERROR(VLOOKUP(G64,'Cadastro de assessores'!A:B,2,FALSE),"Não Cadastrado")</f>
        <v>12624</v>
      </c>
      <c r="I64" s="426"/>
      <c r="J64" s="24" t="s">
        <v>143</v>
      </c>
      <c r="K64" s="293" t="s">
        <v>152</v>
      </c>
      <c r="L64" s="423">
        <v>44679</v>
      </c>
      <c r="M64" s="423">
        <v>44680</v>
      </c>
      <c r="N64" s="299"/>
      <c r="O64" s="299" t="s">
        <v>4016</v>
      </c>
      <c r="P64" s="388">
        <v>0.01</v>
      </c>
      <c r="Q64" s="420"/>
      <c r="R64" s="417"/>
      <c r="S64" s="292" t="str">
        <f t="shared" si="7"/>
        <v>Não Qualificado</v>
      </c>
      <c r="T64" s="292" t="s">
        <v>145</v>
      </c>
      <c r="U64" s="292"/>
      <c r="V64" s="292" t="s">
        <v>20</v>
      </c>
      <c r="W64" s="418"/>
      <c r="X64" s="418"/>
      <c r="Y64" s="418"/>
      <c r="Z64" s="418"/>
      <c r="AA64" s="418"/>
      <c r="AB64" s="418"/>
      <c r="AC64" s="418"/>
      <c r="AD64" s="418"/>
      <c r="AE64" s="418"/>
      <c r="AF64" s="418"/>
      <c r="AG64" s="418"/>
      <c r="AH64" s="418"/>
      <c r="AI64" s="418"/>
      <c r="AJ64" s="418"/>
      <c r="AK64" s="339"/>
      <c r="AL64" s="339"/>
      <c r="AM64" s="339"/>
      <c r="AN64" s="339"/>
      <c r="AO64" s="339"/>
      <c r="AP64" s="339"/>
      <c r="AQ64" s="339"/>
      <c r="AR64" s="339"/>
      <c r="AS64" s="339"/>
      <c r="AT64" s="339"/>
      <c r="AU64" s="339"/>
      <c r="AV64" s="339"/>
      <c r="AW64" s="339"/>
      <c r="AX64" s="339"/>
      <c r="AY64" s="339"/>
      <c r="AZ64" s="339"/>
      <c r="BA64" s="339"/>
      <c r="BB64" s="339"/>
      <c r="BC64" s="339">
        <v>86712.35</v>
      </c>
      <c r="BD64" s="339">
        <v>551924.11</v>
      </c>
      <c r="BE64" s="339">
        <v>628893.41</v>
      </c>
      <c r="BF64" s="339">
        <v>644525.31000000006</v>
      </c>
      <c r="BG64" s="339">
        <v>646468.58829999994</v>
      </c>
      <c r="BH64" s="339">
        <v>558183.68999999994</v>
      </c>
      <c r="BI64" s="339">
        <v>564792.80000000005</v>
      </c>
      <c r="BJ64" s="339">
        <v>566420.29</v>
      </c>
      <c r="BK64" s="339">
        <v>571031.62</v>
      </c>
      <c r="BL64" s="339">
        <v>577206.07999999996</v>
      </c>
      <c r="BM64" s="339">
        <v>611318.23</v>
      </c>
      <c r="BN64" s="339">
        <v>617870.66</v>
      </c>
      <c r="BO64" s="339">
        <v>642670.84</v>
      </c>
      <c r="BP64" s="339">
        <v>668939.11</v>
      </c>
      <c r="BQ64" s="339">
        <v>693787.01</v>
      </c>
      <c r="BR64" s="339">
        <v>700310.25</v>
      </c>
      <c r="BS64" s="110" t="e">
        <f t="array" aca="1" ref="BS64" ca="1">_xludf.XLOOKUP(D64,'PL TOTAL D0'!N:N,'PL TOTAL D0'!P:P,"")</f>
        <v>#NAME?</v>
      </c>
      <c r="BT64" s="110"/>
    </row>
    <row r="65" spans="1:72" ht="15.75" customHeight="1">
      <c r="A65" s="122" t="s">
        <v>3785</v>
      </c>
      <c r="B65" s="104" t="s">
        <v>4017</v>
      </c>
      <c r="C65" s="390" t="s">
        <v>4018</v>
      </c>
      <c r="D65" s="299">
        <v>4452023</v>
      </c>
      <c r="E65" s="293" t="s">
        <v>19</v>
      </c>
      <c r="F65" s="293" t="s">
        <v>20</v>
      </c>
      <c r="G65" s="293" t="s">
        <v>3159</v>
      </c>
      <c r="H65" s="293" t="str">
        <f>IFERROR(VLOOKUP(G65,'Cadastro de assessores'!A:B,2,FALSE),"Não Cadastrado")</f>
        <v>13444</v>
      </c>
      <c r="I65" s="293"/>
      <c r="J65" s="24" t="s">
        <v>152</v>
      </c>
      <c r="K65" s="293" t="s">
        <v>152</v>
      </c>
      <c r="L65" s="415">
        <v>44372</v>
      </c>
      <c r="M65" s="415">
        <v>44372</v>
      </c>
      <c r="N65" s="299"/>
      <c r="O65" s="299" t="s">
        <v>4019</v>
      </c>
      <c r="P65" s="388">
        <v>0.02</v>
      </c>
      <c r="Q65" s="420"/>
      <c r="R65" s="417"/>
      <c r="S65" s="292" t="str">
        <f t="shared" si="7"/>
        <v/>
      </c>
      <c r="T65" s="299" t="s">
        <v>145</v>
      </c>
      <c r="U65" s="292" t="s">
        <v>4020</v>
      </c>
      <c r="V65" s="292" t="s">
        <v>60</v>
      </c>
      <c r="W65" s="418"/>
      <c r="X65" s="418"/>
      <c r="Y65" s="418"/>
      <c r="Z65" s="418"/>
      <c r="AA65" s="418"/>
      <c r="AB65" s="418"/>
      <c r="AC65" s="418"/>
      <c r="AD65" s="418"/>
      <c r="AE65" s="418"/>
      <c r="AF65" s="418"/>
      <c r="AG65" s="418"/>
      <c r="AH65" s="418"/>
      <c r="AI65" s="418"/>
      <c r="AJ65" s="418"/>
      <c r="AK65" s="339"/>
      <c r="AL65" s="339"/>
      <c r="AM65" s="339"/>
      <c r="AN65" s="339"/>
      <c r="AO65" s="339"/>
      <c r="AP65" s="339"/>
      <c r="AQ65" s="339"/>
      <c r="AR65" s="339"/>
      <c r="AS65" s="339">
        <v>182806.02</v>
      </c>
      <c r="AT65" s="339">
        <v>171154.36</v>
      </c>
      <c r="AU65" s="339">
        <v>168038.39999999999</v>
      </c>
      <c r="AV65" s="339">
        <v>154956.32</v>
      </c>
      <c r="AW65" s="339">
        <v>140763.67000000001</v>
      </c>
      <c r="AX65" s="339">
        <v>128937.92</v>
      </c>
      <c r="AY65" s="339">
        <v>133320.07</v>
      </c>
      <c r="AZ65" s="339">
        <v>138203.26</v>
      </c>
      <c r="BA65" s="339">
        <v>142152.07</v>
      </c>
      <c r="BB65" s="339">
        <v>148950.82999999999</v>
      </c>
      <c r="BC65" s="339">
        <v>0</v>
      </c>
      <c r="BD65" s="339">
        <v>141575.04000000001</v>
      </c>
      <c r="BE65" s="339">
        <v>118174.81</v>
      </c>
      <c r="BF65" s="339">
        <v>127177.60000000001</v>
      </c>
      <c r="BG65" s="339">
        <v>134964.46</v>
      </c>
      <c r="BH65" s="339">
        <v>129897</v>
      </c>
      <c r="BI65" s="339">
        <v>144781.6</v>
      </c>
      <c r="BJ65" s="339">
        <v>135596.28</v>
      </c>
      <c r="BK65" s="339">
        <v>132348.95000000001</v>
      </c>
      <c r="BL65" s="339">
        <v>136152.09</v>
      </c>
      <c r="BM65" s="339">
        <v>125062.28</v>
      </c>
      <c r="BN65" s="339">
        <v>118241.11</v>
      </c>
      <c r="BO65" s="339">
        <v>116369.28</v>
      </c>
      <c r="BP65" s="339">
        <v>130009.61</v>
      </c>
      <c r="BQ65" s="339">
        <v>138819.23000000001</v>
      </c>
      <c r="BR65" s="339">
        <v>144286.31</v>
      </c>
      <c r="BS65" s="110" t="e">
        <f t="array" aca="1" ref="BS65" ca="1">_xludf.XLOOKUP(D65,'PL TOTAL D0'!N:N,'PL TOTAL D0'!P:P,"")</f>
        <v>#NAME?</v>
      </c>
      <c r="BT65" s="110"/>
    </row>
    <row r="66" spans="1:72" ht="15.75" customHeight="1">
      <c r="A66" s="122" t="s">
        <v>3785</v>
      </c>
      <c r="B66" s="104" t="s">
        <v>4021</v>
      </c>
      <c r="C66" s="122" t="s">
        <v>4022</v>
      </c>
      <c r="D66" s="292">
        <v>4765516</v>
      </c>
      <c r="E66" s="292" t="s">
        <v>64</v>
      </c>
      <c r="F66" s="292" t="s">
        <v>20</v>
      </c>
      <c r="G66" s="292" t="s">
        <v>3634</v>
      </c>
      <c r="H66" s="292" t="str">
        <f>IFERROR(VLOOKUP(G66,'Cadastro de assessores'!A:B,2,FALSE),"Não Cadastrado")</f>
        <v>14574</v>
      </c>
      <c r="I66" s="292"/>
      <c r="J66" s="24" t="s">
        <v>143</v>
      </c>
      <c r="K66" s="292" t="s">
        <v>3794</v>
      </c>
      <c r="L66" s="387">
        <v>44228</v>
      </c>
      <c r="M66" s="387">
        <v>44228</v>
      </c>
      <c r="N66" s="387">
        <v>44418</v>
      </c>
      <c r="O66" s="292" t="s">
        <v>3789</v>
      </c>
      <c r="P66" s="388">
        <v>0.02</v>
      </c>
      <c r="Q66" s="420" t="s">
        <v>4023</v>
      </c>
      <c r="R66" s="417"/>
      <c r="S66" s="292" t="str">
        <f t="shared" si="7"/>
        <v>Não Qualificado</v>
      </c>
      <c r="T66" s="292" t="s">
        <v>145</v>
      </c>
      <c r="U66" s="292" t="s">
        <v>3811</v>
      </c>
      <c r="V66" s="292" t="s">
        <v>20</v>
      </c>
      <c r="W66" s="418"/>
      <c r="X66" s="418"/>
      <c r="Y66" s="418"/>
      <c r="Z66" s="418"/>
      <c r="AA66" s="418"/>
      <c r="AB66" s="418"/>
      <c r="AC66" s="418"/>
      <c r="AD66" s="418"/>
      <c r="AE66" s="418"/>
      <c r="AF66" s="418"/>
      <c r="AG66" s="418"/>
      <c r="AH66" s="418"/>
      <c r="AI66" s="418"/>
      <c r="AJ66" s="418"/>
      <c r="AK66" s="339"/>
      <c r="AL66" s="339"/>
      <c r="AM66" s="339">
        <v>98127.3</v>
      </c>
      <c r="AN66" s="339">
        <v>98424.99</v>
      </c>
      <c r="AO66" s="339">
        <v>102944.08</v>
      </c>
      <c r="AP66" s="339">
        <v>103795.79</v>
      </c>
      <c r="AQ66" s="339">
        <v>103154.55</v>
      </c>
      <c r="AR66" s="339">
        <v>868.66</v>
      </c>
      <c r="AS66" s="339">
        <v>531.53</v>
      </c>
      <c r="AT66" s="339">
        <v>434.96</v>
      </c>
      <c r="AU66" s="339"/>
      <c r="AV66" s="339"/>
      <c r="AW66" s="339"/>
      <c r="AX66" s="339"/>
      <c r="AY66" s="339"/>
      <c r="AZ66" s="339"/>
      <c r="BA66" s="339">
        <v>0</v>
      </c>
      <c r="BB66" s="339">
        <v>0</v>
      </c>
      <c r="BC66" s="339">
        <v>134083.35</v>
      </c>
      <c r="BD66" s="339" t="s">
        <v>2932</v>
      </c>
      <c r="BE66" s="339" t="s">
        <v>2932</v>
      </c>
      <c r="BF66" s="339">
        <v>0</v>
      </c>
      <c r="BG66" s="339">
        <v>0</v>
      </c>
      <c r="BH66" s="339">
        <v>0</v>
      </c>
      <c r="BI66" s="339">
        <v>0</v>
      </c>
      <c r="BJ66" s="339">
        <v>0</v>
      </c>
      <c r="BK66" s="339">
        <v>0</v>
      </c>
      <c r="BL66" s="339">
        <v>0</v>
      </c>
      <c r="BM66" s="339">
        <v>0</v>
      </c>
      <c r="BN66" s="339">
        <v>0</v>
      </c>
      <c r="BO66" s="339">
        <v>0</v>
      </c>
      <c r="BP66" s="339">
        <v>0</v>
      </c>
      <c r="BQ66" s="339">
        <v>0</v>
      </c>
      <c r="BR66" s="339">
        <v>0</v>
      </c>
      <c r="BS66" s="110" t="e">
        <f t="array" aca="1" ref="BS66" ca="1">_xludf.XLOOKUP(D66,'PL TOTAL D0'!N:N,'PL TOTAL D0'!P:P,"")</f>
        <v>#NAME?</v>
      </c>
      <c r="BT66" s="110"/>
    </row>
    <row r="67" spans="1:72" ht="15.75" customHeight="1">
      <c r="A67" s="122" t="s">
        <v>3785</v>
      </c>
      <c r="B67" s="104" t="s">
        <v>4024</v>
      </c>
      <c r="C67" s="390" t="s">
        <v>4025</v>
      </c>
      <c r="D67" s="432">
        <v>7119368</v>
      </c>
      <c r="E67" s="292" t="s">
        <v>19</v>
      </c>
      <c r="F67" s="292" t="s">
        <v>49</v>
      </c>
      <c r="G67" s="299" t="s">
        <v>166</v>
      </c>
      <c r="H67" s="292" t="str">
        <f>IFERROR(VLOOKUP(G67,'Cadastro de assessores'!A:B,2,FALSE),"Não Cadastrado")</f>
        <v>18890</v>
      </c>
      <c r="I67" s="292"/>
      <c r="J67" s="24" t="s">
        <v>143</v>
      </c>
      <c r="K67" s="292" t="s">
        <v>3794</v>
      </c>
      <c r="L67" s="419">
        <v>44523</v>
      </c>
      <c r="M67" s="419">
        <v>44523</v>
      </c>
      <c r="N67" s="391">
        <v>44700</v>
      </c>
      <c r="O67" s="299" t="s">
        <v>3802</v>
      </c>
      <c r="P67" s="388">
        <v>7.0000000000000001E-3</v>
      </c>
      <c r="Q67" s="167" t="s">
        <v>3970</v>
      </c>
      <c r="R67" s="417"/>
      <c r="S67" s="292" t="str">
        <f t="shared" si="7"/>
        <v>Não Qualificado</v>
      </c>
      <c r="T67" s="292" t="s">
        <v>145</v>
      </c>
      <c r="U67" s="292" t="s">
        <v>3967</v>
      </c>
      <c r="V67" s="292" t="s">
        <v>49</v>
      </c>
      <c r="W67" s="418"/>
      <c r="X67" s="418"/>
      <c r="Y67" s="418"/>
      <c r="Z67" s="418"/>
      <c r="AA67" s="418"/>
      <c r="AB67" s="418"/>
      <c r="AC67" s="418"/>
      <c r="AD67" s="418"/>
      <c r="AE67" s="418"/>
      <c r="AF67" s="418"/>
      <c r="AG67" s="418"/>
      <c r="AH67" s="418"/>
      <c r="AI67" s="418"/>
      <c r="AJ67" s="339"/>
      <c r="AK67" s="339"/>
      <c r="AL67" s="339"/>
      <c r="AM67" s="339"/>
      <c r="AN67" s="339"/>
      <c r="AO67" s="339"/>
      <c r="AP67" s="339"/>
      <c r="AQ67" s="339"/>
      <c r="AR67" s="339"/>
      <c r="AS67" s="339"/>
      <c r="AT67" s="339"/>
      <c r="AU67" s="339"/>
      <c r="AV67" s="339"/>
      <c r="AW67" s="418"/>
      <c r="AX67" s="339"/>
      <c r="AY67" s="339">
        <v>119386.22</v>
      </c>
      <c r="AZ67" s="339">
        <v>121994.07</v>
      </c>
      <c r="BA67" s="339">
        <v>122849.52</v>
      </c>
      <c r="BB67" s="339">
        <v>0</v>
      </c>
      <c r="BC67" s="339">
        <v>46556.07</v>
      </c>
      <c r="BD67" s="339" t="s">
        <v>2932</v>
      </c>
      <c r="BE67" s="339" t="s">
        <v>2932</v>
      </c>
      <c r="BF67" s="339">
        <v>0</v>
      </c>
      <c r="BG67" s="339">
        <v>0</v>
      </c>
      <c r="BH67" s="339">
        <v>0</v>
      </c>
      <c r="BI67" s="339">
        <v>0</v>
      </c>
      <c r="BJ67" s="339">
        <v>0</v>
      </c>
      <c r="BK67" s="339">
        <v>0</v>
      </c>
      <c r="BL67" s="339">
        <v>0</v>
      </c>
      <c r="BM67" s="339">
        <v>0</v>
      </c>
      <c r="BN67" s="339">
        <v>0</v>
      </c>
      <c r="BO67" s="339">
        <v>0</v>
      </c>
      <c r="BP67" s="339">
        <v>0</v>
      </c>
      <c r="BQ67" s="339">
        <v>0</v>
      </c>
      <c r="BR67" s="339">
        <v>0</v>
      </c>
      <c r="BS67" s="110" t="e">
        <f t="array" aca="1" ref="BS67" ca="1">_xludf.XLOOKUP(D67,'PL TOTAL D0'!N:N,'PL TOTAL D0'!P:P,"")</f>
        <v>#NAME?</v>
      </c>
      <c r="BT67" s="110"/>
    </row>
    <row r="68" spans="1:72" ht="15.75" customHeight="1">
      <c r="A68" s="122" t="s">
        <v>3785</v>
      </c>
      <c r="B68" s="104" t="s">
        <v>4024</v>
      </c>
      <c r="C68" s="390" t="s">
        <v>4025</v>
      </c>
      <c r="D68" s="299">
        <v>7207902</v>
      </c>
      <c r="E68" s="292" t="s">
        <v>19</v>
      </c>
      <c r="F68" s="292" t="s">
        <v>49</v>
      </c>
      <c r="G68" s="299" t="s">
        <v>166</v>
      </c>
      <c r="H68" s="292" t="str">
        <f>IFERROR(VLOOKUP(G68,'Cadastro de assessores'!A:B,2,FALSE),"Não Cadastrado")</f>
        <v>18890</v>
      </c>
      <c r="I68" s="292"/>
      <c r="J68" s="24" t="s">
        <v>143</v>
      </c>
      <c r="K68" s="292" t="s">
        <v>3794</v>
      </c>
      <c r="L68" s="419">
        <v>44523</v>
      </c>
      <c r="M68" s="419">
        <v>44523</v>
      </c>
      <c r="N68" s="391">
        <v>44700</v>
      </c>
      <c r="O68" s="299" t="s">
        <v>3802</v>
      </c>
      <c r="P68" s="388">
        <v>7.0000000000000001E-3</v>
      </c>
      <c r="Q68" s="167" t="s">
        <v>3970</v>
      </c>
      <c r="R68" s="417"/>
      <c r="S68" s="292" t="str">
        <f t="shared" si="7"/>
        <v>Não Qualificado</v>
      </c>
      <c r="T68" s="292" t="s">
        <v>145</v>
      </c>
      <c r="U68" s="292" t="s">
        <v>3967</v>
      </c>
      <c r="V68" s="292" t="s">
        <v>49</v>
      </c>
      <c r="W68" s="418"/>
      <c r="X68" s="418"/>
      <c r="Y68" s="418"/>
      <c r="Z68" s="418"/>
      <c r="AA68" s="418"/>
      <c r="AB68" s="418"/>
      <c r="AC68" s="418"/>
      <c r="AD68" s="418"/>
      <c r="AE68" s="418"/>
      <c r="AF68" s="418"/>
      <c r="AG68" s="418"/>
      <c r="AH68" s="418"/>
      <c r="AI68" s="418"/>
      <c r="AJ68" s="339"/>
      <c r="AK68" s="339"/>
      <c r="AL68" s="339"/>
      <c r="AM68" s="339"/>
      <c r="AN68" s="339"/>
      <c r="AO68" s="339"/>
      <c r="AP68" s="339"/>
      <c r="AQ68" s="339"/>
      <c r="AR68" s="339"/>
      <c r="AS68" s="339"/>
      <c r="AT68" s="339"/>
      <c r="AU68" s="339"/>
      <c r="AV68" s="339"/>
      <c r="AW68" s="418"/>
      <c r="AX68" s="339"/>
      <c r="AY68" s="339">
        <v>74609.09</v>
      </c>
      <c r="AZ68" s="339">
        <v>77633.97</v>
      </c>
      <c r="BA68" s="339">
        <v>78152.13</v>
      </c>
      <c r="BB68" s="339">
        <v>272.27</v>
      </c>
      <c r="BC68" s="339">
        <v>172455.66</v>
      </c>
      <c r="BD68" s="339" t="s">
        <v>2932</v>
      </c>
      <c r="BE68" s="339" t="s">
        <v>2932</v>
      </c>
      <c r="BF68" s="339">
        <v>0</v>
      </c>
      <c r="BG68" s="339">
        <v>0</v>
      </c>
      <c r="BH68" s="339">
        <v>0</v>
      </c>
      <c r="BI68" s="339">
        <v>0</v>
      </c>
      <c r="BJ68" s="339">
        <v>0</v>
      </c>
      <c r="BK68" s="339">
        <v>0</v>
      </c>
      <c r="BL68" s="339">
        <v>0</v>
      </c>
      <c r="BM68" s="339">
        <v>0</v>
      </c>
      <c r="BN68" s="339">
        <v>0</v>
      </c>
      <c r="BO68" s="339">
        <v>0</v>
      </c>
      <c r="BP68" s="339">
        <v>0</v>
      </c>
      <c r="BQ68" s="339">
        <v>0</v>
      </c>
      <c r="BR68" s="339">
        <v>0</v>
      </c>
      <c r="BS68" s="110" t="e">
        <f t="array" aca="1" ref="BS68" ca="1">_xludf.XLOOKUP(D68,'PL TOTAL D0'!N:N,'PL TOTAL D0'!P:P,"")</f>
        <v>#NAME?</v>
      </c>
      <c r="BT68" s="110"/>
    </row>
    <row r="69" spans="1:72" ht="15.75" customHeight="1">
      <c r="A69" s="122" t="s">
        <v>3785</v>
      </c>
      <c r="B69" s="104" t="s">
        <v>578</v>
      </c>
      <c r="C69" s="433" t="s">
        <v>4026</v>
      </c>
      <c r="D69" s="434">
        <v>3286506</v>
      </c>
      <c r="E69" s="292" t="s">
        <v>19</v>
      </c>
      <c r="F69" s="292" t="s">
        <v>20</v>
      </c>
      <c r="G69" s="292" t="s">
        <v>372</v>
      </c>
      <c r="H69" s="292"/>
      <c r="I69" s="292"/>
      <c r="J69" s="24" t="s">
        <v>3788</v>
      </c>
      <c r="K69" s="292"/>
      <c r="L69" s="419"/>
      <c r="M69" s="419">
        <v>44932</v>
      </c>
      <c r="N69" s="387"/>
      <c r="O69" s="292" t="s">
        <v>3795</v>
      </c>
      <c r="P69" s="388">
        <v>0.01</v>
      </c>
      <c r="Q69" s="435" t="s">
        <v>4027</v>
      </c>
      <c r="R69" s="417"/>
      <c r="S69" s="292"/>
      <c r="T69" s="292"/>
      <c r="U69" s="292"/>
      <c r="V69" s="292" t="s">
        <v>20</v>
      </c>
      <c r="W69" s="418"/>
      <c r="X69" s="418"/>
      <c r="Y69" s="418"/>
      <c r="Z69" s="418"/>
      <c r="AA69" s="418"/>
      <c r="AB69" s="418"/>
      <c r="AC69" s="418"/>
      <c r="AD69" s="418"/>
      <c r="AE69" s="418"/>
      <c r="AF69" s="418"/>
      <c r="AG69" s="418"/>
      <c r="AH69" s="418"/>
      <c r="AI69" s="418"/>
      <c r="AJ69" s="418"/>
      <c r="AK69" s="339"/>
      <c r="AL69" s="339"/>
      <c r="AM69" s="339"/>
      <c r="AN69" s="339"/>
      <c r="AO69" s="339"/>
      <c r="AP69" s="339"/>
      <c r="AQ69" s="339"/>
      <c r="AR69" s="339"/>
      <c r="AS69" s="339"/>
      <c r="AT69" s="339"/>
      <c r="AU69" s="339"/>
      <c r="AV69" s="339"/>
      <c r="AW69" s="339"/>
      <c r="AX69" s="339"/>
      <c r="AY69" s="339"/>
      <c r="AZ69" s="339"/>
      <c r="BA69" s="339"/>
      <c r="BB69" s="339"/>
      <c r="BC69" s="339"/>
      <c r="BD69" s="339"/>
      <c r="BE69" s="339"/>
      <c r="BF69" s="339"/>
      <c r="BG69" s="339"/>
      <c r="BH69" s="339"/>
      <c r="BI69" s="339"/>
      <c r="BJ69" s="339">
        <v>0</v>
      </c>
      <c r="BK69" s="339">
        <v>106829.09</v>
      </c>
      <c r="BL69" s="339">
        <v>101264.3</v>
      </c>
      <c r="BM69" s="339">
        <v>83344.02</v>
      </c>
      <c r="BN69" s="339">
        <v>3594.64</v>
      </c>
      <c r="BO69" s="339">
        <v>3625.08</v>
      </c>
      <c r="BP69" s="339">
        <v>0</v>
      </c>
      <c r="BQ69" s="339">
        <v>0</v>
      </c>
      <c r="BR69" s="339">
        <v>0</v>
      </c>
      <c r="BS69" s="110" t="e">
        <f t="array" aca="1" ref="BS69" ca="1">_xludf.XLOOKUP(D69,'PL TOTAL D0'!N:N,'PL TOTAL D0'!P:P,"")</f>
        <v>#NAME?</v>
      </c>
      <c r="BT69" s="110"/>
    </row>
    <row r="70" spans="1:72" ht="15.75" customHeight="1">
      <c r="A70" s="122" t="s">
        <v>3785</v>
      </c>
      <c r="B70" s="104" t="s">
        <v>581</v>
      </c>
      <c r="C70" s="122" t="s">
        <v>4028</v>
      </c>
      <c r="D70" s="104">
        <v>3360893</v>
      </c>
      <c r="E70" s="293" t="s">
        <v>19</v>
      </c>
      <c r="F70" s="293" t="s">
        <v>49</v>
      </c>
      <c r="G70" s="293" t="s">
        <v>50</v>
      </c>
      <c r="H70" s="293">
        <f>IFERROR(VLOOKUP(G70,'Cadastro de assessores'!A:B,2,FALSE),"Não Cadastrado")</f>
        <v>12331</v>
      </c>
      <c r="I70" s="293"/>
      <c r="J70" s="24" t="s">
        <v>3788</v>
      </c>
      <c r="K70" s="293" t="s">
        <v>152</v>
      </c>
      <c r="L70" s="415">
        <v>44733</v>
      </c>
      <c r="M70" s="415">
        <v>44759</v>
      </c>
      <c r="N70" s="292"/>
      <c r="O70" s="292" t="s">
        <v>3802</v>
      </c>
      <c r="P70" s="388">
        <v>7.0000000000000001E-3</v>
      </c>
      <c r="Q70" s="420"/>
      <c r="R70" s="417"/>
      <c r="S70" s="292"/>
      <c r="T70" s="292" t="s">
        <v>145</v>
      </c>
      <c r="U70" s="292" t="s">
        <v>3841</v>
      </c>
      <c r="V70" s="292" t="s">
        <v>49</v>
      </c>
      <c r="W70" s="418"/>
      <c r="X70" s="418"/>
      <c r="Y70" s="418"/>
      <c r="Z70" s="418"/>
      <c r="AA70" s="418"/>
      <c r="AB70" s="418"/>
      <c r="AC70" s="418"/>
      <c r="AD70" s="418"/>
      <c r="AE70" s="418"/>
      <c r="AF70" s="418"/>
      <c r="AG70" s="418"/>
      <c r="AH70" s="418"/>
      <c r="AI70" s="418"/>
      <c r="AJ70" s="418"/>
      <c r="AK70" s="339"/>
      <c r="AL70" s="339"/>
      <c r="AM70" s="339"/>
      <c r="AN70" s="339"/>
      <c r="AO70" s="339"/>
      <c r="AP70" s="339"/>
      <c r="AQ70" s="339"/>
      <c r="AR70" s="339"/>
      <c r="AS70" s="339"/>
      <c r="AT70" s="339"/>
      <c r="AU70" s="339"/>
      <c r="AV70" s="339"/>
      <c r="AW70" s="339"/>
      <c r="AX70" s="339"/>
      <c r="AY70" s="339"/>
      <c r="AZ70" s="339"/>
      <c r="BA70" s="339"/>
      <c r="BB70" s="339"/>
      <c r="BC70" s="339"/>
      <c r="BD70" s="339"/>
      <c r="BE70" s="339"/>
      <c r="BF70" s="339">
        <v>69567.89</v>
      </c>
      <c r="BG70" s="339">
        <v>76389.156090000004</v>
      </c>
      <c r="BH70" s="339">
        <v>80467.679999999993</v>
      </c>
      <c r="BI70" s="339">
        <v>87107.35</v>
      </c>
      <c r="BJ70" s="339">
        <v>87722.75</v>
      </c>
      <c r="BK70" s="339">
        <v>82402.94</v>
      </c>
      <c r="BL70" s="339">
        <v>83051.86</v>
      </c>
      <c r="BM70" s="339">
        <v>83632.160000000003</v>
      </c>
      <c r="BN70" s="339">
        <v>84591.28</v>
      </c>
      <c r="BO70" s="339">
        <v>85447.09</v>
      </c>
      <c r="BP70" s="339">
        <v>86535.32</v>
      </c>
      <c r="BQ70" s="339">
        <v>0</v>
      </c>
      <c r="BR70" s="339">
        <v>0</v>
      </c>
      <c r="BS70" s="110" t="e">
        <f t="array" aca="1" ref="BS70" ca="1">_xludf.XLOOKUP(D70,'PL TOTAL D0'!N:N,'PL TOTAL D0'!P:P,"")</f>
        <v>#NAME?</v>
      </c>
      <c r="BT70" s="110"/>
    </row>
    <row r="71" spans="1:72" ht="15.75" customHeight="1">
      <c r="A71" s="122" t="s">
        <v>3785</v>
      </c>
      <c r="B71" s="104" t="s">
        <v>4029</v>
      </c>
      <c r="C71" s="122" t="s">
        <v>4030</v>
      </c>
      <c r="D71" s="306">
        <v>4618682</v>
      </c>
      <c r="E71" s="292" t="s">
        <v>64</v>
      </c>
      <c r="F71" s="292" t="s">
        <v>20</v>
      </c>
      <c r="G71" s="292" t="s">
        <v>3634</v>
      </c>
      <c r="H71" s="292" t="str">
        <f>IFERROR(VLOOKUP(G71,'Cadastro de assessores'!A:B,2,FALSE),"Não Cadastrado")</f>
        <v>14574</v>
      </c>
      <c r="I71" s="292"/>
      <c r="J71" s="24" t="s">
        <v>143</v>
      </c>
      <c r="K71" s="292" t="s">
        <v>3794</v>
      </c>
      <c r="L71" s="419">
        <v>44160</v>
      </c>
      <c r="M71" s="419">
        <v>44160</v>
      </c>
      <c r="N71" s="387">
        <v>44806</v>
      </c>
      <c r="O71" s="292" t="s">
        <v>3795</v>
      </c>
      <c r="P71" s="388">
        <v>1.4999999999999999E-2</v>
      </c>
      <c r="Q71" s="420"/>
      <c r="R71" s="417"/>
      <c r="S71" s="292" t="str">
        <f t="shared" ref="S71:S79" si="8">IF(BC71&lt;=0,"",IF(BC71&lt;=1000000,"Não Qualificado",IF(AND(BC71&gt;1000000,BC71&lt;=10000000),"Qualificado","Profissional")))</f>
        <v>Não Qualificado</v>
      </c>
      <c r="T71" s="292" t="s">
        <v>145</v>
      </c>
      <c r="U71" s="292" t="s">
        <v>3823</v>
      </c>
      <c r="V71" s="292" t="s">
        <v>20</v>
      </c>
      <c r="W71" s="418" t="s">
        <v>3798</v>
      </c>
      <c r="X71" s="418" t="s">
        <v>3798</v>
      </c>
      <c r="Y71" s="418" t="s">
        <v>3798</v>
      </c>
      <c r="Z71" s="418" t="s">
        <v>3798</v>
      </c>
      <c r="AA71" s="418" t="s">
        <v>3798</v>
      </c>
      <c r="AB71" s="418" t="s">
        <v>3798</v>
      </c>
      <c r="AC71" s="418" t="s">
        <v>3798</v>
      </c>
      <c r="AD71" s="418" t="s">
        <v>3798</v>
      </c>
      <c r="AE71" s="418" t="s">
        <v>3798</v>
      </c>
      <c r="AF71" s="418" t="s">
        <v>3798</v>
      </c>
      <c r="AG71" s="418" t="s">
        <v>3798</v>
      </c>
      <c r="AH71" s="418" t="s">
        <v>3798</v>
      </c>
      <c r="AI71" s="418" t="s">
        <v>3798</v>
      </c>
      <c r="AJ71" s="418" t="s">
        <v>4031</v>
      </c>
      <c r="AK71" s="339">
        <v>115814.84</v>
      </c>
      <c r="AL71" s="339">
        <v>149621.17000000001</v>
      </c>
      <c r="AM71" s="339">
        <v>144150.85999999999</v>
      </c>
      <c r="AN71" s="339">
        <v>143839.42000000001</v>
      </c>
      <c r="AO71" s="339">
        <v>148122.38</v>
      </c>
      <c r="AP71" s="339">
        <v>149009.20000000001</v>
      </c>
      <c r="AQ71" s="339">
        <v>148407.48000000001</v>
      </c>
      <c r="AR71" s="339">
        <v>67030.8</v>
      </c>
      <c r="AS71" s="339">
        <v>65661.039999999994</v>
      </c>
      <c r="AT71" s="339">
        <v>62432.45</v>
      </c>
      <c r="AU71" s="339">
        <v>61254.400000000001</v>
      </c>
      <c r="AV71" s="339">
        <v>58096.959999999999</v>
      </c>
      <c r="AW71" s="339">
        <v>54197.71</v>
      </c>
      <c r="AX71" s="339">
        <v>53767.21</v>
      </c>
      <c r="AY71" s="339">
        <v>54599.46</v>
      </c>
      <c r="AZ71" s="339">
        <v>57403.82</v>
      </c>
      <c r="BA71" s="339">
        <v>58167.9</v>
      </c>
      <c r="BB71" s="339">
        <v>61253.19</v>
      </c>
      <c r="BC71" s="339">
        <v>153049.60000000001</v>
      </c>
      <c r="BD71" s="339">
        <v>39905.31</v>
      </c>
      <c r="BE71" s="339">
        <v>39922.93</v>
      </c>
      <c r="BF71" s="339">
        <v>40534.68</v>
      </c>
      <c r="BG71" s="339">
        <v>40859.343269999998</v>
      </c>
      <c r="BH71" s="339">
        <v>0</v>
      </c>
      <c r="BI71" s="339">
        <v>0</v>
      </c>
      <c r="BJ71" s="339">
        <v>0</v>
      </c>
      <c r="BK71" s="339">
        <v>0</v>
      </c>
      <c r="BL71" s="339">
        <v>0</v>
      </c>
      <c r="BM71" s="339">
        <v>0</v>
      </c>
      <c r="BN71" s="339">
        <v>0</v>
      </c>
      <c r="BO71" s="339">
        <v>0</v>
      </c>
      <c r="BP71" s="339">
        <v>0</v>
      </c>
      <c r="BQ71" s="339">
        <v>0</v>
      </c>
      <c r="BR71" s="339">
        <v>0</v>
      </c>
      <c r="BS71" s="110" t="e">
        <f t="array" aca="1" ref="BS71" ca="1">_xludf.XLOOKUP(D71,'PL TOTAL D0'!N:N,'PL TOTAL D0'!P:P,"")</f>
        <v>#NAME?</v>
      </c>
      <c r="BT71" s="110"/>
    </row>
    <row r="72" spans="1:72" ht="15.75" customHeight="1">
      <c r="A72" s="122" t="s">
        <v>3785</v>
      </c>
      <c r="B72" s="104" t="s">
        <v>4032</v>
      </c>
      <c r="C72" s="122" t="s">
        <v>4033</v>
      </c>
      <c r="D72" s="293">
        <v>4805165</v>
      </c>
      <c r="E72" s="293" t="s">
        <v>2923</v>
      </c>
      <c r="F72" s="293" t="s">
        <v>20</v>
      </c>
      <c r="G72" s="293" t="s">
        <v>2923</v>
      </c>
      <c r="H72" s="293" t="str">
        <f>IFERROR(VLOOKUP(G72,'Cadastro de assessores'!A:B,2,FALSE),"Não Cadastrado")</f>
        <v>18986</v>
      </c>
      <c r="I72" s="293"/>
      <c r="J72" s="24" t="s">
        <v>152</v>
      </c>
      <c r="K72" s="293" t="s">
        <v>152</v>
      </c>
      <c r="L72" s="415">
        <v>44235</v>
      </c>
      <c r="M72" s="415">
        <v>44235</v>
      </c>
      <c r="N72" s="292"/>
      <c r="O72" s="292" t="s">
        <v>3795</v>
      </c>
      <c r="P72" s="388">
        <v>1.4999999999999999E-2</v>
      </c>
      <c r="Q72" s="420" t="s">
        <v>928</v>
      </c>
      <c r="R72" s="417" t="s">
        <v>4034</v>
      </c>
      <c r="S72" s="292" t="str">
        <f t="shared" si="8"/>
        <v/>
      </c>
      <c r="T72" s="292" t="s">
        <v>145</v>
      </c>
      <c r="U72" s="292" t="s">
        <v>3797</v>
      </c>
      <c r="V72" s="292" t="s">
        <v>20</v>
      </c>
      <c r="W72" s="418"/>
      <c r="X72" s="418"/>
      <c r="Y72" s="418"/>
      <c r="Z72" s="418"/>
      <c r="AA72" s="418"/>
      <c r="AB72" s="418"/>
      <c r="AC72" s="418"/>
      <c r="AD72" s="418"/>
      <c r="AE72" s="418"/>
      <c r="AF72" s="418"/>
      <c r="AG72" s="418"/>
      <c r="AH72" s="418"/>
      <c r="AI72" s="418"/>
      <c r="AJ72" s="418"/>
      <c r="AK72" s="339"/>
      <c r="AL72" s="339"/>
      <c r="AM72" s="339">
        <v>260900.44</v>
      </c>
      <c r="AN72" s="339">
        <v>489404.89</v>
      </c>
      <c r="AO72" s="339">
        <v>506667.73</v>
      </c>
      <c r="AP72" s="339">
        <v>509943.14</v>
      </c>
      <c r="AQ72" s="339">
        <v>507853.69</v>
      </c>
      <c r="AR72" s="339">
        <v>520688.31</v>
      </c>
      <c r="AS72" s="339">
        <v>516785.94</v>
      </c>
      <c r="AT72" s="339">
        <v>506566.99</v>
      </c>
      <c r="AU72" s="339">
        <v>348723.63</v>
      </c>
      <c r="AV72" s="339">
        <v>343566.64</v>
      </c>
      <c r="AW72" s="339">
        <v>335772.66</v>
      </c>
      <c r="AX72" s="339">
        <v>336100.48</v>
      </c>
      <c r="AY72" s="339">
        <v>136682.1</v>
      </c>
      <c r="AZ72" s="339">
        <v>142897.65</v>
      </c>
      <c r="BA72" s="339">
        <v>144696.78</v>
      </c>
      <c r="BB72" s="339">
        <v>152218.68</v>
      </c>
      <c r="BC72" s="339">
        <v>-254.98</v>
      </c>
      <c r="BD72" s="339">
        <v>147952.76999999999</v>
      </c>
      <c r="BE72" s="339">
        <v>146014.16</v>
      </c>
      <c r="BF72" s="339">
        <v>1935.9</v>
      </c>
      <c r="BG72" s="339">
        <v>2069.36</v>
      </c>
      <c r="BH72" s="339">
        <v>2082.4</v>
      </c>
      <c r="BI72" s="339">
        <v>2096.3200000000002</v>
      </c>
      <c r="BJ72" s="339">
        <v>2110.08</v>
      </c>
      <c r="BK72" s="339">
        <v>2122.66</v>
      </c>
      <c r="BL72" s="339">
        <v>2451.1799999999998</v>
      </c>
      <c r="BM72" s="339">
        <v>2463.88</v>
      </c>
      <c r="BN72" s="339">
        <v>2481.85</v>
      </c>
      <c r="BO72" s="339">
        <v>2502.15</v>
      </c>
      <c r="BP72" s="339">
        <v>2501.39</v>
      </c>
      <c r="BQ72" s="339">
        <v>2517.66</v>
      </c>
      <c r="BR72" s="339">
        <v>2541.29</v>
      </c>
      <c r="BS72" s="110" t="e">
        <f t="array" aca="1" ref="BS72" ca="1">_xludf.XLOOKUP(D72,'PL TOTAL D0'!N:N,'PL TOTAL D0'!P:P,"")</f>
        <v>#NAME?</v>
      </c>
      <c r="BT72" s="110"/>
    </row>
    <row r="73" spans="1:72" ht="15.75" customHeight="1">
      <c r="A73" s="122" t="s">
        <v>3785</v>
      </c>
      <c r="B73" s="104" t="s">
        <v>591</v>
      </c>
      <c r="C73" s="390" t="s">
        <v>4035</v>
      </c>
      <c r="D73" s="293">
        <v>6480340</v>
      </c>
      <c r="E73" s="293" t="s">
        <v>19</v>
      </c>
      <c r="F73" s="293" t="s">
        <v>49</v>
      </c>
      <c r="G73" s="426" t="s">
        <v>328</v>
      </c>
      <c r="H73" s="426" t="str">
        <f>IFERROR(VLOOKUP(G73,'Cadastro de assessores'!A:B,2,FALSE),"Não Cadastrado")</f>
        <v>18009</v>
      </c>
      <c r="I73" s="426"/>
      <c r="J73" s="24" t="s">
        <v>3788</v>
      </c>
      <c r="K73" s="293" t="s">
        <v>152</v>
      </c>
      <c r="L73" s="415">
        <v>44439</v>
      </c>
      <c r="M73" s="415">
        <v>44447</v>
      </c>
      <c r="N73" s="426"/>
      <c r="O73" s="426" t="s">
        <v>3805</v>
      </c>
      <c r="P73" s="388">
        <v>1.2E-2</v>
      </c>
      <c r="Q73" s="167"/>
      <c r="R73" s="417"/>
      <c r="S73" s="292" t="str">
        <f t="shared" si="8"/>
        <v>Não Qualificado</v>
      </c>
      <c r="T73" s="292" t="s">
        <v>145</v>
      </c>
      <c r="U73" s="292" t="s">
        <v>3967</v>
      </c>
      <c r="V73" s="299" t="s">
        <v>49</v>
      </c>
      <c r="W73" s="350"/>
      <c r="X73" s="350"/>
      <c r="Y73" s="350"/>
      <c r="Z73" s="350"/>
      <c r="AA73" s="350"/>
      <c r="AB73" s="350"/>
      <c r="AC73" s="350"/>
      <c r="AD73" s="350"/>
      <c r="AE73" s="350"/>
      <c r="AF73" s="350"/>
      <c r="AG73" s="350"/>
      <c r="AH73" s="418"/>
      <c r="AI73" s="418"/>
      <c r="AJ73" s="339"/>
      <c r="AK73" s="339"/>
      <c r="AL73" s="339"/>
      <c r="AM73" s="339"/>
      <c r="AN73" s="339"/>
      <c r="AO73" s="339"/>
      <c r="AP73" s="339"/>
      <c r="AQ73" s="339"/>
      <c r="AR73" s="339"/>
      <c r="AS73" s="431"/>
      <c r="AT73" s="340"/>
      <c r="AU73" s="340"/>
      <c r="AV73" s="339">
        <v>300221.63</v>
      </c>
      <c r="AW73" s="339">
        <v>296887.28999999998</v>
      </c>
      <c r="AX73" s="339">
        <v>298045.15000000002</v>
      </c>
      <c r="AY73" s="339">
        <v>300745.55</v>
      </c>
      <c r="AZ73" s="339">
        <v>305448.12</v>
      </c>
      <c r="BA73" s="339">
        <v>307697.7</v>
      </c>
      <c r="BB73" s="339">
        <v>313605.84000000003</v>
      </c>
      <c r="BC73" s="339">
        <v>804678.88</v>
      </c>
      <c r="BD73" s="339">
        <v>314546.34000000003</v>
      </c>
      <c r="BE73" s="339">
        <v>315227.88</v>
      </c>
      <c r="BF73" s="339">
        <v>318648.90000000002</v>
      </c>
      <c r="BG73" s="339">
        <v>320787.91869999998</v>
      </c>
      <c r="BH73" s="339">
        <v>322650.32</v>
      </c>
      <c r="BI73" s="339">
        <v>328211.5</v>
      </c>
      <c r="BJ73" s="339">
        <v>328810.21999999997</v>
      </c>
      <c r="BK73" s="339">
        <v>331150.08000000002</v>
      </c>
      <c r="BL73" s="339">
        <v>5.47</v>
      </c>
      <c r="BM73" s="339">
        <v>18.739999999999998</v>
      </c>
      <c r="BN73" s="339">
        <v>18.75</v>
      </c>
      <c r="BO73" s="339">
        <v>18.75</v>
      </c>
      <c r="BP73" s="339">
        <v>18.75</v>
      </c>
      <c r="BQ73" s="339">
        <v>18.75</v>
      </c>
      <c r="BR73" s="339">
        <v>18.75</v>
      </c>
      <c r="BS73" s="110" t="e">
        <f t="array" aca="1" ref="BS73" ca="1">_xludf.XLOOKUP(D73,'PL TOTAL D0'!N:N,'PL TOTAL D0'!P:P,"")</f>
        <v>#NAME?</v>
      </c>
      <c r="BT73" s="110"/>
    </row>
    <row r="74" spans="1:72" ht="15.75" customHeight="1">
      <c r="A74" s="122" t="s">
        <v>3785</v>
      </c>
      <c r="B74" s="104" t="s">
        <v>3042</v>
      </c>
      <c r="C74" s="122" t="s">
        <v>3040</v>
      </c>
      <c r="D74" s="292">
        <v>260123</v>
      </c>
      <c r="E74" s="293" t="s">
        <v>2989</v>
      </c>
      <c r="F74" s="293" t="s">
        <v>20</v>
      </c>
      <c r="G74" s="293" t="s">
        <v>2989</v>
      </c>
      <c r="H74" s="293" t="str">
        <f>IFERROR(VLOOKUP(G74,'Cadastro de assessores'!A:B,2,FALSE),"Não Cadastrado")</f>
        <v>22400</v>
      </c>
      <c r="I74" s="293"/>
      <c r="J74" s="24" t="s">
        <v>3788</v>
      </c>
      <c r="K74" s="292" t="s">
        <v>161</v>
      </c>
      <c r="L74" s="292" t="s">
        <v>3147</v>
      </c>
      <c r="M74" s="436" t="s">
        <v>3638</v>
      </c>
      <c r="N74" s="292"/>
      <c r="O74" s="292" t="s">
        <v>4019</v>
      </c>
      <c r="P74" s="388">
        <v>2.5000000000000001E-2</v>
      </c>
      <c r="Q74" s="420"/>
      <c r="R74" s="417"/>
      <c r="S74" s="292" t="str">
        <f t="shared" si="8"/>
        <v>Não Qualificado</v>
      </c>
      <c r="T74" s="292" t="s">
        <v>145</v>
      </c>
      <c r="U74" s="292" t="s">
        <v>3797</v>
      </c>
      <c r="V74" s="292" t="s">
        <v>20</v>
      </c>
      <c r="W74" s="418" t="s">
        <v>3798</v>
      </c>
      <c r="X74" s="418" t="s">
        <v>3798</v>
      </c>
      <c r="Y74" s="418" t="s">
        <v>3798</v>
      </c>
      <c r="Z74" s="418" t="s">
        <v>3798</v>
      </c>
      <c r="AA74" s="418" t="s">
        <v>3798</v>
      </c>
      <c r="AB74" s="418" t="s">
        <v>3798</v>
      </c>
      <c r="AC74" s="418" t="s">
        <v>3798</v>
      </c>
      <c r="AD74" s="418" t="s">
        <v>3798</v>
      </c>
      <c r="AE74" s="418" t="s">
        <v>3798</v>
      </c>
      <c r="AF74" s="418" t="s">
        <v>3798</v>
      </c>
      <c r="AG74" s="418" t="s">
        <v>3798</v>
      </c>
      <c r="AH74" s="418"/>
      <c r="AI74" s="418" t="s">
        <v>3798</v>
      </c>
      <c r="AJ74" s="418" t="s">
        <v>3798</v>
      </c>
      <c r="AK74" s="339" t="s">
        <v>3147</v>
      </c>
      <c r="AL74" s="339"/>
      <c r="AM74" s="339" t="s">
        <v>3147</v>
      </c>
      <c r="AN74" s="339" t="s">
        <v>3147</v>
      </c>
      <c r="AO74" s="339"/>
      <c r="AP74" s="339"/>
      <c r="AQ74" s="339"/>
      <c r="AR74" s="339"/>
      <c r="AS74" s="339"/>
      <c r="AT74" s="339"/>
      <c r="AU74" s="339"/>
      <c r="AV74" s="339"/>
      <c r="AW74" s="339"/>
      <c r="AX74" s="339"/>
      <c r="AY74" s="339"/>
      <c r="AZ74" s="339"/>
      <c r="BA74" s="339">
        <v>0</v>
      </c>
      <c r="BB74" s="339">
        <v>0</v>
      </c>
      <c r="BC74" s="339">
        <v>191727.95</v>
      </c>
      <c r="BD74" s="339" t="s">
        <v>2932</v>
      </c>
      <c r="BE74" s="339" t="s">
        <v>2932</v>
      </c>
      <c r="BF74" s="339">
        <v>0</v>
      </c>
      <c r="BG74" s="339">
        <v>0</v>
      </c>
      <c r="BH74" s="339">
        <v>0</v>
      </c>
      <c r="BI74" s="339">
        <v>0</v>
      </c>
      <c r="BJ74" s="339">
        <v>0</v>
      </c>
      <c r="BK74" s="339">
        <v>0</v>
      </c>
      <c r="BL74" s="339">
        <v>0</v>
      </c>
      <c r="BM74" s="339">
        <v>0</v>
      </c>
      <c r="BN74" s="339">
        <v>0</v>
      </c>
      <c r="BO74" s="339">
        <v>0</v>
      </c>
      <c r="BP74" s="339">
        <v>0</v>
      </c>
      <c r="BQ74" s="339">
        <v>0</v>
      </c>
      <c r="BR74" s="339">
        <v>0</v>
      </c>
      <c r="BS74" s="110" t="e">
        <f t="array" aca="1" ref="BS74" ca="1">_xludf.XLOOKUP(D74,'PL TOTAL D0'!N:N,'PL TOTAL D0'!P:P,"")</f>
        <v>#NAME?</v>
      </c>
      <c r="BT74" s="110"/>
    </row>
    <row r="75" spans="1:72" ht="15.75" customHeight="1">
      <c r="A75" s="122" t="s">
        <v>3785</v>
      </c>
      <c r="B75" s="104" t="s">
        <v>4036</v>
      </c>
      <c r="C75" s="122" t="s">
        <v>4037</v>
      </c>
      <c r="D75" s="292">
        <v>4522420</v>
      </c>
      <c r="E75" s="292" t="s">
        <v>19</v>
      </c>
      <c r="F75" s="292" t="s">
        <v>20</v>
      </c>
      <c r="G75" s="292" t="s">
        <v>3793</v>
      </c>
      <c r="H75" s="292" t="str">
        <f>IFERROR(VLOOKUP(G75,'Cadastro de assessores'!A:B,2,FALSE),"Não Cadastrado")</f>
        <v>17679</v>
      </c>
      <c r="I75" s="292"/>
      <c r="J75" s="24" t="s">
        <v>143</v>
      </c>
      <c r="K75" s="292" t="s">
        <v>3794</v>
      </c>
      <c r="L75" s="387">
        <v>44141</v>
      </c>
      <c r="M75" s="387">
        <v>44141</v>
      </c>
      <c r="N75" s="387">
        <v>44412</v>
      </c>
      <c r="O75" s="292" t="s">
        <v>3795</v>
      </c>
      <c r="P75" s="388">
        <v>1.4999999999999999E-2</v>
      </c>
      <c r="Q75" s="420" t="s">
        <v>4038</v>
      </c>
      <c r="R75" s="417"/>
      <c r="S75" s="292" t="str">
        <f t="shared" si="8"/>
        <v>Não Qualificado</v>
      </c>
      <c r="T75" s="292" t="s">
        <v>145</v>
      </c>
      <c r="U75" s="292" t="s">
        <v>4039</v>
      </c>
      <c r="V75" s="292" t="s">
        <v>585</v>
      </c>
      <c r="W75" s="418" t="s">
        <v>3798</v>
      </c>
      <c r="X75" s="418" t="s">
        <v>3798</v>
      </c>
      <c r="Y75" s="418" t="s">
        <v>3798</v>
      </c>
      <c r="Z75" s="418" t="s">
        <v>3798</v>
      </c>
      <c r="AA75" s="418" t="s">
        <v>3798</v>
      </c>
      <c r="AB75" s="418" t="s">
        <v>3798</v>
      </c>
      <c r="AC75" s="418" t="s">
        <v>3798</v>
      </c>
      <c r="AD75" s="418" t="s">
        <v>3798</v>
      </c>
      <c r="AE75" s="418" t="s">
        <v>3798</v>
      </c>
      <c r="AF75" s="418" t="s">
        <v>3798</v>
      </c>
      <c r="AG75" s="418" t="s">
        <v>3798</v>
      </c>
      <c r="AH75" s="418" t="s">
        <v>3798</v>
      </c>
      <c r="AI75" s="418" t="s">
        <v>3798</v>
      </c>
      <c r="AJ75" s="418" t="s">
        <v>4040</v>
      </c>
      <c r="AK75" s="339">
        <v>321829.32</v>
      </c>
      <c r="AL75" s="339">
        <v>317353.39</v>
      </c>
      <c r="AM75" s="339">
        <v>306672.86</v>
      </c>
      <c r="AN75" s="339">
        <v>306017.59999999998</v>
      </c>
      <c r="AO75" s="339">
        <v>316312.3</v>
      </c>
      <c r="AP75" s="339">
        <v>318269.03999999998</v>
      </c>
      <c r="AQ75" s="339">
        <v>316831.77</v>
      </c>
      <c r="AR75" s="339">
        <v>324552.59000000003</v>
      </c>
      <c r="AS75" s="339">
        <v>321897.48</v>
      </c>
      <c r="AT75" s="339">
        <v>315429.71000000002</v>
      </c>
      <c r="AU75" s="339"/>
      <c r="AV75" s="339"/>
      <c r="AW75" s="339"/>
      <c r="AX75" s="339"/>
      <c r="AY75" s="339"/>
      <c r="AZ75" s="339"/>
      <c r="BA75" s="339">
        <v>0</v>
      </c>
      <c r="BB75" s="339">
        <v>0</v>
      </c>
      <c r="BC75" s="339">
        <v>562933.26</v>
      </c>
      <c r="BD75" s="339" t="s">
        <v>2932</v>
      </c>
      <c r="BE75" s="339" t="s">
        <v>2932</v>
      </c>
      <c r="BF75" s="339">
        <v>0</v>
      </c>
      <c r="BG75" s="339">
        <v>0</v>
      </c>
      <c r="BH75" s="339">
        <v>0</v>
      </c>
      <c r="BI75" s="339">
        <v>0</v>
      </c>
      <c r="BJ75" s="339">
        <v>0</v>
      </c>
      <c r="BK75" s="339">
        <v>0</v>
      </c>
      <c r="BL75" s="339">
        <v>0</v>
      </c>
      <c r="BM75" s="339">
        <v>0</v>
      </c>
      <c r="BN75" s="339">
        <v>0</v>
      </c>
      <c r="BO75" s="339">
        <v>0</v>
      </c>
      <c r="BP75" s="339">
        <v>0</v>
      </c>
      <c r="BQ75" s="339">
        <v>0</v>
      </c>
      <c r="BR75" s="339">
        <v>0</v>
      </c>
      <c r="BS75" s="110" t="e">
        <f t="array" aca="1" ref="BS75" ca="1">_xludf.XLOOKUP(D75,'PL TOTAL D0'!N:N,'PL TOTAL D0'!P:P,"")</f>
        <v>#NAME?</v>
      </c>
      <c r="BT75" s="110"/>
    </row>
    <row r="76" spans="1:72" ht="15.75" customHeight="1">
      <c r="A76" s="122" t="s">
        <v>3785</v>
      </c>
      <c r="B76" s="104" t="s">
        <v>4041</v>
      </c>
      <c r="C76" s="390" t="s">
        <v>4042</v>
      </c>
      <c r="D76" s="299">
        <v>6592638</v>
      </c>
      <c r="E76" s="293" t="s">
        <v>19</v>
      </c>
      <c r="F76" s="293" t="s">
        <v>49</v>
      </c>
      <c r="G76" s="293" t="s">
        <v>328</v>
      </c>
      <c r="H76" s="293" t="str">
        <f>IFERROR(VLOOKUP(G76,'Cadastro de assessores'!A:B,2,FALSE),"Não Cadastrado")</f>
        <v>18009</v>
      </c>
      <c r="I76" s="293"/>
      <c r="J76" s="24" t="s">
        <v>152</v>
      </c>
      <c r="K76" s="293" t="s">
        <v>152</v>
      </c>
      <c r="L76" s="415">
        <v>44456</v>
      </c>
      <c r="M76" s="415">
        <v>44461</v>
      </c>
      <c r="N76" s="299"/>
      <c r="O76" s="299" t="s">
        <v>3795</v>
      </c>
      <c r="P76" s="388">
        <v>1.4999999999999999E-2</v>
      </c>
      <c r="Q76" s="167"/>
      <c r="R76" s="417"/>
      <c r="S76" s="292" t="str">
        <f t="shared" si="8"/>
        <v>Não Qualificado</v>
      </c>
      <c r="T76" s="292" t="s">
        <v>145</v>
      </c>
      <c r="U76" s="292" t="s">
        <v>3846</v>
      </c>
      <c r="V76" s="292" t="s">
        <v>46</v>
      </c>
      <c r="W76" s="350"/>
      <c r="X76" s="350"/>
      <c r="Y76" s="350"/>
      <c r="Z76" s="350"/>
      <c r="AA76" s="350"/>
      <c r="AB76" s="350"/>
      <c r="AC76" s="350"/>
      <c r="AD76" s="350"/>
      <c r="AE76" s="350"/>
      <c r="AF76" s="350"/>
      <c r="AG76" s="418"/>
      <c r="AH76" s="418"/>
      <c r="AI76" s="418"/>
      <c r="AJ76" s="339"/>
      <c r="AK76" s="339"/>
      <c r="AL76" s="339"/>
      <c r="AM76" s="339"/>
      <c r="AN76" s="339"/>
      <c r="AO76" s="339"/>
      <c r="AP76" s="339"/>
      <c r="AQ76" s="339"/>
      <c r="AR76" s="339"/>
      <c r="AS76" s="339"/>
      <c r="AT76" s="339"/>
      <c r="AU76" s="350"/>
      <c r="AV76" s="339"/>
      <c r="AW76" s="339">
        <v>48194.79</v>
      </c>
      <c r="AX76" s="339">
        <v>48234.73</v>
      </c>
      <c r="AY76" s="339">
        <v>48661.16</v>
      </c>
      <c r="AZ76" s="339">
        <v>50237.39</v>
      </c>
      <c r="BA76" s="339">
        <v>50600.33</v>
      </c>
      <c r="BB76" s="339">
        <v>72445.06</v>
      </c>
      <c r="BC76" s="339">
        <v>99.18</v>
      </c>
      <c r="BD76" s="339">
        <v>72112.210000000006</v>
      </c>
      <c r="BE76" s="339">
        <v>71909.08</v>
      </c>
      <c r="BF76" s="339">
        <v>73168.03</v>
      </c>
      <c r="BG76" s="339">
        <v>73727.202120000002</v>
      </c>
      <c r="BH76" s="339">
        <v>74142.64</v>
      </c>
      <c r="BI76" s="339">
        <v>76511.78</v>
      </c>
      <c r="BJ76" s="339">
        <v>76070.37</v>
      </c>
      <c r="BK76" s="339">
        <v>76690.179999999993</v>
      </c>
      <c r="BL76" s="339">
        <v>77459.83</v>
      </c>
      <c r="BM76" s="339">
        <v>78050.23</v>
      </c>
      <c r="BN76" s="339">
        <v>78502.98</v>
      </c>
      <c r="BO76" s="339">
        <v>79241.63</v>
      </c>
      <c r="BP76" s="339">
        <v>80135.929999999993</v>
      </c>
      <c r="BQ76" s="339">
        <v>80168.36</v>
      </c>
      <c r="BR76" s="339">
        <v>80748.179999999993</v>
      </c>
      <c r="BS76" s="110" t="e">
        <f t="array" aca="1" ref="BS76" ca="1">_xludf.XLOOKUP(D76,'PL TOTAL D0'!N:N,'PL TOTAL D0'!P:P,"")</f>
        <v>#NAME?</v>
      </c>
      <c r="BT76" s="110"/>
    </row>
    <row r="77" spans="1:72" ht="15.75" customHeight="1">
      <c r="A77" s="122" t="s">
        <v>3785</v>
      </c>
      <c r="B77" s="104" t="s">
        <v>4043</v>
      </c>
      <c r="C77" s="122" t="s">
        <v>4044</v>
      </c>
      <c r="D77" s="292">
        <v>4572882</v>
      </c>
      <c r="E77" s="292" t="s">
        <v>64</v>
      </c>
      <c r="F77" s="292" t="s">
        <v>20</v>
      </c>
      <c r="G77" s="292" t="s">
        <v>3634</v>
      </c>
      <c r="H77" s="292" t="str">
        <f>IFERROR(VLOOKUP(G77,'Cadastro de assessores'!A:B,2,FALSE),"Não Cadastrado")</f>
        <v>14574</v>
      </c>
      <c r="I77" s="292"/>
      <c r="J77" s="24" t="s">
        <v>143</v>
      </c>
      <c r="K77" s="292" t="s">
        <v>3794</v>
      </c>
      <c r="L77" s="419">
        <v>44165</v>
      </c>
      <c r="M77" s="419">
        <v>44165</v>
      </c>
      <c r="N77" s="387">
        <v>44295</v>
      </c>
      <c r="O77" s="292" t="s">
        <v>3795</v>
      </c>
      <c r="P77" s="388">
        <v>1.4999999999999999E-2</v>
      </c>
      <c r="Q77" s="420" t="s">
        <v>4045</v>
      </c>
      <c r="R77" s="417"/>
      <c r="S77" s="292" t="str">
        <f t="shared" si="8"/>
        <v/>
      </c>
      <c r="T77" s="292" t="s">
        <v>145</v>
      </c>
      <c r="U77" s="292" t="s">
        <v>3929</v>
      </c>
      <c r="V77" s="292" t="s">
        <v>20</v>
      </c>
      <c r="W77" s="418" t="s">
        <v>3798</v>
      </c>
      <c r="X77" s="418" t="s">
        <v>3798</v>
      </c>
      <c r="Y77" s="418" t="s">
        <v>3798</v>
      </c>
      <c r="Z77" s="418" t="s">
        <v>3798</v>
      </c>
      <c r="AA77" s="418" t="s">
        <v>3798</v>
      </c>
      <c r="AB77" s="418" t="s">
        <v>3798</v>
      </c>
      <c r="AC77" s="418" t="s">
        <v>3798</v>
      </c>
      <c r="AD77" s="418" t="s">
        <v>3798</v>
      </c>
      <c r="AE77" s="418" t="s">
        <v>3798</v>
      </c>
      <c r="AF77" s="418" t="s">
        <v>3798</v>
      </c>
      <c r="AG77" s="418" t="s">
        <v>3798</v>
      </c>
      <c r="AH77" s="418" t="s">
        <v>3798</v>
      </c>
      <c r="AI77" s="418" t="s">
        <v>3798</v>
      </c>
      <c r="AJ77" s="418" t="s">
        <v>4046</v>
      </c>
      <c r="AK77" s="339">
        <v>306411.40999999997</v>
      </c>
      <c r="AL77" s="339">
        <v>301078.53000000003</v>
      </c>
      <c r="AM77" s="339">
        <v>290629.55</v>
      </c>
      <c r="AN77" s="339">
        <v>288957.39</v>
      </c>
      <c r="AO77" s="339">
        <v>298191.46000000002</v>
      </c>
      <c r="AP77" s="339"/>
      <c r="AQ77" s="339"/>
      <c r="AR77" s="339"/>
      <c r="AS77" s="339"/>
      <c r="AT77" s="339"/>
      <c r="AU77" s="339"/>
      <c r="AV77" s="339"/>
      <c r="AW77" s="339"/>
      <c r="AX77" s="339"/>
      <c r="AY77" s="339"/>
      <c r="AZ77" s="339"/>
      <c r="BA77" s="339">
        <v>0</v>
      </c>
      <c r="BB77" s="339">
        <v>0</v>
      </c>
      <c r="BC77" s="339">
        <v>0</v>
      </c>
      <c r="BD77" s="339" t="s">
        <v>2932</v>
      </c>
      <c r="BE77" s="339" t="s">
        <v>2932</v>
      </c>
      <c r="BF77" s="339">
        <v>0</v>
      </c>
      <c r="BG77" s="339">
        <v>0</v>
      </c>
      <c r="BH77" s="339">
        <v>0</v>
      </c>
      <c r="BI77" s="339">
        <v>0</v>
      </c>
      <c r="BJ77" s="339">
        <v>0</v>
      </c>
      <c r="BK77" s="339">
        <v>0</v>
      </c>
      <c r="BL77" s="339">
        <v>0</v>
      </c>
      <c r="BM77" s="339">
        <v>0</v>
      </c>
      <c r="BN77" s="339">
        <v>0</v>
      </c>
      <c r="BO77" s="339">
        <v>0</v>
      </c>
      <c r="BP77" s="339">
        <v>0</v>
      </c>
      <c r="BQ77" s="339">
        <v>0</v>
      </c>
      <c r="BR77" s="339">
        <v>0</v>
      </c>
      <c r="BS77" s="110" t="e">
        <f t="array" aca="1" ref="BS77" ca="1">_xludf.XLOOKUP(D77,'PL TOTAL D0'!N:N,'PL TOTAL D0'!P:P,"")</f>
        <v>#NAME?</v>
      </c>
      <c r="BT77" s="110"/>
    </row>
    <row r="78" spans="1:72" ht="15.75" customHeight="1">
      <c r="A78" s="122" t="s">
        <v>3785</v>
      </c>
      <c r="B78" s="104" t="s">
        <v>4047</v>
      </c>
      <c r="C78" s="437" t="s">
        <v>4048</v>
      </c>
      <c r="D78" s="438">
        <v>5956921</v>
      </c>
      <c r="E78" s="293" t="s">
        <v>19</v>
      </c>
      <c r="F78" s="293" t="s">
        <v>20</v>
      </c>
      <c r="G78" s="293" t="s">
        <v>2955</v>
      </c>
      <c r="H78" s="426" t="str">
        <f>IFERROR(VLOOKUP(G78,'Cadastro de assessores'!A:B,2,FALSE),"Não Cadastrado")</f>
        <v>18836</v>
      </c>
      <c r="I78" s="426"/>
      <c r="J78" s="24" t="s">
        <v>3788</v>
      </c>
      <c r="K78" s="293" t="s">
        <v>152</v>
      </c>
      <c r="L78" s="416">
        <v>44469</v>
      </c>
      <c r="M78" s="416">
        <v>44482</v>
      </c>
      <c r="N78" s="299"/>
      <c r="O78" s="299" t="s">
        <v>3795</v>
      </c>
      <c r="P78" s="388">
        <v>1.4999999999999999E-2</v>
      </c>
      <c r="Q78" s="167"/>
      <c r="R78" s="417"/>
      <c r="S78" s="292" t="str">
        <f t="shared" si="8"/>
        <v>Não Qualificado</v>
      </c>
      <c r="T78" s="292" t="s">
        <v>145</v>
      </c>
      <c r="U78" s="292" t="s">
        <v>4049</v>
      </c>
      <c r="V78" s="292" t="s">
        <v>886</v>
      </c>
      <c r="W78" s="350"/>
      <c r="X78" s="350"/>
      <c r="Y78" s="350"/>
      <c r="Z78" s="350"/>
      <c r="AA78" s="350"/>
      <c r="AB78" s="350"/>
      <c r="AC78" s="350"/>
      <c r="AD78" s="350"/>
      <c r="AE78" s="350"/>
      <c r="AF78" s="350"/>
      <c r="AG78" s="418"/>
      <c r="AH78" s="339"/>
      <c r="AI78" s="339"/>
      <c r="AJ78" s="339"/>
      <c r="AK78" s="339"/>
      <c r="AL78" s="339"/>
      <c r="AM78" s="339"/>
      <c r="AN78" s="339"/>
      <c r="AO78" s="339"/>
      <c r="AP78" s="339"/>
      <c r="AQ78" s="431"/>
      <c r="AR78" s="340"/>
      <c r="AS78" s="340"/>
      <c r="AT78" s="339"/>
      <c r="AU78" s="350"/>
      <c r="AV78" s="339"/>
      <c r="AW78" s="339">
        <v>145454.88</v>
      </c>
      <c r="AX78" s="339">
        <v>145509.19</v>
      </c>
      <c r="AY78" s="339">
        <v>135024.78</v>
      </c>
      <c r="AZ78" s="339">
        <v>138398.29999999999</v>
      </c>
      <c r="BA78" s="339">
        <v>139725.06</v>
      </c>
      <c r="BB78" s="339">
        <v>144268.22</v>
      </c>
      <c r="BC78" s="339">
        <v>157335.81</v>
      </c>
      <c r="BD78" s="339">
        <v>142922.06</v>
      </c>
      <c r="BE78" s="339">
        <v>142228.75</v>
      </c>
      <c r="BF78" s="339">
        <v>144449.60000000001</v>
      </c>
      <c r="BG78" s="339">
        <v>144940.05170000001</v>
      </c>
      <c r="BH78" s="339">
        <v>145662.78</v>
      </c>
      <c r="BI78" s="339">
        <v>150857.12</v>
      </c>
      <c r="BJ78" s="339">
        <v>149971.68</v>
      </c>
      <c r="BK78" s="339">
        <v>150773.1</v>
      </c>
      <c r="BL78" s="339">
        <v>152593.57999999999</v>
      </c>
      <c r="BM78" s="339">
        <v>153794.57999999999</v>
      </c>
      <c r="BN78" s="339">
        <v>155012.5</v>
      </c>
      <c r="BO78" s="339">
        <v>156119.79</v>
      </c>
      <c r="BP78" s="339">
        <v>157843.42000000001</v>
      </c>
      <c r="BQ78" s="339">
        <v>0</v>
      </c>
      <c r="BR78" s="339">
        <v>0</v>
      </c>
      <c r="BS78" s="110" t="e">
        <f t="array" aca="1" ref="BS78" ca="1">_xludf.XLOOKUP(D78,'PL TOTAL D0'!N:N,'PL TOTAL D0'!P:P,"")</f>
        <v>#NAME?</v>
      </c>
      <c r="BT78" s="110"/>
    </row>
    <row r="79" spans="1:72" ht="15.75" customHeight="1">
      <c r="A79" s="122" t="s">
        <v>3785</v>
      </c>
      <c r="B79" s="104" t="s">
        <v>640</v>
      </c>
      <c r="C79" s="390" t="s">
        <v>4050</v>
      </c>
      <c r="D79" s="422">
        <v>6866947</v>
      </c>
      <c r="E79" s="293" t="s">
        <v>19</v>
      </c>
      <c r="F79" s="293" t="s">
        <v>49</v>
      </c>
      <c r="G79" s="293" t="s">
        <v>328</v>
      </c>
      <c r="H79" s="426" t="str">
        <f>IFERROR(VLOOKUP(G79,'Cadastro de assessores'!A:B,2,FALSE),"Não Cadastrado")</f>
        <v>18009</v>
      </c>
      <c r="I79" s="426"/>
      <c r="J79" s="24" t="s">
        <v>3788</v>
      </c>
      <c r="K79" s="293" t="s">
        <v>152</v>
      </c>
      <c r="L79" s="416">
        <v>44495</v>
      </c>
      <c r="M79" s="416">
        <v>44497</v>
      </c>
      <c r="N79" s="299"/>
      <c r="O79" s="299" t="s">
        <v>3805</v>
      </c>
      <c r="P79" s="388">
        <v>1.2E-2</v>
      </c>
      <c r="Q79" s="311" t="s">
        <v>4051</v>
      </c>
      <c r="R79" s="417"/>
      <c r="S79" s="292" t="str">
        <f t="shared" si="8"/>
        <v/>
      </c>
      <c r="T79" s="292" t="s">
        <v>145</v>
      </c>
      <c r="U79" s="292" t="s">
        <v>3933</v>
      </c>
      <c r="V79" s="299" t="s">
        <v>20</v>
      </c>
      <c r="W79" s="350"/>
      <c r="X79" s="350"/>
      <c r="Y79" s="350"/>
      <c r="Z79" s="350"/>
      <c r="AA79" s="350"/>
      <c r="AB79" s="350"/>
      <c r="AC79" s="350"/>
      <c r="AD79" s="350"/>
      <c r="AE79" s="350"/>
      <c r="AF79" s="350"/>
      <c r="AG79" s="418"/>
      <c r="AH79" s="418"/>
      <c r="AI79" s="339"/>
      <c r="AJ79" s="339"/>
      <c r="AK79" s="339"/>
      <c r="AL79" s="339"/>
      <c r="AM79" s="339"/>
      <c r="AN79" s="339"/>
      <c r="AO79" s="339"/>
      <c r="AP79" s="339"/>
      <c r="AQ79" s="339"/>
      <c r="AR79" s="431"/>
      <c r="AS79" s="340"/>
      <c r="AT79" s="340"/>
      <c r="AU79" s="339"/>
      <c r="AV79" s="339"/>
      <c r="AW79" s="339"/>
      <c r="AX79" s="339">
        <v>175207.43</v>
      </c>
      <c r="AY79" s="339">
        <v>176709.64</v>
      </c>
      <c r="AZ79" s="339">
        <v>179867.75</v>
      </c>
      <c r="BA79" s="339">
        <v>181436.51</v>
      </c>
      <c r="BB79" s="339">
        <v>185350.74</v>
      </c>
      <c r="BC79" s="339">
        <v>0</v>
      </c>
      <c r="BD79" s="339">
        <v>181389</v>
      </c>
      <c r="BE79" s="339">
        <v>181517.76</v>
      </c>
      <c r="BF79" s="339">
        <v>184170.45</v>
      </c>
      <c r="BG79" s="339">
        <v>185660.5459</v>
      </c>
      <c r="BH79" s="339">
        <v>182503.37</v>
      </c>
      <c r="BI79" s="339">
        <v>186090.02</v>
      </c>
      <c r="BJ79" s="339">
        <v>186319.9</v>
      </c>
      <c r="BK79" s="339">
        <v>187900.35</v>
      </c>
      <c r="BL79" s="339">
        <v>769.02</v>
      </c>
      <c r="BM79" s="339">
        <v>643.79</v>
      </c>
      <c r="BN79" s="339">
        <v>702.75</v>
      </c>
      <c r="BO79" s="339">
        <v>703.3</v>
      </c>
      <c r="BP79" s="339">
        <v>703.86</v>
      </c>
      <c r="BQ79" s="339">
        <v>704.23</v>
      </c>
      <c r="BR79" s="339">
        <v>704.8</v>
      </c>
      <c r="BS79" s="110" t="e">
        <f t="array" aca="1" ref="BS79" ca="1">_xludf.XLOOKUP(D79,'PL TOTAL D0'!N:N,'PL TOTAL D0'!P:P,"")</f>
        <v>#NAME?</v>
      </c>
      <c r="BT79" s="110"/>
    </row>
    <row r="80" spans="1:72" ht="15.75" customHeight="1">
      <c r="A80" s="122" t="s">
        <v>3785</v>
      </c>
      <c r="B80" s="104" t="s">
        <v>644</v>
      </c>
      <c r="C80" s="390" t="s">
        <v>641</v>
      </c>
      <c r="D80" s="438">
        <v>3241823</v>
      </c>
      <c r="E80" s="293" t="s">
        <v>19</v>
      </c>
      <c r="F80" s="293" t="s">
        <v>20</v>
      </c>
      <c r="G80" s="293" t="s">
        <v>199</v>
      </c>
      <c r="H80" s="426">
        <f>IFERROR(VLOOKUP(G80,'Cadastro de assessores'!A:B,2,FALSE),"Não Cadastrado")</f>
        <v>12332</v>
      </c>
      <c r="I80" s="426"/>
      <c r="J80" s="24" t="s">
        <v>3788</v>
      </c>
      <c r="K80" s="439"/>
      <c r="L80" s="293" t="s">
        <v>161</v>
      </c>
      <c r="M80" s="416">
        <v>44819</v>
      </c>
      <c r="N80" s="299"/>
      <c r="O80" s="299" t="s">
        <v>3805</v>
      </c>
      <c r="P80" s="388">
        <v>1.2E-2</v>
      </c>
      <c r="Q80" s="311"/>
      <c r="R80" s="417"/>
      <c r="S80" s="292"/>
      <c r="T80" s="292"/>
      <c r="U80" s="292"/>
      <c r="V80" s="299" t="s">
        <v>20</v>
      </c>
      <c r="W80" s="350"/>
      <c r="X80" s="350"/>
      <c r="Y80" s="350"/>
      <c r="Z80" s="350"/>
      <c r="AA80" s="350"/>
      <c r="AB80" s="350"/>
      <c r="AC80" s="350"/>
      <c r="AD80" s="350"/>
      <c r="AE80" s="350"/>
      <c r="AF80" s="350"/>
      <c r="AG80" s="418"/>
      <c r="AH80" s="418"/>
      <c r="AI80" s="339"/>
      <c r="AJ80" s="339"/>
      <c r="AK80" s="339"/>
      <c r="AL80" s="339"/>
      <c r="AM80" s="339"/>
      <c r="AN80" s="339"/>
      <c r="AO80" s="339"/>
      <c r="AP80" s="339"/>
      <c r="AQ80" s="339"/>
      <c r="AR80" s="431"/>
      <c r="AS80" s="340"/>
      <c r="AT80" s="340"/>
      <c r="AU80" s="339"/>
      <c r="AV80" s="339"/>
      <c r="AW80" s="339"/>
      <c r="AX80" s="339"/>
      <c r="AY80" s="339"/>
      <c r="AZ80" s="339"/>
      <c r="BA80" s="339"/>
      <c r="BB80" s="339"/>
      <c r="BC80" s="339"/>
      <c r="BD80" s="339"/>
      <c r="BE80" s="339"/>
      <c r="BF80" s="339"/>
      <c r="BG80" s="339">
        <v>101721.38</v>
      </c>
      <c r="BH80" s="339">
        <v>254345.34</v>
      </c>
      <c r="BI80" s="339">
        <v>245604.15</v>
      </c>
      <c r="BJ80" s="339">
        <v>231121.95</v>
      </c>
      <c r="BK80" s="339">
        <v>231728.79</v>
      </c>
      <c r="BL80" s="339">
        <v>232108.26</v>
      </c>
      <c r="BM80" s="339">
        <v>230811.9</v>
      </c>
      <c r="BN80" s="339">
        <v>155799.92000000001</v>
      </c>
      <c r="BO80" s="339">
        <v>156852.88</v>
      </c>
      <c r="BP80" s="339">
        <v>0</v>
      </c>
      <c r="BQ80" s="339">
        <v>0</v>
      </c>
      <c r="BR80" s="339">
        <v>0</v>
      </c>
      <c r="BS80" s="110" t="e">
        <f t="array" aca="1" ref="BS80" ca="1">_xludf.XLOOKUP(D80,'PL TOTAL D0'!N:N,'PL TOTAL D0'!P:P,"")</f>
        <v>#NAME?</v>
      </c>
      <c r="BT80" s="110"/>
    </row>
    <row r="81" spans="1:72" ht="15.75" customHeight="1">
      <c r="A81" s="122" t="s">
        <v>3785</v>
      </c>
      <c r="B81" s="104" t="s">
        <v>662</v>
      </c>
      <c r="C81" s="122" t="s">
        <v>4052</v>
      </c>
      <c r="D81" s="292">
        <v>3960153</v>
      </c>
      <c r="E81" s="292" t="s">
        <v>19</v>
      </c>
      <c r="F81" s="292" t="s">
        <v>20</v>
      </c>
      <c r="G81" s="292" t="s">
        <v>661</v>
      </c>
      <c r="H81" s="292"/>
      <c r="I81" s="292"/>
      <c r="J81" s="24" t="s">
        <v>3788</v>
      </c>
      <c r="K81" s="292"/>
      <c r="L81" s="419"/>
      <c r="M81" s="419"/>
      <c r="N81" s="387"/>
      <c r="O81" s="292" t="s">
        <v>3795</v>
      </c>
      <c r="P81" s="388">
        <v>1.2E-2</v>
      </c>
      <c r="Q81" s="440" t="s">
        <v>3878</v>
      </c>
      <c r="R81" s="417"/>
      <c r="S81" s="292"/>
      <c r="T81" s="292"/>
      <c r="U81" s="292"/>
      <c r="V81" s="292" t="s">
        <v>90</v>
      </c>
      <c r="W81" s="350"/>
      <c r="X81" s="350"/>
      <c r="Y81" s="350"/>
      <c r="Z81" s="350"/>
      <c r="AA81" s="350"/>
      <c r="AB81" s="350"/>
      <c r="AC81" s="350"/>
      <c r="AD81" s="350"/>
      <c r="AE81" s="350"/>
      <c r="AF81" s="350"/>
      <c r="AG81" s="350"/>
      <c r="AH81" s="418"/>
      <c r="AI81" s="418"/>
      <c r="AJ81" s="339"/>
      <c r="AK81" s="339"/>
      <c r="AL81" s="339"/>
      <c r="AM81" s="339"/>
      <c r="AN81" s="339"/>
      <c r="AO81" s="339"/>
      <c r="AP81" s="339"/>
      <c r="AQ81" s="339"/>
      <c r="AR81" s="339"/>
      <c r="AS81" s="431"/>
      <c r="AT81" s="340"/>
      <c r="AU81" s="340"/>
      <c r="AV81" s="339"/>
      <c r="AW81" s="339"/>
      <c r="AX81" s="339"/>
      <c r="AY81" s="339"/>
      <c r="AZ81" s="339"/>
      <c r="BA81" s="339"/>
      <c r="BB81" s="339"/>
      <c r="BC81" s="339"/>
      <c r="BD81" s="339"/>
      <c r="BE81" s="339"/>
      <c r="BF81" s="339"/>
      <c r="BG81" s="339"/>
      <c r="BH81" s="339"/>
      <c r="BI81" s="339"/>
      <c r="BJ81" s="339"/>
      <c r="BK81" s="339"/>
      <c r="BL81" s="339">
        <v>120757.99</v>
      </c>
      <c r="BM81" s="339">
        <v>75739.100000000006</v>
      </c>
      <c r="BN81" s="339">
        <v>0</v>
      </c>
      <c r="BO81" s="339">
        <v>0</v>
      </c>
      <c r="BP81" s="339">
        <v>0</v>
      </c>
      <c r="BQ81" s="339">
        <v>0</v>
      </c>
      <c r="BR81" s="339">
        <v>0</v>
      </c>
      <c r="BS81" s="110" t="e">
        <f t="array" aca="1" ref="BS81" ca="1">_xludf.XLOOKUP(D81,'PL TOTAL D0'!N:N,'PL TOTAL D0'!P:P,"")</f>
        <v>#NAME?</v>
      </c>
      <c r="BT81" s="110"/>
    </row>
    <row r="82" spans="1:72" ht="15.75" customHeight="1">
      <c r="A82" s="122" t="s">
        <v>3785</v>
      </c>
      <c r="B82" s="104" t="s">
        <v>4053</v>
      </c>
      <c r="C82" s="122" t="s">
        <v>4054</v>
      </c>
      <c r="D82" s="292">
        <v>3432427</v>
      </c>
      <c r="E82" s="292" t="s">
        <v>19</v>
      </c>
      <c r="F82" s="292" t="s">
        <v>49</v>
      </c>
      <c r="G82" s="292" t="s">
        <v>328</v>
      </c>
      <c r="H82" s="292" t="str">
        <f>IFERROR(VLOOKUP(G82,'Cadastro de assessores'!A:B,2,FALSE),"Não Cadastrado")</f>
        <v>18009</v>
      </c>
      <c r="I82" s="292"/>
      <c r="J82" s="24" t="s">
        <v>143</v>
      </c>
      <c r="K82" s="292" t="s">
        <v>3794</v>
      </c>
      <c r="L82" s="419">
        <v>44445</v>
      </c>
      <c r="M82" s="419">
        <v>44445</v>
      </c>
      <c r="N82" s="387">
        <v>44658</v>
      </c>
      <c r="O82" s="292" t="s">
        <v>4011</v>
      </c>
      <c r="P82" s="388">
        <v>8.0000000000000002E-3</v>
      </c>
      <c r="Q82" s="420" t="s">
        <v>4055</v>
      </c>
      <c r="R82" s="417"/>
      <c r="S82" s="292" t="str">
        <f t="shared" ref="S82:S87" si="9">IF(BC82&lt;=0,"",IF(BC82&lt;=1000000,"Não Qualificado",IF(AND(BC82&gt;1000000,BC82&lt;=10000000),"Qualificado","Profissional")))</f>
        <v>Não Qualificado</v>
      </c>
      <c r="T82" s="292" t="s">
        <v>145</v>
      </c>
      <c r="U82" s="292" t="s">
        <v>3846</v>
      </c>
      <c r="V82" s="292" t="s">
        <v>46</v>
      </c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0"/>
      <c r="AH82" s="418"/>
      <c r="AI82" s="418"/>
      <c r="AJ82" s="339"/>
      <c r="AK82" s="339"/>
      <c r="AL82" s="339"/>
      <c r="AM82" s="339"/>
      <c r="AN82" s="339"/>
      <c r="AO82" s="339"/>
      <c r="AP82" s="339"/>
      <c r="AQ82" s="339"/>
      <c r="AR82" s="339"/>
      <c r="AS82" s="431"/>
      <c r="AT82" s="340"/>
      <c r="AU82" s="340">
        <v>94822.6</v>
      </c>
      <c r="AV82" s="339">
        <v>790036.52</v>
      </c>
      <c r="AW82" s="339">
        <v>726856.26</v>
      </c>
      <c r="AX82" s="339">
        <v>795364.26</v>
      </c>
      <c r="AY82" s="339">
        <v>797596.38</v>
      </c>
      <c r="AZ82" s="339">
        <v>802342.40000000002</v>
      </c>
      <c r="BA82" s="339">
        <v>804114.28</v>
      </c>
      <c r="BB82" s="339">
        <v>812829.84</v>
      </c>
      <c r="BC82" s="339">
        <v>5153.82</v>
      </c>
      <c r="BD82" s="339" t="s">
        <v>2932</v>
      </c>
      <c r="BE82" s="339" t="s">
        <v>2932</v>
      </c>
      <c r="BF82" s="339">
        <v>0</v>
      </c>
      <c r="BG82" s="339">
        <v>0</v>
      </c>
      <c r="BH82" s="339">
        <v>0</v>
      </c>
      <c r="BI82" s="339">
        <v>0</v>
      </c>
      <c r="BJ82" s="339">
        <v>0</v>
      </c>
      <c r="BK82" s="339">
        <v>0</v>
      </c>
      <c r="BL82" s="339">
        <v>0</v>
      </c>
      <c r="BM82" s="339">
        <v>0</v>
      </c>
      <c r="BN82" s="339">
        <v>0</v>
      </c>
      <c r="BO82" s="339">
        <v>0</v>
      </c>
      <c r="BP82" s="339">
        <v>0</v>
      </c>
      <c r="BQ82" s="339">
        <v>0</v>
      </c>
      <c r="BR82" s="339">
        <v>0</v>
      </c>
      <c r="BS82" s="110" t="e">
        <f t="array" aca="1" ref="BS82" ca="1">_xludf.XLOOKUP(D82,'PL TOTAL D0'!N:N,'PL TOTAL D0'!P:P,"")</f>
        <v>#NAME?</v>
      </c>
      <c r="BT82" s="110"/>
    </row>
    <row r="83" spans="1:72" ht="15.75" customHeight="1">
      <c r="A83" s="122" t="s">
        <v>3785</v>
      </c>
      <c r="B83" s="104" t="s">
        <v>4056</v>
      </c>
      <c r="C83" s="122" t="s">
        <v>4057</v>
      </c>
      <c r="D83" s="292">
        <v>4478774</v>
      </c>
      <c r="E83" s="293" t="s">
        <v>64</v>
      </c>
      <c r="F83" s="293" t="s">
        <v>20</v>
      </c>
      <c r="G83" s="293" t="s">
        <v>4058</v>
      </c>
      <c r="H83" s="293" t="str">
        <f>IFERROR(VLOOKUP(G83,'Cadastro de assessores'!A:B,2,FALSE),"Não Cadastrado")</f>
        <v>19634</v>
      </c>
      <c r="I83" s="293"/>
      <c r="J83" s="24" t="s">
        <v>3788</v>
      </c>
      <c r="K83" s="293" t="s">
        <v>152</v>
      </c>
      <c r="L83" s="415">
        <v>44103</v>
      </c>
      <c r="M83" s="415">
        <v>44103</v>
      </c>
      <c r="N83" s="292"/>
      <c r="O83" s="292" t="s">
        <v>3805</v>
      </c>
      <c r="P83" s="388">
        <v>1.2E-2</v>
      </c>
      <c r="Q83" s="420" t="s">
        <v>928</v>
      </c>
      <c r="R83" s="417" t="s">
        <v>4034</v>
      </c>
      <c r="S83" s="292" t="str">
        <f t="shared" si="9"/>
        <v>Não Qualificado</v>
      </c>
      <c r="T83" s="292" t="s">
        <v>145</v>
      </c>
      <c r="U83" s="292" t="s">
        <v>3816</v>
      </c>
      <c r="V83" s="292" t="s">
        <v>20</v>
      </c>
      <c r="W83" s="418" t="s">
        <v>3798</v>
      </c>
      <c r="X83" s="418" t="s">
        <v>3798</v>
      </c>
      <c r="Y83" s="418" t="s">
        <v>3798</v>
      </c>
      <c r="Z83" s="418" t="s">
        <v>3798</v>
      </c>
      <c r="AA83" s="418" t="s">
        <v>3798</v>
      </c>
      <c r="AB83" s="418" t="s">
        <v>3798</v>
      </c>
      <c r="AC83" s="418" t="s">
        <v>3798</v>
      </c>
      <c r="AD83" s="418" t="s">
        <v>3798</v>
      </c>
      <c r="AE83" s="418" t="s">
        <v>3798</v>
      </c>
      <c r="AF83" s="418" t="s">
        <v>3798</v>
      </c>
      <c r="AG83" s="418" t="s">
        <v>3798</v>
      </c>
      <c r="AH83" s="418" t="s">
        <v>4059</v>
      </c>
      <c r="AI83" s="418" t="s">
        <v>4060</v>
      </c>
      <c r="AJ83" s="418" t="s">
        <v>4061</v>
      </c>
      <c r="AK83" s="339">
        <v>1423465.95</v>
      </c>
      <c r="AL83" s="339">
        <v>1512359.88</v>
      </c>
      <c r="AM83" s="339">
        <v>1489838.71</v>
      </c>
      <c r="AN83" s="339">
        <v>1488019.84</v>
      </c>
      <c r="AO83" s="339">
        <v>1506734.11</v>
      </c>
      <c r="AP83" s="339">
        <v>1512062.63</v>
      </c>
      <c r="AQ83" s="339">
        <v>1509001.29</v>
      </c>
      <c r="AR83" s="339">
        <v>1528614.3</v>
      </c>
      <c r="AS83" s="339">
        <v>1524699.01</v>
      </c>
      <c r="AT83" s="339">
        <v>1512159.31</v>
      </c>
      <c r="AU83" s="339">
        <v>1510732.11</v>
      </c>
      <c r="AV83" s="339">
        <v>1501938.54</v>
      </c>
      <c r="AW83" s="339">
        <v>1465342.22</v>
      </c>
      <c r="AX83" s="339">
        <v>1477414.58</v>
      </c>
      <c r="AY83" s="339">
        <v>1496287.5</v>
      </c>
      <c r="AZ83" s="339">
        <v>1519718.74</v>
      </c>
      <c r="BA83" s="339">
        <v>1527633.84</v>
      </c>
      <c r="BB83" s="339">
        <v>1162706.8700000001</v>
      </c>
      <c r="BC83" s="339">
        <v>174.69</v>
      </c>
      <c r="BD83" s="339">
        <v>1326567.3</v>
      </c>
      <c r="BE83" s="339">
        <v>2503.41</v>
      </c>
      <c r="BF83" s="339">
        <v>1495.38</v>
      </c>
      <c r="BG83" s="339">
        <v>1966.01</v>
      </c>
      <c r="BH83" s="339">
        <v>1976.82</v>
      </c>
      <c r="BI83" s="339">
        <v>1988.34</v>
      </c>
      <c r="BJ83" s="339">
        <v>1379.16</v>
      </c>
      <c r="BK83" s="339">
        <v>1211.4000000000001</v>
      </c>
      <c r="BL83" s="339">
        <v>2393.9899999999998</v>
      </c>
      <c r="BM83" s="339">
        <v>2412.31</v>
      </c>
      <c r="BN83" s="339">
        <v>2430.5300000000002</v>
      </c>
      <c r="BO83" s="339">
        <v>2450.83</v>
      </c>
      <c r="BP83" s="339">
        <v>2450.0700000000002</v>
      </c>
      <c r="BQ83" s="339">
        <v>2466.34</v>
      </c>
      <c r="BR83" s="339">
        <v>0</v>
      </c>
      <c r="BS83" s="110" t="e">
        <f t="array" aca="1" ref="BS83" ca="1">_xludf.XLOOKUP(D83,'PL TOTAL D0'!N:N,'PL TOTAL D0'!P:P,"")</f>
        <v>#NAME?</v>
      </c>
      <c r="BT83" s="110"/>
    </row>
    <row r="84" spans="1:72" ht="15.75" customHeight="1">
      <c r="A84" s="122" t="s">
        <v>3785</v>
      </c>
      <c r="B84" s="104" t="s">
        <v>4062</v>
      </c>
      <c r="C84" s="390" t="s">
        <v>4063</v>
      </c>
      <c r="D84" s="299">
        <v>5692353</v>
      </c>
      <c r="E84" s="292" t="s">
        <v>19</v>
      </c>
      <c r="F84" s="292" t="s">
        <v>49</v>
      </c>
      <c r="G84" s="292" t="s">
        <v>328</v>
      </c>
      <c r="H84" s="292" t="str">
        <f>IFERROR(VLOOKUP(G84,'Cadastro de assessores'!A:B,2,FALSE),"Não Cadastrado")</f>
        <v>18009</v>
      </c>
      <c r="I84" s="292"/>
      <c r="J84" s="24" t="s">
        <v>143</v>
      </c>
      <c r="K84" s="292" t="s">
        <v>3794</v>
      </c>
      <c r="L84" s="387">
        <v>44466</v>
      </c>
      <c r="M84" s="387">
        <v>44466</v>
      </c>
      <c r="N84" s="391">
        <v>44740</v>
      </c>
      <c r="O84" s="299" t="s">
        <v>3809</v>
      </c>
      <c r="P84" s="388">
        <v>2.5000000000000001E-2</v>
      </c>
      <c r="Q84" s="167" t="s">
        <v>4064</v>
      </c>
      <c r="R84" s="417"/>
      <c r="S84" s="292" t="str">
        <f t="shared" si="9"/>
        <v>Não Qualificado</v>
      </c>
      <c r="T84" s="299" t="s">
        <v>145</v>
      </c>
      <c r="U84" s="299" t="s">
        <v>3846</v>
      </c>
      <c r="V84" s="299" t="s">
        <v>46</v>
      </c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0"/>
      <c r="AH84" s="350"/>
      <c r="AI84" s="418"/>
      <c r="AJ84" s="339"/>
      <c r="AK84" s="339"/>
      <c r="AL84" s="339"/>
      <c r="AM84" s="339"/>
      <c r="AN84" s="339"/>
      <c r="AO84" s="339"/>
      <c r="AP84" s="339"/>
      <c r="AQ84" s="339"/>
      <c r="AR84" s="350"/>
      <c r="AS84" s="339"/>
      <c r="AT84" s="339"/>
      <c r="AU84" s="339"/>
      <c r="AV84" s="339">
        <v>97811.35</v>
      </c>
      <c r="AW84" s="339">
        <v>89906.87</v>
      </c>
      <c r="AX84" s="339">
        <v>88798.49</v>
      </c>
      <c r="AY84" s="339">
        <v>90813.47</v>
      </c>
      <c r="AZ84" s="339">
        <v>96367.88</v>
      </c>
      <c r="BA84" s="339">
        <v>97942.73</v>
      </c>
      <c r="BB84" s="339">
        <v>103896.13</v>
      </c>
      <c r="BC84" s="339">
        <v>864975.46</v>
      </c>
      <c r="BD84" s="339">
        <v>98036.14</v>
      </c>
      <c r="BE84" s="339">
        <v>94018.69</v>
      </c>
      <c r="BF84" s="339">
        <v>0</v>
      </c>
      <c r="BG84" s="339">
        <v>0</v>
      </c>
      <c r="BH84" s="339">
        <v>0</v>
      </c>
      <c r="BI84" s="339">
        <v>0</v>
      </c>
      <c r="BJ84" s="339">
        <v>0</v>
      </c>
      <c r="BK84" s="339">
        <v>0</v>
      </c>
      <c r="BL84" s="339">
        <v>0</v>
      </c>
      <c r="BM84" s="339">
        <v>0</v>
      </c>
      <c r="BN84" s="339">
        <v>0</v>
      </c>
      <c r="BO84" s="339">
        <v>0</v>
      </c>
      <c r="BP84" s="339">
        <v>0</v>
      </c>
      <c r="BQ84" s="339">
        <v>0</v>
      </c>
      <c r="BR84" s="339">
        <v>0</v>
      </c>
      <c r="BS84" s="110" t="e">
        <f t="array" aca="1" ref="BS84" ca="1">_xludf.XLOOKUP(D84,'PL TOTAL D0'!N:N,'PL TOTAL D0'!P:P,"")</f>
        <v>#NAME?</v>
      </c>
      <c r="BT84" s="110"/>
    </row>
    <row r="85" spans="1:72" ht="15.75" customHeight="1">
      <c r="A85" s="122" t="s">
        <v>3785</v>
      </c>
      <c r="B85" s="104" t="s">
        <v>4065</v>
      </c>
      <c r="C85" s="104" t="s">
        <v>4066</v>
      </c>
      <c r="D85" s="293">
        <v>4848604</v>
      </c>
      <c r="E85" s="293" t="s">
        <v>64</v>
      </c>
      <c r="F85" s="293" t="s">
        <v>20</v>
      </c>
      <c r="G85" s="293" t="s">
        <v>4067</v>
      </c>
      <c r="H85" s="293" t="str">
        <f>IFERROR(VLOOKUP(G85,'Cadastro de assessores'!A:B,2,FALSE),"Não Cadastrado")</f>
        <v>15049</v>
      </c>
      <c r="I85" s="293"/>
      <c r="J85" s="24" t="s">
        <v>3788</v>
      </c>
      <c r="K85" s="293" t="s">
        <v>152</v>
      </c>
      <c r="L85" s="415">
        <v>44236</v>
      </c>
      <c r="M85" s="415">
        <v>44236</v>
      </c>
      <c r="N85" s="292"/>
      <c r="O85" s="292" t="s">
        <v>3805</v>
      </c>
      <c r="P85" s="388">
        <v>1.2E-2</v>
      </c>
      <c r="Q85" s="420"/>
      <c r="R85" s="417"/>
      <c r="S85" s="292" t="str">
        <f t="shared" si="9"/>
        <v/>
      </c>
      <c r="T85" s="292" t="s">
        <v>145</v>
      </c>
      <c r="U85" s="292" t="s">
        <v>3811</v>
      </c>
      <c r="V85" s="292" t="s">
        <v>20</v>
      </c>
      <c r="W85" s="418"/>
      <c r="X85" s="418"/>
      <c r="Y85" s="418"/>
      <c r="Z85" s="418"/>
      <c r="AA85" s="418"/>
      <c r="AB85" s="418"/>
      <c r="AC85" s="418"/>
      <c r="AD85" s="418"/>
      <c r="AE85" s="418"/>
      <c r="AF85" s="418"/>
      <c r="AG85" s="418"/>
      <c r="AH85" s="418"/>
      <c r="AI85" s="418"/>
      <c r="AJ85" s="418"/>
      <c r="AK85" s="339"/>
      <c r="AL85" s="339"/>
      <c r="AM85" s="339">
        <v>146955.88</v>
      </c>
      <c r="AN85" s="339">
        <v>147150.32999999999</v>
      </c>
      <c r="AO85" s="339">
        <v>149418.72</v>
      </c>
      <c r="AP85" s="339">
        <v>149969.63</v>
      </c>
      <c r="AQ85" s="339">
        <v>149714.89000000001</v>
      </c>
      <c r="AR85" s="339">
        <v>181886.53</v>
      </c>
      <c r="AS85" s="339">
        <v>181532.35</v>
      </c>
      <c r="AT85" s="339">
        <v>180125.23</v>
      </c>
      <c r="AU85" s="339">
        <v>179926.86</v>
      </c>
      <c r="AV85" s="339">
        <v>178909.18</v>
      </c>
      <c r="AW85" s="339">
        <v>176963.67</v>
      </c>
      <c r="AX85" s="339">
        <v>177283.61</v>
      </c>
      <c r="AY85" s="339">
        <v>179138.63</v>
      </c>
      <c r="AZ85" s="339">
        <v>182081.13</v>
      </c>
      <c r="BA85" s="339">
        <v>183317.3</v>
      </c>
      <c r="BB85" s="339">
        <v>187287.9</v>
      </c>
      <c r="BC85" s="339">
        <v>0</v>
      </c>
      <c r="BD85" s="339">
        <v>184765.22</v>
      </c>
      <c r="BE85" s="339">
        <v>185120.25</v>
      </c>
      <c r="BF85" s="339">
        <v>187260.3</v>
      </c>
      <c r="BG85" s="339">
        <v>188244.6059</v>
      </c>
      <c r="BH85" s="339">
        <v>189325.22</v>
      </c>
      <c r="BI85" s="339">
        <v>192673.31</v>
      </c>
      <c r="BJ85" s="339">
        <v>193423.34</v>
      </c>
      <c r="BK85" s="339">
        <v>194931.28</v>
      </c>
      <c r="BL85" s="339">
        <v>197098.51</v>
      </c>
      <c r="BM85" s="339">
        <v>3.44</v>
      </c>
      <c r="BN85" s="339">
        <v>3.45</v>
      </c>
      <c r="BO85" s="339">
        <v>3.45</v>
      </c>
      <c r="BP85" s="339">
        <v>3.45</v>
      </c>
      <c r="BQ85" s="339">
        <v>3.45</v>
      </c>
      <c r="BR85" s="339">
        <v>3.45</v>
      </c>
      <c r="BS85" s="110" t="e">
        <f t="array" aca="1" ref="BS85" ca="1">_xludf.XLOOKUP(D85,'PL TOTAL D0'!N:N,'PL TOTAL D0'!P:P,"")</f>
        <v>#NAME?</v>
      </c>
      <c r="BT85" s="110"/>
    </row>
    <row r="86" spans="1:72" ht="15.75" customHeight="1">
      <c r="A86" s="122" t="s">
        <v>3785</v>
      </c>
      <c r="B86" s="104" t="s">
        <v>4068</v>
      </c>
      <c r="C86" s="122" t="s">
        <v>4069</v>
      </c>
      <c r="D86" s="292">
        <v>4537911</v>
      </c>
      <c r="E86" s="293" t="s">
        <v>64</v>
      </c>
      <c r="F86" s="293" t="s">
        <v>20</v>
      </c>
      <c r="G86" s="293" t="s">
        <v>73</v>
      </c>
      <c r="H86" s="293" t="str">
        <f>IFERROR(VLOOKUP(G86,'Cadastro de assessores'!A:B,2,FALSE),"Não Cadastrado")</f>
        <v>17243</v>
      </c>
      <c r="I86" s="293"/>
      <c r="J86" s="24" t="s">
        <v>143</v>
      </c>
      <c r="K86" s="293" t="s">
        <v>152</v>
      </c>
      <c r="L86" s="416">
        <v>44126</v>
      </c>
      <c r="M86" s="416">
        <v>44130</v>
      </c>
      <c r="N86" s="387">
        <v>44988</v>
      </c>
      <c r="O86" s="292" t="s">
        <v>3795</v>
      </c>
      <c r="P86" s="388">
        <v>1.4999999999999999E-2</v>
      </c>
      <c r="Q86" s="420" t="s">
        <v>4070</v>
      </c>
      <c r="R86" s="417"/>
      <c r="S86" s="292" t="str">
        <f t="shared" si="9"/>
        <v>Não Qualificado</v>
      </c>
      <c r="T86" s="292" t="s">
        <v>187</v>
      </c>
      <c r="U86" s="292" t="s">
        <v>4071</v>
      </c>
      <c r="V86" s="292" t="s">
        <v>20</v>
      </c>
      <c r="W86" s="418" t="s">
        <v>3798</v>
      </c>
      <c r="X86" s="418" t="s">
        <v>3798</v>
      </c>
      <c r="Y86" s="418" t="s">
        <v>3798</v>
      </c>
      <c r="Z86" s="418" t="s">
        <v>3798</v>
      </c>
      <c r="AA86" s="418" t="s">
        <v>3798</v>
      </c>
      <c r="AB86" s="418" t="s">
        <v>3798</v>
      </c>
      <c r="AC86" s="418" t="s">
        <v>3798</v>
      </c>
      <c r="AD86" s="418" t="s">
        <v>3798</v>
      </c>
      <c r="AE86" s="418" t="s">
        <v>3798</v>
      </c>
      <c r="AF86" s="418" t="s">
        <v>3798</v>
      </c>
      <c r="AG86" s="418" t="s">
        <v>3798</v>
      </c>
      <c r="AH86" s="418" t="s">
        <v>3798</v>
      </c>
      <c r="AI86" s="418" t="s">
        <v>4072</v>
      </c>
      <c r="AJ86" s="418" t="s">
        <v>4073</v>
      </c>
      <c r="AK86" s="339">
        <v>317786.8</v>
      </c>
      <c r="AL86" s="339">
        <v>312252.63</v>
      </c>
      <c r="AM86" s="339">
        <v>301575.39</v>
      </c>
      <c r="AN86" s="339">
        <v>301504.49</v>
      </c>
      <c r="AO86" s="339">
        <v>309518.36</v>
      </c>
      <c r="AP86" s="339">
        <v>310904.33</v>
      </c>
      <c r="AQ86" s="339">
        <v>309620.59000000003</v>
      </c>
      <c r="AR86" s="339">
        <v>316856.43</v>
      </c>
      <c r="AS86" s="339">
        <v>314355.59000000003</v>
      </c>
      <c r="AT86" s="339">
        <v>308287.7</v>
      </c>
      <c r="AU86" s="339">
        <v>306461.39</v>
      </c>
      <c r="AV86" s="339">
        <v>300470.19</v>
      </c>
      <c r="AW86" s="339">
        <v>291302.49</v>
      </c>
      <c r="AX86" s="339">
        <v>291250.23</v>
      </c>
      <c r="AY86" s="339">
        <v>295115.92</v>
      </c>
      <c r="AZ86" s="339">
        <v>303368.19</v>
      </c>
      <c r="BA86" s="339">
        <v>306023.40000000002</v>
      </c>
      <c r="BB86" s="339">
        <v>316159.86</v>
      </c>
      <c r="BC86" s="339">
        <v>534309.17000000004</v>
      </c>
      <c r="BD86" s="339">
        <v>313682.21999999997</v>
      </c>
      <c r="BE86" s="339">
        <v>312332.84000000003</v>
      </c>
      <c r="BF86" s="339">
        <v>317237.17</v>
      </c>
      <c r="BG86" s="339">
        <v>318375.97970000003</v>
      </c>
      <c r="BH86" s="339">
        <v>319532.09999999998</v>
      </c>
      <c r="BI86" s="339">
        <v>327348.86</v>
      </c>
      <c r="BJ86" s="339">
        <v>327998.59000000003</v>
      </c>
      <c r="BK86" s="339">
        <v>330047.99</v>
      </c>
      <c r="BL86" s="339">
        <v>333662.13</v>
      </c>
      <c r="BM86" s="339">
        <v>0</v>
      </c>
      <c r="BN86" s="339">
        <v>0</v>
      </c>
      <c r="BO86" s="339">
        <v>0</v>
      </c>
      <c r="BP86" s="339">
        <v>0</v>
      </c>
      <c r="BQ86" s="339">
        <v>0</v>
      </c>
      <c r="BR86" s="339">
        <v>0</v>
      </c>
      <c r="BS86" s="110" t="e">
        <f t="array" aca="1" ref="BS86" ca="1">_xludf.XLOOKUP(D86,'PL TOTAL D0'!N:N,'PL TOTAL D0'!P:P,"")</f>
        <v>#NAME?</v>
      </c>
      <c r="BT86" s="110"/>
    </row>
    <row r="87" spans="1:72" ht="15.75" customHeight="1">
      <c r="A87" s="122" t="s">
        <v>3785</v>
      </c>
      <c r="B87" s="104" t="s">
        <v>4074</v>
      </c>
      <c r="C87" s="441" t="s">
        <v>4075</v>
      </c>
      <c r="D87" s="422">
        <v>4068685</v>
      </c>
      <c r="E87" s="293" t="s">
        <v>19</v>
      </c>
      <c r="F87" s="293" t="s">
        <v>49</v>
      </c>
      <c r="G87" s="293" t="s">
        <v>328</v>
      </c>
      <c r="H87" s="293" t="str">
        <f>IFERROR(VLOOKUP(G87,'Cadastro de assessores'!A:B,2,FALSE),"Não Cadastrado")</f>
        <v>18009</v>
      </c>
      <c r="I87" s="293"/>
      <c r="J87" s="24" t="s">
        <v>3788</v>
      </c>
      <c r="K87" s="293" t="s">
        <v>152</v>
      </c>
      <c r="L87" s="415">
        <v>44427</v>
      </c>
      <c r="M87" s="415">
        <v>44454</v>
      </c>
      <c r="N87" s="299"/>
      <c r="O87" s="299" t="s">
        <v>3795</v>
      </c>
      <c r="P87" s="388">
        <v>1.4999999999999999E-2</v>
      </c>
      <c r="Q87" s="167" t="s">
        <v>4076</v>
      </c>
      <c r="R87" s="417"/>
      <c r="S87" s="292" t="str">
        <f t="shared" si="9"/>
        <v/>
      </c>
      <c r="T87" s="292" t="s">
        <v>145</v>
      </c>
      <c r="U87" s="292" t="s">
        <v>4077</v>
      </c>
      <c r="V87" s="299" t="s">
        <v>49</v>
      </c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0"/>
      <c r="AH87" s="350"/>
      <c r="AI87" s="339"/>
      <c r="AJ87" s="339"/>
      <c r="AK87" s="339"/>
      <c r="AL87" s="339"/>
      <c r="AM87" s="339"/>
      <c r="AN87" s="339"/>
      <c r="AO87" s="339"/>
      <c r="AP87" s="339"/>
      <c r="AQ87" s="350"/>
      <c r="AR87" s="350"/>
      <c r="AS87" s="340"/>
      <c r="AT87" s="340"/>
      <c r="AU87" s="350"/>
      <c r="AV87" s="339">
        <v>841460.79</v>
      </c>
      <c r="AW87" s="339">
        <v>771926.61</v>
      </c>
      <c r="AX87" s="339">
        <v>867575.17</v>
      </c>
      <c r="AY87" s="339">
        <v>879220.83</v>
      </c>
      <c r="AZ87" s="339">
        <v>980138.51</v>
      </c>
      <c r="BA87" s="339">
        <v>1486297.25</v>
      </c>
      <c r="BB87" s="339">
        <v>1523003.1</v>
      </c>
      <c r="BC87" s="339"/>
      <c r="BD87" s="339">
        <v>1322102.3799999999</v>
      </c>
      <c r="BE87" s="339">
        <v>1065770.24</v>
      </c>
      <c r="BF87" s="339">
        <v>1015852.31</v>
      </c>
      <c r="BG87" s="339">
        <v>822465.42859999998</v>
      </c>
      <c r="BH87" s="339">
        <v>694072.65</v>
      </c>
      <c r="BI87" s="339">
        <v>601564.34</v>
      </c>
      <c r="BJ87" s="339">
        <v>398054.13</v>
      </c>
      <c r="BK87" s="339">
        <v>400120.56</v>
      </c>
      <c r="BL87" s="339">
        <v>402331.2</v>
      </c>
      <c r="BM87" s="339">
        <v>304281.3</v>
      </c>
      <c r="BN87" s="339">
        <v>308168.90999999997</v>
      </c>
      <c r="BO87" s="339">
        <v>0</v>
      </c>
      <c r="BP87" s="339">
        <v>0</v>
      </c>
      <c r="BQ87" s="339">
        <v>0</v>
      </c>
      <c r="BR87" s="339">
        <v>0</v>
      </c>
      <c r="BS87" s="110" t="e">
        <f t="array" aca="1" ref="BS87" ca="1">_xludf.XLOOKUP(D87,'PL TOTAL D0'!N:N,'PL TOTAL D0'!P:P,"")</f>
        <v>#NAME?</v>
      </c>
      <c r="BT87" s="110"/>
    </row>
    <row r="88" spans="1:72" ht="15.75" customHeight="1">
      <c r="A88" s="122" t="s">
        <v>3785</v>
      </c>
      <c r="B88" s="104" t="s">
        <v>4078</v>
      </c>
      <c r="C88" s="441" t="s">
        <v>679</v>
      </c>
      <c r="D88" s="422">
        <v>6200964</v>
      </c>
      <c r="E88" s="293" t="s">
        <v>19</v>
      </c>
      <c r="F88" s="293" t="s">
        <v>49</v>
      </c>
      <c r="G88" s="293" t="s">
        <v>50</v>
      </c>
      <c r="H88" s="293">
        <f>IFERROR(VLOOKUP(G88,'Cadastro de assessores'!A:B,2,FALSE),"Não Cadastrado")</f>
        <v>12331</v>
      </c>
      <c r="I88" s="293"/>
      <c r="J88" s="24" t="s">
        <v>3788</v>
      </c>
      <c r="K88" s="293"/>
      <c r="L88" s="415"/>
      <c r="M88" s="415">
        <v>44851</v>
      </c>
      <c r="N88" s="299"/>
      <c r="O88" s="299" t="s">
        <v>3795</v>
      </c>
      <c r="P88" s="388">
        <v>1.4999999999999999E-2</v>
      </c>
      <c r="Q88" s="167" t="s">
        <v>4079</v>
      </c>
      <c r="R88" s="417"/>
      <c r="S88" s="292"/>
      <c r="T88" s="292"/>
      <c r="U88" s="292"/>
      <c r="V88" s="299" t="s">
        <v>49</v>
      </c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0"/>
      <c r="AH88" s="350"/>
      <c r="AI88" s="339"/>
      <c r="AJ88" s="339"/>
      <c r="AK88" s="339"/>
      <c r="AL88" s="339"/>
      <c r="AM88" s="339"/>
      <c r="AN88" s="339"/>
      <c r="AO88" s="339"/>
      <c r="AP88" s="339"/>
      <c r="AQ88" s="350"/>
      <c r="AR88" s="350"/>
      <c r="AS88" s="340"/>
      <c r="AT88" s="340"/>
      <c r="AU88" s="350"/>
      <c r="AV88" s="339"/>
      <c r="AW88" s="339"/>
      <c r="AX88" s="339"/>
      <c r="AY88" s="339"/>
      <c r="AZ88" s="339"/>
      <c r="BA88" s="339"/>
      <c r="BB88" s="339"/>
      <c r="BC88" s="339"/>
      <c r="BD88" s="339"/>
      <c r="BE88" s="339"/>
      <c r="BF88" s="339"/>
      <c r="BG88" s="339"/>
      <c r="BH88" s="339"/>
      <c r="BI88" s="339">
        <v>100573.01</v>
      </c>
      <c r="BJ88" s="339">
        <v>101202.63</v>
      </c>
      <c r="BK88" s="339">
        <v>101938.92</v>
      </c>
      <c r="BL88" s="339">
        <v>102987.13</v>
      </c>
      <c r="BM88" s="339">
        <v>103762.49</v>
      </c>
      <c r="BN88" s="339">
        <v>4135.72</v>
      </c>
      <c r="BO88" s="339">
        <v>0</v>
      </c>
      <c r="BP88" s="339">
        <v>0</v>
      </c>
      <c r="BQ88" s="339">
        <v>0</v>
      </c>
      <c r="BR88" s="339">
        <v>0</v>
      </c>
      <c r="BS88" s="110" t="e">
        <f t="array" aca="1" ref="BS88" ca="1">_xludf.XLOOKUP(D88,'PL TOTAL D0'!N:N,'PL TOTAL D0'!P:P,"")</f>
        <v>#NAME?</v>
      </c>
      <c r="BT88" s="110"/>
    </row>
    <row r="89" spans="1:72" ht="15.75" customHeight="1">
      <c r="A89" s="122" t="s">
        <v>3785</v>
      </c>
      <c r="B89" s="104" t="s">
        <v>4080</v>
      </c>
      <c r="C89" s="390" t="s">
        <v>4081</v>
      </c>
      <c r="D89" s="432">
        <v>7911381</v>
      </c>
      <c r="E89" s="292" t="s">
        <v>19</v>
      </c>
      <c r="F89" s="292" t="s">
        <v>20</v>
      </c>
      <c r="G89" s="292" t="s">
        <v>199</v>
      </c>
      <c r="H89" s="299">
        <f>IFERROR(VLOOKUP(G89,'Cadastro de assessores'!A:B,2,FALSE),"Não Cadastrado")</f>
        <v>12332</v>
      </c>
      <c r="I89" s="299"/>
      <c r="J89" s="24" t="s">
        <v>143</v>
      </c>
      <c r="K89" s="292" t="s">
        <v>3794</v>
      </c>
      <c r="L89" s="387">
        <v>44655</v>
      </c>
      <c r="M89" s="387">
        <v>44655</v>
      </c>
      <c r="N89" s="391">
        <v>44723</v>
      </c>
      <c r="O89" s="299" t="s">
        <v>3802</v>
      </c>
      <c r="P89" s="388">
        <v>7.0000000000000001E-3</v>
      </c>
      <c r="Q89" s="167" t="s">
        <v>4082</v>
      </c>
      <c r="R89" s="417"/>
      <c r="S89" s="292" t="str">
        <f>IF(BC89&lt;=0,"",IF(BC89&lt;=1000000,"Não Qualificado",IF(AND(BC89&gt;1000000,BC89&lt;=10000000),"Qualificado","Profissional")))</f>
        <v>Não Qualificado</v>
      </c>
      <c r="T89" s="292" t="s">
        <v>145</v>
      </c>
      <c r="U89" s="292" t="s">
        <v>3933</v>
      </c>
      <c r="V89" s="292" t="s">
        <v>20</v>
      </c>
      <c r="W89" s="350"/>
      <c r="X89" s="350"/>
      <c r="Y89" s="350"/>
      <c r="Z89" s="350"/>
      <c r="AA89" s="350"/>
      <c r="AB89" s="350"/>
      <c r="AC89" s="350"/>
      <c r="AD89" s="350"/>
      <c r="AE89" s="350"/>
      <c r="AF89" s="350"/>
      <c r="AG89" s="350"/>
      <c r="AH89" s="350"/>
      <c r="AI89" s="418"/>
      <c r="AJ89" s="339"/>
      <c r="AK89" s="339"/>
      <c r="AL89" s="339"/>
      <c r="AM89" s="339"/>
      <c r="AN89" s="339"/>
      <c r="AO89" s="339"/>
      <c r="AP89" s="339"/>
      <c r="AQ89" s="339"/>
      <c r="AR89" s="339"/>
      <c r="AS89" s="350"/>
      <c r="AT89" s="340"/>
      <c r="AU89" s="340"/>
      <c r="AV89" s="339"/>
      <c r="AW89" s="339"/>
      <c r="AX89" s="339"/>
      <c r="AY89" s="339"/>
      <c r="AZ89" s="339"/>
      <c r="BA89" s="339"/>
      <c r="BB89" s="339"/>
      <c r="BC89" s="339">
        <v>238157.51</v>
      </c>
      <c r="BD89" s="339">
        <v>101108.1</v>
      </c>
      <c r="BE89" s="339">
        <v>101769.13</v>
      </c>
      <c r="BF89" s="339">
        <v>0</v>
      </c>
      <c r="BG89" s="339">
        <v>0</v>
      </c>
      <c r="BH89" s="339">
        <v>0</v>
      </c>
      <c r="BI89" s="339">
        <v>0</v>
      </c>
      <c r="BJ89" s="339">
        <v>0</v>
      </c>
      <c r="BK89" s="339">
        <v>0</v>
      </c>
      <c r="BL89" s="339">
        <v>0</v>
      </c>
      <c r="BM89" s="339">
        <v>0</v>
      </c>
      <c r="BN89" s="339">
        <v>0</v>
      </c>
      <c r="BO89" s="339">
        <v>0</v>
      </c>
      <c r="BP89" s="339">
        <v>0</v>
      </c>
      <c r="BQ89" s="339">
        <v>0</v>
      </c>
      <c r="BR89" s="339">
        <v>0</v>
      </c>
      <c r="BS89" s="110" t="e">
        <f t="array" aca="1" ref="BS89" ca="1">_xludf.XLOOKUP(D89,'PL TOTAL D0'!N:N,'PL TOTAL D0'!P:P,"")</f>
        <v>#NAME?</v>
      </c>
      <c r="BT89" s="110"/>
    </row>
    <row r="90" spans="1:72" ht="15.75" customHeight="1">
      <c r="A90" s="122" t="s">
        <v>3785</v>
      </c>
      <c r="B90" s="104" t="s">
        <v>696</v>
      </c>
      <c r="C90" s="441" t="s">
        <v>4083</v>
      </c>
      <c r="D90" s="422">
        <v>9009694</v>
      </c>
      <c r="E90" s="293" t="s">
        <v>19</v>
      </c>
      <c r="F90" s="293" t="s">
        <v>49</v>
      </c>
      <c r="G90" s="293" t="s">
        <v>50</v>
      </c>
      <c r="H90" s="293">
        <f>IFERROR(VLOOKUP(G90,'Cadastro de assessores'!A:B,2,FALSE),"Não Cadastrado")</f>
        <v>12331</v>
      </c>
      <c r="I90" s="293"/>
      <c r="J90" s="24" t="s">
        <v>3788</v>
      </c>
      <c r="K90" s="293" t="s">
        <v>152</v>
      </c>
      <c r="L90" s="415">
        <v>44760</v>
      </c>
      <c r="M90" s="415">
        <v>44762</v>
      </c>
      <c r="N90" s="299"/>
      <c r="O90" s="299" t="s">
        <v>3805</v>
      </c>
      <c r="P90" s="388">
        <v>1.2E-2</v>
      </c>
      <c r="Q90" s="420" t="s">
        <v>4084</v>
      </c>
      <c r="R90" s="417"/>
      <c r="S90" s="292"/>
      <c r="T90" s="292" t="s">
        <v>145</v>
      </c>
      <c r="U90" s="292"/>
      <c r="V90" s="299" t="s">
        <v>49</v>
      </c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0"/>
      <c r="AH90" s="350"/>
      <c r="AI90" s="339"/>
      <c r="AJ90" s="339"/>
      <c r="AK90" s="339"/>
      <c r="AL90" s="339"/>
      <c r="AM90" s="339"/>
      <c r="AN90" s="339"/>
      <c r="AO90" s="339"/>
      <c r="AP90" s="339"/>
      <c r="AQ90" s="350"/>
      <c r="AR90" s="350"/>
      <c r="AS90" s="340"/>
      <c r="AT90" s="340"/>
      <c r="AU90" s="350"/>
      <c r="AV90" s="339"/>
      <c r="AW90" s="339"/>
      <c r="AX90" s="339"/>
      <c r="AY90" s="339"/>
      <c r="AZ90" s="339"/>
      <c r="BA90" s="339"/>
      <c r="BB90" s="339"/>
      <c r="BC90" s="339"/>
      <c r="BD90" s="339"/>
      <c r="BE90" s="339"/>
      <c r="BF90" s="339">
        <v>150490.96</v>
      </c>
      <c r="BG90" s="339">
        <v>191744.61309999999</v>
      </c>
      <c r="BH90" s="339">
        <v>173541.41</v>
      </c>
      <c r="BI90" s="339">
        <v>177038.27</v>
      </c>
      <c r="BJ90" s="339">
        <v>177889.47</v>
      </c>
      <c r="BK90" s="339">
        <v>179567.29</v>
      </c>
      <c r="BL90" s="339">
        <v>6285.65</v>
      </c>
      <c r="BM90" s="339">
        <v>88.68</v>
      </c>
      <c r="BN90" s="339">
        <v>88.69</v>
      </c>
      <c r="BO90" s="339">
        <v>88.69</v>
      </c>
      <c r="BP90" s="339">
        <v>88.69</v>
      </c>
      <c r="BQ90" s="339">
        <v>88.69</v>
      </c>
      <c r="BR90" s="339">
        <v>88.69</v>
      </c>
      <c r="BS90" s="110" t="e">
        <f t="array" aca="1" ref="BS90" ca="1">_xludf.XLOOKUP(D90,'PL TOTAL D0'!N:N,'PL TOTAL D0'!P:P,"")</f>
        <v>#NAME?</v>
      </c>
      <c r="BT90" s="110"/>
    </row>
    <row r="91" spans="1:72" ht="15.75" customHeight="1">
      <c r="A91" s="122" t="s">
        <v>3785</v>
      </c>
      <c r="B91" s="104" t="s">
        <v>699</v>
      </c>
      <c r="C91" s="390" t="s">
        <v>697</v>
      </c>
      <c r="D91" s="299">
        <v>2218849</v>
      </c>
      <c r="E91" s="293" t="s">
        <v>19</v>
      </c>
      <c r="F91" s="293" t="s">
        <v>49</v>
      </c>
      <c r="G91" s="293" t="s">
        <v>328</v>
      </c>
      <c r="H91" s="299" t="str">
        <f>IFERROR(VLOOKUP(G91,'Cadastro de assessores'!A:B,2,FALSE),"Não Cadastrado")</f>
        <v>18009</v>
      </c>
      <c r="I91" s="299"/>
      <c r="J91" s="24" t="s">
        <v>3788</v>
      </c>
      <c r="K91" s="293" t="s">
        <v>152</v>
      </c>
      <c r="L91" s="415">
        <v>44407</v>
      </c>
      <c r="M91" s="415">
        <v>44407</v>
      </c>
      <c r="N91" s="299"/>
      <c r="O91" s="299" t="s">
        <v>4010</v>
      </c>
      <c r="P91" s="388">
        <v>0.02</v>
      </c>
      <c r="Q91" s="167" t="s">
        <v>4085</v>
      </c>
      <c r="R91" s="417"/>
      <c r="S91" s="292" t="str">
        <f t="shared" ref="S91:S108" si="10">IF(BC91&lt;=0,"",IF(BC91&lt;=1000000,"Não Qualificado",IF(AND(BC91&gt;1000000,BC91&lt;=10000000),"Qualificado","Profissional")))</f>
        <v>Não Qualificado</v>
      </c>
      <c r="T91" s="292" t="s">
        <v>145</v>
      </c>
      <c r="U91" s="292" t="s">
        <v>3846</v>
      </c>
      <c r="V91" s="292" t="s">
        <v>46</v>
      </c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0"/>
      <c r="AH91" s="418"/>
      <c r="AI91" s="339"/>
      <c r="AJ91" s="339"/>
      <c r="AK91" s="339"/>
      <c r="AL91" s="339"/>
      <c r="AM91" s="339"/>
      <c r="AN91" s="339"/>
      <c r="AO91" s="339"/>
      <c r="AP91" s="339"/>
      <c r="AQ91" s="339"/>
      <c r="AR91" s="350"/>
      <c r="AS91" s="350"/>
      <c r="AT91" s="340">
        <v>254666.05</v>
      </c>
      <c r="AU91" s="340">
        <v>252460.97</v>
      </c>
      <c r="AV91" s="339">
        <v>256694.45</v>
      </c>
      <c r="AW91" s="339">
        <v>241065.82</v>
      </c>
      <c r="AX91" s="339">
        <v>244859.61</v>
      </c>
      <c r="AY91" s="339">
        <v>243016.79</v>
      </c>
      <c r="AZ91" s="339">
        <v>249436.95</v>
      </c>
      <c r="BA91" s="339">
        <v>257266.38</v>
      </c>
      <c r="BB91" s="339">
        <v>241372.76</v>
      </c>
      <c r="BC91" s="339">
        <v>153467.54999999999</v>
      </c>
      <c r="BD91" s="339">
        <v>239398.93</v>
      </c>
      <c r="BE91" s="339">
        <v>223029.79</v>
      </c>
      <c r="BF91" s="339">
        <v>218626.56</v>
      </c>
      <c r="BG91" s="339">
        <v>224454.54889999999</v>
      </c>
      <c r="BH91" s="339">
        <v>226595.59</v>
      </c>
      <c r="BI91" s="339">
        <v>245546.86</v>
      </c>
      <c r="BJ91" s="339">
        <v>233211.47</v>
      </c>
      <c r="BK91" s="339">
        <v>231295.8</v>
      </c>
      <c r="BL91" s="339">
        <v>229524</v>
      </c>
      <c r="BM91" s="339">
        <v>227321.7</v>
      </c>
      <c r="BN91" s="339">
        <v>229710.88</v>
      </c>
      <c r="BO91" s="339">
        <v>234156.92</v>
      </c>
      <c r="BP91" s="339">
        <v>233974.86</v>
      </c>
      <c r="BQ91" s="339">
        <v>240669.12</v>
      </c>
      <c r="BR91" s="339">
        <v>239327.8</v>
      </c>
      <c r="BS91" s="110" t="e">
        <f t="array" aca="1" ref="BS91" ca="1">_xludf.XLOOKUP(D91,'PL TOTAL D0'!N:N,'PL TOTAL D0'!P:P,"")</f>
        <v>#NAME?</v>
      </c>
      <c r="BT91" s="110"/>
    </row>
    <row r="92" spans="1:72" ht="15.75" customHeight="1">
      <c r="A92" s="122" t="s">
        <v>3785</v>
      </c>
      <c r="B92" s="104" t="s">
        <v>4086</v>
      </c>
      <c r="C92" s="390" t="s">
        <v>4087</v>
      </c>
      <c r="D92" s="299">
        <v>5900668</v>
      </c>
      <c r="E92" s="293" t="s">
        <v>19</v>
      </c>
      <c r="F92" s="293" t="s">
        <v>49</v>
      </c>
      <c r="G92" s="293" t="s">
        <v>328</v>
      </c>
      <c r="H92" s="299" t="str">
        <f>IFERROR(VLOOKUP(G92,'Cadastro de assessores'!A:B,2,FALSE),"Não Cadastrado")</f>
        <v>18009</v>
      </c>
      <c r="I92" s="299"/>
      <c r="J92" s="24" t="s">
        <v>3788</v>
      </c>
      <c r="K92" s="292" t="s">
        <v>161</v>
      </c>
      <c r="L92" s="292" t="s">
        <v>3147</v>
      </c>
      <c r="M92" s="436" t="s">
        <v>3638</v>
      </c>
      <c r="N92" s="299"/>
      <c r="O92" s="299" t="s">
        <v>3789</v>
      </c>
      <c r="P92" s="388">
        <v>0.02</v>
      </c>
      <c r="Q92" s="167"/>
      <c r="R92" s="417"/>
      <c r="S92" s="292" t="str">
        <f t="shared" si="10"/>
        <v/>
      </c>
      <c r="T92" s="292" t="s">
        <v>145</v>
      </c>
      <c r="U92" s="292" t="s">
        <v>3846</v>
      </c>
      <c r="V92" s="292" t="s">
        <v>46</v>
      </c>
      <c r="W92" s="350"/>
      <c r="X92" s="350"/>
      <c r="Y92" s="350"/>
      <c r="Z92" s="350"/>
      <c r="AA92" s="350"/>
      <c r="AB92" s="350"/>
      <c r="AC92" s="350"/>
      <c r="AD92" s="350"/>
      <c r="AE92" s="350"/>
      <c r="AF92" s="350"/>
      <c r="AG92" s="350"/>
      <c r="AH92" s="350"/>
      <c r="AI92" s="418"/>
      <c r="AJ92" s="339"/>
      <c r="AK92" s="339"/>
      <c r="AL92" s="339"/>
      <c r="AM92" s="339"/>
      <c r="AN92" s="339"/>
      <c r="AO92" s="339"/>
      <c r="AP92" s="339"/>
      <c r="AQ92" s="339"/>
      <c r="AR92" s="339"/>
      <c r="AS92" s="350"/>
      <c r="AT92" s="340"/>
      <c r="AU92" s="340"/>
      <c r="AV92" s="339"/>
      <c r="AW92" s="339"/>
      <c r="AX92" s="339"/>
      <c r="AY92" s="339"/>
      <c r="AZ92" s="339"/>
      <c r="BA92" s="339">
        <v>0</v>
      </c>
      <c r="BB92" s="339">
        <v>0</v>
      </c>
      <c r="BC92" s="339">
        <v>0</v>
      </c>
      <c r="BD92" s="339" t="s">
        <v>2932</v>
      </c>
      <c r="BE92" s="339" t="s">
        <v>2932</v>
      </c>
      <c r="BF92" s="339">
        <v>0</v>
      </c>
      <c r="BG92" s="339">
        <v>0</v>
      </c>
      <c r="BH92" s="339">
        <v>0</v>
      </c>
      <c r="BI92" s="339">
        <v>0</v>
      </c>
      <c r="BJ92" s="339">
        <v>0</v>
      </c>
      <c r="BK92" s="339">
        <v>0</v>
      </c>
      <c r="BL92" s="339">
        <v>0</v>
      </c>
      <c r="BM92" s="339">
        <v>0</v>
      </c>
      <c r="BN92" s="339">
        <v>0</v>
      </c>
      <c r="BO92" s="339">
        <v>0</v>
      </c>
      <c r="BP92" s="339">
        <v>0</v>
      </c>
      <c r="BQ92" s="339">
        <v>0</v>
      </c>
      <c r="BR92" s="339">
        <v>0</v>
      </c>
      <c r="BS92" s="110" t="e">
        <f t="array" aca="1" ref="BS92" ca="1">_xludf.XLOOKUP(D92,'PL TOTAL D0'!N:N,'PL TOTAL D0'!P:P,"")</f>
        <v>#NAME?</v>
      </c>
      <c r="BT92" s="110"/>
    </row>
    <row r="93" spans="1:72" ht="15.75" customHeight="1">
      <c r="A93" s="122" t="s">
        <v>3785</v>
      </c>
      <c r="B93" s="104" t="s">
        <v>4088</v>
      </c>
      <c r="C93" s="122" t="s">
        <v>4089</v>
      </c>
      <c r="D93" s="292">
        <v>4748841</v>
      </c>
      <c r="E93" s="292" t="s">
        <v>2923</v>
      </c>
      <c r="F93" s="292" t="s">
        <v>20</v>
      </c>
      <c r="G93" s="292" t="s">
        <v>2923</v>
      </c>
      <c r="H93" s="292" t="str">
        <f>IFERROR(VLOOKUP(G93,'Cadastro de assessores'!A:B,2,FALSE),"Não Cadastrado")</f>
        <v>18986</v>
      </c>
      <c r="I93" s="292"/>
      <c r="J93" s="24" t="s">
        <v>143</v>
      </c>
      <c r="K93" s="292" t="s">
        <v>3794</v>
      </c>
      <c r="L93" s="387">
        <v>44215</v>
      </c>
      <c r="M93" s="387">
        <v>44215</v>
      </c>
      <c r="N93" s="387">
        <v>44719</v>
      </c>
      <c r="O93" s="292" t="s">
        <v>3809</v>
      </c>
      <c r="P93" s="388">
        <v>2.5000000000000001E-2</v>
      </c>
      <c r="Q93" s="420" t="s">
        <v>4090</v>
      </c>
      <c r="R93" s="417"/>
      <c r="S93" s="292" t="str">
        <f t="shared" si="10"/>
        <v/>
      </c>
      <c r="T93" s="292" t="s">
        <v>145</v>
      </c>
      <c r="U93" s="292" t="s">
        <v>3929</v>
      </c>
      <c r="V93" s="292" t="s">
        <v>20</v>
      </c>
      <c r="W93" s="418"/>
      <c r="X93" s="418"/>
      <c r="Y93" s="418"/>
      <c r="Z93" s="418"/>
      <c r="AA93" s="418"/>
      <c r="AB93" s="418"/>
      <c r="AC93" s="418"/>
      <c r="AD93" s="418"/>
      <c r="AE93" s="418"/>
      <c r="AF93" s="418"/>
      <c r="AG93" s="418"/>
      <c r="AH93" s="418"/>
      <c r="AI93" s="418"/>
      <c r="AJ93" s="418"/>
      <c r="AK93" s="339"/>
      <c r="AL93" s="339">
        <v>249727</v>
      </c>
      <c r="AM93" s="339">
        <v>243322.85</v>
      </c>
      <c r="AN93" s="339">
        <v>242818.18</v>
      </c>
      <c r="AO93" s="339">
        <v>250418.51</v>
      </c>
      <c r="AP93" s="339">
        <v>251699.24</v>
      </c>
      <c r="AQ93" s="339">
        <v>215492.57</v>
      </c>
      <c r="AR93" s="339">
        <v>221713.63</v>
      </c>
      <c r="AS93" s="339">
        <v>218723.89</v>
      </c>
      <c r="AT93" s="339">
        <v>174595.72</v>
      </c>
      <c r="AU93" s="339">
        <v>172223.71</v>
      </c>
      <c r="AV93" s="339">
        <v>244460.85</v>
      </c>
      <c r="AW93" s="339">
        <v>124071.75</v>
      </c>
      <c r="AX93" s="339">
        <v>121472.21</v>
      </c>
      <c r="AY93" s="339">
        <v>124413.65</v>
      </c>
      <c r="AZ93" s="339">
        <v>132440.34</v>
      </c>
      <c r="BA93" s="339">
        <v>34951.480000000003</v>
      </c>
      <c r="BB93" s="339">
        <v>0</v>
      </c>
      <c r="BC93" s="339">
        <v>0</v>
      </c>
      <c r="BD93" s="339">
        <v>619.95000000000005</v>
      </c>
      <c r="BE93" s="339" t="s">
        <v>2932</v>
      </c>
      <c r="BF93" s="339">
        <v>0</v>
      </c>
      <c r="BG93" s="339">
        <v>0</v>
      </c>
      <c r="BH93" s="339">
        <v>0</v>
      </c>
      <c r="BI93" s="339">
        <v>0</v>
      </c>
      <c r="BJ93" s="339">
        <v>0</v>
      </c>
      <c r="BK93" s="339">
        <v>0</v>
      </c>
      <c r="BL93" s="339">
        <v>0</v>
      </c>
      <c r="BM93" s="339">
        <v>0</v>
      </c>
      <c r="BN93" s="339">
        <v>0</v>
      </c>
      <c r="BO93" s="339">
        <v>0</v>
      </c>
      <c r="BP93" s="339">
        <v>0</v>
      </c>
      <c r="BQ93" s="339">
        <v>0</v>
      </c>
      <c r="BR93" s="339">
        <v>0</v>
      </c>
      <c r="BS93" s="110" t="e">
        <f t="array" aca="1" ref="BS93" ca="1">_xludf.XLOOKUP(D93,'PL TOTAL D0'!N:N,'PL TOTAL D0'!P:P,"")</f>
        <v>#NAME?</v>
      </c>
      <c r="BT93" s="110"/>
    </row>
    <row r="94" spans="1:72" ht="15.75" customHeight="1">
      <c r="A94" s="122" t="s">
        <v>3785</v>
      </c>
      <c r="B94" s="104" t="s">
        <v>4091</v>
      </c>
      <c r="C94" s="390" t="s">
        <v>4092</v>
      </c>
      <c r="D94" s="299">
        <v>5891248</v>
      </c>
      <c r="E94" s="292" t="s">
        <v>19</v>
      </c>
      <c r="F94" s="292" t="s">
        <v>49</v>
      </c>
      <c r="G94" s="292" t="s">
        <v>328</v>
      </c>
      <c r="H94" s="292" t="str">
        <f>IFERROR(VLOOKUP(G94,'Cadastro de assessores'!A:B,2,FALSE),"Não Cadastrado")</f>
        <v>18009</v>
      </c>
      <c r="I94" s="292"/>
      <c r="J94" s="24" t="s">
        <v>143</v>
      </c>
      <c r="K94" s="292" t="s">
        <v>3794</v>
      </c>
      <c r="L94" s="391">
        <v>44385</v>
      </c>
      <c r="M94" s="391">
        <v>44385</v>
      </c>
      <c r="N94" s="391">
        <v>44650</v>
      </c>
      <c r="O94" s="299" t="s">
        <v>3789</v>
      </c>
      <c r="P94" s="388">
        <v>0.02</v>
      </c>
      <c r="Q94" s="420" t="s">
        <v>4093</v>
      </c>
      <c r="R94" s="417"/>
      <c r="S94" s="292" t="str">
        <f t="shared" si="10"/>
        <v>Qualificado</v>
      </c>
      <c r="T94" s="292" t="s">
        <v>145</v>
      </c>
      <c r="U94" s="292" t="s">
        <v>4094</v>
      </c>
      <c r="V94" s="292" t="s">
        <v>46</v>
      </c>
      <c r="W94" s="418"/>
      <c r="X94" s="418"/>
      <c r="Y94" s="418"/>
      <c r="Z94" s="418"/>
      <c r="AA94" s="418"/>
      <c r="AB94" s="418"/>
      <c r="AC94" s="418"/>
      <c r="AD94" s="418"/>
      <c r="AE94" s="418"/>
      <c r="AF94" s="418"/>
      <c r="AG94" s="418"/>
      <c r="AH94" s="418"/>
      <c r="AI94" s="418"/>
      <c r="AJ94" s="418"/>
      <c r="AK94" s="339"/>
      <c r="AL94" s="339"/>
      <c r="AM94" s="339"/>
      <c r="AN94" s="339"/>
      <c r="AO94" s="339"/>
      <c r="AP94" s="339"/>
      <c r="AQ94" s="339"/>
      <c r="AR94" s="339"/>
      <c r="AS94" s="339"/>
      <c r="AT94" s="339">
        <v>150008.04999999999</v>
      </c>
      <c r="AU94" s="339">
        <v>148076.54</v>
      </c>
      <c r="AV94" s="339">
        <v>143699.95000000001</v>
      </c>
      <c r="AW94" s="339">
        <v>136925.10999999999</v>
      </c>
      <c r="AX94" s="339">
        <v>136509.01</v>
      </c>
      <c r="AY94" s="339">
        <v>138172.22</v>
      </c>
      <c r="AZ94" s="339">
        <v>144484.64000000001</v>
      </c>
      <c r="BA94" s="339">
        <v>145748.73000000001</v>
      </c>
      <c r="BB94" s="339">
        <v>152597.54</v>
      </c>
      <c r="BC94" s="339">
        <v>2853631.15</v>
      </c>
      <c r="BD94" s="339" t="s">
        <v>2932</v>
      </c>
      <c r="BE94" s="339" t="s">
        <v>2932</v>
      </c>
      <c r="BF94" s="339">
        <v>0</v>
      </c>
      <c r="BG94" s="339">
        <v>0</v>
      </c>
      <c r="BH94" s="339">
        <v>0</v>
      </c>
      <c r="BI94" s="339">
        <v>0</v>
      </c>
      <c r="BJ94" s="339">
        <v>0</v>
      </c>
      <c r="BK94" s="339">
        <v>0</v>
      </c>
      <c r="BL94" s="339">
        <v>0</v>
      </c>
      <c r="BM94" s="339">
        <v>0</v>
      </c>
      <c r="BN94" s="339">
        <v>0</v>
      </c>
      <c r="BO94" s="339">
        <v>0</v>
      </c>
      <c r="BP94" s="339">
        <v>0</v>
      </c>
      <c r="BQ94" s="339">
        <v>0</v>
      </c>
      <c r="BR94" s="339">
        <v>0</v>
      </c>
      <c r="BS94" s="110" t="e">
        <f t="array" aca="1" ref="BS94" ca="1">_xludf.XLOOKUP(D94,'PL TOTAL D0'!N:N,'PL TOTAL D0'!P:P,"")</f>
        <v>#NAME?</v>
      </c>
      <c r="BT94" s="110"/>
    </row>
    <row r="95" spans="1:72" ht="15.75" customHeight="1">
      <c r="A95" s="122" t="s">
        <v>3785</v>
      </c>
      <c r="B95" s="104" t="s">
        <v>4095</v>
      </c>
      <c r="C95" s="122" t="s">
        <v>4096</v>
      </c>
      <c r="D95" s="292">
        <v>4947220</v>
      </c>
      <c r="E95" s="292" t="s">
        <v>19</v>
      </c>
      <c r="F95" s="292" t="s">
        <v>20</v>
      </c>
      <c r="G95" s="292" t="s">
        <v>4097</v>
      </c>
      <c r="H95" s="292">
        <f>IFERROR(VLOOKUP(G95,'Cadastro de assessores'!A:B,2,FALSE),"Não Cadastrado")</f>
        <v>12339</v>
      </c>
      <c r="I95" s="292"/>
      <c r="J95" s="24" t="s">
        <v>143</v>
      </c>
      <c r="K95" s="292" t="s">
        <v>3794</v>
      </c>
      <c r="L95" s="387">
        <v>44277</v>
      </c>
      <c r="M95" s="387">
        <v>44277</v>
      </c>
      <c r="N95" s="387">
        <v>44781</v>
      </c>
      <c r="O95" s="292" t="s">
        <v>3805</v>
      </c>
      <c r="P95" s="388">
        <v>1.2E-2</v>
      </c>
      <c r="Q95" s="420" t="s">
        <v>4098</v>
      </c>
      <c r="R95" s="417"/>
      <c r="S95" s="292" t="str">
        <f t="shared" si="10"/>
        <v>Não Qualificado</v>
      </c>
      <c r="T95" s="292" t="s">
        <v>145</v>
      </c>
      <c r="U95" s="292" t="s">
        <v>3846</v>
      </c>
      <c r="V95" s="292" t="s">
        <v>46</v>
      </c>
      <c r="W95" s="418"/>
      <c r="X95" s="418"/>
      <c r="Y95" s="418"/>
      <c r="Z95" s="418"/>
      <c r="AA95" s="418"/>
      <c r="AB95" s="418"/>
      <c r="AC95" s="418"/>
      <c r="AD95" s="418"/>
      <c r="AE95" s="418"/>
      <c r="AF95" s="418"/>
      <c r="AG95" s="418"/>
      <c r="AH95" s="418"/>
      <c r="AI95" s="418"/>
      <c r="AJ95" s="418"/>
      <c r="AK95" s="339"/>
      <c r="AL95" s="339"/>
      <c r="AM95" s="339"/>
      <c r="AN95" s="339"/>
      <c r="AO95" s="339">
        <v>150812.69</v>
      </c>
      <c r="AP95" s="339">
        <v>151366.6</v>
      </c>
      <c r="AQ95" s="339">
        <v>151085.45000000001</v>
      </c>
      <c r="AR95" s="339">
        <v>148417.9</v>
      </c>
      <c r="AS95" s="339">
        <v>148017.04</v>
      </c>
      <c r="AT95" s="339">
        <v>146721.57</v>
      </c>
      <c r="AU95" s="339">
        <v>146506.39000000001</v>
      </c>
      <c r="AV95" s="339">
        <v>150122.96</v>
      </c>
      <c r="AW95" s="339">
        <v>144128.04</v>
      </c>
      <c r="AX95" s="339">
        <v>149443.76</v>
      </c>
      <c r="AY95" s="339">
        <v>150913.95000000001</v>
      </c>
      <c r="AZ95" s="339">
        <v>152666.89000000001</v>
      </c>
      <c r="BA95" s="339">
        <v>153760.43</v>
      </c>
      <c r="BB95" s="339">
        <v>158086.84</v>
      </c>
      <c r="BC95" s="339">
        <v>218875.33</v>
      </c>
      <c r="BD95" s="339">
        <v>157281.76</v>
      </c>
      <c r="BE95" s="339">
        <v>157002.07</v>
      </c>
      <c r="BF95" s="339">
        <v>159766.73000000001</v>
      </c>
      <c r="BG95" s="339">
        <v>0</v>
      </c>
      <c r="BH95" s="339">
        <v>0</v>
      </c>
      <c r="BI95" s="339">
        <v>0</v>
      </c>
      <c r="BJ95" s="339">
        <v>0</v>
      </c>
      <c r="BK95" s="339">
        <v>0</v>
      </c>
      <c r="BL95" s="339">
        <v>0</v>
      </c>
      <c r="BM95" s="339">
        <v>0</v>
      </c>
      <c r="BN95" s="339">
        <v>0</v>
      </c>
      <c r="BO95" s="339">
        <v>0</v>
      </c>
      <c r="BP95" s="339">
        <v>0</v>
      </c>
      <c r="BQ95" s="339">
        <v>0</v>
      </c>
      <c r="BR95" s="339">
        <v>0</v>
      </c>
      <c r="BS95" s="110" t="e">
        <f t="array" aca="1" ref="BS95" ca="1">_xludf.XLOOKUP(D95,'PL TOTAL D0'!N:N,'PL TOTAL D0'!P:P,"")</f>
        <v>#NAME?</v>
      </c>
      <c r="BT95" s="110"/>
    </row>
    <row r="96" spans="1:72" ht="15.75" customHeight="1">
      <c r="A96" s="122" t="s">
        <v>3785</v>
      </c>
      <c r="B96" s="104" t="s">
        <v>4099</v>
      </c>
      <c r="C96" s="441" t="s">
        <v>4100</v>
      </c>
      <c r="D96" s="293">
        <v>6478648</v>
      </c>
      <c r="E96" s="293" t="s">
        <v>19</v>
      </c>
      <c r="F96" s="293" t="s">
        <v>49</v>
      </c>
      <c r="G96" s="426" t="s">
        <v>328</v>
      </c>
      <c r="H96" s="426" t="str">
        <f>IFERROR(VLOOKUP(G96,'Cadastro de assessores'!A:B,2,FALSE),"Não Cadastrado")</f>
        <v>18009</v>
      </c>
      <c r="I96" s="426"/>
      <c r="J96" s="24" t="s">
        <v>143</v>
      </c>
      <c r="K96" s="293" t="s">
        <v>152</v>
      </c>
      <c r="L96" s="415">
        <v>44442</v>
      </c>
      <c r="M96" s="415">
        <v>44445</v>
      </c>
      <c r="N96" s="419">
        <v>44914</v>
      </c>
      <c r="O96" s="292" t="s">
        <v>3802</v>
      </c>
      <c r="P96" s="388">
        <v>7.0000000000000001E-3</v>
      </c>
      <c r="Q96" s="167" t="s">
        <v>4101</v>
      </c>
      <c r="R96" s="417"/>
      <c r="S96" s="292" t="str">
        <f t="shared" si="10"/>
        <v>Não Qualificado</v>
      </c>
      <c r="T96" s="292" t="s">
        <v>145</v>
      </c>
      <c r="U96" s="292" t="s">
        <v>3967</v>
      </c>
      <c r="V96" s="299" t="s">
        <v>49</v>
      </c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0"/>
      <c r="AH96" s="418"/>
      <c r="AI96" s="418"/>
      <c r="AJ96" s="339"/>
      <c r="AK96" s="339"/>
      <c r="AL96" s="339"/>
      <c r="AM96" s="339"/>
      <c r="AN96" s="339"/>
      <c r="AO96" s="339"/>
      <c r="AP96" s="339"/>
      <c r="AQ96" s="339"/>
      <c r="AR96" s="339"/>
      <c r="AS96" s="431"/>
      <c r="AT96" s="340"/>
      <c r="AU96" s="340"/>
      <c r="AV96" s="339">
        <v>297488.08</v>
      </c>
      <c r="AW96" s="339">
        <v>294524.17</v>
      </c>
      <c r="AX96" s="339">
        <v>288767.11</v>
      </c>
      <c r="AY96" s="339">
        <v>291862.28999999998</v>
      </c>
      <c r="AZ96" s="339">
        <v>294452</v>
      </c>
      <c r="BA96" s="339">
        <v>296620.5</v>
      </c>
      <c r="BB96" s="339">
        <v>299685.82</v>
      </c>
      <c r="BC96" s="339">
        <v>195987.57</v>
      </c>
      <c r="BD96" s="339">
        <v>236196.34</v>
      </c>
      <c r="BE96" s="339">
        <v>202739.8</v>
      </c>
      <c r="BF96" s="339">
        <v>170632.19</v>
      </c>
      <c r="BG96" s="339">
        <v>171250.63380000001</v>
      </c>
      <c r="BH96" s="339">
        <v>172148.08</v>
      </c>
      <c r="BI96" s="339">
        <v>142866.96</v>
      </c>
      <c r="BJ96" s="339">
        <v>144168.4</v>
      </c>
      <c r="BK96" s="339">
        <v>0</v>
      </c>
      <c r="BL96" s="339">
        <v>0</v>
      </c>
      <c r="BM96" s="339">
        <v>0</v>
      </c>
      <c r="BN96" s="339">
        <v>0</v>
      </c>
      <c r="BO96" s="339">
        <v>0</v>
      </c>
      <c r="BP96" s="339">
        <v>0</v>
      </c>
      <c r="BQ96" s="339">
        <v>0</v>
      </c>
      <c r="BR96" s="339">
        <v>0</v>
      </c>
      <c r="BS96" s="110" t="e">
        <f t="array" aca="1" ref="BS96" ca="1">_xludf.XLOOKUP(D96,'PL TOTAL D0'!N:N,'PL TOTAL D0'!P:P,"")</f>
        <v>#NAME?</v>
      </c>
      <c r="BT96" s="110"/>
    </row>
    <row r="97" spans="1:72" ht="15.75" customHeight="1">
      <c r="A97" s="122" t="s">
        <v>3785</v>
      </c>
      <c r="B97" s="104" t="s">
        <v>4102</v>
      </c>
      <c r="C97" s="122" t="s">
        <v>4103</v>
      </c>
      <c r="D97" s="292">
        <v>4553905</v>
      </c>
      <c r="E97" s="293" t="s">
        <v>64</v>
      </c>
      <c r="F97" s="293" t="s">
        <v>20</v>
      </c>
      <c r="G97" s="293" t="s">
        <v>4104</v>
      </c>
      <c r="H97" s="293" t="str">
        <f>IFERROR(VLOOKUP(G97,'Cadastro de assessores'!A:B,2,FALSE),"Não Cadastrado")</f>
        <v>19157</v>
      </c>
      <c r="I97" s="293"/>
      <c r="J97" s="24" t="s">
        <v>3788</v>
      </c>
      <c r="K97" s="292" t="s">
        <v>161</v>
      </c>
      <c r="L97" s="416">
        <v>44130</v>
      </c>
      <c r="M97" s="416">
        <v>44132</v>
      </c>
      <c r="N97" s="299"/>
      <c r="O97" s="299" t="s">
        <v>3789</v>
      </c>
      <c r="P97" s="388">
        <v>0.02</v>
      </c>
      <c r="Q97" s="420"/>
      <c r="R97" s="417"/>
      <c r="S97" s="292" t="str">
        <f t="shared" si="10"/>
        <v/>
      </c>
      <c r="T97" s="292" t="s">
        <v>145</v>
      </c>
      <c r="U97" s="292" t="s">
        <v>3816</v>
      </c>
      <c r="V97" s="292" t="s">
        <v>20</v>
      </c>
      <c r="W97" s="418" t="s">
        <v>3798</v>
      </c>
      <c r="X97" s="418" t="s">
        <v>3798</v>
      </c>
      <c r="Y97" s="418" t="s">
        <v>3798</v>
      </c>
      <c r="Z97" s="418" t="s">
        <v>3798</v>
      </c>
      <c r="AA97" s="418" t="s">
        <v>3798</v>
      </c>
      <c r="AB97" s="418" t="s">
        <v>3798</v>
      </c>
      <c r="AC97" s="418" t="s">
        <v>3798</v>
      </c>
      <c r="AD97" s="418" t="s">
        <v>3798</v>
      </c>
      <c r="AE97" s="418" t="s">
        <v>3798</v>
      </c>
      <c r="AF97" s="418" t="s">
        <v>3798</v>
      </c>
      <c r="AG97" s="418" t="s">
        <v>3798</v>
      </c>
      <c r="AH97" s="418" t="s">
        <v>3798</v>
      </c>
      <c r="AI97" s="418" t="s">
        <v>4105</v>
      </c>
      <c r="AJ97" s="418" t="s">
        <v>4106</v>
      </c>
      <c r="AK97" s="339">
        <v>336245.25</v>
      </c>
      <c r="AL97" s="339">
        <v>327508.7</v>
      </c>
      <c r="AM97" s="339">
        <v>2271.16</v>
      </c>
      <c r="AN97" s="339">
        <v>2283.37</v>
      </c>
      <c r="AO97" s="339">
        <v>673.61</v>
      </c>
      <c r="AP97" s="339">
        <v>672.82</v>
      </c>
      <c r="AQ97" s="339">
        <v>672.62</v>
      </c>
      <c r="AR97" s="339">
        <v>471.67</v>
      </c>
      <c r="AS97" s="339">
        <v>470.83</v>
      </c>
      <c r="AT97" s="339">
        <v>148.06</v>
      </c>
      <c r="AU97" s="339">
        <v>147.84</v>
      </c>
      <c r="AV97" s="339"/>
      <c r="AW97" s="339">
        <v>147.43</v>
      </c>
      <c r="AX97" s="339">
        <v>147.22999999999999</v>
      </c>
      <c r="AY97" s="339"/>
      <c r="AZ97" s="339"/>
      <c r="BA97" s="339">
        <v>0</v>
      </c>
      <c r="BB97" s="339">
        <v>0</v>
      </c>
      <c r="BC97" s="339"/>
      <c r="BD97" s="339" t="s">
        <v>2932</v>
      </c>
      <c r="BE97" s="339" t="s">
        <v>2932</v>
      </c>
      <c r="BF97" s="339">
        <v>0</v>
      </c>
      <c r="BG97" s="339">
        <v>0</v>
      </c>
      <c r="BH97" s="339">
        <v>0</v>
      </c>
      <c r="BI97" s="339">
        <v>0</v>
      </c>
      <c r="BJ97" s="339">
        <v>0</v>
      </c>
      <c r="BK97" s="339">
        <v>0</v>
      </c>
      <c r="BL97" s="339">
        <v>0</v>
      </c>
      <c r="BM97" s="339">
        <v>0</v>
      </c>
      <c r="BN97" s="339">
        <v>0</v>
      </c>
      <c r="BO97" s="339">
        <v>0</v>
      </c>
      <c r="BP97" s="339">
        <v>0</v>
      </c>
      <c r="BQ97" s="339">
        <v>0</v>
      </c>
      <c r="BR97" s="339">
        <v>0</v>
      </c>
      <c r="BS97" s="110" t="e">
        <f t="array" aca="1" ref="BS97" ca="1">_xludf.XLOOKUP(D97,'PL TOTAL D0'!N:N,'PL TOTAL D0'!P:P,"")</f>
        <v>#NAME?</v>
      </c>
      <c r="BT97" s="110"/>
    </row>
    <row r="98" spans="1:72" ht="15.75" customHeight="1">
      <c r="A98" s="122" t="s">
        <v>3785</v>
      </c>
      <c r="B98" s="104" t="s">
        <v>3635</v>
      </c>
      <c r="C98" s="122" t="s">
        <v>3632</v>
      </c>
      <c r="D98" s="292">
        <v>4425922</v>
      </c>
      <c r="E98" s="292" t="s">
        <v>64</v>
      </c>
      <c r="F98" s="292" t="s">
        <v>20</v>
      </c>
      <c r="G98" s="292" t="s">
        <v>3634</v>
      </c>
      <c r="H98" s="292" t="str">
        <f>IFERROR(VLOOKUP(G98,'Cadastro de assessores'!A:B,2,FALSE),"Não Cadastrado")</f>
        <v>14574</v>
      </c>
      <c r="I98" s="292"/>
      <c r="J98" s="24" t="s">
        <v>143</v>
      </c>
      <c r="K98" s="292" t="s">
        <v>3794</v>
      </c>
      <c r="L98" s="387">
        <v>44076</v>
      </c>
      <c r="M98" s="387">
        <v>44076</v>
      </c>
      <c r="N98" s="292"/>
      <c r="O98" s="292" t="s">
        <v>3795</v>
      </c>
      <c r="P98" s="388">
        <v>1.4999999999999999E-2</v>
      </c>
      <c r="Q98" s="420" t="s">
        <v>4107</v>
      </c>
      <c r="R98" s="417"/>
      <c r="S98" s="292" t="str">
        <f t="shared" si="10"/>
        <v/>
      </c>
      <c r="T98" s="292" t="s">
        <v>145</v>
      </c>
      <c r="U98" s="292" t="s">
        <v>3823</v>
      </c>
      <c r="V98" s="292" t="s">
        <v>20</v>
      </c>
      <c r="W98" s="418" t="s">
        <v>3798</v>
      </c>
      <c r="X98" s="418" t="s">
        <v>3798</v>
      </c>
      <c r="Y98" s="418" t="s">
        <v>3798</v>
      </c>
      <c r="Z98" s="418" t="s">
        <v>3798</v>
      </c>
      <c r="AA98" s="418" t="s">
        <v>3798</v>
      </c>
      <c r="AB98" s="418" t="s">
        <v>3798</v>
      </c>
      <c r="AC98" s="418" t="s">
        <v>3798</v>
      </c>
      <c r="AD98" s="418" t="s">
        <v>3798</v>
      </c>
      <c r="AE98" s="418" t="s">
        <v>3798</v>
      </c>
      <c r="AF98" s="418" t="s">
        <v>3798</v>
      </c>
      <c r="AG98" s="418" t="s">
        <v>3798</v>
      </c>
      <c r="AH98" s="418" t="s">
        <v>4108</v>
      </c>
      <c r="AI98" s="418" t="s">
        <v>4109</v>
      </c>
      <c r="AJ98" s="418" t="s">
        <v>4110</v>
      </c>
      <c r="AK98" s="339">
        <v>332622.02</v>
      </c>
      <c r="AL98" s="339">
        <v>356716.66</v>
      </c>
      <c r="AM98" s="339">
        <v>350126.55</v>
      </c>
      <c r="AN98" s="339">
        <v>349090.27</v>
      </c>
      <c r="AO98" s="339">
        <v>353327.56</v>
      </c>
      <c r="AP98" s="339">
        <v>334305.96999999997</v>
      </c>
      <c r="AQ98" s="339">
        <v>353443.95</v>
      </c>
      <c r="AR98" s="339">
        <v>360751.78</v>
      </c>
      <c r="AS98" s="339">
        <v>357800.14</v>
      </c>
      <c r="AT98" s="339">
        <v>350755.04</v>
      </c>
      <c r="AU98" s="339">
        <v>348476.75</v>
      </c>
      <c r="AV98" s="339">
        <v>342229.3</v>
      </c>
      <c r="AW98" s="339">
        <v>329338.03999999998</v>
      </c>
      <c r="AX98" s="339">
        <v>330257.68</v>
      </c>
      <c r="AY98" s="339">
        <v>335131.51</v>
      </c>
      <c r="AZ98" s="339">
        <v>344623.91</v>
      </c>
      <c r="BA98" s="339">
        <v>347228.85</v>
      </c>
      <c r="BB98" s="339">
        <v>359653.09</v>
      </c>
      <c r="BC98" s="339"/>
      <c r="BD98" s="339">
        <v>357090.15</v>
      </c>
      <c r="BE98" s="339">
        <v>355228.29</v>
      </c>
      <c r="BF98" s="339">
        <v>142544.19</v>
      </c>
      <c r="BG98" s="339">
        <v>192.99</v>
      </c>
      <c r="BH98" s="339">
        <v>193.57</v>
      </c>
      <c r="BI98" s="339">
        <v>193.57</v>
      </c>
      <c r="BJ98" s="339">
        <v>193.57</v>
      </c>
      <c r="BK98" s="339">
        <v>193.57</v>
      </c>
      <c r="BL98" s="339">
        <v>0</v>
      </c>
      <c r="BM98" s="339">
        <v>0</v>
      </c>
      <c r="BN98" s="339">
        <v>0</v>
      </c>
      <c r="BO98" s="339">
        <v>0</v>
      </c>
      <c r="BP98" s="339">
        <v>0</v>
      </c>
      <c r="BQ98" s="339">
        <v>0</v>
      </c>
      <c r="BR98" s="339">
        <v>0</v>
      </c>
      <c r="BS98" s="110" t="e">
        <f t="array" aca="1" ref="BS98" ca="1">_xludf.XLOOKUP(D98,'PL TOTAL D0'!N:N,'PL TOTAL D0'!P:P,"")</f>
        <v>#NAME?</v>
      </c>
      <c r="BT98" s="110"/>
    </row>
    <row r="99" spans="1:72" ht="21.75" customHeight="1">
      <c r="A99" s="122" t="s">
        <v>3785</v>
      </c>
      <c r="B99" s="104" t="s">
        <v>4111</v>
      </c>
      <c r="C99" s="390" t="s">
        <v>4112</v>
      </c>
      <c r="D99" s="432">
        <v>3863949</v>
      </c>
      <c r="E99" s="292" t="s">
        <v>19</v>
      </c>
      <c r="F99" s="292" t="s">
        <v>49</v>
      </c>
      <c r="G99" s="292" t="s">
        <v>50</v>
      </c>
      <c r="H99" s="292">
        <f>IFERROR(VLOOKUP(G99,'Cadastro de assessores'!A:B,2,FALSE),"Não Cadastrado")</f>
        <v>12331</v>
      </c>
      <c r="I99" s="292"/>
      <c r="J99" s="24" t="s">
        <v>143</v>
      </c>
      <c r="K99" s="292" t="s">
        <v>3794</v>
      </c>
      <c r="L99" s="387">
        <v>44648</v>
      </c>
      <c r="M99" s="387">
        <v>44648</v>
      </c>
      <c r="N99" s="387">
        <v>44796</v>
      </c>
      <c r="O99" s="292" t="s">
        <v>3795</v>
      </c>
      <c r="P99" s="388">
        <v>0</v>
      </c>
      <c r="Q99" s="442" t="s">
        <v>4113</v>
      </c>
      <c r="R99" s="417"/>
      <c r="S99" s="292" t="str">
        <f t="shared" si="10"/>
        <v>Não Qualificado</v>
      </c>
      <c r="T99" s="292" t="s">
        <v>145</v>
      </c>
      <c r="U99" s="292" t="s">
        <v>3841</v>
      </c>
      <c r="V99" s="292" t="s">
        <v>49</v>
      </c>
      <c r="W99" s="418"/>
      <c r="X99" s="418"/>
      <c r="Y99" s="418"/>
      <c r="Z99" s="418"/>
      <c r="AA99" s="418"/>
      <c r="AB99" s="418"/>
      <c r="AC99" s="418"/>
      <c r="AD99" s="418"/>
      <c r="AE99" s="418"/>
      <c r="AF99" s="418"/>
      <c r="AG99" s="418"/>
      <c r="AH99" s="418"/>
      <c r="AI99" s="418"/>
      <c r="AJ99" s="418"/>
      <c r="AK99" s="339"/>
      <c r="AL99" s="339"/>
      <c r="AM99" s="339"/>
      <c r="AN99" s="339"/>
      <c r="AO99" s="339"/>
      <c r="AP99" s="339"/>
      <c r="AQ99" s="339"/>
      <c r="AR99" s="339"/>
      <c r="AS99" s="339"/>
      <c r="AT99" s="339"/>
      <c r="AU99" s="339"/>
      <c r="AV99" s="339"/>
      <c r="AW99" s="339"/>
      <c r="AX99" s="339"/>
      <c r="AY99" s="339"/>
      <c r="AZ99" s="339"/>
      <c r="BA99" s="339"/>
      <c r="BB99" s="339"/>
      <c r="BC99" s="339">
        <v>418602.28</v>
      </c>
      <c r="BD99" s="339" t="s">
        <v>2932</v>
      </c>
      <c r="BE99" s="339">
        <v>736159.95</v>
      </c>
      <c r="BF99" s="339">
        <v>813166.53</v>
      </c>
      <c r="BG99" s="339">
        <v>0</v>
      </c>
      <c r="BH99" s="339">
        <v>0</v>
      </c>
      <c r="BI99" s="339">
        <v>0</v>
      </c>
      <c r="BJ99" s="339">
        <v>0</v>
      </c>
      <c r="BK99" s="339">
        <v>0</v>
      </c>
      <c r="BL99" s="339">
        <v>0</v>
      </c>
      <c r="BM99" s="339">
        <v>0</v>
      </c>
      <c r="BN99" s="339">
        <v>0</v>
      </c>
      <c r="BO99" s="339">
        <v>0</v>
      </c>
      <c r="BP99" s="339">
        <v>0</v>
      </c>
      <c r="BQ99" s="339">
        <v>0</v>
      </c>
      <c r="BR99" s="339">
        <v>0</v>
      </c>
      <c r="BS99" s="110" t="e">
        <f t="array" aca="1" ref="BS99" ca="1">_xludf.XLOOKUP(D99,'PL TOTAL D0'!N:N,'PL TOTAL D0'!P:P,"")</f>
        <v>#NAME?</v>
      </c>
      <c r="BT99" s="110"/>
    </row>
    <row r="100" spans="1:72" ht="15.75" customHeight="1">
      <c r="A100" s="122" t="s">
        <v>3785</v>
      </c>
      <c r="B100" s="104" t="s">
        <v>4111</v>
      </c>
      <c r="C100" s="390" t="s">
        <v>4112</v>
      </c>
      <c r="D100" s="443">
        <v>8165220</v>
      </c>
      <c r="E100" s="292" t="s">
        <v>19</v>
      </c>
      <c r="F100" s="292" t="s">
        <v>49</v>
      </c>
      <c r="G100" s="292" t="s">
        <v>50</v>
      </c>
      <c r="H100" s="292">
        <f>IFERROR(VLOOKUP(G100,'Cadastro de assessores'!A:B,2,FALSE),"Não Cadastrado")</f>
        <v>12331</v>
      </c>
      <c r="I100" s="292"/>
      <c r="J100" s="24" t="s">
        <v>143</v>
      </c>
      <c r="K100" s="292" t="s">
        <v>3794</v>
      </c>
      <c r="L100" s="387">
        <v>44648</v>
      </c>
      <c r="M100" s="387">
        <v>44648</v>
      </c>
      <c r="N100" s="387">
        <v>44796</v>
      </c>
      <c r="O100" s="292" t="s">
        <v>3795</v>
      </c>
      <c r="P100" s="388">
        <v>1.4999999999999999E-2</v>
      </c>
      <c r="Q100" s="167" t="s">
        <v>4114</v>
      </c>
      <c r="R100" s="417"/>
      <c r="S100" s="292" t="str">
        <f t="shared" si="10"/>
        <v/>
      </c>
      <c r="T100" s="292" t="s">
        <v>145</v>
      </c>
      <c r="U100" s="292" t="s">
        <v>3841</v>
      </c>
      <c r="V100" s="292" t="s">
        <v>49</v>
      </c>
      <c r="W100" s="418"/>
      <c r="X100" s="418"/>
      <c r="Y100" s="418"/>
      <c r="Z100" s="418"/>
      <c r="AA100" s="418"/>
      <c r="AB100" s="418"/>
      <c r="AC100" s="418"/>
      <c r="AD100" s="418"/>
      <c r="AE100" s="418"/>
      <c r="AF100" s="418"/>
      <c r="AG100" s="418"/>
      <c r="AH100" s="418"/>
      <c r="AI100" s="418"/>
      <c r="AJ100" s="418"/>
      <c r="AK100" s="339"/>
      <c r="AL100" s="339"/>
      <c r="AM100" s="339"/>
      <c r="AN100" s="339"/>
      <c r="AO100" s="339"/>
      <c r="AP100" s="339"/>
      <c r="AQ100" s="339"/>
      <c r="AR100" s="339"/>
      <c r="AS100" s="339"/>
      <c r="AT100" s="339"/>
      <c r="AU100" s="339"/>
      <c r="AV100" s="339"/>
      <c r="AW100" s="339"/>
      <c r="AX100" s="339"/>
      <c r="AY100" s="339"/>
      <c r="AZ100" s="339"/>
      <c r="BA100" s="339"/>
      <c r="BB100" s="339">
        <v>797478.62</v>
      </c>
      <c r="BC100" s="339"/>
      <c r="BD100" s="339">
        <v>1622117.01</v>
      </c>
      <c r="BE100" s="339">
        <v>1609817.88</v>
      </c>
      <c r="BF100" s="339">
        <v>1636731.16</v>
      </c>
      <c r="BG100" s="339">
        <v>0</v>
      </c>
      <c r="BH100" s="339">
        <v>0</v>
      </c>
      <c r="BI100" s="339">
        <v>0</v>
      </c>
      <c r="BJ100" s="339">
        <v>0</v>
      </c>
      <c r="BK100" s="339">
        <v>0</v>
      </c>
      <c r="BL100" s="339">
        <v>0</v>
      </c>
      <c r="BM100" s="339">
        <v>0</v>
      </c>
      <c r="BN100" s="339">
        <v>0</v>
      </c>
      <c r="BO100" s="339">
        <v>0</v>
      </c>
      <c r="BP100" s="339">
        <v>0</v>
      </c>
      <c r="BQ100" s="339">
        <v>0</v>
      </c>
      <c r="BR100" s="339">
        <v>0</v>
      </c>
      <c r="BS100" s="110" t="e">
        <f t="array" aca="1" ref="BS100" ca="1">_xludf.XLOOKUP(D100,'PL TOTAL D0'!N:N,'PL TOTAL D0'!P:P,"")</f>
        <v>#NAME?</v>
      </c>
      <c r="BT100" s="110"/>
    </row>
    <row r="101" spans="1:72" ht="15.75" customHeight="1">
      <c r="A101" s="122" t="s">
        <v>3785</v>
      </c>
      <c r="B101" s="104" t="s">
        <v>4115</v>
      </c>
      <c r="C101" s="122" t="s">
        <v>4116</v>
      </c>
      <c r="D101" s="292">
        <v>4638237</v>
      </c>
      <c r="E101" s="292" t="s">
        <v>64</v>
      </c>
      <c r="F101" s="292" t="s">
        <v>20</v>
      </c>
      <c r="G101" s="292" t="s">
        <v>4067</v>
      </c>
      <c r="H101" s="292" t="str">
        <f>IFERROR(VLOOKUP(G101,'Cadastro de assessores'!A:B,2,FALSE),"Não Cadastrado")</f>
        <v>15049</v>
      </c>
      <c r="I101" s="292"/>
      <c r="J101" s="24" t="s">
        <v>143</v>
      </c>
      <c r="K101" s="292" t="s">
        <v>3794</v>
      </c>
      <c r="L101" s="419"/>
      <c r="M101" s="419">
        <v>44186</v>
      </c>
      <c r="N101" s="387">
        <v>44803</v>
      </c>
      <c r="O101" s="292" t="s">
        <v>3805</v>
      </c>
      <c r="P101" s="388">
        <v>1.2E-2</v>
      </c>
      <c r="Q101" s="420" t="s">
        <v>4117</v>
      </c>
      <c r="R101" s="417"/>
      <c r="S101" s="292" t="str">
        <f t="shared" si="10"/>
        <v>Não Qualificado</v>
      </c>
      <c r="T101" s="292" t="s">
        <v>145</v>
      </c>
      <c r="U101" s="292" t="s">
        <v>4118</v>
      </c>
      <c r="V101" s="292" t="s">
        <v>1678</v>
      </c>
      <c r="W101" s="418" t="s">
        <v>3798</v>
      </c>
      <c r="X101" s="418" t="s">
        <v>3798</v>
      </c>
      <c r="Y101" s="418" t="s">
        <v>3798</v>
      </c>
      <c r="Z101" s="418" t="s">
        <v>3798</v>
      </c>
      <c r="AA101" s="418" t="s">
        <v>3798</v>
      </c>
      <c r="AB101" s="418" t="s">
        <v>3798</v>
      </c>
      <c r="AC101" s="418" t="s">
        <v>3798</v>
      </c>
      <c r="AD101" s="418" t="s">
        <v>3798</v>
      </c>
      <c r="AE101" s="418" t="s">
        <v>3798</v>
      </c>
      <c r="AF101" s="418" t="s">
        <v>3798</v>
      </c>
      <c r="AG101" s="418" t="s">
        <v>3798</v>
      </c>
      <c r="AH101" s="418" t="s">
        <v>3798</v>
      </c>
      <c r="AI101" s="418" t="s">
        <v>3798</v>
      </c>
      <c r="AJ101" s="418" t="s">
        <v>3798</v>
      </c>
      <c r="AK101" s="339">
        <v>334010.75</v>
      </c>
      <c r="AL101" s="339">
        <v>332253.71000000002</v>
      </c>
      <c r="AM101" s="339">
        <v>327468.32</v>
      </c>
      <c r="AN101" s="339">
        <v>327192.17</v>
      </c>
      <c r="AO101" s="339">
        <v>331871.26</v>
      </c>
      <c r="AP101" s="339">
        <v>333008.95</v>
      </c>
      <c r="AQ101" s="339">
        <v>332375.94</v>
      </c>
      <c r="AR101" s="339">
        <v>336309.33</v>
      </c>
      <c r="AS101" s="339">
        <v>335654.58</v>
      </c>
      <c r="AT101" s="339">
        <v>333100.15999999997</v>
      </c>
      <c r="AU101" s="339">
        <v>332839.44</v>
      </c>
      <c r="AV101" s="339">
        <v>329388.09000000003</v>
      </c>
      <c r="AW101" s="339">
        <v>322475.07</v>
      </c>
      <c r="AX101" s="339">
        <v>324334.38</v>
      </c>
      <c r="AY101" s="339">
        <v>326703.99</v>
      </c>
      <c r="AZ101" s="339">
        <v>330897.99</v>
      </c>
      <c r="BA101" s="339">
        <v>332362.58</v>
      </c>
      <c r="BB101" s="339">
        <v>341339.7</v>
      </c>
      <c r="BC101" s="339">
        <v>378490.65</v>
      </c>
      <c r="BD101" s="339">
        <v>345720.65</v>
      </c>
      <c r="BE101" s="339">
        <v>346261.72</v>
      </c>
      <c r="BF101" s="339">
        <v>350112.51</v>
      </c>
      <c r="BG101" s="339">
        <v>399695.28389999998</v>
      </c>
      <c r="BH101" s="339">
        <v>0</v>
      </c>
      <c r="BI101" s="339">
        <v>0</v>
      </c>
      <c r="BJ101" s="339">
        <v>0</v>
      </c>
      <c r="BK101" s="339">
        <v>0</v>
      </c>
      <c r="BL101" s="339">
        <v>0</v>
      </c>
      <c r="BM101" s="339">
        <v>0</v>
      </c>
      <c r="BN101" s="339">
        <v>0</v>
      </c>
      <c r="BO101" s="339">
        <v>0</v>
      </c>
      <c r="BP101" s="339">
        <v>0</v>
      </c>
      <c r="BQ101" s="339">
        <v>0</v>
      </c>
      <c r="BR101" s="339">
        <v>0</v>
      </c>
      <c r="BS101" s="110" t="e">
        <f t="array" aca="1" ref="BS101" ca="1">_xludf.XLOOKUP(D101,'PL TOTAL D0'!N:N,'PL TOTAL D0'!P:P,"")</f>
        <v>#NAME?</v>
      </c>
      <c r="BT101" s="110"/>
    </row>
    <row r="102" spans="1:72" ht="15.75" customHeight="1">
      <c r="A102" s="122" t="s">
        <v>3785</v>
      </c>
      <c r="B102" s="104" t="s">
        <v>4119</v>
      </c>
      <c r="C102" s="122" t="s">
        <v>4120</v>
      </c>
      <c r="D102" s="292">
        <v>9920</v>
      </c>
      <c r="E102" s="292" t="s">
        <v>64</v>
      </c>
      <c r="F102" s="292" t="s">
        <v>20</v>
      </c>
      <c r="G102" s="292" t="s">
        <v>64</v>
      </c>
      <c r="H102" s="292" t="str">
        <f>IFERROR(VLOOKUP(G102,'Cadastro de assessores'!A:B,2,FALSE),"Não Cadastrado")</f>
        <v>13489</v>
      </c>
      <c r="I102" s="292"/>
      <c r="J102" s="24" t="s">
        <v>143</v>
      </c>
      <c r="K102" s="292"/>
      <c r="L102" s="387"/>
      <c r="M102" s="387">
        <v>44105</v>
      </c>
      <c r="N102" s="387">
        <v>44777</v>
      </c>
      <c r="O102" s="292" t="s">
        <v>4121</v>
      </c>
      <c r="P102" s="388">
        <v>1.4999999999999999E-2</v>
      </c>
      <c r="Q102" s="311" t="s">
        <v>4122</v>
      </c>
      <c r="R102" s="417"/>
      <c r="S102" s="292" t="str">
        <f t="shared" si="10"/>
        <v>Não Qualificado</v>
      </c>
      <c r="T102" s="292" t="s">
        <v>4123</v>
      </c>
      <c r="U102" s="292" t="s">
        <v>4049</v>
      </c>
      <c r="V102" s="292" t="s">
        <v>886</v>
      </c>
      <c r="W102" s="418" t="s">
        <v>3798</v>
      </c>
      <c r="X102" s="418" t="s">
        <v>3798</v>
      </c>
      <c r="Y102" s="418" t="s">
        <v>3798</v>
      </c>
      <c r="Z102" s="418" t="s">
        <v>3798</v>
      </c>
      <c r="AA102" s="418" t="s">
        <v>3798</v>
      </c>
      <c r="AB102" s="418" t="s">
        <v>3798</v>
      </c>
      <c r="AC102" s="418" t="s">
        <v>3798</v>
      </c>
      <c r="AD102" s="418" t="s">
        <v>3798</v>
      </c>
      <c r="AE102" s="418" t="s">
        <v>3798</v>
      </c>
      <c r="AF102" s="418" t="s">
        <v>3798</v>
      </c>
      <c r="AG102" s="418" t="s">
        <v>3798</v>
      </c>
      <c r="AH102" s="418" t="s">
        <v>3798</v>
      </c>
      <c r="AI102" s="418" t="s">
        <v>3798</v>
      </c>
      <c r="AJ102" s="418" t="s">
        <v>4124</v>
      </c>
      <c r="AK102" s="339">
        <v>2771534.06</v>
      </c>
      <c r="AL102" s="339">
        <v>2885886.28</v>
      </c>
      <c r="AM102" s="339">
        <v>3436838.54</v>
      </c>
      <c r="AN102" s="339">
        <v>3293949.6</v>
      </c>
      <c r="AO102" s="339"/>
      <c r="AP102" s="339"/>
      <c r="AQ102" s="339"/>
      <c r="AR102" s="339"/>
      <c r="AS102" s="339"/>
      <c r="AT102" s="339"/>
      <c r="AU102" s="339"/>
      <c r="AV102" s="339">
        <v>4909388.92</v>
      </c>
      <c r="AW102" s="339" t="s">
        <v>4125</v>
      </c>
      <c r="AX102" s="339">
        <v>5865279.9900000002</v>
      </c>
      <c r="AY102" s="339">
        <v>5913319.6399999997</v>
      </c>
      <c r="AZ102" s="339">
        <v>5677638.2999999998</v>
      </c>
      <c r="BA102" s="339">
        <v>0</v>
      </c>
      <c r="BB102" s="339">
        <v>5213099.8600000003</v>
      </c>
      <c r="BC102" s="339">
        <v>380705.62</v>
      </c>
      <c r="BD102" s="339">
        <v>5054957.01</v>
      </c>
      <c r="BE102" s="339">
        <v>4679038.54</v>
      </c>
      <c r="BF102" s="339">
        <v>2812337.42</v>
      </c>
      <c r="BG102" s="339">
        <v>2909721.52</v>
      </c>
      <c r="BH102" s="339">
        <v>2487945.54</v>
      </c>
      <c r="BI102" s="339">
        <v>2461411.44</v>
      </c>
      <c r="BJ102" s="339">
        <v>0</v>
      </c>
      <c r="BK102" s="339">
        <v>0</v>
      </c>
      <c r="BL102" s="339">
        <v>0</v>
      </c>
      <c r="BM102" s="339">
        <v>0</v>
      </c>
      <c r="BN102" s="339">
        <v>0</v>
      </c>
      <c r="BO102" s="339">
        <v>0</v>
      </c>
      <c r="BP102" s="339">
        <v>0</v>
      </c>
      <c r="BQ102" s="339">
        <v>0</v>
      </c>
      <c r="BR102" s="339">
        <v>0</v>
      </c>
      <c r="BS102" s="110" t="e">
        <f t="array" aca="1" ref="BS102" ca="1">_xludf.XLOOKUP(D102,'PL TOTAL D0'!N:N,'PL TOTAL D0'!P:P,"")</f>
        <v>#NAME?</v>
      </c>
      <c r="BT102" s="110"/>
    </row>
    <row r="103" spans="1:72" ht="15.75" customHeight="1">
      <c r="A103" s="122" t="s">
        <v>3785</v>
      </c>
      <c r="B103" s="104" t="s">
        <v>4126</v>
      </c>
      <c r="C103" s="390" t="s">
        <v>4127</v>
      </c>
      <c r="D103" s="292">
        <v>4422283</v>
      </c>
      <c r="E103" s="292" t="s">
        <v>64</v>
      </c>
      <c r="F103" s="292" t="s">
        <v>20</v>
      </c>
      <c r="G103" s="292" t="s">
        <v>4128</v>
      </c>
      <c r="H103" s="292" t="str">
        <f>IFERROR(VLOOKUP(G103,'Cadastro de assessores'!A:B,2,FALSE),"Não Cadastrado")</f>
        <v>17489</v>
      </c>
      <c r="I103" s="292"/>
      <c r="J103" s="24" t="s">
        <v>143</v>
      </c>
      <c r="K103" s="292" t="s">
        <v>3794</v>
      </c>
      <c r="L103" s="387">
        <v>44091</v>
      </c>
      <c r="M103" s="387">
        <v>44091</v>
      </c>
      <c r="N103" s="387">
        <v>44692</v>
      </c>
      <c r="O103" s="292" t="s">
        <v>3809</v>
      </c>
      <c r="P103" s="388">
        <v>2.5000000000000001E-2</v>
      </c>
      <c r="Q103" s="420" t="s">
        <v>3892</v>
      </c>
      <c r="R103" s="417"/>
      <c r="S103" s="292" t="str">
        <f t="shared" si="10"/>
        <v>Não Qualificado</v>
      </c>
      <c r="T103" s="292" t="s">
        <v>145</v>
      </c>
      <c r="U103" s="292" t="s">
        <v>3823</v>
      </c>
      <c r="V103" s="292" t="s">
        <v>20</v>
      </c>
      <c r="W103" s="418" t="s">
        <v>3798</v>
      </c>
      <c r="X103" s="418" t="s">
        <v>3798</v>
      </c>
      <c r="Y103" s="418" t="s">
        <v>3798</v>
      </c>
      <c r="Z103" s="418" t="s">
        <v>3798</v>
      </c>
      <c r="AA103" s="418" t="s">
        <v>3798</v>
      </c>
      <c r="AB103" s="418" t="s">
        <v>3798</v>
      </c>
      <c r="AC103" s="418" t="s">
        <v>3798</v>
      </c>
      <c r="AD103" s="418" t="s">
        <v>3798</v>
      </c>
      <c r="AE103" s="418" t="s">
        <v>3798</v>
      </c>
      <c r="AF103" s="418" t="s">
        <v>3798</v>
      </c>
      <c r="AG103" s="418" t="s">
        <v>3798</v>
      </c>
      <c r="AH103" s="418" t="s">
        <v>4129</v>
      </c>
      <c r="AI103" s="418" t="s">
        <v>4130</v>
      </c>
      <c r="AJ103" s="418" t="s">
        <v>4131</v>
      </c>
      <c r="AK103" s="339">
        <v>228059.23</v>
      </c>
      <c r="AL103" s="339">
        <v>236874.14</v>
      </c>
      <c r="AM103" s="339">
        <v>217444.9</v>
      </c>
      <c r="AN103" s="339">
        <v>213642.96</v>
      </c>
      <c r="AO103" s="339">
        <v>229999.93</v>
      </c>
      <c r="AP103" s="339">
        <v>233074.92</v>
      </c>
      <c r="AQ103" s="339">
        <v>230701.99</v>
      </c>
      <c r="AR103" s="339">
        <v>243813.22</v>
      </c>
      <c r="AS103" s="339">
        <v>287567.34999999998</v>
      </c>
      <c r="AT103" s="339">
        <v>272336.40000000002</v>
      </c>
      <c r="AU103" s="339">
        <v>265999.32</v>
      </c>
      <c r="AV103" s="339">
        <v>250059.49</v>
      </c>
      <c r="AW103" s="339">
        <v>231068.13</v>
      </c>
      <c r="AX103" s="339">
        <v>228837.55</v>
      </c>
      <c r="AY103" s="339">
        <v>233693.02</v>
      </c>
      <c r="AZ103" s="339">
        <v>250355.06</v>
      </c>
      <c r="BA103" s="339">
        <v>252121.53</v>
      </c>
      <c r="BB103" s="339">
        <v>647.64</v>
      </c>
      <c r="BC103" s="339">
        <v>261066.47</v>
      </c>
      <c r="BD103" s="339" t="s">
        <v>2932</v>
      </c>
      <c r="BE103" s="339" t="s">
        <v>2932</v>
      </c>
      <c r="BF103" s="339">
        <v>0</v>
      </c>
      <c r="BG103" s="339">
        <v>0</v>
      </c>
      <c r="BH103" s="339">
        <v>0</v>
      </c>
      <c r="BI103" s="339">
        <v>0</v>
      </c>
      <c r="BJ103" s="339">
        <v>0</v>
      </c>
      <c r="BK103" s="339">
        <v>0</v>
      </c>
      <c r="BL103" s="339">
        <v>0</v>
      </c>
      <c r="BM103" s="339">
        <v>0</v>
      </c>
      <c r="BN103" s="339">
        <v>0</v>
      </c>
      <c r="BO103" s="339">
        <v>0</v>
      </c>
      <c r="BP103" s="339">
        <v>0</v>
      </c>
      <c r="BQ103" s="339">
        <v>0</v>
      </c>
      <c r="BR103" s="339">
        <v>0</v>
      </c>
      <c r="BS103" s="110" t="e">
        <f t="array" aca="1" ref="BS103" ca="1">_xludf.XLOOKUP(D103,'PL TOTAL D0'!N:N,'PL TOTAL D0'!P:P,"")</f>
        <v>#NAME?</v>
      </c>
      <c r="BT103" s="110"/>
    </row>
    <row r="104" spans="1:72" ht="15.75" customHeight="1">
      <c r="A104" s="122" t="s">
        <v>3785</v>
      </c>
      <c r="B104" s="104" t="s">
        <v>4132</v>
      </c>
      <c r="C104" s="390" t="s">
        <v>4133</v>
      </c>
      <c r="D104" s="292">
        <v>5928177</v>
      </c>
      <c r="E104" s="292" t="s">
        <v>19</v>
      </c>
      <c r="F104" s="292" t="s">
        <v>49</v>
      </c>
      <c r="G104" s="292" t="s">
        <v>4134</v>
      </c>
      <c r="H104" s="292" t="str">
        <f>IFERROR(VLOOKUP(G104,'Cadastro de assessores'!A:B,2,FALSE),"Não Cadastrado")</f>
        <v>14294</v>
      </c>
      <c r="I104" s="292"/>
      <c r="J104" s="24" t="s">
        <v>143</v>
      </c>
      <c r="K104" s="292" t="s">
        <v>3794</v>
      </c>
      <c r="L104" s="387">
        <v>44398</v>
      </c>
      <c r="M104" s="387">
        <v>44398</v>
      </c>
      <c r="N104" s="387">
        <v>44680</v>
      </c>
      <c r="O104" s="292" t="s">
        <v>3802</v>
      </c>
      <c r="P104" s="388">
        <v>7.0000000000000001E-3</v>
      </c>
      <c r="Q104" s="167" t="s">
        <v>4135</v>
      </c>
      <c r="R104" s="417"/>
      <c r="S104" s="292" t="str">
        <f t="shared" si="10"/>
        <v>Não Qualificado</v>
      </c>
      <c r="T104" s="299" t="s">
        <v>187</v>
      </c>
      <c r="U104" s="299" t="s">
        <v>4136</v>
      </c>
      <c r="V104" s="299" t="s">
        <v>60</v>
      </c>
      <c r="W104" s="350"/>
      <c r="X104" s="350"/>
      <c r="Y104" s="350"/>
      <c r="Z104" s="350"/>
      <c r="AA104" s="350"/>
      <c r="AB104" s="350"/>
      <c r="AC104" s="350"/>
      <c r="AD104" s="350"/>
      <c r="AE104" s="350"/>
      <c r="AF104" s="350"/>
      <c r="AG104" s="350"/>
      <c r="AH104" s="418"/>
      <c r="AI104" s="418"/>
      <c r="AJ104" s="339"/>
      <c r="AK104" s="339"/>
      <c r="AL104" s="339"/>
      <c r="AM104" s="339"/>
      <c r="AN104" s="339"/>
      <c r="AO104" s="339"/>
      <c r="AP104" s="339"/>
      <c r="AQ104" s="339"/>
      <c r="AR104" s="339"/>
      <c r="AS104" s="350"/>
      <c r="AT104" s="340">
        <v>198000.83</v>
      </c>
      <c r="AU104" s="340">
        <v>191770.41</v>
      </c>
      <c r="AV104" s="339">
        <v>189166.3</v>
      </c>
      <c r="AW104" s="339">
        <v>284624.5</v>
      </c>
      <c r="AX104" s="339">
        <v>269744.82</v>
      </c>
      <c r="AY104" s="339">
        <v>288041.75</v>
      </c>
      <c r="AZ104" s="339">
        <v>288412.59000000003</v>
      </c>
      <c r="BA104" s="339">
        <v>287953.71000000002</v>
      </c>
      <c r="BB104" s="339">
        <v>290240.08</v>
      </c>
      <c r="BC104" s="339">
        <v>159941.53</v>
      </c>
      <c r="BD104" s="339" t="s">
        <v>2932</v>
      </c>
      <c r="BE104" s="339" t="s">
        <v>2932</v>
      </c>
      <c r="BF104" s="339">
        <v>0</v>
      </c>
      <c r="BG104" s="339">
        <v>0</v>
      </c>
      <c r="BH104" s="339">
        <v>0</v>
      </c>
      <c r="BI104" s="339">
        <v>0</v>
      </c>
      <c r="BJ104" s="339">
        <v>0</v>
      </c>
      <c r="BK104" s="339">
        <v>0</v>
      </c>
      <c r="BL104" s="339">
        <v>0</v>
      </c>
      <c r="BM104" s="339">
        <v>0</v>
      </c>
      <c r="BN104" s="339">
        <v>0</v>
      </c>
      <c r="BO104" s="339">
        <v>0</v>
      </c>
      <c r="BP104" s="339">
        <v>0</v>
      </c>
      <c r="BQ104" s="339">
        <v>0</v>
      </c>
      <c r="BR104" s="339">
        <v>0</v>
      </c>
      <c r="BS104" s="110" t="e">
        <f t="array" aca="1" ref="BS104" ca="1">_xludf.XLOOKUP(D104,'PL TOTAL D0'!N:N,'PL TOTAL D0'!P:P,"")</f>
        <v>#NAME?</v>
      </c>
      <c r="BT104" s="110"/>
    </row>
    <row r="105" spans="1:72" ht="15.75" customHeight="1">
      <c r="A105" s="122" t="s">
        <v>3785</v>
      </c>
      <c r="B105" s="104" t="s">
        <v>4137</v>
      </c>
      <c r="C105" s="122" t="s">
        <v>4138</v>
      </c>
      <c r="D105" s="292">
        <v>4627802</v>
      </c>
      <c r="E105" s="292" t="s">
        <v>64</v>
      </c>
      <c r="F105" s="292" t="s">
        <v>20</v>
      </c>
      <c r="G105" s="292" t="s">
        <v>247</v>
      </c>
      <c r="H105" s="292" t="str">
        <f>IFERROR(VLOOKUP(G105,'Cadastro de assessores'!A:B,2,FALSE),"Não Cadastrado")</f>
        <v>14699</v>
      </c>
      <c r="I105" s="292"/>
      <c r="J105" s="24" t="s">
        <v>143</v>
      </c>
      <c r="K105" s="292" t="s">
        <v>3794</v>
      </c>
      <c r="L105" s="419">
        <v>44183</v>
      </c>
      <c r="M105" s="419">
        <v>44183</v>
      </c>
      <c r="N105" s="387">
        <v>44253</v>
      </c>
      <c r="O105" s="292" t="s">
        <v>3795</v>
      </c>
      <c r="P105" s="388">
        <v>1.4999999999999999E-2</v>
      </c>
      <c r="Q105" s="420" t="s">
        <v>4139</v>
      </c>
      <c r="R105" s="417"/>
      <c r="S105" s="292" t="str">
        <f t="shared" si="10"/>
        <v/>
      </c>
      <c r="T105" s="292" t="s">
        <v>145</v>
      </c>
      <c r="U105" s="292" t="s">
        <v>3816</v>
      </c>
      <c r="V105" s="292" t="s">
        <v>20</v>
      </c>
      <c r="W105" s="418" t="s">
        <v>3798</v>
      </c>
      <c r="X105" s="418" t="s">
        <v>3798</v>
      </c>
      <c r="Y105" s="418" t="s">
        <v>3798</v>
      </c>
      <c r="Z105" s="418" t="s">
        <v>3798</v>
      </c>
      <c r="AA105" s="418" t="s">
        <v>3798</v>
      </c>
      <c r="AB105" s="418" t="s">
        <v>3798</v>
      </c>
      <c r="AC105" s="418" t="s">
        <v>3798</v>
      </c>
      <c r="AD105" s="418" t="s">
        <v>3798</v>
      </c>
      <c r="AE105" s="418" t="s">
        <v>3798</v>
      </c>
      <c r="AF105" s="418" t="s">
        <v>3798</v>
      </c>
      <c r="AG105" s="418" t="s">
        <v>3798</v>
      </c>
      <c r="AH105" s="418" t="s">
        <v>3798</v>
      </c>
      <c r="AI105" s="418" t="s">
        <v>3798</v>
      </c>
      <c r="AJ105" s="418" t="s">
        <v>3798</v>
      </c>
      <c r="AK105" s="339">
        <v>149407.51</v>
      </c>
      <c r="AL105" s="339">
        <v>147535.35999999999</v>
      </c>
      <c r="AM105" s="339">
        <v>143348.16</v>
      </c>
      <c r="AN105" s="339">
        <v>143421.06</v>
      </c>
      <c r="AO105" s="339"/>
      <c r="AP105" s="339"/>
      <c r="AQ105" s="339"/>
      <c r="AR105" s="339"/>
      <c r="AS105" s="339"/>
      <c r="AT105" s="339"/>
      <c r="AU105" s="339"/>
      <c r="AV105" s="339"/>
      <c r="AW105" s="339"/>
      <c r="AX105" s="339"/>
      <c r="AY105" s="339"/>
      <c r="AZ105" s="339"/>
      <c r="BA105" s="339">
        <v>0</v>
      </c>
      <c r="BB105" s="339">
        <v>0</v>
      </c>
      <c r="BC105" s="339"/>
      <c r="BD105" s="339" t="s">
        <v>2932</v>
      </c>
      <c r="BE105" s="339" t="s">
        <v>2932</v>
      </c>
      <c r="BF105" s="339">
        <v>0</v>
      </c>
      <c r="BG105" s="339">
        <v>0</v>
      </c>
      <c r="BH105" s="339">
        <v>0</v>
      </c>
      <c r="BI105" s="339">
        <v>0</v>
      </c>
      <c r="BJ105" s="339">
        <v>0</v>
      </c>
      <c r="BK105" s="339">
        <v>0</v>
      </c>
      <c r="BL105" s="339">
        <v>0</v>
      </c>
      <c r="BM105" s="339">
        <v>0</v>
      </c>
      <c r="BN105" s="339">
        <v>0</v>
      </c>
      <c r="BO105" s="339">
        <v>0</v>
      </c>
      <c r="BP105" s="339">
        <v>0</v>
      </c>
      <c r="BQ105" s="339">
        <v>0</v>
      </c>
      <c r="BR105" s="339">
        <v>0</v>
      </c>
      <c r="BS105" s="110" t="e">
        <f t="array" aca="1" ref="BS105" ca="1">_xludf.XLOOKUP(D105,'PL TOTAL D0'!N:N,'PL TOTAL D0'!P:P,"")</f>
        <v>#NAME?</v>
      </c>
      <c r="BT105" s="110"/>
    </row>
    <row r="106" spans="1:72" ht="15.75" customHeight="1">
      <c r="A106" s="122" t="s">
        <v>3785</v>
      </c>
      <c r="B106" s="104" t="s">
        <v>4140</v>
      </c>
      <c r="C106" s="122" t="s">
        <v>4141</v>
      </c>
      <c r="D106" s="292">
        <v>4401235</v>
      </c>
      <c r="E106" s="293" t="s">
        <v>19</v>
      </c>
      <c r="F106" s="293" t="s">
        <v>20</v>
      </c>
      <c r="G106" s="293" t="s">
        <v>4142</v>
      </c>
      <c r="H106" s="293">
        <f>IFERROR(VLOOKUP(G106,'Cadastro de assessores'!A:B,2,FALSE),"Não Cadastrado")</f>
        <v>12337</v>
      </c>
      <c r="I106" s="293"/>
      <c r="J106" s="24" t="s">
        <v>143</v>
      </c>
      <c r="K106" s="293" t="s">
        <v>152</v>
      </c>
      <c r="L106" s="415">
        <v>44819</v>
      </c>
      <c r="M106" s="415">
        <v>44089</v>
      </c>
      <c r="N106" s="387">
        <v>44930</v>
      </c>
      <c r="O106" s="292" t="s">
        <v>3802</v>
      </c>
      <c r="P106" s="388">
        <v>7.0000000000000001E-3</v>
      </c>
      <c r="Q106" s="420" t="s">
        <v>4143</v>
      </c>
      <c r="R106" s="417"/>
      <c r="S106" s="292" t="str">
        <f t="shared" si="10"/>
        <v/>
      </c>
      <c r="T106" s="292" t="s">
        <v>145</v>
      </c>
      <c r="U106" s="292" t="s">
        <v>3797</v>
      </c>
      <c r="V106" s="299" t="s">
        <v>20</v>
      </c>
      <c r="W106" s="418" t="s">
        <v>3798</v>
      </c>
      <c r="X106" s="418" t="s">
        <v>3798</v>
      </c>
      <c r="Y106" s="418" t="s">
        <v>3798</v>
      </c>
      <c r="Z106" s="418" t="s">
        <v>3798</v>
      </c>
      <c r="AA106" s="418" t="s">
        <v>3798</v>
      </c>
      <c r="AB106" s="418" t="s">
        <v>3798</v>
      </c>
      <c r="AC106" s="418" t="s">
        <v>3798</v>
      </c>
      <c r="AD106" s="418" t="s">
        <v>3798</v>
      </c>
      <c r="AE106" s="418" t="s">
        <v>3798</v>
      </c>
      <c r="AF106" s="418" t="s">
        <v>3798</v>
      </c>
      <c r="AG106" s="418" t="s">
        <v>3798</v>
      </c>
      <c r="AH106" s="418" t="s">
        <v>4144</v>
      </c>
      <c r="AI106" s="418" t="s">
        <v>4145</v>
      </c>
      <c r="AJ106" s="418" t="s">
        <v>4146</v>
      </c>
      <c r="AK106" s="339">
        <v>158000.92000000001</v>
      </c>
      <c r="AL106" s="339">
        <v>156780.98000000001</v>
      </c>
      <c r="AM106" s="339">
        <v>148764.07</v>
      </c>
      <c r="AN106" s="339">
        <v>148011.79999999999</v>
      </c>
      <c r="AO106" s="339">
        <v>149946.39000000001</v>
      </c>
      <c r="AP106" s="339">
        <v>155619.74</v>
      </c>
      <c r="AQ106" s="339">
        <v>155229.57</v>
      </c>
      <c r="AR106" s="339">
        <v>157196.16</v>
      </c>
      <c r="AS106" s="339">
        <v>156856.68</v>
      </c>
      <c r="AT106" s="339">
        <v>155382.92000000001</v>
      </c>
      <c r="AU106" s="339">
        <v>145979.42000000001</v>
      </c>
      <c r="AV106" s="339">
        <v>149936.46</v>
      </c>
      <c r="AW106" s="339">
        <v>147740.57999999999</v>
      </c>
      <c r="AX106" s="339">
        <v>149316.53</v>
      </c>
      <c r="AY106" s="339">
        <v>150756.21</v>
      </c>
      <c r="AZ106" s="339">
        <v>137733.47</v>
      </c>
      <c r="BA106" s="339">
        <v>138563.75</v>
      </c>
      <c r="BB106" s="339">
        <v>109762.82</v>
      </c>
      <c r="BC106" s="339"/>
      <c r="BD106" s="339">
        <v>53843.02</v>
      </c>
      <c r="BE106" s="339">
        <v>54225.79</v>
      </c>
      <c r="BF106" s="339">
        <v>54563.14</v>
      </c>
      <c r="BG106" s="339">
        <v>54875.385479999997</v>
      </c>
      <c r="BH106" s="339">
        <v>55136.67</v>
      </c>
      <c r="BI106" s="339">
        <v>50462.64</v>
      </c>
      <c r="BJ106" s="339">
        <v>50779.39</v>
      </c>
      <c r="BK106" s="339">
        <v>51066.94</v>
      </c>
      <c r="BL106" s="339">
        <v>0</v>
      </c>
      <c r="BM106" s="339">
        <v>0</v>
      </c>
      <c r="BN106" s="339">
        <v>0</v>
      </c>
      <c r="BO106" s="339">
        <v>0</v>
      </c>
      <c r="BP106" s="339">
        <v>0</v>
      </c>
      <c r="BQ106" s="339">
        <v>0</v>
      </c>
      <c r="BR106" s="339">
        <v>0</v>
      </c>
      <c r="BS106" s="110" t="e">
        <f t="array" aca="1" ref="BS106" ca="1">_xludf.XLOOKUP(D106,'PL TOTAL D0'!N:N,'PL TOTAL D0'!P:P,"")</f>
        <v>#NAME?</v>
      </c>
      <c r="BT106" s="110"/>
    </row>
    <row r="107" spans="1:72" ht="15.75" customHeight="1">
      <c r="A107" s="122" t="s">
        <v>3785</v>
      </c>
      <c r="B107" s="104" t="s">
        <v>771</v>
      </c>
      <c r="C107" s="122" t="s">
        <v>769</v>
      </c>
      <c r="D107" s="292">
        <v>2720929</v>
      </c>
      <c r="E107" s="293" t="s">
        <v>19</v>
      </c>
      <c r="F107" s="293" t="s">
        <v>20</v>
      </c>
      <c r="G107" s="293" t="s">
        <v>4142</v>
      </c>
      <c r="H107" s="293">
        <f>IFERROR(VLOOKUP(G107,'Cadastro de assessores'!A:B,2,FALSE),"Não Cadastrado")</f>
        <v>12337</v>
      </c>
      <c r="I107" s="293"/>
      <c r="J107" s="24" t="s">
        <v>3788</v>
      </c>
      <c r="K107" s="293" t="s">
        <v>152</v>
      </c>
      <c r="L107" s="415">
        <v>44109</v>
      </c>
      <c r="M107" s="415">
        <v>44111</v>
      </c>
      <c r="N107" s="292"/>
      <c r="O107" s="292" t="s">
        <v>3805</v>
      </c>
      <c r="P107" s="388">
        <v>1.2E-2</v>
      </c>
      <c r="Q107" s="420" t="s">
        <v>4147</v>
      </c>
      <c r="R107" s="417"/>
      <c r="S107" s="292" t="str">
        <f t="shared" si="10"/>
        <v>Qualificado</v>
      </c>
      <c r="T107" s="292" t="s">
        <v>145</v>
      </c>
      <c r="U107" s="292" t="s">
        <v>3797</v>
      </c>
      <c r="V107" s="299" t="s">
        <v>20</v>
      </c>
      <c r="W107" s="418" t="s">
        <v>3798</v>
      </c>
      <c r="X107" s="418" t="s">
        <v>3798</v>
      </c>
      <c r="Y107" s="418" t="s">
        <v>3798</v>
      </c>
      <c r="Z107" s="418" t="s">
        <v>3798</v>
      </c>
      <c r="AA107" s="418" t="s">
        <v>3798</v>
      </c>
      <c r="AB107" s="418" t="s">
        <v>3798</v>
      </c>
      <c r="AC107" s="418" t="s">
        <v>3798</v>
      </c>
      <c r="AD107" s="418" t="s">
        <v>3798</v>
      </c>
      <c r="AE107" s="418" t="s">
        <v>3798</v>
      </c>
      <c r="AF107" s="418" t="s">
        <v>3798</v>
      </c>
      <c r="AG107" s="418" t="s">
        <v>3798</v>
      </c>
      <c r="AH107" s="418" t="s">
        <v>3798</v>
      </c>
      <c r="AI107" s="418" t="s">
        <v>4148</v>
      </c>
      <c r="AJ107" s="418" t="s">
        <v>4149</v>
      </c>
      <c r="AK107" s="339">
        <v>214146.98</v>
      </c>
      <c r="AL107" s="339">
        <v>211152.05</v>
      </c>
      <c r="AM107" s="339">
        <v>206300.19</v>
      </c>
      <c r="AN107" s="339">
        <v>206103.81</v>
      </c>
      <c r="AO107" s="339">
        <v>211234.79</v>
      </c>
      <c r="AP107" s="339">
        <v>212494.33</v>
      </c>
      <c r="AQ107" s="339">
        <v>211683.24</v>
      </c>
      <c r="AR107" s="339">
        <v>216507.1</v>
      </c>
      <c r="AS107" s="339">
        <v>214852.46</v>
      </c>
      <c r="AT107" s="339">
        <v>210692.14</v>
      </c>
      <c r="AU107" s="339">
        <v>209464.44</v>
      </c>
      <c r="AV107" s="339">
        <v>205935.76</v>
      </c>
      <c r="AW107" s="339">
        <v>198966.19</v>
      </c>
      <c r="AX107" s="339">
        <v>199055.46</v>
      </c>
      <c r="AY107" s="339">
        <v>201556.75</v>
      </c>
      <c r="AZ107" s="339">
        <v>206270.2</v>
      </c>
      <c r="BA107" s="339">
        <v>207607.88</v>
      </c>
      <c r="BB107" s="339">
        <v>212992.64000000001</v>
      </c>
      <c r="BC107" s="339">
        <v>2801747.01</v>
      </c>
      <c r="BD107" s="339">
        <v>214391.58</v>
      </c>
      <c r="BE107" s="339">
        <v>214580.06</v>
      </c>
      <c r="BF107" s="339">
        <v>217629.26</v>
      </c>
      <c r="BG107" s="339">
        <v>219057.52129999999</v>
      </c>
      <c r="BH107" s="339">
        <v>219738.96</v>
      </c>
      <c r="BI107" s="339">
        <v>224257.6</v>
      </c>
      <c r="BJ107" s="339">
        <v>224509.42</v>
      </c>
      <c r="BK107" s="339">
        <v>226272.51</v>
      </c>
      <c r="BL107" s="339">
        <v>268906.03999999998</v>
      </c>
      <c r="BM107" s="339">
        <v>270644.58</v>
      </c>
      <c r="BN107" s="339">
        <v>223571.8</v>
      </c>
      <c r="BO107" s="339">
        <v>0</v>
      </c>
      <c r="BP107" s="339">
        <v>0</v>
      </c>
      <c r="BQ107" s="339">
        <v>0</v>
      </c>
      <c r="BR107" s="339">
        <v>0</v>
      </c>
      <c r="BS107" s="110" t="e">
        <f t="array" aca="1" ref="BS107" ca="1">_xludf.XLOOKUP(D107,'PL TOTAL D0'!N:N,'PL TOTAL D0'!P:P,"")</f>
        <v>#NAME?</v>
      </c>
      <c r="BT107" s="110"/>
    </row>
    <row r="108" spans="1:72" ht="15.75" customHeight="1">
      <c r="A108" s="122" t="s">
        <v>3785</v>
      </c>
      <c r="B108" s="104" t="s">
        <v>771</v>
      </c>
      <c r="C108" s="390" t="s">
        <v>769</v>
      </c>
      <c r="D108" s="422">
        <v>8233833</v>
      </c>
      <c r="E108" s="293" t="s">
        <v>19</v>
      </c>
      <c r="F108" s="293" t="s">
        <v>20</v>
      </c>
      <c r="G108" s="293" t="s">
        <v>21</v>
      </c>
      <c r="H108" s="293">
        <f>IFERROR(VLOOKUP(G108,'Cadastro de assessores'!A:B,2,FALSE),"Não Cadastrado")</f>
        <v>12344</v>
      </c>
      <c r="I108" s="293"/>
      <c r="J108" s="24" t="s">
        <v>3788</v>
      </c>
      <c r="K108" s="292" t="s">
        <v>161</v>
      </c>
      <c r="L108" s="292" t="s">
        <v>3147</v>
      </c>
      <c r="M108" s="436" t="s">
        <v>3638</v>
      </c>
      <c r="N108" s="292"/>
      <c r="O108" s="292" t="s">
        <v>4150</v>
      </c>
      <c r="P108" s="388">
        <v>0.01</v>
      </c>
      <c r="Q108" s="420"/>
      <c r="R108" s="417"/>
      <c r="S108" s="292" t="str">
        <f t="shared" si="10"/>
        <v>Não Qualificado</v>
      </c>
      <c r="T108" s="292" t="s">
        <v>145</v>
      </c>
      <c r="U108" s="292" t="s">
        <v>3797</v>
      </c>
      <c r="V108" s="292" t="s">
        <v>20</v>
      </c>
      <c r="W108" s="418"/>
      <c r="X108" s="418"/>
      <c r="Y108" s="418"/>
      <c r="Z108" s="418"/>
      <c r="AA108" s="418"/>
      <c r="AB108" s="418"/>
      <c r="AC108" s="418"/>
      <c r="AD108" s="418"/>
      <c r="AE108" s="418"/>
      <c r="AF108" s="418"/>
      <c r="AG108" s="418"/>
      <c r="AH108" s="418"/>
      <c r="AI108" s="418"/>
      <c r="AJ108" s="418"/>
      <c r="AK108" s="339"/>
      <c r="AL108" s="339"/>
      <c r="AM108" s="339"/>
      <c r="AN108" s="339"/>
      <c r="AO108" s="339"/>
      <c r="AP108" s="339"/>
      <c r="AQ108" s="339"/>
      <c r="AR108" s="339"/>
      <c r="AS108" s="339"/>
      <c r="AT108" s="339"/>
      <c r="AU108" s="339"/>
      <c r="AV108" s="339"/>
      <c r="AW108" s="339"/>
      <c r="AX108" s="339"/>
      <c r="AY108" s="339"/>
      <c r="AZ108" s="339"/>
      <c r="BA108" s="339"/>
      <c r="BB108" s="339"/>
      <c r="BC108" s="339">
        <v>530725.79</v>
      </c>
      <c r="BD108" s="339" t="s">
        <v>2932</v>
      </c>
      <c r="BE108" s="339" t="s">
        <v>2932</v>
      </c>
      <c r="BF108" s="339">
        <v>0</v>
      </c>
      <c r="BG108" s="339">
        <v>0</v>
      </c>
      <c r="BH108" s="339">
        <v>0</v>
      </c>
      <c r="BI108" s="339">
        <v>0</v>
      </c>
      <c r="BJ108" s="339">
        <v>0</v>
      </c>
      <c r="BK108" s="339">
        <v>0</v>
      </c>
      <c r="BL108" s="339">
        <v>0</v>
      </c>
      <c r="BM108" s="339">
        <v>0</v>
      </c>
      <c r="BN108" s="339">
        <v>0</v>
      </c>
      <c r="BO108" s="339">
        <v>0</v>
      </c>
      <c r="BP108" s="339">
        <v>0</v>
      </c>
      <c r="BQ108" s="339">
        <v>0</v>
      </c>
      <c r="BR108" s="339">
        <v>0</v>
      </c>
      <c r="BS108" s="110" t="e">
        <f t="array" aca="1" ref="BS108" ca="1">_xludf.XLOOKUP(D108,'PL TOTAL D0'!N:N,'PL TOTAL D0'!P:P,"")</f>
        <v>#NAME?</v>
      </c>
      <c r="BT108" s="110"/>
    </row>
    <row r="109" spans="1:72" ht="15.75" customHeight="1">
      <c r="A109" s="122" t="s">
        <v>3785</v>
      </c>
      <c r="B109" s="104" t="s">
        <v>781</v>
      </c>
      <c r="C109" s="122" t="s">
        <v>4151</v>
      </c>
      <c r="D109" s="422">
        <v>6096787</v>
      </c>
      <c r="E109" s="293" t="s">
        <v>64</v>
      </c>
      <c r="F109" s="293" t="s">
        <v>20</v>
      </c>
      <c r="G109" s="293" t="s">
        <v>4152</v>
      </c>
      <c r="H109" s="293">
        <f>IFERROR(VLOOKUP(G109,'Cadastro de assessores'!A:B,2,FALSE),"Não Cadastrado")</f>
        <v>12352</v>
      </c>
      <c r="I109" s="293"/>
      <c r="J109" s="24" t="s">
        <v>3788</v>
      </c>
      <c r="K109" s="293"/>
      <c r="L109" s="415">
        <v>44834</v>
      </c>
      <c r="M109" s="415">
        <v>44840</v>
      </c>
      <c r="N109" s="299"/>
      <c r="O109" s="299" t="s">
        <v>3802</v>
      </c>
      <c r="P109" s="388">
        <v>0.01</v>
      </c>
      <c r="Q109" s="420"/>
      <c r="R109" s="417"/>
      <c r="S109" s="292"/>
      <c r="T109" s="292"/>
      <c r="U109" s="292"/>
      <c r="V109" s="292" t="s">
        <v>3147</v>
      </c>
      <c r="W109" s="418"/>
      <c r="X109" s="418"/>
      <c r="Y109" s="418"/>
      <c r="Z109" s="418"/>
      <c r="AA109" s="418"/>
      <c r="AB109" s="418"/>
      <c r="AC109" s="418"/>
      <c r="AD109" s="418"/>
      <c r="AE109" s="418"/>
      <c r="AF109" s="418"/>
      <c r="AG109" s="418"/>
      <c r="AH109" s="418"/>
      <c r="AI109" s="418"/>
      <c r="AJ109" s="418"/>
      <c r="AK109" s="339"/>
      <c r="AL109" s="339"/>
      <c r="AM109" s="339"/>
      <c r="AN109" s="339"/>
      <c r="AO109" s="339"/>
      <c r="AP109" s="339"/>
      <c r="AQ109" s="339"/>
      <c r="AR109" s="339"/>
      <c r="AS109" s="339"/>
      <c r="AT109" s="339"/>
      <c r="AU109" s="339"/>
      <c r="AV109" s="339"/>
      <c r="AW109" s="339"/>
      <c r="AX109" s="339"/>
      <c r="AY109" s="339"/>
      <c r="AZ109" s="339"/>
      <c r="BA109" s="339"/>
      <c r="BB109" s="339"/>
      <c r="BC109" s="339"/>
      <c r="BD109" s="339"/>
      <c r="BE109" s="339"/>
      <c r="BF109" s="339"/>
      <c r="BG109" s="339"/>
      <c r="BH109" s="339">
        <v>0</v>
      </c>
      <c r="BI109" s="339">
        <v>383096.42</v>
      </c>
      <c r="BJ109" s="339">
        <v>383869.17</v>
      </c>
      <c r="BK109" s="339">
        <v>4193.17</v>
      </c>
      <c r="BL109" s="339">
        <v>0</v>
      </c>
      <c r="BM109" s="339">
        <v>0</v>
      </c>
      <c r="BN109" s="339">
        <v>0</v>
      </c>
      <c r="BO109" s="339">
        <v>0</v>
      </c>
      <c r="BP109" s="339">
        <v>0</v>
      </c>
      <c r="BQ109" s="339">
        <v>0</v>
      </c>
      <c r="BR109" s="339">
        <v>0</v>
      </c>
      <c r="BS109" s="110" t="e">
        <f t="array" aca="1" ref="BS109" ca="1">_xludf.XLOOKUP(D109,'PL TOTAL D0'!N:N,'PL TOTAL D0'!P:P,"")</f>
        <v>#NAME?</v>
      </c>
      <c r="BT109" s="110"/>
    </row>
    <row r="110" spans="1:72" ht="15.75" customHeight="1">
      <c r="A110" s="122" t="s">
        <v>3785</v>
      </c>
      <c r="B110" s="104" t="s">
        <v>4153</v>
      </c>
      <c r="C110" s="122" t="s">
        <v>4154</v>
      </c>
      <c r="D110" s="292">
        <v>4860809</v>
      </c>
      <c r="E110" s="293" t="s">
        <v>64</v>
      </c>
      <c r="F110" s="293" t="s">
        <v>20</v>
      </c>
      <c r="G110" s="293" t="s">
        <v>247</v>
      </c>
      <c r="H110" s="293" t="str">
        <f>IFERROR(VLOOKUP(G110,'Cadastro de assessores'!A:B,2,FALSE),"Não Cadastrado")</f>
        <v>14699</v>
      </c>
      <c r="I110" s="293"/>
      <c r="J110" s="24" t="s">
        <v>3788</v>
      </c>
      <c r="K110" s="293" t="s">
        <v>152</v>
      </c>
      <c r="L110" s="415">
        <v>44264</v>
      </c>
      <c r="M110" s="415">
        <v>44264</v>
      </c>
      <c r="N110" s="299"/>
      <c r="O110" s="299" t="s">
        <v>3842</v>
      </c>
      <c r="P110" s="388">
        <v>8.0000000000000002E-3</v>
      </c>
      <c r="Q110" s="420"/>
      <c r="R110" s="417"/>
      <c r="S110" s="292" t="str">
        <f t="shared" ref="S110:S142" si="11">IF(BC110&lt;=0,"",IF(BC110&lt;=1000000,"Não Qualificado",IF(AND(BC110&gt;1000000,BC110&lt;=10000000),"Qualificado","Profissional")))</f>
        <v>Não Qualificado</v>
      </c>
      <c r="T110" s="292" t="s">
        <v>145</v>
      </c>
      <c r="U110" s="292" t="s">
        <v>3816</v>
      </c>
      <c r="V110" s="292" t="s">
        <v>20</v>
      </c>
      <c r="W110" s="418"/>
      <c r="X110" s="418"/>
      <c r="Y110" s="418"/>
      <c r="Z110" s="418"/>
      <c r="AA110" s="418"/>
      <c r="AB110" s="418"/>
      <c r="AC110" s="418"/>
      <c r="AD110" s="418"/>
      <c r="AE110" s="418"/>
      <c r="AF110" s="418"/>
      <c r="AG110" s="418"/>
      <c r="AH110" s="418"/>
      <c r="AI110" s="418"/>
      <c r="AJ110" s="418"/>
      <c r="AK110" s="339">
        <v>316737.03999999998</v>
      </c>
      <c r="AL110" s="339">
        <v>320050.51</v>
      </c>
      <c r="AM110" s="339">
        <v>292466.89</v>
      </c>
      <c r="AN110" s="339">
        <v>149752.04</v>
      </c>
      <c r="AO110" s="339">
        <v>147313.12</v>
      </c>
      <c r="AP110" s="339">
        <v>147445.65</v>
      </c>
      <c r="AQ110" s="339">
        <v>148231.92000000001</v>
      </c>
      <c r="AR110" s="339">
        <v>144976.22</v>
      </c>
      <c r="AS110" s="339">
        <v>143215.04999999999</v>
      </c>
      <c r="AT110" s="339">
        <v>146411.48000000001</v>
      </c>
      <c r="AU110" s="339">
        <v>141903.82</v>
      </c>
      <c r="AV110" s="339">
        <v>140307.37</v>
      </c>
      <c r="AW110" s="339">
        <v>138948.10999999999</v>
      </c>
      <c r="AX110" s="339">
        <v>132047.88</v>
      </c>
      <c r="AY110" s="339">
        <v>140891.41</v>
      </c>
      <c r="AZ110" s="339">
        <v>141347.14000000001</v>
      </c>
      <c r="BA110" s="339">
        <v>141401.31</v>
      </c>
      <c r="BB110" s="339">
        <v>142758.82</v>
      </c>
      <c r="BC110" s="339">
        <v>312981.84999999998</v>
      </c>
      <c r="BD110" s="339">
        <v>144071.44</v>
      </c>
      <c r="BE110" s="339">
        <v>144003.79999999999</v>
      </c>
      <c r="BF110" s="339">
        <v>145747.72</v>
      </c>
      <c r="BG110" s="339">
        <v>149526.95000000001</v>
      </c>
      <c r="BH110" s="339">
        <v>149433.94</v>
      </c>
      <c r="BI110" s="339">
        <v>150816.74</v>
      </c>
      <c r="BJ110" s="339">
        <v>146054.5</v>
      </c>
      <c r="BK110" s="339">
        <v>145819.48000000001</v>
      </c>
      <c r="BL110" s="339">
        <v>146711.04999999999</v>
      </c>
      <c r="BM110" s="339">
        <v>145752.82</v>
      </c>
      <c r="BN110" s="339">
        <v>143514.06</v>
      </c>
      <c r="BO110" s="339">
        <v>148384.04999999999</v>
      </c>
      <c r="BP110" s="339">
        <v>153882.45000000001</v>
      </c>
      <c r="BQ110" s="339">
        <v>160355.88</v>
      </c>
      <c r="BR110" s="339">
        <v>0</v>
      </c>
      <c r="BS110" s="110" t="e">
        <f t="array" aca="1" ref="BS110" ca="1">_xludf.XLOOKUP(D110,'PL TOTAL D0'!N:N,'PL TOTAL D0'!P:P,"")</f>
        <v>#NAME?</v>
      </c>
      <c r="BT110" s="110"/>
    </row>
    <row r="111" spans="1:72" ht="15.75" customHeight="1">
      <c r="A111" s="122" t="s">
        <v>3785</v>
      </c>
      <c r="B111" s="104" t="s">
        <v>4153</v>
      </c>
      <c r="C111" s="122" t="s">
        <v>4154</v>
      </c>
      <c r="D111" s="292">
        <v>4841420</v>
      </c>
      <c r="E111" s="293" t="s">
        <v>64</v>
      </c>
      <c r="F111" s="293" t="s">
        <v>20</v>
      </c>
      <c r="G111" s="293" t="s">
        <v>247</v>
      </c>
      <c r="H111" s="293" t="str">
        <f>IFERROR(VLOOKUP(G111,'Cadastro de assessores'!A:B,2,FALSE),"Não Cadastrado")</f>
        <v>14699</v>
      </c>
      <c r="I111" s="293"/>
      <c r="J111" s="24" t="s">
        <v>3788</v>
      </c>
      <c r="K111" s="293" t="s">
        <v>152</v>
      </c>
      <c r="L111" s="415">
        <v>44264</v>
      </c>
      <c r="M111" s="415">
        <v>44264</v>
      </c>
      <c r="N111" s="292"/>
      <c r="O111" s="292" t="s">
        <v>3795</v>
      </c>
      <c r="P111" s="388">
        <v>1.4999999999999999E-2</v>
      </c>
      <c r="Q111" s="420"/>
      <c r="R111" s="417"/>
      <c r="S111" s="292" t="str">
        <f t="shared" si="11"/>
        <v>Não Qualificado</v>
      </c>
      <c r="T111" s="292" t="s">
        <v>145</v>
      </c>
      <c r="U111" s="292" t="s">
        <v>3816</v>
      </c>
      <c r="V111" s="292" t="s">
        <v>20</v>
      </c>
      <c r="W111" s="418"/>
      <c r="X111" s="418"/>
      <c r="Y111" s="418"/>
      <c r="Z111" s="418"/>
      <c r="AA111" s="418"/>
      <c r="AB111" s="418"/>
      <c r="AC111" s="418"/>
      <c r="AD111" s="418"/>
      <c r="AE111" s="418"/>
      <c r="AF111" s="418"/>
      <c r="AG111" s="418"/>
      <c r="AH111" s="418"/>
      <c r="AI111" s="418"/>
      <c r="AJ111" s="418"/>
      <c r="AK111" s="339"/>
      <c r="AL111" s="339"/>
      <c r="AM111" s="339">
        <v>301087.94</v>
      </c>
      <c r="AN111" s="339">
        <v>150867.07</v>
      </c>
      <c r="AO111" s="339">
        <v>155551.06</v>
      </c>
      <c r="AP111" s="339">
        <v>156231.20000000001</v>
      </c>
      <c r="AQ111" s="339">
        <v>155661.64000000001</v>
      </c>
      <c r="AR111" s="339">
        <v>159128.51</v>
      </c>
      <c r="AS111" s="339">
        <v>158108.53</v>
      </c>
      <c r="AT111" s="339">
        <v>155000.46</v>
      </c>
      <c r="AU111" s="339">
        <v>154068.10999999999</v>
      </c>
      <c r="AV111" s="339">
        <v>151105.82</v>
      </c>
      <c r="AW111" s="339">
        <v>145566.10999999999</v>
      </c>
      <c r="AX111" s="339">
        <v>145303.57999999999</v>
      </c>
      <c r="AY111" s="339">
        <v>147096.66</v>
      </c>
      <c r="AZ111" s="339">
        <v>151507.75</v>
      </c>
      <c r="BA111" s="339">
        <v>152685.65</v>
      </c>
      <c r="BB111" s="339">
        <v>158109.73000000001</v>
      </c>
      <c r="BC111" s="339">
        <v>185102.43</v>
      </c>
      <c r="BD111" s="339">
        <v>156194.59</v>
      </c>
      <c r="BE111" s="339">
        <v>155424.41</v>
      </c>
      <c r="BF111" s="339">
        <v>158060.71</v>
      </c>
      <c r="BG111" s="339">
        <v>159202.69190000001</v>
      </c>
      <c r="BH111" s="339">
        <v>159665.10999999999</v>
      </c>
      <c r="BI111" s="339">
        <v>165685.13</v>
      </c>
      <c r="BJ111" s="339">
        <v>164310.72</v>
      </c>
      <c r="BK111" s="339">
        <v>165277.38</v>
      </c>
      <c r="BL111" s="339">
        <v>167145.63</v>
      </c>
      <c r="BM111" s="339">
        <v>168212.36</v>
      </c>
      <c r="BN111" s="339">
        <v>169670.05</v>
      </c>
      <c r="BO111" s="339">
        <v>170866.19</v>
      </c>
      <c r="BP111" s="339">
        <v>172365.93</v>
      </c>
      <c r="BQ111" s="339">
        <v>173569.99</v>
      </c>
      <c r="BR111" s="339">
        <v>0</v>
      </c>
      <c r="BS111" s="110" t="e">
        <f t="array" aca="1" ref="BS111" ca="1">_xludf.XLOOKUP(D111,'PL TOTAL D0'!N:N,'PL TOTAL D0'!P:P,"")</f>
        <v>#NAME?</v>
      </c>
      <c r="BT111" s="110"/>
    </row>
    <row r="112" spans="1:72" ht="15.75" customHeight="1">
      <c r="A112" s="122" t="s">
        <v>3785</v>
      </c>
      <c r="B112" s="104" t="s">
        <v>4155</v>
      </c>
      <c r="C112" s="390" t="s">
        <v>4156</v>
      </c>
      <c r="D112" s="299">
        <v>6404430</v>
      </c>
      <c r="E112" s="299" t="s">
        <v>4157</v>
      </c>
      <c r="F112" s="299" t="s">
        <v>886</v>
      </c>
      <c r="G112" s="299" t="s">
        <v>4158</v>
      </c>
      <c r="H112" s="299" t="str">
        <f>IFERROR(VLOOKUP(G112,'Cadastro de assessores'!A:B,2,FALSE),"Não Cadastrado")</f>
        <v>14434</v>
      </c>
      <c r="I112" s="299"/>
      <c r="J112" s="24" t="s">
        <v>143</v>
      </c>
      <c r="K112" s="292" t="s">
        <v>3794</v>
      </c>
      <c r="L112" s="391">
        <v>44461</v>
      </c>
      <c r="M112" s="391">
        <v>44461</v>
      </c>
      <c r="N112" s="299"/>
      <c r="O112" s="299" t="s">
        <v>3802</v>
      </c>
      <c r="P112" s="392">
        <v>7.0000000000000001E-3</v>
      </c>
      <c r="Q112" s="167" t="s">
        <v>4159</v>
      </c>
      <c r="R112" s="417"/>
      <c r="S112" s="292" t="str">
        <f t="shared" si="11"/>
        <v>Qualificado</v>
      </c>
      <c r="T112" s="292" t="s">
        <v>145</v>
      </c>
      <c r="U112" s="292" t="s">
        <v>4049</v>
      </c>
      <c r="V112" s="292" t="s">
        <v>886</v>
      </c>
      <c r="W112" s="350"/>
      <c r="X112" s="350"/>
      <c r="Y112" s="350"/>
      <c r="Z112" s="350"/>
      <c r="AA112" s="350"/>
      <c r="AB112" s="350"/>
      <c r="AC112" s="350"/>
      <c r="AD112" s="350"/>
      <c r="AE112" s="350"/>
      <c r="AF112" s="350"/>
      <c r="AG112" s="350"/>
      <c r="AH112" s="350"/>
      <c r="AI112" s="418"/>
      <c r="AJ112" s="339"/>
      <c r="AK112" s="339"/>
      <c r="AL112" s="339"/>
      <c r="AM112" s="339"/>
      <c r="AN112" s="339"/>
      <c r="AO112" s="339"/>
      <c r="AP112" s="339"/>
      <c r="AQ112" s="339"/>
      <c r="AR112" s="339"/>
      <c r="AS112" s="339"/>
      <c r="AT112" s="339"/>
      <c r="AU112" s="350"/>
      <c r="AV112" s="339">
        <v>100297.97</v>
      </c>
      <c r="AW112" s="339">
        <v>101063.58</v>
      </c>
      <c r="AX112" s="339">
        <v>101921.35</v>
      </c>
      <c r="AY112" s="339">
        <v>102754.34</v>
      </c>
      <c r="AZ112" s="339">
        <v>103559.48</v>
      </c>
      <c r="BA112" s="339">
        <v>104249.87</v>
      </c>
      <c r="BB112" s="339">
        <v>105384.25</v>
      </c>
      <c r="BC112" s="339">
        <v>1303389.6599999999</v>
      </c>
      <c r="BD112" s="339">
        <v>-38</v>
      </c>
      <c r="BE112" s="339" t="s">
        <v>2932</v>
      </c>
      <c r="BF112" s="339">
        <v>-38</v>
      </c>
      <c r="BG112" s="339">
        <v>0</v>
      </c>
      <c r="BH112" s="339">
        <v>0</v>
      </c>
      <c r="BI112" s="339">
        <v>0</v>
      </c>
      <c r="BJ112" s="339">
        <v>0</v>
      </c>
      <c r="BK112" s="339">
        <v>0</v>
      </c>
      <c r="BL112" s="339">
        <v>0</v>
      </c>
      <c r="BM112" s="339">
        <v>0</v>
      </c>
      <c r="BN112" s="339">
        <v>0</v>
      </c>
      <c r="BO112" s="339">
        <v>0</v>
      </c>
      <c r="BP112" s="339">
        <v>0</v>
      </c>
      <c r="BQ112" s="339">
        <v>0</v>
      </c>
      <c r="BR112" s="339">
        <v>0</v>
      </c>
      <c r="BS112" s="110" t="e">
        <f t="array" aca="1" ref="BS112" ca="1">_xludf.XLOOKUP(D112,'PL TOTAL D0'!N:N,'PL TOTAL D0'!P:P,"")</f>
        <v>#NAME?</v>
      </c>
      <c r="BT112" s="110"/>
    </row>
    <row r="113" spans="1:72" ht="15.75" customHeight="1">
      <c r="A113" s="122" t="s">
        <v>3785</v>
      </c>
      <c r="B113" s="104" t="s">
        <v>4155</v>
      </c>
      <c r="C113" s="390" t="s">
        <v>4156</v>
      </c>
      <c r="D113" s="444">
        <v>2126289</v>
      </c>
      <c r="E113" s="292" t="s">
        <v>4157</v>
      </c>
      <c r="F113" s="292" t="s">
        <v>886</v>
      </c>
      <c r="G113" s="299" t="s">
        <v>4158</v>
      </c>
      <c r="H113" s="299" t="str">
        <f>IFERROR(VLOOKUP(G113,'Cadastro de assessores'!A:B,2,FALSE),"Não Cadastrado")</f>
        <v>14434</v>
      </c>
      <c r="I113" s="299"/>
      <c r="J113" s="24" t="s">
        <v>143</v>
      </c>
      <c r="K113" s="292" t="s">
        <v>3794</v>
      </c>
      <c r="L113" s="387">
        <v>44432</v>
      </c>
      <c r="M113" s="387">
        <v>44432</v>
      </c>
      <c r="N113" s="299"/>
      <c r="O113" s="299" t="s">
        <v>3795</v>
      </c>
      <c r="P113" s="388">
        <v>1.4999999999999999E-2</v>
      </c>
      <c r="Q113" s="167" t="s">
        <v>4160</v>
      </c>
      <c r="R113" s="417"/>
      <c r="S113" s="292" t="str">
        <f t="shared" si="11"/>
        <v>Não Qualificado</v>
      </c>
      <c r="T113" s="292" t="s">
        <v>145</v>
      </c>
      <c r="U113" s="292" t="s">
        <v>4049</v>
      </c>
      <c r="V113" s="292" t="s">
        <v>886</v>
      </c>
      <c r="W113" s="350"/>
      <c r="X113" s="350"/>
      <c r="Y113" s="350"/>
      <c r="Z113" s="350"/>
      <c r="AA113" s="350"/>
      <c r="AB113" s="350"/>
      <c r="AC113" s="350"/>
      <c r="AD113" s="350"/>
      <c r="AE113" s="350"/>
      <c r="AF113" s="350"/>
      <c r="AG113" s="350"/>
      <c r="AH113" s="418"/>
      <c r="AI113" s="418"/>
      <c r="AJ113" s="339"/>
      <c r="AK113" s="339"/>
      <c r="AL113" s="339"/>
      <c r="AM113" s="339"/>
      <c r="AN113" s="339"/>
      <c r="AO113" s="339"/>
      <c r="AP113" s="339"/>
      <c r="AQ113" s="339"/>
      <c r="AR113" s="339"/>
      <c r="AS113" s="431"/>
      <c r="AT113" s="340"/>
      <c r="AU113" s="340">
        <v>150219.60999999999</v>
      </c>
      <c r="AV113" s="339">
        <v>146775.85999999999</v>
      </c>
      <c r="AW113" s="339">
        <v>142439.26</v>
      </c>
      <c r="AX113" s="339">
        <v>146170.56</v>
      </c>
      <c r="AY113" s="339">
        <v>140423.67999999999</v>
      </c>
      <c r="AZ113" s="339">
        <v>143958.25</v>
      </c>
      <c r="BA113" s="339">
        <v>144649.04999999999</v>
      </c>
      <c r="BB113" s="339">
        <v>149135.87</v>
      </c>
      <c r="BC113" s="339">
        <v>183577.5</v>
      </c>
      <c r="BD113" s="339">
        <v>33229.550000000003</v>
      </c>
      <c r="BE113" s="339">
        <v>33441.82</v>
      </c>
      <c r="BF113" s="339">
        <v>0</v>
      </c>
      <c r="BG113" s="339">
        <v>0</v>
      </c>
      <c r="BH113" s="339">
        <v>0</v>
      </c>
      <c r="BI113" s="339">
        <v>0</v>
      </c>
      <c r="BJ113" s="339">
        <v>0</v>
      </c>
      <c r="BK113" s="339">
        <v>0</v>
      </c>
      <c r="BL113" s="339">
        <v>0</v>
      </c>
      <c r="BM113" s="339">
        <v>0</v>
      </c>
      <c r="BN113" s="339">
        <v>0</v>
      </c>
      <c r="BO113" s="339">
        <v>0</v>
      </c>
      <c r="BP113" s="339">
        <v>0</v>
      </c>
      <c r="BQ113" s="339">
        <v>0</v>
      </c>
      <c r="BR113" s="339">
        <v>0</v>
      </c>
      <c r="BS113" s="110" t="e">
        <f t="array" aca="1" ref="BS113" ca="1">_xludf.XLOOKUP(D113,'PL TOTAL D0'!N:N,'PL TOTAL D0'!P:P,"")</f>
        <v>#NAME?</v>
      </c>
      <c r="BT113" s="110"/>
    </row>
    <row r="114" spans="1:72" ht="15.75" customHeight="1">
      <c r="A114" s="122" t="s">
        <v>3785</v>
      </c>
      <c r="B114" s="104" t="s">
        <v>784</v>
      </c>
      <c r="C114" s="122" t="s">
        <v>782</v>
      </c>
      <c r="D114" s="292">
        <v>4413613</v>
      </c>
      <c r="E114" s="293" t="s">
        <v>64</v>
      </c>
      <c r="F114" s="293" t="s">
        <v>20</v>
      </c>
      <c r="G114" s="293" t="s">
        <v>3973</v>
      </c>
      <c r="H114" s="293" t="str">
        <f>IFERROR(VLOOKUP(G114,'Cadastro de assessores'!A:B,2,FALSE),"Não Cadastrado")</f>
        <v>16459</v>
      </c>
      <c r="I114" s="293"/>
      <c r="J114" s="24" t="s">
        <v>3788</v>
      </c>
      <c r="K114" s="293" t="s">
        <v>152</v>
      </c>
      <c r="L114" s="415">
        <v>44071</v>
      </c>
      <c r="M114" s="415">
        <v>44071</v>
      </c>
      <c r="N114" s="299"/>
      <c r="O114" s="299" t="s">
        <v>3789</v>
      </c>
      <c r="P114" s="388">
        <v>0.02</v>
      </c>
      <c r="Q114" s="445"/>
      <c r="R114" s="417"/>
      <c r="S114" s="292" t="str">
        <f t="shared" si="11"/>
        <v>Não Qualificado</v>
      </c>
      <c r="T114" s="292" t="s">
        <v>145</v>
      </c>
      <c r="U114" s="292" t="s">
        <v>3797</v>
      </c>
      <c r="V114" s="292" t="s">
        <v>20</v>
      </c>
      <c r="W114" s="418"/>
      <c r="X114" s="418"/>
      <c r="Y114" s="418"/>
      <c r="Z114" s="418"/>
      <c r="AA114" s="418"/>
      <c r="AB114" s="418"/>
      <c r="AC114" s="418"/>
      <c r="AD114" s="418"/>
      <c r="AE114" s="418"/>
      <c r="AF114" s="418"/>
      <c r="AG114" s="418"/>
      <c r="AH114" s="418"/>
      <c r="AI114" s="418" t="s">
        <v>4161</v>
      </c>
      <c r="AJ114" s="418"/>
      <c r="AK114" s="339"/>
      <c r="AL114" s="339"/>
      <c r="AM114" s="339">
        <v>287823.86</v>
      </c>
      <c r="AN114" s="339">
        <v>289663.98</v>
      </c>
      <c r="AO114" s="339">
        <v>303410.88</v>
      </c>
      <c r="AP114" s="339">
        <v>305860.42</v>
      </c>
      <c r="AQ114" s="339">
        <v>303996.87</v>
      </c>
      <c r="AR114" s="339">
        <v>314873.71999999997</v>
      </c>
      <c r="AS114" s="339">
        <v>309652.3</v>
      </c>
      <c r="AT114" s="339">
        <v>300037.81</v>
      </c>
      <c r="AU114" s="339">
        <v>297710.19</v>
      </c>
      <c r="AV114" s="339">
        <v>288150.76</v>
      </c>
      <c r="AW114" s="339">
        <v>273520.02</v>
      </c>
      <c r="AX114" s="339">
        <v>272465.67</v>
      </c>
      <c r="AY114" s="339">
        <v>191637.52</v>
      </c>
      <c r="AZ114" s="339">
        <v>205049.18</v>
      </c>
      <c r="BA114" s="339">
        <v>207130.98</v>
      </c>
      <c r="BB114" s="339">
        <v>221509.76000000001</v>
      </c>
      <c r="BC114" s="339">
        <v>156707.60999999999</v>
      </c>
      <c r="BD114" s="339">
        <v>208209.16</v>
      </c>
      <c r="BE114" s="339">
        <v>200274.56</v>
      </c>
      <c r="BF114" s="339">
        <v>210463.69</v>
      </c>
      <c r="BG114" s="339">
        <v>215961.78950000001</v>
      </c>
      <c r="BH114" s="339">
        <v>213416.11</v>
      </c>
      <c r="BI114" s="339">
        <v>230135.22</v>
      </c>
      <c r="BJ114" s="339">
        <v>227576.03</v>
      </c>
      <c r="BK114" s="339">
        <v>228179.9</v>
      </c>
      <c r="BL114" s="339">
        <v>227388.77</v>
      </c>
      <c r="BM114" s="339">
        <v>69546</v>
      </c>
      <c r="BN114" s="339">
        <v>51227.05</v>
      </c>
      <c r="BO114" s="339">
        <v>50813.61</v>
      </c>
      <c r="BP114" s="339">
        <v>0</v>
      </c>
      <c r="BQ114" s="339">
        <v>0</v>
      </c>
      <c r="BR114" s="339">
        <v>0</v>
      </c>
      <c r="BS114" s="110" t="e">
        <f t="array" aca="1" ref="BS114" ca="1">_xludf.XLOOKUP(D114,'PL TOTAL D0'!N:N,'PL TOTAL D0'!P:P,"")</f>
        <v>#NAME?</v>
      </c>
      <c r="BT114" s="110"/>
    </row>
    <row r="115" spans="1:72" ht="15.75" customHeight="1">
      <c r="A115" s="122" t="s">
        <v>3785</v>
      </c>
      <c r="B115" s="104" t="s">
        <v>4162</v>
      </c>
      <c r="C115" s="390" t="s">
        <v>4163</v>
      </c>
      <c r="D115" s="432">
        <v>7991210</v>
      </c>
      <c r="E115" s="292" t="s">
        <v>19</v>
      </c>
      <c r="F115" s="292" t="s">
        <v>20</v>
      </c>
      <c r="G115" s="292" t="s">
        <v>199</v>
      </c>
      <c r="H115" s="292">
        <f>IFERROR(VLOOKUP(G115,'Cadastro de assessores'!A:B,2,FALSE),"Não Cadastrado")</f>
        <v>12332</v>
      </c>
      <c r="I115" s="292"/>
      <c r="J115" s="24" t="s">
        <v>143</v>
      </c>
      <c r="K115" s="292" t="s">
        <v>3794</v>
      </c>
      <c r="L115" s="387">
        <v>44613</v>
      </c>
      <c r="M115" s="387">
        <v>44613</v>
      </c>
      <c r="N115" s="387">
        <v>44711</v>
      </c>
      <c r="O115" s="292" t="s">
        <v>3802</v>
      </c>
      <c r="P115" s="392">
        <v>7.0000000000000001E-3</v>
      </c>
      <c r="Q115" s="167" t="s">
        <v>4164</v>
      </c>
      <c r="R115" s="417"/>
      <c r="S115" s="292" t="str">
        <f t="shared" si="11"/>
        <v>Não Qualificado</v>
      </c>
      <c r="T115" s="292" t="s">
        <v>145</v>
      </c>
      <c r="U115" s="292"/>
      <c r="V115" s="292" t="s">
        <v>3147</v>
      </c>
      <c r="W115" s="350"/>
      <c r="X115" s="350"/>
      <c r="Y115" s="350"/>
      <c r="Z115" s="350"/>
      <c r="AA115" s="350"/>
      <c r="AB115" s="350"/>
      <c r="AC115" s="350"/>
      <c r="AD115" s="350"/>
      <c r="AE115" s="350"/>
      <c r="AF115" s="350"/>
      <c r="AG115" s="350"/>
      <c r="AH115" s="350"/>
      <c r="AI115" s="350"/>
      <c r="AJ115" s="350"/>
      <c r="AK115" s="350"/>
      <c r="AL115" s="339"/>
      <c r="AM115" s="339"/>
      <c r="AN115" s="339"/>
      <c r="AO115" s="339"/>
      <c r="AP115" s="339"/>
      <c r="AQ115" s="339"/>
      <c r="AR115" s="339"/>
      <c r="AS115" s="339"/>
      <c r="AT115" s="339"/>
      <c r="AU115" s="339"/>
      <c r="AV115" s="339"/>
      <c r="AW115" s="339"/>
      <c r="AX115" s="339"/>
      <c r="AY115" s="339"/>
      <c r="AZ115" s="339"/>
      <c r="BA115" s="339">
        <v>15022.58</v>
      </c>
      <c r="BB115" s="339">
        <v>15167.26</v>
      </c>
      <c r="BC115" s="339">
        <v>339789.54</v>
      </c>
      <c r="BD115" s="339">
        <v>5.75</v>
      </c>
      <c r="BE115" s="339" t="s">
        <v>2932</v>
      </c>
      <c r="BF115" s="339">
        <v>0</v>
      </c>
      <c r="BG115" s="339">
        <v>0</v>
      </c>
      <c r="BH115" s="339">
        <v>0</v>
      </c>
      <c r="BI115" s="339">
        <v>0</v>
      </c>
      <c r="BJ115" s="339">
        <v>0</v>
      </c>
      <c r="BK115" s="339">
        <v>0</v>
      </c>
      <c r="BL115" s="339">
        <v>0</v>
      </c>
      <c r="BM115" s="339">
        <v>0</v>
      </c>
      <c r="BN115" s="339">
        <v>0</v>
      </c>
      <c r="BO115" s="339">
        <v>0</v>
      </c>
      <c r="BP115" s="339">
        <v>0</v>
      </c>
      <c r="BQ115" s="339">
        <v>0</v>
      </c>
      <c r="BR115" s="339">
        <v>0</v>
      </c>
      <c r="BS115" s="110" t="e">
        <f t="array" aca="1" ref="BS115" ca="1">_xludf.XLOOKUP(D115,'PL TOTAL D0'!N:N,'PL TOTAL D0'!P:P,"")</f>
        <v>#NAME?</v>
      </c>
      <c r="BT115" s="110"/>
    </row>
    <row r="116" spans="1:72" ht="15.75" customHeight="1">
      <c r="A116" s="122" t="s">
        <v>3785</v>
      </c>
      <c r="B116" s="104" t="s">
        <v>4165</v>
      </c>
      <c r="C116" s="390" t="s">
        <v>4166</v>
      </c>
      <c r="D116" s="299">
        <v>5182986</v>
      </c>
      <c r="E116" s="293" t="s">
        <v>19</v>
      </c>
      <c r="F116" s="293" t="s">
        <v>20</v>
      </c>
      <c r="G116" s="293" t="s">
        <v>4167</v>
      </c>
      <c r="H116" s="293" t="str">
        <f>IFERROR(VLOOKUP(G116,'Cadastro de assessores'!A:B,2,FALSE),"Não Cadastrado")</f>
        <v>13363</v>
      </c>
      <c r="I116" s="293"/>
      <c r="J116" s="24" t="s">
        <v>3788</v>
      </c>
      <c r="K116" s="292" t="s">
        <v>161</v>
      </c>
      <c r="L116" s="415">
        <v>44298</v>
      </c>
      <c r="M116" s="415">
        <v>44305</v>
      </c>
      <c r="N116" s="292"/>
      <c r="O116" s="292" t="s">
        <v>3809</v>
      </c>
      <c r="P116" s="392">
        <v>2.5000000000000001E-2</v>
      </c>
      <c r="Q116" s="167"/>
      <c r="R116" s="417"/>
      <c r="S116" s="292" t="str">
        <f t="shared" si="11"/>
        <v>Não Qualificado</v>
      </c>
      <c r="T116" s="292" t="s">
        <v>145</v>
      </c>
      <c r="U116" s="292" t="s">
        <v>3816</v>
      </c>
      <c r="V116" s="292" t="s">
        <v>20</v>
      </c>
      <c r="W116" s="350"/>
      <c r="X116" s="350"/>
      <c r="Y116" s="350"/>
      <c r="Z116" s="350"/>
      <c r="AA116" s="350"/>
      <c r="AB116" s="350"/>
      <c r="AC116" s="350"/>
      <c r="AD116" s="350"/>
      <c r="AE116" s="350"/>
      <c r="AF116" s="350"/>
      <c r="AG116" s="350"/>
      <c r="AH116" s="350"/>
      <c r="AI116" s="350"/>
      <c r="AJ116" s="350"/>
      <c r="AK116" s="350"/>
      <c r="AL116" s="339"/>
      <c r="AM116" s="339"/>
      <c r="AN116" s="339"/>
      <c r="AO116" s="339"/>
      <c r="AP116" s="339">
        <v>174861.59</v>
      </c>
      <c r="AQ116" s="339">
        <v>172898.11</v>
      </c>
      <c r="AR116" s="339">
        <v>182704.69</v>
      </c>
      <c r="AS116" s="339">
        <v>178534.1</v>
      </c>
      <c r="AT116" s="339">
        <v>169129.47</v>
      </c>
      <c r="AU116" s="339">
        <v>2522.5</v>
      </c>
      <c r="AV116" s="339"/>
      <c r="AW116" s="339">
        <v>739.14</v>
      </c>
      <c r="AX116" s="339">
        <v>737.74</v>
      </c>
      <c r="AY116" s="339">
        <v>673.95</v>
      </c>
      <c r="AZ116" s="339">
        <v>66.12</v>
      </c>
      <c r="BA116" s="339">
        <v>65.930000000000007</v>
      </c>
      <c r="BB116" s="339">
        <v>65.709999999999994</v>
      </c>
      <c r="BC116" s="339">
        <v>211752.69</v>
      </c>
      <c r="BD116" s="339">
        <v>71.28</v>
      </c>
      <c r="BE116" s="339">
        <v>71.28</v>
      </c>
      <c r="BF116" s="339">
        <v>71.28</v>
      </c>
      <c r="BG116" s="339">
        <v>71.28</v>
      </c>
      <c r="BH116" s="339">
        <v>71.28</v>
      </c>
      <c r="BI116" s="339">
        <v>0</v>
      </c>
      <c r="BJ116" s="339">
        <v>0</v>
      </c>
      <c r="BK116" s="339">
        <v>0</v>
      </c>
      <c r="BL116" s="339">
        <v>0</v>
      </c>
      <c r="BM116" s="339">
        <v>0</v>
      </c>
      <c r="BN116" s="339">
        <v>0</v>
      </c>
      <c r="BO116" s="339">
        <v>0</v>
      </c>
      <c r="BP116" s="339">
        <v>0</v>
      </c>
      <c r="BQ116" s="339">
        <v>0</v>
      </c>
      <c r="BR116" s="339">
        <v>0</v>
      </c>
      <c r="BS116" s="110" t="e">
        <f t="array" aca="1" ref="BS116" ca="1">_xludf.XLOOKUP(D116,'PL TOTAL D0'!N:N,'PL TOTAL D0'!P:P,"")</f>
        <v>#NAME?</v>
      </c>
      <c r="BT116" s="110"/>
    </row>
    <row r="117" spans="1:72" ht="15.75" customHeight="1">
      <c r="A117" s="122" t="s">
        <v>3785</v>
      </c>
      <c r="B117" s="104" t="s">
        <v>4168</v>
      </c>
      <c r="C117" s="390" t="s">
        <v>4169</v>
      </c>
      <c r="D117" s="299">
        <v>2735065</v>
      </c>
      <c r="E117" s="292" t="s">
        <v>19</v>
      </c>
      <c r="F117" s="292" t="s">
        <v>20</v>
      </c>
      <c r="G117" s="292" t="s">
        <v>3683</v>
      </c>
      <c r="H117" s="292" t="str">
        <f>IFERROR(VLOOKUP(G117,'Cadastro de assessores'!A:B,2,FALSE),"Não Cadastrado")</f>
        <v>18266</v>
      </c>
      <c r="I117" s="292"/>
      <c r="J117" s="24" t="s">
        <v>143</v>
      </c>
      <c r="K117" s="292" t="s">
        <v>3794</v>
      </c>
      <c r="L117" s="387">
        <v>44365</v>
      </c>
      <c r="M117" s="387">
        <v>44365</v>
      </c>
      <c r="N117" s="391">
        <v>44641</v>
      </c>
      <c r="O117" s="299" t="s">
        <v>3842</v>
      </c>
      <c r="P117" s="392">
        <v>8.0000000000000002E-3</v>
      </c>
      <c r="Q117" s="167" t="s">
        <v>4170</v>
      </c>
      <c r="R117" s="417"/>
      <c r="S117" s="292" t="str">
        <f t="shared" si="11"/>
        <v/>
      </c>
      <c r="T117" s="292" t="s">
        <v>145</v>
      </c>
      <c r="U117" s="292" t="s">
        <v>4049</v>
      </c>
      <c r="V117" s="292" t="s">
        <v>886</v>
      </c>
      <c r="W117" s="350"/>
      <c r="X117" s="350"/>
      <c r="Y117" s="350"/>
      <c r="Z117" s="350"/>
      <c r="AA117" s="350"/>
      <c r="AB117" s="350"/>
      <c r="AC117" s="350"/>
      <c r="AD117" s="350"/>
      <c r="AE117" s="350"/>
      <c r="AF117" s="350"/>
      <c r="AG117" s="350"/>
      <c r="AH117" s="350"/>
      <c r="AI117" s="350"/>
      <c r="AJ117" s="339"/>
      <c r="AK117" s="339"/>
      <c r="AL117" s="339"/>
      <c r="AM117" s="339"/>
      <c r="AN117" s="339"/>
      <c r="AO117" s="339"/>
      <c r="AP117" s="339"/>
      <c r="AQ117" s="339"/>
      <c r="AR117" s="350"/>
      <c r="AS117" s="339">
        <v>102001.37</v>
      </c>
      <c r="AT117" s="339">
        <v>96568.92</v>
      </c>
      <c r="AU117" s="339">
        <v>94310.87</v>
      </c>
      <c r="AV117" s="339">
        <v>89024.75</v>
      </c>
      <c r="AW117" s="339">
        <v>91265.06</v>
      </c>
      <c r="AX117" s="339">
        <v>90022.02</v>
      </c>
      <c r="AY117" s="339">
        <v>92037.89</v>
      </c>
      <c r="AZ117" s="339">
        <v>97589.94</v>
      </c>
      <c r="BA117" s="339">
        <v>99213.24</v>
      </c>
      <c r="BB117" s="339">
        <v>0</v>
      </c>
      <c r="BC117" s="339"/>
      <c r="BD117" s="339" t="s">
        <v>2932</v>
      </c>
      <c r="BE117" s="339" t="s">
        <v>2932</v>
      </c>
      <c r="BF117" s="339">
        <v>0</v>
      </c>
      <c r="BG117" s="339">
        <v>0</v>
      </c>
      <c r="BH117" s="339">
        <v>0</v>
      </c>
      <c r="BI117" s="339">
        <v>0</v>
      </c>
      <c r="BJ117" s="339">
        <v>0</v>
      </c>
      <c r="BK117" s="339">
        <v>0</v>
      </c>
      <c r="BL117" s="339">
        <v>0</v>
      </c>
      <c r="BM117" s="339">
        <v>0</v>
      </c>
      <c r="BN117" s="339">
        <v>0</v>
      </c>
      <c r="BO117" s="339">
        <v>0</v>
      </c>
      <c r="BP117" s="339">
        <v>0</v>
      </c>
      <c r="BQ117" s="339">
        <v>0</v>
      </c>
      <c r="BR117" s="339">
        <v>0</v>
      </c>
      <c r="BS117" s="110" t="e">
        <f t="array" aca="1" ref="BS117" ca="1">_xludf.XLOOKUP(D117,'PL TOTAL D0'!N:N,'PL TOTAL D0'!P:P,"")</f>
        <v>#NAME?</v>
      </c>
      <c r="BT117" s="110"/>
    </row>
    <row r="118" spans="1:72" ht="15.75" customHeight="1">
      <c r="A118" s="122" t="s">
        <v>3785</v>
      </c>
      <c r="B118" s="104" t="s">
        <v>791</v>
      </c>
      <c r="C118" s="390" t="s">
        <v>788</v>
      </c>
      <c r="D118" s="299">
        <v>2889018</v>
      </c>
      <c r="E118" s="293" t="s">
        <v>19</v>
      </c>
      <c r="F118" s="293" t="s">
        <v>20</v>
      </c>
      <c r="G118" s="293" t="s">
        <v>199</v>
      </c>
      <c r="H118" s="293">
        <f>IFERROR(VLOOKUP(G118,'Cadastro de assessores'!A:B,2,FALSE),"Não Cadastrado")</f>
        <v>12332</v>
      </c>
      <c r="I118" s="293"/>
      <c r="J118" s="24" t="s">
        <v>152</v>
      </c>
      <c r="K118" s="293" t="s">
        <v>152</v>
      </c>
      <c r="L118" s="415">
        <v>44421</v>
      </c>
      <c r="M118" s="415">
        <v>44421</v>
      </c>
      <c r="N118" s="292"/>
      <c r="O118" s="292" t="s">
        <v>3795</v>
      </c>
      <c r="P118" s="428">
        <v>1.4999999999999999E-2</v>
      </c>
      <c r="Q118" s="446" t="s">
        <v>4171</v>
      </c>
      <c r="R118" s="417"/>
      <c r="S118" s="292" t="str">
        <f t="shared" si="11"/>
        <v>Não Qualificado</v>
      </c>
      <c r="T118" s="292" t="s">
        <v>145</v>
      </c>
      <c r="U118" s="292" t="s">
        <v>3811</v>
      </c>
      <c r="V118" s="292" t="s">
        <v>20</v>
      </c>
      <c r="W118" s="350"/>
      <c r="X118" s="350"/>
      <c r="Y118" s="350"/>
      <c r="Z118" s="350"/>
      <c r="AA118" s="350"/>
      <c r="AB118" s="350"/>
      <c r="AC118" s="350"/>
      <c r="AD118" s="350"/>
      <c r="AE118" s="350"/>
      <c r="AF118" s="350"/>
      <c r="AG118" s="350"/>
      <c r="AH118" s="418"/>
      <c r="AI118" s="418"/>
      <c r="AJ118" s="339"/>
      <c r="AK118" s="339"/>
      <c r="AL118" s="339"/>
      <c r="AM118" s="339"/>
      <c r="AN118" s="339"/>
      <c r="AO118" s="339"/>
      <c r="AP118" s="339"/>
      <c r="AQ118" s="339"/>
      <c r="AR118" s="339"/>
      <c r="AS118" s="339"/>
      <c r="AT118" s="340"/>
      <c r="AU118" s="340">
        <v>264001.73</v>
      </c>
      <c r="AV118" s="339">
        <v>259779.72</v>
      </c>
      <c r="AW118" s="339">
        <v>251656.46</v>
      </c>
      <c r="AX118" s="339">
        <v>251405.93</v>
      </c>
      <c r="AY118" s="339">
        <v>254148.06</v>
      </c>
      <c r="AZ118" s="339">
        <v>261006.53</v>
      </c>
      <c r="BA118" s="339">
        <v>263078.21999999997</v>
      </c>
      <c r="BB118" s="339">
        <v>271535.96999999997</v>
      </c>
      <c r="BC118" s="339">
        <v>318984.18</v>
      </c>
      <c r="BD118" s="339">
        <v>268094.95</v>
      </c>
      <c r="BE118" s="339">
        <v>267366.73</v>
      </c>
      <c r="BF118" s="339">
        <v>272016.51</v>
      </c>
      <c r="BG118" s="339">
        <v>274431.07079999999</v>
      </c>
      <c r="BH118" s="339">
        <v>301066.87</v>
      </c>
      <c r="BI118" s="339">
        <v>309662.34000000003</v>
      </c>
      <c r="BJ118" s="339">
        <v>308364</v>
      </c>
      <c r="BK118" s="339">
        <v>310383.08</v>
      </c>
      <c r="BL118" s="339">
        <v>313506.71000000002</v>
      </c>
      <c r="BM118" s="339">
        <v>315617.21999999997</v>
      </c>
      <c r="BN118" s="339">
        <v>313060.21999999997</v>
      </c>
      <c r="BO118" s="339">
        <v>315528.63</v>
      </c>
      <c r="BP118" s="339">
        <v>42296.52</v>
      </c>
      <c r="BQ118" s="339">
        <v>42597.99</v>
      </c>
      <c r="BR118" s="339">
        <v>42937.22</v>
      </c>
      <c r="BS118" s="110" t="e">
        <f t="array" aca="1" ref="BS118" ca="1">_xludf.XLOOKUP(D118,'PL TOTAL D0'!N:N,'PL TOTAL D0'!P:P,"")</f>
        <v>#NAME?</v>
      </c>
      <c r="BT118" s="110"/>
    </row>
    <row r="119" spans="1:72" ht="15.75" customHeight="1">
      <c r="A119" s="122" t="s">
        <v>3785</v>
      </c>
      <c r="B119" s="104" t="s">
        <v>4172</v>
      </c>
      <c r="C119" s="390" t="s">
        <v>4173</v>
      </c>
      <c r="D119" s="293">
        <v>4089984</v>
      </c>
      <c r="E119" s="293" t="s">
        <v>19</v>
      </c>
      <c r="F119" s="293" t="s">
        <v>49</v>
      </c>
      <c r="G119" s="293" t="s">
        <v>328</v>
      </c>
      <c r="H119" s="293" t="str">
        <f>IFERROR(VLOOKUP(G119,'Cadastro de assessores'!A:B,2,FALSE),"Não Cadastrado")</f>
        <v>18009</v>
      </c>
      <c r="I119" s="293"/>
      <c r="J119" s="24" t="s">
        <v>152</v>
      </c>
      <c r="K119" s="293" t="s">
        <v>152</v>
      </c>
      <c r="L119" s="415">
        <v>44341</v>
      </c>
      <c r="M119" s="415">
        <v>44357</v>
      </c>
      <c r="N119" s="292"/>
      <c r="O119" s="292" t="s">
        <v>3809</v>
      </c>
      <c r="P119" s="392">
        <v>2.5000000000000001E-2</v>
      </c>
      <c r="Q119" s="167" t="s">
        <v>4174</v>
      </c>
      <c r="R119" s="417"/>
      <c r="S119" s="292" t="str">
        <f t="shared" si="11"/>
        <v/>
      </c>
      <c r="T119" s="292" t="s">
        <v>145</v>
      </c>
      <c r="U119" s="292" t="s">
        <v>4094</v>
      </c>
      <c r="V119" s="299" t="s">
        <v>46</v>
      </c>
      <c r="W119" s="350"/>
      <c r="X119" s="350"/>
      <c r="Y119" s="350"/>
      <c r="Z119" s="350"/>
      <c r="AA119" s="350"/>
      <c r="AB119" s="350"/>
      <c r="AC119" s="350"/>
      <c r="AD119" s="350"/>
      <c r="AE119" s="350"/>
      <c r="AF119" s="350"/>
      <c r="AG119" s="350"/>
      <c r="AH119" s="350"/>
      <c r="AI119" s="350"/>
      <c r="AJ119" s="350"/>
      <c r="AK119" s="339"/>
      <c r="AL119" s="339"/>
      <c r="AM119" s="339"/>
      <c r="AN119" s="339"/>
      <c r="AO119" s="339"/>
      <c r="AP119" s="339"/>
      <c r="AQ119" s="339"/>
      <c r="AR119" s="350"/>
      <c r="AS119" s="339">
        <v>48457.63</v>
      </c>
      <c r="AT119" s="339">
        <v>45856.11</v>
      </c>
      <c r="AU119" s="339">
        <v>44757.41</v>
      </c>
      <c r="AV119" s="339">
        <v>42247.43</v>
      </c>
      <c r="AW119" s="339">
        <v>38916.44</v>
      </c>
      <c r="AX119" s="339">
        <v>38458.230000000003</v>
      </c>
      <c r="AY119" s="339">
        <v>39130.400000000001</v>
      </c>
      <c r="AZ119" s="339">
        <v>41464.339999999997</v>
      </c>
      <c r="BA119" s="339">
        <v>42115.96</v>
      </c>
      <c r="BB119" s="339">
        <v>44636.38</v>
      </c>
      <c r="BC119" s="339"/>
      <c r="BD119" s="339">
        <v>42198.71</v>
      </c>
      <c r="BE119" s="339">
        <v>40171.230000000003</v>
      </c>
      <c r="BF119" s="339">
        <v>42279.81</v>
      </c>
      <c r="BG119" s="339">
        <v>42962.26</v>
      </c>
      <c r="BH119" s="339">
        <v>42701.87</v>
      </c>
      <c r="BI119" s="339">
        <v>46343.25</v>
      </c>
      <c r="BJ119" s="339">
        <v>44809.06</v>
      </c>
      <c r="BK119" s="339">
        <v>44263.79</v>
      </c>
      <c r="BL119" s="339">
        <v>44851.83</v>
      </c>
      <c r="BM119" s="339">
        <v>43227.93</v>
      </c>
      <c r="BN119" s="339">
        <v>42893.99</v>
      </c>
      <c r="BO119" s="339">
        <v>42559.62</v>
      </c>
      <c r="BP119" s="339">
        <v>43605.36</v>
      </c>
      <c r="BQ119" s="339">
        <v>45407.63</v>
      </c>
      <c r="BR119" s="339">
        <v>46874.37</v>
      </c>
      <c r="BS119" s="110" t="e">
        <f t="array" aca="1" ref="BS119" ca="1">_xludf.XLOOKUP(D119,'PL TOTAL D0'!N:N,'PL TOTAL D0'!P:P,"")</f>
        <v>#NAME?</v>
      </c>
      <c r="BT119" s="110"/>
    </row>
    <row r="120" spans="1:72" ht="15.75" customHeight="1">
      <c r="A120" s="122" t="s">
        <v>3785</v>
      </c>
      <c r="B120" s="104" t="s">
        <v>4175</v>
      </c>
      <c r="C120" s="390" t="s">
        <v>4176</v>
      </c>
      <c r="D120" s="299">
        <v>5635853</v>
      </c>
      <c r="E120" s="293" t="s">
        <v>2923</v>
      </c>
      <c r="F120" s="293" t="s">
        <v>20</v>
      </c>
      <c r="G120" s="293" t="s">
        <v>2923</v>
      </c>
      <c r="H120" s="293" t="str">
        <f>IFERROR(VLOOKUP(G120,'Cadastro de assessores'!A:B,2,FALSE),"Não Cadastrado")</f>
        <v>18986</v>
      </c>
      <c r="I120" s="293"/>
      <c r="J120" s="24" t="s">
        <v>3788</v>
      </c>
      <c r="K120" s="292" t="s">
        <v>161</v>
      </c>
      <c r="L120" s="415">
        <v>44368</v>
      </c>
      <c r="M120" s="415">
        <v>44368</v>
      </c>
      <c r="N120" s="292"/>
      <c r="O120" s="292" t="s">
        <v>3795</v>
      </c>
      <c r="P120" s="428">
        <v>1.4999999999999999E-2</v>
      </c>
      <c r="Q120" s="167"/>
      <c r="R120" s="417"/>
      <c r="S120" s="292" t="str">
        <f t="shared" si="11"/>
        <v/>
      </c>
      <c r="T120" s="292" t="s">
        <v>145</v>
      </c>
      <c r="U120" s="292" t="s">
        <v>4077</v>
      </c>
      <c r="V120" s="299" t="s">
        <v>49</v>
      </c>
      <c r="W120" s="350"/>
      <c r="X120" s="350"/>
      <c r="Y120" s="350"/>
      <c r="Z120" s="350"/>
      <c r="AA120" s="350"/>
      <c r="AB120" s="350"/>
      <c r="AC120" s="350"/>
      <c r="AD120" s="350"/>
      <c r="AE120" s="350"/>
      <c r="AF120" s="350"/>
      <c r="AG120" s="350"/>
      <c r="AH120" s="350"/>
      <c r="AI120" s="350"/>
      <c r="AJ120" s="339"/>
      <c r="AK120" s="339"/>
      <c r="AL120" s="339"/>
      <c r="AM120" s="339"/>
      <c r="AN120" s="339"/>
      <c r="AO120" s="339"/>
      <c r="AP120" s="339"/>
      <c r="AQ120" s="339"/>
      <c r="AR120" s="350"/>
      <c r="AS120" s="339">
        <v>29686.82</v>
      </c>
      <c r="AT120" s="339">
        <v>29127.62</v>
      </c>
      <c r="AU120" s="339">
        <v>87.13</v>
      </c>
      <c r="AV120" s="339">
        <v>79.540000000000006</v>
      </c>
      <c r="AW120" s="339">
        <v>86.67</v>
      </c>
      <c r="AX120" s="339">
        <v>86.47</v>
      </c>
      <c r="AY120" s="339">
        <v>6.89</v>
      </c>
      <c r="AZ120" s="339">
        <v>6.89</v>
      </c>
      <c r="BA120" s="339">
        <v>6.89</v>
      </c>
      <c r="BB120" s="339">
        <v>6.89</v>
      </c>
      <c r="BC120" s="339"/>
      <c r="BD120" s="339">
        <v>7.54</v>
      </c>
      <c r="BE120" s="339">
        <v>7.54</v>
      </c>
      <c r="BF120" s="339">
        <v>7.54</v>
      </c>
      <c r="BG120" s="339">
        <v>7.54</v>
      </c>
      <c r="BH120" s="339">
        <v>7.54</v>
      </c>
      <c r="BI120" s="339">
        <v>7.54</v>
      </c>
      <c r="BJ120" s="339">
        <v>7.54</v>
      </c>
      <c r="BK120" s="339">
        <v>7.54</v>
      </c>
      <c r="BL120" s="339">
        <v>7.54</v>
      </c>
      <c r="BM120" s="339">
        <v>7.54</v>
      </c>
      <c r="BN120" s="339">
        <v>7.54</v>
      </c>
      <c r="BO120" s="339">
        <v>7.54</v>
      </c>
      <c r="BP120" s="339">
        <v>7.54</v>
      </c>
      <c r="BQ120" s="339">
        <v>7.54</v>
      </c>
      <c r="BR120" s="339">
        <v>7.54</v>
      </c>
      <c r="BS120" s="110" t="e">
        <f t="array" aca="1" ref="BS120" ca="1">_xludf.XLOOKUP(D120,'PL TOTAL D0'!N:N,'PL TOTAL D0'!P:P,"")</f>
        <v>#NAME?</v>
      </c>
      <c r="BT120" s="110"/>
    </row>
    <row r="121" spans="1:72" ht="15.75" customHeight="1">
      <c r="A121" s="122" t="s">
        <v>3785</v>
      </c>
      <c r="B121" s="104" t="s">
        <v>795</v>
      </c>
      <c r="C121" s="390" t="s">
        <v>792</v>
      </c>
      <c r="D121" s="422">
        <v>5891073</v>
      </c>
      <c r="E121" s="293" t="s">
        <v>64</v>
      </c>
      <c r="F121" s="293" t="s">
        <v>20</v>
      </c>
      <c r="G121" s="293" t="s">
        <v>3862</v>
      </c>
      <c r="H121" s="293" t="str">
        <f>IFERROR(VLOOKUP(G121,'Cadastro de assessores'!A:B,2,FALSE),"Não Cadastrado")</f>
        <v>1298</v>
      </c>
      <c r="I121" s="293"/>
      <c r="J121" s="24" t="s">
        <v>3788</v>
      </c>
      <c r="K121" s="292" t="s">
        <v>161</v>
      </c>
      <c r="L121" s="293" t="s">
        <v>3147</v>
      </c>
      <c r="M121" s="293" t="s">
        <v>3638</v>
      </c>
      <c r="N121" s="299"/>
      <c r="O121" s="299" t="s">
        <v>3802</v>
      </c>
      <c r="P121" s="388">
        <v>7.0000000000000001E-3</v>
      </c>
      <c r="Q121" s="167" t="s">
        <v>4177</v>
      </c>
      <c r="R121" s="417"/>
      <c r="S121" s="292" t="str">
        <f t="shared" si="11"/>
        <v/>
      </c>
      <c r="T121" s="292" t="s">
        <v>145</v>
      </c>
      <c r="U121" s="292" t="s">
        <v>4178</v>
      </c>
      <c r="V121" s="292" t="s">
        <v>20</v>
      </c>
      <c r="W121" s="350"/>
      <c r="X121" s="350"/>
      <c r="Y121" s="350"/>
      <c r="Z121" s="350"/>
      <c r="AA121" s="350"/>
      <c r="AB121" s="350"/>
      <c r="AC121" s="350"/>
      <c r="AD121" s="350"/>
      <c r="AE121" s="350"/>
      <c r="AF121" s="350"/>
      <c r="AG121" s="418"/>
      <c r="AH121" s="418"/>
      <c r="AI121" s="339"/>
      <c r="AJ121" s="339"/>
      <c r="AK121" s="339"/>
      <c r="AL121" s="339"/>
      <c r="AM121" s="339"/>
      <c r="AN121" s="339"/>
      <c r="AO121" s="339"/>
      <c r="AP121" s="339"/>
      <c r="AQ121" s="339"/>
      <c r="AR121" s="339"/>
      <c r="AS121" s="340"/>
      <c r="AT121" s="340"/>
      <c r="AU121" s="350"/>
      <c r="AV121" s="339"/>
      <c r="AW121" s="339"/>
      <c r="AX121" s="339"/>
      <c r="AY121" s="339"/>
      <c r="AZ121" s="339"/>
      <c r="BA121" s="339"/>
      <c r="BB121" s="339"/>
      <c r="BC121" s="339"/>
      <c r="BD121" s="339" t="s">
        <v>2932</v>
      </c>
      <c r="BE121" s="339" t="s">
        <v>2932</v>
      </c>
      <c r="BF121" s="339">
        <v>0</v>
      </c>
      <c r="BG121" s="339">
        <v>0</v>
      </c>
      <c r="BH121" s="339">
        <v>0</v>
      </c>
      <c r="BI121" s="339">
        <v>0</v>
      </c>
      <c r="BJ121" s="339">
        <v>0</v>
      </c>
      <c r="BK121" s="339">
        <v>0</v>
      </c>
      <c r="BL121" s="339">
        <v>0</v>
      </c>
      <c r="BM121" s="339">
        <v>0</v>
      </c>
      <c r="BN121" s="339">
        <v>0</v>
      </c>
      <c r="BO121" s="339">
        <v>0</v>
      </c>
      <c r="BP121" s="339">
        <v>0</v>
      </c>
      <c r="BQ121" s="339">
        <v>0</v>
      </c>
      <c r="BR121" s="339">
        <v>0</v>
      </c>
      <c r="BS121" s="110" t="e">
        <f t="array" aca="1" ref="BS121" ca="1">_xludf.XLOOKUP(D121,'PL TOTAL D0'!N:N,'PL TOTAL D0'!P:P,"")</f>
        <v>#NAME?</v>
      </c>
      <c r="BT121" s="110"/>
    </row>
    <row r="122" spans="1:72" ht="15.75" customHeight="1">
      <c r="A122" s="122" t="s">
        <v>3785</v>
      </c>
      <c r="B122" s="104" t="s">
        <v>795</v>
      </c>
      <c r="C122" s="122" t="s">
        <v>792</v>
      </c>
      <c r="D122" s="292">
        <v>4556454</v>
      </c>
      <c r="E122" s="293" t="s">
        <v>64</v>
      </c>
      <c r="F122" s="293" t="s">
        <v>20</v>
      </c>
      <c r="G122" s="293" t="s">
        <v>3862</v>
      </c>
      <c r="H122" s="293" t="str">
        <f>IFERROR(VLOOKUP(G122,'Cadastro de assessores'!A:B,2,FALSE),"Não Cadastrado")</f>
        <v>1298</v>
      </c>
      <c r="I122" s="293"/>
      <c r="J122" s="24" t="s">
        <v>3788</v>
      </c>
      <c r="K122" s="293" t="s">
        <v>152</v>
      </c>
      <c r="L122" s="416">
        <v>44151</v>
      </c>
      <c r="M122" s="416">
        <v>44151</v>
      </c>
      <c r="N122" s="299"/>
      <c r="O122" s="299" t="s">
        <v>3789</v>
      </c>
      <c r="P122" s="388">
        <v>0.02</v>
      </c>
      <c r="Q122" s="420" t="s">
        <v>4179</v>
      </c>
      <c r="R122" s="417"/>
      <c r="S122" s="292" t="str">
        <f t="shared" si="11"/>
        <v>Não Qualificado</v>
      </c>
      <c r="T122" s="292" t="s">
        <v>145</v>
      </c>
      <c r="U122" s="292" t="s">
        <v>4178</v>
      </c>
      <c r="V122" s="292" t="s">
        <v>20</v>
      </c>
      <c r="W122" s="418" t="s">
        <v>3798</v>
      </c>
      <c r="X122" s="418" t="s">
        <v>3798</v>
      </c>
      <c r="Y122" s="418" t="s">
        <v>3798</v>
      </c>
      <c r="Z122" s="418" t="s">
        <v>3798</v>
      </c>
      <c r="AA122" s="418" t="s">
        <v>3798</v>
      </c>
      <c r="AB122" s="418" t="s">
        <v>3798</v>
      </c>
      <c r="AC122" s="418" t="s">
        <v>3798</v>
      </c>
      <c r="AD122" s="418" t="s">
        <v>3798</v>
      </c>
      <c r="AE122" s="418" t="s">
        <v>3798</v>
      </c>
      <c r="AF122" s="418" t="s">
        <v>3798</v>
      </c>
      <c r="AG122" s="418" t="s">
        <v>3798</v>
      </c>
      <c r="AH122" s="418" t="s">
        <v>3798</v>
      </c>
      <c r="AI122" s="418" t="s">
        <v>3798</v>
      </c>
      <c r="AJ122" s="418" t="s">
        <v>4180</v>
      </c>
      <c r="AK122" s="339">
        <v>336299.81</v>
      </c>
      <c r="AL122" s="339">
        <v>331065.92</v>
      </c>
      <c r="AM122" s="339">
        <v>321468.36</v>
      </c>
      <c r="AN122" s="339">
        <v>320444.44</v>
      </c>
      <c r="AO122" s="339">
        <v>332009.36</v>
      </c>
      <c r="AP122" s="339">
        <v>334888.57</v>
      </c>
      <c r="AQ122" s="339">
        <v>332802.05</v>
      </c>
      <c r="AR122" s="339">
        <v>344512.27</v>
      </c>
      <c r="AS122" s="339">
        <v>359657.02</v>
      </c>
      <c r="AT122" s="339">
        <v>348396.46</v>
      </c>
      <c r="AU122" s="339">
        <v>344049.52</v>
      </c>
      <c r="AV122" s="339">
        <v>333405.12</v>
      </c>
      <c r="AW122" s="339">
        <v>316083.96000000002</v>
      </c>
      <c r="AX122" s="339">
        <v>314979.46000000002</v>
      </c>
      <c r="AY122" s="339">
        <v>319987.36</v>
      </c>
      <c r="AZ122" s="339">
        <v>331101.31</v>
      </c>
      <c r="BA122" s="339">
        <v>332641.18</v>
      </c>
      <c r="BB122" s="339">
        <v>496912.47</v>
      </c>
      <c r="BC122" s="339">
        <v>103382.16</v>
      </c>
      <c r="BD122" s="339">
        <v>546198.84</v>
      </c>
      <c r="BE122" s="339">
        <v>543075.41</v>
      </c>
      <c r="BF122" s="339">
        <v>553437.59</v>
      </c>
      <c r="BG122" s="339">
        <v>560440.28799999994</v>
      </c>
      <c r="BH122" s="339">
        <v>561405.55000000005</v>
      </c>
      <c r="BI122" s="339">
        <v>582090.41</v>
      </c>
      <c r="BJ122" s="339">
        <v>583058.19999999995</v>
      </c>
      <c r="BK122" s="339">
        <v>785195.68</v>
      </c>
      <c r="BL122" s="339">
        <v>788354.92</v>
      </c>
      <c r="BM122" s="339">
        <v>786507.98</v>
      </c>
      <c r="BN122" s="339">
        <v>48.52</v>
      </c>
      <c r="BO122" s="339">
        <v>48.52</v>
      </c>
      <c r="BP122" s="339">
        <v>0</v>
      </c>
      <c r="BQ122" s="339">
        <v>0</v>
      </c>
      <c r="BR122" s="339">
        <v>0</v>
      </c>
      <c r="BS122" s="110" t="e">
        <f t="array" aca="1" ref="BS122" ca="1">_xludf.XLOOKUP(D122,'PL TOTAL D0'!N:N,'PL TOTAL D0'!P:P,"")</f>
        <v>#NAME?</v>
      </c>
      <c r="BT122" s="110"/>
    </row>
    <row r="123" spans="1:72" ht="15.75" customHeight="1">
      <c r="A123" s="122" t="s">
        <v>3785</v>
      </c>
      <c r="B123" s="104" t="s">
        <v>801</v>
      </c>
      <c r="C123" s="390" t="s">
        <v>798</v>
      </c>
      <c r="D123" s="422">
        <v>7772052</v>
      </c>
      <c r="E123" s="293" t="s">
        <v>19</v>
      </c>
      <c r="F123" s="293" t="s">
        <v>20</v>
      </c>
      <c r="G123" s="293" t="s">
        <v>800</v>
      </c>
      <c r="H123" s="293" t="str">
        <f>IFERROR(VLOOKUP(G123,'Cadastro de assessores'!A:B,2,FALSE),"Não Cadastrado")</f>
        <v>18467</v>
      </c>
      <c r="I123" s="293"/>
      <c r="J123" s="24" t="s">
        <v>3788</v>
      </c>
      <c r="K123" s="293" t="s">
        <v>152</v>
      </c>
      <c r="L123" s="423">
        <v>44630</v>
      </c>
      <c r="M123" s="423">
        <v>44635</v>
      </c>
      <c r="N123" s="299"/>
      <c r="O123" s="299" t="s">
        <v>3802</v>
      </c>
      <c r="P123" s="388">
        <v>7.0000000000000001E-3</v>
      </c>
      <c r="Q123" s="167"/>
      <c r="R123" s="417"/>
      <c r="S123" s="292" t="str">
        <f t="shared" si="11"/>
        <v>Não Qualificado</v>
      </c>
      <c r="T123" s="292" t="s">
        <v>145</v>
      </c>
      <c r="U123" s="292" t="s">
        <v>4181</v>
      </c>
      <c r="V123" s="292" t="s">
        <v>802</v>
      </c>
      <c r="W123" s="350"/>
      <c r="X123" s="350"/>
      <c r="Y123" s="350"/>
      <c r="Z123" s="350"/>
      <c r="AA123" s="350"/>
      <c r="AB123" s="350"/>
      <c r="AC123" s="350"/>
      <c r="AD123" s="350"/>
      <c r="AE123" s="350"/>
      <c r="AF123" s="350"/>
      <c r="AG123" s="418"/>
      <c r="AH123" s="418"/>
      <c r="AI123" s="339"/>
      <c r="AJ123" s="339"/>
      <c r="AK123" s="339"/>
      <c r="AL123" s="339"/>
      <c r="AM123" s="339"/>
      <c r="AN123" s="339"/>
      <c r="AO123" s="339"/>
      <c r="AP123" s="339"/>
      <c r="AQ123" s="339"/>
      <c r="AR123" s="339"/>
      <c r="AS123" s="340"/>
      <c r="AT123" s="340"/>
      <c r="AU123" s="350"/>
      <c r="AV123" s="339"/>
      <c r="AW123" s="339"/>
      <c r="AX123" s="339"/>
      <c r="AY123" s="339"/>
      <c r="AZ123" s="339"/>
      <c r="BA123" s="339"/>
      <c r="BB123" s="339">
        <v>173236.61</v>
      </c>
      <c r="BC123" s="339">
        <v>50.62</v>
      </c>
      <c r="BD123" s="339">
        <v>-46.33</v>
      </c>
      <c r="BE123" s="339">
        <v>155611.84</v>
      </c>
      <c r="BF123" s="339">
        <v>156410.57999999999</v>
      </c>
      <c r="BG123" s="339">
        <v>158495.0086</v>
      </c>
      <c r="BH123" s="339">
        <v>159662.17000000001</v>
      </c>
      <c r="BI123" s="339">
        <v>160973.04</v>
      </c>
      <c r="BJ123" s="339">
        <v>160921.79999999999</v>
      </c>
      <c r="BK123" s="339">
        <v>162676.57</v>
      </c>
      <c r="BL123" s="339">
        <v>164815.24</v>
      </c>
      <c r="BM123" s="339">
        <v>166647.22</v>
      </c>
      <c r="BN123" s="339">
        <v>169356.89</v>
      </c>
      <c r="BO123" s="339">
        <v>171073.73</v>
      </c>
      <c r="BP123" s="339">
        <v>172294.14</v>
      </c>
      <c r="BQ123" s="339">
        <v>173382.53</v>
      </c>
      <c r="BR123" s="339">
        <v>160.09</v>
      </c>
      <c r="BS123" s="110" t="e">
        <f t="array" aca="1" ref="BS123" ca="1">_xludf.XLOOKUP(D123,'PL TOTAL D0'!N:N,'PL TOTAL D0'!P:P,"")</f>
        <v>#NAME?</v>
      </c>
      <c r="BT123" s="110"/>
    </row>
    <row r="124" spans="1:72" ht="15.75" customHeight="1">
      <c r="A124" s="122" t="s">
        <v>3785</v>
      </c>
      <c r="B124" s="104" t="s">
        <v>4182</v>
      </c>
      <c r="C124" s="390" t="s">
        <v>4183</v>
      </c>
      <c r="D124" s="422">
        <v>4113513</v>
      </c>
      <c r="E124" s="293" t="s">
        <v>64</v>
      </c>
      <c r="F124" s="293" t="s">
        <v>20</v>
      </c>
      <c r="G124" s="293" t="s">
        <v>2803</v>
      </c>
      <c r="H124" s="293">
        <f>IFERROR(VLOOKUP(G124,'Cadastro de assessores'!A:B,2,FALSE),"Não Cadastrado")</f>
        <v>12347</v>
      </c>
      <c r="I124" s="293"/>
      <c r="J124" s="24" t="s">
        <v>152</v>
      </c>
      <c r="K124" s="293" t="s">
        <v>152</v>
      </c>
      <c r="L124" s="423">
        <v>44694</v>
      </c>
      <c r="M124" s="423">
        <v>44694</v>
      </c>
      <c r="N124" s="299"/>
      <c r="O124" s="299" t="s">
        <v>3805</v>
      </c>
      <c r="P124" s="388">
        <v>1.2E-2</v>
      </c>
      <c r="Q124" s="167"/>
      <c r="R124" s="417"/>
      <c r="S124" s="292" t="str">
        <f t="shared" si="11"/>
        <v/>
      </c>
      <c r="T124" s="292" t="s">
        <v>145</v>
      </c>
      <c r="U124" s="292" t="s">
        <v>3933</v>
      </c>
      <c r="V124" s="292" t="s">
        <v>20</v>
      </c>
      <c r="W124" s="350"/>
      <c r="X124" s="350"/>
      <c r="Y124" s="350"/>
      <c r="Z124" s="350"/>
      <c r="AA124" s="350"/>
      <c r="AB124" s="350"/>
      <c r="AC124" s="350"/>
      <c r="AD124" s="350"/>
      <c r="AE124" s="350"/>
      <c r="AF124" s="350"/>
      <c r="AG124" s="418"/>
      <c r="AH124" s="418"/>
      <c r="AI124" s="339"/>
      <c r="AJ124" s="339"/>
      <c r="AK124" s="339"/>
      <c r="AL124" s="339"/>
      <c r="AM124" s="339"/>
      <c r="AN124" s="339"/>
      <c r="AO124" s="339"/>
      <c r="AP124" s="339"/>
      <c r="AQ124" s="339"/>
      <c r="AR124" s="339"/>
      <c r="AS124" s="340"/>
      <c r="AT124" s="340"/>
      <c r="AU124" s="350"/>
      <c r="AV124" s="339"/>
      <c r="AW124" s="339"/>
      <c r="AX124" s="339"/>
      <c r="AY124" s="339"/>
      <c r="AZ124" s="339"/>
      <c r="BA124" s="339"/>
      <c r="BB124" s="339"/>
      <c r="BC124" s="339"/>
      <c r="BD124" s="339">
        <v>147557.65</v>
      </c>
      <c r="BE124" s="339">
        <v>126378.35</v>
      </c>
      <c r="BF124" s="339">
        <v>73709.740000000005</v>
      </c>
      <c r="BG124" s="339">
        <v>64487.727680000004</v>
      </c>
      <c r="BH124" s="339">
        <v>64905.49</v>
      </c>
      <c r="BI124" s="339">
        <v>66853.47</v>
      </c>
      <c r="BJ124" s="339">
        <v>66263.95</v>
      </c>
      <c r="BK124" s="339">
        <v>66721.009999999995</v>
      </c>
      <c r="BL124" s="339">
        <v>67209.039999999994</v>
      </c>
      <c r="BM124" s="339">
        <v>67401.64</v>
      </c>
      <c r="BN124" s="339">
        <v>41455.74</v>
      </c>
      <c r="BO124" s="339">
        <v>50254.31</v>
      </c>
      <c r="BP124" s="339">
        <v>50784.3</v>
      </c>
      <c r="BQ124" s="339">
        <v>51240.61</v>
      </c>
      <c r="BR124" s="339">
        <v>51739.23</v>
      </c>
      <c r="BS124" s="110" t="e">
        <f t="array" aca="1" ref="BS124" ca="1">_xludf.XLOOKUP(D124,'PL TOTAL D0'!N:N,'PL TOTAL D0'!P:P,"")</f>
        <v>#NAME?</v>
      </c>
      <c r="BT124" s="110"/>
    </row>
    <row r="125" spans="1:72" ht="15.75" customHeight="1">
      <c r="A125" s="122" t="s">
        <v>3785</v>
      </c>
      <c r="B125" s="104" t="s">
        <v>813</v>
      </c>
      <c r="C125" s="390" t="s">
        <v>4184</v>
      </c>
      <c r="D125" s="299">
        <v>6456590</v>
      </c>
      <c r="E125" s="293" t="s">
        <v>19</v>
      </c>
      <c r="F125" s="293" t="s">
        <v>20</v>
      </c>
      <c r="G125" s="293" t="s">
        <v>800</v>
      </c>
      <c r="H125" s="293" t="str">
        <f>IFERROR(VLOOKUP(G125,'Cadastro de assessores'!A:B,2,FALSE),"Não Cadastrado")</f>
        <v>18467</v>
      </c>
      <c r="I125" s="293"/>
      <c r="J125" s="24" t="s">
        <v>152</v>
      </c>
      <c r="K125" s="293" t="s">
        <v>152</v>
      </c>
      <c r="L125" s="415">
        <v>44456</v>
      </c>
      <c r="M125" s="415">
        <v>44462</v>
      </c>
      <c r="N125" s="299"/>
      <c r="O125" s="299" t="s">
        <v>3789</v>
      </c>
      <c r="P125" s="388">
        <v>0.02</v>
      </c>
      <c r="Q125" s="167" t="s">
        <v>4185</v>
      </c>
      <c r="R125" s="417"/>
      <c r="S125" s="292" t="str">
        <f t="shared" si="11"/>
        <v/>
      </c>
      <c r="T125" s="292" t="s">
        <v>145</v>
      </c>
      <c r="U125" s="292" t="s">
        <v>3929</v>
      </c>
      <c r="V125" s="292" t="s">
        <v>20</v>
      </c>
      <c r="W125" s="350"/>
      <c r="X125" s="350"/>
      <c r="Y125" s="350"/>
      <c r="Z125" s="350"/>
      <c r="AA125" s="350"/>
      <c r="AB125" s="350"/>
      <c r="AC125" s="350"/>
      <c r="AD125" s="350"/>
      <c r="AE125" s="350"/>
      <c r="AF125" s="350"/>
      <c r="AG125" s="418"/>
      <c r="AH125" s="418"/>
      <c r="AI125" s="339"/>
      <c r="AJ125" s="339"/>
      <c r="AK125" s="339"/>
      <c r="AL125" s="339"/>
      <c r="AM125" s="339"/>
      <c r="AN125" s="339"/>
      <c r="AO125" s="339"/>
      <c r="AP125" s="339"/>
      <c r="AQ125" s="339"/>
      <c r="AR125" s="339"/>
      <c r="AS125" s="340"/>
      <c r="AT125" s="340"/>
      <c r="AU125" s="350"/>
      <c r="AV125" s="339"/>
      <c r="AW125" s="339">
        <v>93374.49</v>
      </c>
      <c r="AX125" s="339">
        <v>93311.61</v>
      </c>
      <c r="AY125" s="339">
        <v>93006.080000000002</v>
      </c>
      <c r="AZ125" s="339">
        <v>97166.84</v>
      </c>
      <c r="BA125" s="339">
        <v>97961.67</v>
      </c>
      <c r="BB125" s="339">
        <v>52139.56</v>
      </c>
      <c r="BC125" s="339"/>
      <c r="BD125" s="339">
        <v>47983.360000000001</v>
      </c>
      <c r="BE125" s="339">
        <v>45972.95</v>
      </c>
      <c r="BF125" s="339">
        <v>32779.9</v>
      </c>
      <c r="BG125" s="339">
        <v>33713.34132</v>
      </c>
      <c r="BH125" s="339">
        <v>33670.089999999997</v>
      </c>
      <c r="BI125" s="339">
        <v>37072.69</v>
      </c>
      <c r="BJ125" s="339">
        <v>29455.56</v>
      </c>
      <c r="BK125" s="339">
        <v>29603.32</v>
      </c>
      <c r="BL125" s="339">
        <v>30122.18</v>
      </c>
      <c r="BM125" s="339">
        <v>30021.22</v>
      </c>
      <c r="BN125" s="339">
        <v>30076.9</v>
      </c>
      <c r="BO125" s="339">
        <v>30410.86</v>
      </c>
      <c r="BP125" s="339">
        <v>30744.7</v>
      </c>
      <c r="BQ125" s="339">
        <v>31181.29</v>
      </c>
      <c r="BR125" s="339">
        <v>31591.54</v>
      </c>
      <c r="BS125" s="110" t="e">
        <f t="array" aca="1" ref="BS125" ca="1">_xludf.XLOOKUP(D125,'PL TOTAL D0'!N:N,'PL TOTAL D0'!P:P,"")</f>
        <v>#NAME?</v>
      </c>
      <c r="BT125" s="110"/>
    </row>
    <row r="126" spans="1:72" ht="15.75" customHeight="1">
      <c r="A126" s="122" t="s">
        <v>3785</v>
      </c>
      <c r="B126" s="104" t="s">
        <v>4186</v>
      </c>
      <c r="C126" s="122" t="s">
        <v>4187</v>
      </c>
      <c r="D126" s="292">
        <v>3553004</v>
      </c>
      <c r="E126" s="293" t="s">
        <v>2923</v>
      </c>
      <c r="F126" s="293" t="s">
        <v>20</v>
      </c>
      <c r="G126" s="293" t="s">
        <v>2923</v>
      </c>
      <c r="H126" s="293" t="str">
        <f>IFERROR(VLOOKUP(G126,'Cadastro de assessores'!A:B,2,FALSE),"Não Cadastrado")</f>
        <v>18986</v>
      </c>
      <c r="I126" s="293"/>
      <c r="J126" s="24" t="s">
        <v>143</v>
      </c>
      <c r="K126" s="292" t="s">
        <v>152</v>
      </c>
      <c r="L126" s="415">
        <v>43742</v>
      </c>
      <c r="M126" s="415">
        <v>43742</v>
      </c>
      <c r="N126" s="419">
        <v>44888</v>
      </c>
      <c r="O126" s="292" t="s">
        <v>4188</v>
      </c>
      <c r="P126" s="428">
        <v>0.01</v>
      </c>
      <c r="Q126" s="420" t="s">
        <v>4189</v>
      </c>
      <c r="R126" s="417"/>
      <c r="S126" s="292" t="str">
        <f t="shared" si="11"/>
        <v>Não Qualificado</v>
      </c>
      <c r="T126" s="292" t="s">
        <v>145</v>
      </c>
      <c r="U126" s="292" t="s">
        <v>3967</v>
      </c>
      <c r="V126" s="292" t="s">
        <v>49</v>
      </c>
      <c r="W126" s="418" t="s">
        <v>4190</v>
      </c>
      <c r="X126" s="418"/>
      <c r="Y126" s="418" t="s">
        <v>4191</v>
      </c>
      <c r="Z126" s="418" t="s">
        <v>4192</v>
      </c>
      <c r="AA126" s="418" t="s">
        <v>4193</v>
      </c>
      <c r="AB126" s="418" t="s">
        <v>4194</v>
      </c>
      <c r="AC126" s="418" t="s">
        <v>4195</v>
      </c>
      <c r="AD126" s="418" t="s">
        <v>4196</v>
      </c>
      <c r="AE126" s="418" t="s">
        <v>4197</v>
      </c>
      <c r="AF126" s="418" t="s">
        <v>4198</v>
      </c>
      <c r="AG126" s="418" t="s">
        <v>4199</v>
      </c>
      <c r="AH126" s="418" t="s">
        <v>4200</v>
      </c>
      <c r="AI126" s="418" t="s">
        <v>4201</v>
      </c>
      <c r="AJ126" s="418" t="s">
        <v>4202</v>
      </c>
      <c r="AK126" s="339">
        <v>73258.009999999995</v>
      </c>
      <c r="AL126" s="339">
        <v>72456.460000000006</v>
      </c>
      <c r="AM126" s="339">
        <v>70838.75</v>
      </c>
      <c r="AN126" s="339">
        <v>70940.88</v>
      </c>
      <c r="AO126" s="339">
        <v>71543.37</v>
      </c>
      <c r="AP126" s="339">
        <v>71787.8</v>
      </c>
      <c r="AQ126" s="339">
        <v>71806.91</v>
      </c>
      <c r="AR126" s="339">
        <v>72444.05</v>
      </c>
      <c r="AS126" s="339">
        <v>72433.31</v>
      </c>
      <c r="AT126" s="339">
        <v>71746.12</v>
      </c>
      <c r="AU126" s="339">
        <v>71174.3</v>
      </c>
      <c r="AV126" s="339">
        <v>70466.44</v>
      </c>
      <c r="AW126" s="339">
        <v>68284.320000000007</v>
      </c>
      <c r="AX126" s="339">
        <v>71502.86</v>
      </c>
      <c r="AY126" s="339">
        <v>72315.14</v>
      </c>
      <c r="AZ126" s="339">
        <v>72717.259999999995</v>
      </c>
      <c r="BA126" s="339">
        <v>73156.17</v>
      </c>
      <c r="BB126" s="339">
        <v>75063.100000000006</v>
      </c>
      <c r="BC126" s="339">
        <v>100</v>
      </c>
      <c r="BD126" s="339">
        <v>190845.04</v>
      </c>
      <c r="BE126" s="339">
        <v>118778.77</v>
      </c>
      <c r="BF126" s="339">
        <v>121113.95</v>
      </c>
      <c r="BG126" s="339">
        <v>123792.8</v>
      </c>
      <c r="BH126" s="339">
        <v>-85.44</v>
      </c>
      <c r="BI126" s="339">
        <v>-85.44</v>
      </c>
      <c r="BJ126" s="339">
        <v>0</v>
      </c>
      <c r="BK126" s="339">
        <v>0</v>
      </c>
      <c r="BL126" s="339">
        <v>0</v>
      </c>
      <c r="BM126" s="339">
        <v>0</v>
      </c>
      <c r="BN126" s="339">
        <v>0</v>
      </c>
      <c r="BO126" s="339">
        <v>0</v>
      </c>
      <c r="BP126" s="339">
        <v>0</v>
      </c>
      <c r="BQ126" s="339">
        <v>0</v>
      </c>
      <c r="BR126" s="339">
        <v>0</v>
      </c>
      <c r="BS126" s="110" t="e">
        <f t="array" aca="1" ref="BS126" ca="1">_xludf.XLOOKUP(D126,'PL TOTAL D0'!N:N,'PL TOTAL D0'!P:P,"")</f>
        <v>#NAME?</v>
      </c>
      <c r="BT126" s="110"/>
    </row>
    <row r="127" spans="1:72" ht="15.75" customHeight="1">
      <c r="A127" s="122" t="s">
        <v>3785</v>
      </c>
      <c r="B127" s="104" t="s">
        <v>829</v>
      </c>
      <c r="C127" s="122" t="s">
        <v>827</v>
      </c>
      <c r="D127" s="292">
        <v>4550421</v>
      </c>
      <c r="E127" s="293" t="s">
        <v>64</v>
      </c>
      <c r="F127" s="293" t="s">
        <v>20</v>
      </c>
      <c r="G127" s="293" t="s">
        <v>73</v>
      </c>
      <c r="H127" s="293" t="str">
        <f>IFERROR(VLOOKUP(G127,'Cadastro de assessores'!A:B,2,FALSE),"Não Cadastrado")</f>
        <v>17243</v>
      </c>
      <c r="I127" s="293"/>
      <c r="J127" s="24" t="s">
        <v>3788</v>
      </c>
      <c r="K127" s="293" t="s">
        <v>152</v>
      </c>
      <c r="L127" s="416">
        <v>44126</v>
      </c>
      <c r="M127" s="416">
        <v>44130</v>
      </c>
      <c r="N127" s="292"/>
      <c r="O127" s="292" t="s">
        <v>3805</v>
      </c>
      <c r="P127" s="388">
        <v>1.2E-2</v>
      </c>
      <c r="Q127" s="420"/>
      <c r="R127" s="417"/>
      <c r="S127" s="292" t="str">
        <f t="shared" si="11"/>
        <v/>
      </c>
      <c r="T127" s="292" t="s">
        <v>145</v>
      </c>
      <c r="U127" s="292" t="s">
        <v>3816</v>
      </c>
      <c r="V127" s="292" t="s">
        <v>20</v>
      </c>
      <c r="W127" s="418" t="s">
        <v>3798</v>
      </c>
      <c r="X127" s="418" t="s">
        <v>3798</v>
      </c>
      <c r="Y127" s="418" t="s">
        <v>3798</v>
      </c>
      <c r="Z127" s="418" t="s">
        <v>3798</v>
      </c>
      <c r="AA127" s="418" t="s">
        <v>3798</v>
      </c>
      <c r="AB127" s="418" t="s">
        <v>3798</v>
      </c>
      <c r="AC127" s="418" t="s">
        <v>3798</v>
      </c>
      <c r="AD127" s="418" t="s">
        <v>3798</v>
      </c>
      <c r="AE127" s="418" t="s">
        <v>3798</v>
      </c>
      <c r="AF127" s="418" t="s">
        <v>3798</v>
      </c>
      <c r="AG127" s="418" t="s">
        <v>3798</v>
      </c>
      <c r="AH127" s="418" t="s">
        <v>3798</v>
      </c>
      <c r="AI127" s="418" t="s">
        <v>4203</v>
      </c>
      <c r="AJ127" s="418" t="s">
        <v>4204</v>
      </c>
      <c r="AK127" s="339">
        <v>308977.37</v>
      </c>
      <c r="AL127" s="339">
        <v>306700.27</v>
      </c>
      <c r="AM127" s="339">
        <v>302262.44</v>
      </c>
      <c r="AN127" s="339">
        <v>301632.88</v>
      </c>
      <c r="AO127" s="339">
        <v>305050.3</v>
      </c>
      <c r="AP127" s="339">
        <v>215647</v>
      </c>
      <c r="AQ127" s="339">
        <v>305559.01</v>
      </c>
      <c r="AR127" s="339">
        <v>309357.93</v>
      </c>
      <c r="AS127" s="339">
        <v>308532.49</v>
      </c>
      <c r="AT127" s="339">
        <v>305995.71000000002</v>
      </c>
      <c r="AU127" s="339">
        <v>305619.94</v>
      </c>
      <c r="AV127" s="339">
        <v>303694.69</v>
      </c>
      <c r="AW127" s="339">
        <v>300538.92</v>
      </c>
      <c r="AX127" s="339">
        <v>302067.33</v>
      </c>
      <c r="AY127" s="339">
        <v>305174.59999999998</v>
      </c>
      <c r="AZ127" s="339">
        <v>310054.99</v>
      </c>
      <c r="BA127" s="339">
        <v>312363.52000000002</v>
      </c>
      <c r="BB127" s="339">
        <v>318660.47999999998</v>
      </c>
      <c r="BC127" s="339"/>
      <c r="BD127" s="339">
        <v>321383.71000000002</v>
      </c>
      <c r="BE127" s="339">
        <v>322432.92</v>
      </c>
      <c r="BF127" s="339">
        <v>326288.95</v>
      </c>
      <c r="BG127" s="339">
        <v>327944.63179999997</v>
      </c>
      <c r="BH127" s="339">
        <v>329315.81</v>
      </c>
      <c r="BI127" s="339">
        <v>333351.5</v>
      </c>
      <c r="BJ127" s="339">
        <v>334805.24</v>
      </c>
      <c r="BK127" s="339">
        <v>337427.92</v>
      </c>
      <c r="BL127" s="339">
        <v>341041.77</v>
      </c>
      <c r="BM127" s="339">
        <v>48608.21</v>
      </c>
      <c r="BN127" s="339">
        <v>0</v>
      </c>
      <c r="BO127" s="339">
        <v>0</v>
      </c>
      <c r="BP127" s="339">
        <v>0</v>
      </c>
      <c r="BQ127" s="339">
        <v>0</v>
      </c>
      <c r="BR127" s="339">
        <v>0</v>
      </c>
      <c r="BS127" s="110" t="e">
        <f t="array" aca="1" ref="BS127" ca="1">_xludf.XLOOKUP(D127,'PL TOTAL D0'!N:N,'PL TOTAL D0'!P:P,"")</f>
        <v>#NAME?</v>
      </c>
      <c r="BT127" s="110"/>
    </row>
    <row r="128" spans="1:72" ht="15.75" customHeight="1">
      <c r="A128" s="122" t="s">
        <v>3785</v>
      </c>
      <c r="B128" s="104" t="s">
        <v>4205</v>
      </c>
      <c r="C128" s="122" t="s">
        <v>4206</v>
      </c>
      <c r="D128" s="292">
        <v>2699859</v>
      </c>
      <c r="E128" s="293" t="s">
        <v>2923</v>
      </c>
      <c r="F128" s="293" t="s">
        <v>20</v>
      </c>
      <c r="G128" s="293" t="s">
        <v>2923</v>
      </c>
      <c r="H128" s="293" t="str">
        <f>IFERROR(VLOOKUP(G128,'Cadastro de assessores'!A:B,2,FALSE),"Não Cadastrado")</f>
        <v>18986</v>
      </c>
      <c r="I128" s="293"/>
      <c r="J128" s="24" t="s">
        <v>3788</v>
      </c>
      <c r="K128" s="292" t="s">
        <v>161</v>
      </c>
      <c r="L128" s="415">
        <v>43865</v>
      </c>
      <c r="M128" s="415">
        <v>43869</v>
      </c>
      <c r="N128" s="292"/>
      <c r="O128" s="292" t="s">
        <v>3795</v>
      </c>
      <c r="P128" s="428">
        <v>1.4999999999999999E-2</v>
      </c>
      <c r="Q128" s="420"/>
      <c r="R128" s="417"/>
      <c r="S128" s="292" t="str">
        <f t="shared" si="11"/>
        <v/>
      </c>
      <c r="T128" s="292" t="s">
        <v>145</v>
      </c>
      <c r="U128" s="292" t="s">
        <v>3811</v>
      </c>
      <c r="V128" s="292" t="s">
        <v>20</v>
      </c>
      <c r="W128" s="418"/>
      <c r="X128" s="418"/>
      <c r="Y128" s="418"/>
      <c r="Z128" s="418"/>
      <c r="AA128" s="418"/>
      <c r="AB128" s="418"/>
      <c r="AC128" s="418"/>
      <c r="AD128" s="418"/>
      <c r="AE128" s="418"/>
      <c r="AF128" s="418"/>
      <c r="AG128" s="418"/>
      <c r="AH128" s="418"/>
      <c r="AI128" s="418"/>
      <c r="AJ128" s="418"/>
      <c r="AK128" s="339"/>
      <c r="AL128" s="339"/>
      <c r="AM128" s="339">
        <v>81199.34</v>
      </c>
      <c r="AN128" s="339">
        <v>80869.929999999993</v>
      </c>
      <c r="AO128" s="339">
        <v>83218.350000000006</v>
      </c>
      <c r="AP128" s="339">
        <v>83908.55</v>
      </c>
      <c r="AQ128" s="339">
        <v>83612.710000000006</v>
      </c>
      <c r="AR128" s="339">
        <v>85510.080000000002</v>
      </c>
      <c r="AS128" s="339">
        <v>75693.009999999995</v>
      </c>
      <c r="AT128" s="339">
        <v>73737.98</v>
      </c>
      <c r="AU128" s="339">
        <v>73147.31</v>
      </c>
      <c r="AV128" s="339">
        <v>4251.0600000000004</v>
      </c>
      <c r="AW128" s="339">
        <v>114.13</v>
      </c>
      <c r="AX128" s="339">
        <v>114</v>
      </c>
      <c r="AY128" s="339">
        <v>113.77</v>
      </c>
      <c r="AZ128" s="339">
        <v>113.56</v>
      </c>
      <c r="BA128" s="339">
        <v>113.37</v>
      </c>
      <c r="BB128" s="339">
        <v>113.15</v>
      </c>
      <c r="BC128" s="339"/>
      <c r="BD128" s="339">
        <v>117.11</v>
      </c>
      <c r="BE128" s="339">
        <v>117.11</v>
      </c>
      <c r="BF128" s="339">
        <v>117.12</v>
      </c>
      <c r="BG128" s="339">
        <v>117.12</v>
      </c>
      <c r="BH128" s="339">
        <v>117.12</v>
      </c>
      <c r="BI128" s="339">
        <v>117.12</v>
      </c>
      <c r="BJ128" s="339">
        <v>117.12</v>
      </c>
      <c r="BK128" s="339">
        <v>117.12</v>
      </c>
      <c r="BL128" s="339">
        <v>117.12</v>
      </c>
      <c r="BM128" s="339">
        <v>117.12</v>
      </c>
      <c r="BN128" s="339">
        <v>117.12</v>
      </c>
      <c r="BO128" s="339">
        <v>117.12</v>
      </c>
      <c r="BP128" s="339">
        <v>117.12</v>
      </c>
      <c r="BQ128" s="339">
        <v>117.12</v>
      </c>
      <c r="BR128" s="339">
        <v>117.12</v>
      </c>
      <c r="BS128" s="110" t="e">
        <f t="array" aca="1" ref="BS128" ca="1">_xludf.XLOOKUP(D128,'PL TOTAL D0'!N:N,'PL TOTAL D0'!P:P,"")</f>
        <v>#NAME?</v>
      </c>
      <c r="BT128" s="110"/>
    </row>
    <row r="129" spans="1:72" ht="15.75" customHeight="1">
      <c r="A129" s="122" t="s">
        <v>3785</v>
      </c>
      <c r="B129" s="104" t="s">
        <v>4207</v>
      </c>
      <c r="C129" s="390" t="s">
        <v>4208</v>
      </c>
      <c r="D129" s="293">
        <v>5947460</v>
      </c>
      <c r="E129" s="293" t="s">
        <v>19</v>
      </c>
      <c r="F129" s="293" t="s">
        <v>20</v>
      </c>
      <c r="G129" s="299" t="s">
        <v>3072</v>
      </c>
      <c r="H129" s="299" t="str">
        <f>IFERROR(VLOOKUP(G129,'Cadastro de assessores'!A:B,2,FALSE),"Não Cadastrado")</f>
        <v>18236</v>
      </c>
      <c r="I129" s="299"/>
      <c r="J129" s="24" t="s">
        <v>3788</v>
      </c>
      <c r="K129" s="293" t="s">
        <v>152</v>
      </c>
      <c r="L129" s="415">
        <v>44398</v>
      </c>
      <c r="M129" s="415">
        <v>44399</v>
      </c>
      <c r="N129" s="292"/>
      <c r="O129" s="292" t="s">
        <v>3795</v>
      </c>
      <c r="P129" s="428">
        <v>1.4999999999999999E-2</v>
      </c>
      <c r="Q129" s="167"/>
      <c r="R129" s="417"/>
      <c r="S129" s="292" t="str">
        <f t="shared" si="11"/>
        <v>Não Qualificado</v>
      </c>
      <c r="T129" s="292" t="s">
        <v>145</v>
      </c>
      <c r="U129" s="292" t="s">
        <v>4209</v>
      </c>
      <c r="V129" s="292" t="s">
        <v>20</v>
      </c>
      <c r="W129" s="350"/>
      <c r="X129" s="350"/>
      <c r="Y129" s="350"/>
      <c r="Z129" s="350"/>
      <c r="AA129" s="350"/>
      <c r="AB129" s="350"/>
      <c r="AC129" s="350"/>
      <c r="AD129" s="350"/>
      <c r="AE129" s="350"/>
      <c r="AF129" s="350"/>
      <c r="AG129" s="350"/>
      <c r="AH129" s="418"/>
      <c r="AI129" s="418"/>
      <c r="AJ129" s="339"/>
      <c r="AK129" s="339"/>
      <c r="AL129" s="339"/>
      <c r="AM129" s="339"/>
      <c r="AN129" s="339"/>
      <c r="AO129" s="339"/>
      <c r="AP129" s="339"/>
      <c r="AQ129" s="339"/>
      <c r="AR129" s="339"/>
      <c r="AS129" s="350"/>
      <c r="AT129" s="340">
        <v>98319.11</v>
      </c>
      <c r="AU129" s="340">
        <v>97625.08</v>
      </c>
      <c r="AV129" s="339">
        <v>96132.160000000003</v>
      </c>
      <c r="AW129" s="339">
        <v>93331.27</v>
      </c>
      <c r="AX129" s="339">
        <v>83142.02</v>
      </c>
      <c r="AY129" s="339">
        <v>83967.94</v>
      </c>
      <c r="AZ129" s="339">
        <v>76132.78</v>
      </c>
      <c r="BA129" s="339">
        <v>76856.179999999993</v>
      </c>
      <c r="BB129" s="339">
        <v>79583.87</v>
      </c>
      <c r="BC129" s="339">
        <v>111666.25</v>
      </c>
      <c r="BD129" s="339">
        <v>70414.09</v>
      </c>
      <c r="BE129" s="339">
        <v>49648.92</v>
      </c>
      <c r="BF129" s="339">
        <v>24151.31</v>
      </c>
      <c r="BG129" s="339">
        <v>24424.038369999998</v>
      </c>
      <c r="BH129" s="339">
        <v>24498.43</v>
      </c>
      <c r="BI129" s="339">
        <v>25820.77</v>
      </c>
      <c r="BJ129" s="339">
        <v>25297.94</v>
      </c>
      <c r="BK129" s="339">
        <v>4081.3</v>
      </c>
      <c r="BL129" s="339">
        <v>158.22</v>
      </c>
      <c r="BM129" s="339">
        <v>158.22</v>
      </c>
      <c r="BN129" s="339">
        <v>158.22</v>
      </c>
      <c r="BO129" s="339">
        <v>158.22</v>
      </c>
      <c r="BP129" s="339">
        <v>158.22</v>
      </c>
      <c r="BQ129" s="339">
        <v>158.22</v>
      </c>
      <c r="BR129" s="339">
        <v>158.22</v>
      </c>
      <c r="BS129" s="110" t="e">
        <f t="array" aca="1" ref="BS129" ca="1">_xludf.XLOOKUP(D129,'PL TOTAL D0'!N:N,'PL TOTAL D0'!P:P,"")</f>
        <v>#NAME?</v>
      </c>
      <c r="BT129" s="110"/>
    </row>
    <row r="130" spans="1:72" ht="15.75" customHeight="1">
      <c r="A130" s="122" t="s">
        <v>3785</v>
      </c>
      <c r="B130" s="104" t="s">
        <v>4210</v>
      </c>
      <c r="C130" s="122" t="s">
        <v>4211</v>
      </c>
      <c r="D130" s="292">
        <v>2216296</v>
      </c>
      <c r="E130" s="293" t="s">
        <v>64</v>
      </c>
      <c r="F130" s="293" t="s">
        <v>20</v>
      </c>
      <c r="G130" s="293" t="s">
        <v>3973</v>
      </c>
      <c r="H130" s="293" t="str">
        <f>IFERROR(VLOOKUP(G130,'Cadastro de assessores'!A:B,2,FALSE),"Não Cadastrado")</f>
        <v>16459</v>
      </c>
      <c r="I130" s="293"/>
      <c r="J130" s="24" t="s">
        <v>143</v>
      </c>
      <c r="K130" s="293" t="s">
        <v>152</v>
      </c>
      <c r="L130" s="415">
        <v>44088</v>
      </c>
      <c r="M130" s="415">
        <v>44088</v>
      </c>
      <c r="N130" s="447">
        <v>44886</v>
      </c>
      <c r="O130" s="299" t="s">
        <v>3789</v>
      </c>
      <c r="P130" s="428">
        <v>0.01</v>
      </c>
      <c r="Q130" s="311" t="s">
        <v>4212</v>
      </c>
      <c r="R130" s="417"/>
      <c r="S130" s="292" t="str">
        <f t="shared" si="11"/>
        <v>Não Qualificado</v>
      </c>
      <c r="T130" s="292" t="s">
        <v>145</v>
      </c>
      <c r="U130" s="292" t="s">
        <v>4178</v>
      </c>
      <c r="V130" s="292" t="s">
        <v>20</v>
      </c>
      <c r="W130" s="418" t="s">
        <v>3798</v>
      </c>
      <c r="X130" s="418" t="s">
        <v>3798</v>
      </c>
      <c r="Y130" s="418" t="s">
        <v>3798</v>
      </c>
      <c r="Z130" s="418" t="s">
        <v>3798</v>
      </c>
      <c r="AA130" s="418" t="s">
        <v>3798</v>
      </c>
      <c r="AB130" s="418" t="s">
        <v>3798</v>
      </c>
      <c r="AC130" s="418" t="s">
        <v>3798</v>
      </c>
      <c r="AD130" s="418" t="s">
        <v>3798</v>
      </c>
      <c r="AE130" s="418" t="s">
        <v>3798</v>
      </c>
      <c r="AF130" s="418" t="s">
        <v>3798</v>
      </c>
      <c r="AG130" s="418" t="s">
        <v>3798</v>
      </c>
      <c r="AH130" s="418" t="s">
        <v>4213</v>
      </c>
      <c r="AI130" s="418" t="s">
        <v>4214</v>
      </c>
      <c r="AJ130" s="418" t="s">
        <v>4215</v>
      </c>
      <c r="AK130" s="339">
        <v>688704.17</v>
      </c>
      <c r="AL130" s="339">
        <v>651185.81999999995</v>
      </c>
      <c r="AM130" s="339">
        <v>621244.07999999996</v>
      </c>
      <c r="AN130" s="339">
        <v>612986.52</v>
      </c>
      <c r="AO130" s="339">
        <v>635115.29</v>
      </c>
      <c r="AP130" s="339">
        <v>637268.15</v>
      </c>
      <c r="AQ130" s="339">
        <v>632248.82999999996</v>
      </c>
      <c r="AR130" s="339">
        <v>641492.06000000006</v>
      </c>
      <c r="AS130" s="339">
        <v>636973.5</v>
      </c>
      <c r="AT130" s="339">
        <v>631556.87</v>
      </c>
      <c r="AU130" s="339">
        <v>624825.93999999994</v>
      </c>
      <c r="AV130" s="339">
        <v>600942.66</v>
      </c>
      <c r="AW130" s="339">
        <v>574393.03</v>
      </c>
      <c r="AX130" s="339">
        <v>568574.23</v>
      </c>
      <c r="AY130" s="339">
        <v>577292.37</v>
      </c>
      <c r="AZ130" s="339">
        <v>580848.31000000006</v>
      </c>
      <c r="BA130" s="339">
        <v>574320.91</v>
      </c>
      <c r="BB130" s="339">
        <v>591535.41</v>
      </c>
      <c r="BC130" s="339">
        <v>73707.03</v>
      </c>
      <c r="BD130" s="339">
        <v>582687.93999999994</v>
      </c>
      <c r="BE130" s="339">
        <v>572421.17000000004</v>
      </c>
      <c r="BF130" s="339">
        <v>580975.65</v>
      </c>
      <c r="BG130" s="339">
        <v>589349.29169999994</v>
      </c>
      <c r="BH130" s="339">
        <v>584473.47</v>
      </c>
      <c r="BI130" s="339">
        <v>601063.5</v>
      </c>
      <c r="BJ130" s="339">
        <v>0</v>
      </c>
      <c r="BK130" s="339">
        <v>0</v>
      </c>
      <c r="BL130" s="339">
        <v>0</v>
      </c>
      <c r="BM130" s="339">
        <v>0</v>
      </c>
      <c r="BN130" s="339">
        <v>0</v>
      </c>
      <c r="BO130" s="339">
        <v>0</v>
      </c>
      <c r="BP130" s="339">
        <v>0</v>
      </c>
      <c r="BQ130" s="339">
        <v>0</v>
      </c>
      <c r="BR130" s="339">
        <v>0</v>
      </c>
      <c r="BS130" s="110" t="e">
        <f t="array" aca="1" ref="BS130" ca="1">_xludf.XLOOKUP(D130,'PL TOTAL D0'!N:N,'PL TOTAL D0'!P:P,"")</f>
        <v>#NAME?</v>
      </c>
      <c r="BT130" s="110"/>
    </row>
    <row r="131" spans="1:72" ht="15.75" customHeight="1">
      <c r="A131" s="122" t="s">
        <v>3785</v>
      </c>
      <c r="B131" s="104" t="s">
        <v>4216</v>
      </c>
      <c r="C131" s="390" t="s">
        <v>4217</v>
      </c>
      <c r="D131" s="299">
        <v>5537937</v>
      </c>
      <c r="E131" s="292" t="s">
        <v>19</v>
      </c>
      <c r="F131" s="292" t="s">
        <v>20</v>
      </c>
      <c r="G131" s="292" t="s">
        <v>4218</v>
      </c>
      <c r="H131" s="292">
        <f>IFERROR(VLOOKUP(G131,'Cadastro de assessores'!A:B,2,FALSE),"Não Cadastrado")</f>
        <v>12335</v>
      </c>
      <c r="I131" s="292"/>
      <c r="J131" s="24" t="s">
        <v>143</v>
      </c>
      <c r="K131" s="292" t="s">
        <v>3794</v>
      </c>
      <c r="L131" s="387">
        <v>44323</v>
      </c>
      <c r="M131" s="387">
        <v>44323</v>
      </c>
      <c r="N131" s="387">
        <v>44725</v>
      </c>
      <c r="O131" s="292" t="s">
        <v>3802</v>
      </c>
      <c r="P131" s="388">
        <v>7.0000000000000001E-3</v>
      </c>
      <c r="Q131" s="167" t="s">
        <v>4219</v>
      </c>
      <c r="R131" s="417"/>
      <c r="S131" s="292" t="str">
        <f t="shared" si="11"/>
        <v>Não Qualificado</v>
      </c>
      <c r="T131" s="292" t="s">
        <v>145</v>
      </c>
      <c r="U131" s="299" t="s">
        <v>4039</v>
      </c>
      <c r="V131" s="299" t="s">
        <v>585</v>
      </c>
      <c r="W131" s="350"/>
      <c r="X131" s="350"/>
      <c r="Y131" s="350"/>
      <c r="Z131" s="350"/>
      <c r="AA131" s="350"/>
      <c r="AB131" s="350"/>
      <c r="AC131" s="350"/>
      <c r="AD131" s="350"/>
      <c r="AE131" s="350"/>
      <c r="AF131" s="350"/>
      <c r="AG131" s="350"/>
      <c r="AH131" s="350"/>
      <c r="AI131" s="350"/>
      <c r="AJ131" s="350"/>
      <c r="AK131" s="350"/>
      <c r="AL131" s="339"/>
      <c r="AM131" s="339"/>
      <c r="AN131" s="339"/>
      <c r="AO131" s="339"/>
      <c r="AP131" s="339"/>
      <c r="AQ131" s="339"/>
      <c r="AR131" s="339">
        <v>151275.13</v>
      </c>
      <c r="AS131" s="339">
        <v>150974.97</v>
      </c>
      <c r="AT131" s="339">
        <v>149831.06</v>
      </c>
      <c r="AU131" s="339">
        <v>149696.16</v>
      </c>
      <c r="AV131" s="339">
        <v>149019.85</v>
      </c>
      <c r="AW131" s="339">
        <v>147276.57999999999</v>
      </c>
      <c r="AX131" s="339">
        <v>147835.54999999999</v>
      </c>
      <c r="AY131" s="339">
        <v>149432.85</v>
      </c>
      <c r="AZ131" s="339">
        <v>150593.5</v>
      </c>
      <c r="BA131" s="339">
        <v>151575.85</v>
      </c>
      <c r="BB131" s="339">
        <v>152962.75</v>
      </c>
      <c r="BC131" s="339">
        <v>603327.69999999995</v>
      </c>
      <c r="BD131" s="339">
        <v>156035.88</v>
      </c>
      <c r="BE131" s="339">
        <v>0.11</v>
      </c>
      <c r="BF131" s="339">
        <v>0.11</v>
      </c>
      <c r="BG131" s="339">
        <v>0.11</v>
      </c>
      <c r="BH131" s="339">
        <v>0.11</v>
      </c>
      <c r="BI131" s="339">
        <v>0.11</v>
      </c>
      <c r="BJ131" s="339">
        <v>0.11</v>
      </c>
      <c r="BK131" s="339">
        <v>0.11</v>
      </c>
      <c r="BL131" s="339">
        <v>0.11</v>
      </c>
      <c r="BM131" s="339">
        <v>0.11</v>
      </c>
      <c r="BN131" s="339">
        <v>0.11</v>
      </c>
      <c r="BO131" s="339">
        <v>0.11</v>
      </c>
      <c r="BP131" s="339">
        <v>0.11</v>
      </c>
      <c r="BQ131" s="339">
        <v>0.11</v>
      </c>
      <c r="BR131" s="339">
        <v>0.11</v>
      </c>
      <c r="BS131" s="110" t="e">
        <f t="array" aca="1" ref="BS131" ca="1">_xludf.XLOOKUP(D131,'PL TOTAL D0'!N:N,'PL TOTAL D0'!P:P,"")</f>
        <v>#NAME?</v>
      </c>
      <c r="BT131" s="110"/>
    </row>
    <row r="132" spans="1:72" ht="15.75" customHeight="1">
      <c r="A132" s="122" t="s">
        <v>3785</v>
      </c>
      <c r="B132" s="104" t="s">
        <v>4220</v>
      </c>
      <c r="C132" s="122" t="s">
        <v>4221</v>
      </c>
      <c r="D132" s="292">
        <v>4440692</v>
      </c>
      <c r="E132" s="292" t="s">
        <v>19</v>
      </c>
      <c r="F132" s="292" t="s">
        <v>20</v>
      </c>
      <c r="G132" s="292" t="s">
        <v>3793</v>
      </c>
      <c r="H132" s="292" t="str">
        <f>IFERROR(VLOOKUP(G132,'Cadastro de assessores'!A:B,2,FALSE),"Não Cadastrado")</f>
        <v>17679</v>
      </c>
      <c r="I132" s="292"/>
      <c r="J132" s="24" t="s">
        <v>143</v>
      </c>
      <c r="K132" s="292" t="s">
        <v>3794</v>
      </c>
      <c r="L132" s="387">
        <v>44085</v>
      </c>
      <c r="M132" s="387">
        <v>44085</v>
      </c>
      <c r="N132" s="387">
        <v>44447</v>
      </c>
      <c r="O132" s="292" t="s">
        <v>3802</v>
      </c>
      <c r="P132" s="388">
        <v>7.0000000000000001E-3</v>
      </c>
      <c r="Q132" s="420" t="s">
        <v>4222</v>
      </c>
      <c r="R132" s="417"/>
      <c r="S132" s="292" t="str">
        <f t="shared" si="11"/>
        <v>Qualificado</v>
      </c>
      <c r="T132" s="292" t="s">
        <v>145</v>
      </c>
      <c r="U132" s="292" t="s">
        <v>4223</v>
      </c>
      <c r="V132" s="292" t="s">
        <v>3647</v>
      </c>
      <c r="W132" s="418" t="s">
        <v>3798</v>
      </c>
      <c r="X132" s="418" t="s">
        <v>3798</v>
      </c>
      <c r="Y132" s="418" t="s">
        <v>3798</v>
      </c>
      <c r="Z132" s="418" t="s">
        <v>3798</v>
      </c>
      <c r="AA132" s="418" t="s">
        <v>3798</v>
      </c>
      <c r="AB132" s="418" t="s">
        <v>3798</v>
      </c>
      <c r="AC132" s="418" t="s">
        <v>3798</v>
      </c>
      <c r="AD132" s="418" t="s">
        <v>3798</v>
      </c>
      <c r="AE132" s="418" t="s">
        <v>3798</v>
      </c>
      <c r="AF132" s="418" t="s">
        <v>3798</v>
      </c>
      <c r="AG132" s="418" t="s">
        <v>3798</v>
      </c>
      <c r="AH132" s="418" t="s">
        <v>4224</v>
      </c>
      <c r="AI132" s="418" t="s">
        <v>4225</v>
      </c>
      <c r="AJ132" s="418" t="s">
        <v>4226</v>
      </c>
      <c r="AK132" s="339">
        <v>449068.57</v>
      </c>
      <c r="AL132" s="339">
        <v>451469.29</v>
      </c>
      <c r="AM132" s="339">
        <v>693345.07</v>
      </c>
      <c r="AN132" s="339">
        <v>692382.52</v>
      </c>
      <c r="AO132" s="339">
        <v>703454.17</v>
      </c>
      <c r="AP132" s="339">
        <v>870564.73</v>
      </c>
      <c r="AQ132" s="339">
        <v>898773.53</v>
      </c>
      <c r="AR132" s="339">
        <v>910123.89</v>
      </c>
      <c r="AS132" s="339">
        <v>908045.55</v>
      </c>
      <c r="AT132" s="339">
        <v>908655.45</v>
      </c>
      <c r="AU132" s="339">
        <v>913780.79</v>
      </c>
      <c r="AV132" s="339"/>
      <c r="AW132" s="339"/>
      <c r="AX132" s="339"/>
      <c r="AY132" s="339"/>
      <c r="AZ132" s="339"/>
      <c r="BA132" s="339">
        <v>0</v>
      </c>
      <c r="BB132" s="339">
        <v>0</v>
      </c>
      <c r="BC132" s="339">
        <v>3709108.22</v>
      </c>
      <c r="BD132" s="339" t="s">
        <v>2932</v>
      </c>
      <c r="BE132" s="339" t="s">
        <v>2932</v>
      </c>
      <c r="BF132" s="339">
        <v>0</v>
      </c>
      <c r="BG132" s="339">
        <v>0</v>
      </c>
      <c r="BH132" s="339">
        <v>0</v>
      </c>
      <c r="BI132" s="339">
        <v>0</v>
      </c>
      <c r="BJ132" s="339">
        <v>0</v>
      </c>
      <c r="BK132" s="339">
        <v>0</v>
      </c>
      <c r="BL132" s="339">
        <v>0</v>
      </c>
      <c r="BM132" s="339">
        <v>0</v>
      </c>
      <c r="BN132" s="339">
        <v>0</v>
      </c>
      <c r="BO132" s="339">
        <v>0</v>
      </c>
      <c r="BP132" s="339">
        <v>0</v>
      </c>
      <c r="BQ132" s="339">
        <v>0</v>
      </c>
      <c r="BR132" s="339">
        <v>0</v>
      </c>
      <c r="BS132" s="110" t="e">
        <f t="array" aca="1" ref="BS132" ca="1">_xludf.XLOOKUP(D132,'PL TOTAL D0'!N:N,'PL TOTAL D0'!P:P,"")</f>
        <v>#NAME?</v>
      </c>
      <c r="BT132" s="110"/>
    </row>
    <row r="133" spans="1:72" ht="15.75" customHeight="1">
      <c r="A133" s="122" t="s">
        <v>3785</v>
      </c>
      <c r="B133" s="104" t="s">
        <v>4227</v>
      </c>
      <c r="C133" s="122" t="s">
        <v>4228</v>
      </c>
      <c r="D133" s="292">
        <v>4571776</v>
      </c>
      <c r="E133" s="293" t="s">
        <v>64</v>
      </c>
      <c r="F133" s="293" t="s">
        <v>20</v>
      </c>
      <c r="G133" s="293" t="s">
        <v>3634</v>
      </c>
      <c r="H133" s="293" t="str">
        <f>IFERROR(VLOOKUP(G133,'Cadastro de assessores'!A:B,2,FALSE),"Não Cadastrado")</f>
        <v>14574</v>
      </c>
      <c r="I133" s="293"/>
      <c r="J133" s="24" t="s">
        <v>3788</v>
      </c>
      <c r="K133" s="292" t="s">
        <v>161</v>
      </c>
      <c r="L133" s="292" t="s">
        <v>3147</v>
      </c>
      <c r="M133" s="436" t="s">
        <v>3638</v>
      </c>
      <c r="N133" s="292"/>
      <c r="O133" s="292" t="s">
        <v>3805</v>
      </c>
      <c r="P133" s="388">
        <v>1.2E-2</v>
      </c>
      <c r="Q133" s="420"/>
      <c r="R133" s="417"/>
      <c r="S133" s="292" t="str">
        <f t="shared" si="11"/>
        <v/>
      </c>
      <c r="T133" s="292" t="s">
        <v>145</v>
      </c>
      <c r="U133" s="292" t="s">
        <v>3929</v>
      </c>
      <c r="V133" s="292" t="s">
        <v>20</v>
      </c>
      <c r="W133" s="418" t="s">
        <v>3798</v>
      </c>
      <c r="X133" s="418" t="s">
        <v>3798</v>
      </c>
      <c r="Y133" s="418" t="s">
        <v>3798</v>
      </c>
      <c r="Z133" s="418" t="s">
        <v>3798</v>
      </c>
      <c r="AA133" s="418" t="s">
        <v>3798</v>
      </c>
      <c r="AB133" s="418" t="s">
        <v>3798</v>
      </c>
      <c r="AC133" s="418" t="s">
        <v>3798</v>
      </c>
      <c r="AD133" s="418" t="s">
        <v>3798</v>
      </c>
      <c r="AE133" s="418" t="s">
        <v>3798</v>
      </c>
      <c r="AF133" s="418" t="s">
        <v>3798</v>
      </c>
      <c r="AG133" s="418" t="s">
        <v>3798</v>
      </c>
      <c r="AH133" s="418" t="s">
        <v>3798</v>
      </c>
      <c r="AI133" s="418" t="s">
        <v>3798</v>
      </c>
      <c r="AJ133" s="418" t="s">
        <v>3798</v>
      </c>
      <c r="AK133" s="339" t="s">
        <v>3147</v>
      </c>
      <c r="AL133" s="339"/>
      <c r="AM133" s="339" t="s">
        <v>3147</v>
      </c>
      <c r="AN133" s="339" t="s">
        <v>3147</v>
      </c>
      <c r="AO133" s="339"/>
      <c r="AP133" s="339"/>
      <c r="AQ133" s="339"/>
      <c r="AR133" s="339"/>
      <c r="AS133" s="339"/>
      <c r="AT133" s="339"/>
      <c r="AU133" s="339"/>
      <c r="AV133" s="339"/>
      <c r="AW133" s="339"/>
      <c r="AX133" s="339"/>
      <c r="AY133" s="339"/>
      <c r="AZ133" s="339"/>
      <c r="BA133" s="339">
        <v>0</v>
      </c>
      <c r="BB133" s="339">
        <v>0</v>
      </c>
      <c r="BC133" s="339"/>
      <c r="BD133" s="339" t="s">
        <v>2932</v>
      </c>
      <c r="BE133" s="339" t="s">
        <v>2932</v>
      </c>
      <c r="BF133" s="339">
        <v>0</v>
      </c>
      <c r="BG133" s="339">
        <v>0</v>
      </c>
      <c r="BH133" s="339">
        <v>0</v>
      </c>
      <c r="BI133" s="339">
        <v>0</v>
      </c>
      <c r="BJ133" s="339">
        <v>0</v>
      </c>
      <c r="BK133" s="339">
        <v>0</v>
      </c>
      <c r="BL133" s="339">
        <v>0</v>
      </c>
      <c r="BM133" s="339">
        <v>0</v>
      </c>
      <c r="BN133" s="339">
        <v>0</v>
      </c>
      <c r="BO133" s="339">
        <v>0</v>
      </c>
      <c r="BP133" s="339">
        <v>0</v>
      </c>
      <c r="BQ133" s="339">
        <v>0</v>
      </c>
      <c r="BR133" s="339">
        <v>0</v>
      </c>
      <c r="BS133" s="110" t="e">
        <f t="array" aca="1" ref="BS133" ca="1">_xludf.XLOOKUP(D133,'PL TOTAL D0'!N:N,'PL TOTAL D0'!P:P,"")</f>
        <v>#NAME?</v>
      </c>
      <c r="BT133" s="110"/>
    </row>
    <row r="134" spans="1:72" ht="15.75" customHeight="1">
      <c r="A134" s="122" t="s">
        <v>3785</v>
      </c>
      <c r="B134" s="104" t="s">
        <v>3099</v>
      </c>
      <c r="C134" s="122" t="s">
        <v>3098</v>
      </c>
      <c r="D134" s="292">
        <v>4327504</v>
      </c>
      <c r="E134" s="292" t="s">
        <v>2923</v>
      </c>
      <c r="F134" s="292" t="s">
        <v>20</v>
      </c>
      <c r="G134" s="292" t="s">
        <v>2923</v>
      </c>
      <c r="H134" s="292" t="str">
        <f>IFERROR(VLOOKUP(G134,'Cadastro de assessores'!A:B,2,FALSE),"Não Cadastrado")</f>
        <v>18986</v>
      </c>
      <c r="I134" s="292"/>
      <c r="J134" s="24" t="s">
        <v>143</v>
      </c>
      <c r="K134" s="292" t="s">
        <v>3794</v>
      </c>
      <c r="L134" s="387">
        <v>44043</v>
      </c>
      <c r="M134" s="387">
        <v>44043</v>
      </c>
      <c r="N134" s="387">
        <v>44085</v>
      </c>
      <c r="O134" s="292" t="s">
        <v>3795</v>
      </c>
      <c r="P134" s="388">
        <v>1.4999999999999999E-2</v>
      </c>
      <c r="Q134" s="420" t="s">
        <v>4229</v>
      </c>
      <c r="R134" s="417"/>
      <c r="S134" s="292" t="str">
        <f t="shared" si="11"/>
        <v>Não Qualificado</v>
      </c>
      <c r="T134" s="292" t="s">
        <v>145</v>
      </c>
      <c r="U134" s="292" t="s">
        <v>3967</v>
      </c>
      <c r="V134" s="292" t="s">
        <v>49</v>
      </c>
      <c r="W134" s="418" t="s">
        <v>3798</v>
      </c>
      <c r="X134" s="418" t="s">
        <v>3798</v>
      </c>
      <c r="Y134" s="418" t="s">
        <v>3798</v>
      </c>
      <c r="Z134" s="418" t="s">
        <v>3798</v>
      </c>
      <c r="AA134" s="418" t="s">
        <v>3798</v>
      </c>
      <c r="AB134" s="418" t="s">
        <v>3798</v>
      </c>
      <c r="AC134" s="418" t="s">
        <v>3798</v>
      </c>
      <c r="AD134" s="418" t="s">
        <v>3798</v>
      </c>
      <c r="AE134" s="418" t="s">
        <v>3798</v>
      </c>
      <c r="AF134" s="418" t="s">
        <v>4230</v>
      </c>
      <c r="AG134" s="418" t="s">
        <v>4231</v>
      </c>
      <c r="AH134" s="418"/>
      <c r="AI134" s="418"/>
      <c r="AJ134" s="418"/>
      <c r="AK134" s="339" t="s">
        <v>3147</v>
      </c>
      <c r="AL134" s="339">
        <v>492751.44</v>
      </c>
      <c r="AM134" s="339" t="s">
        <v>3147</v>
      </c>
      <c r="AN134" s="339"/>
      <c r="AO134" s="339"/>
      <c r="AP134" s="339"/>
      <c r="AQ134" s="339"/>
      <c r="AR134" s="339"/>
      <c r="AS134" s="339"/>
      <c r="AT134" s="339"/>
      <c r="AU134" s="339"/>
      <c r="AV134" s="339"/>
      <c r="AW134" s="339"/>
      <c r="AX134" s="339"/>
      <c r="AY134" s="339"/>
      <c r="AZ134" s="339"/>
      <c r="BA134" s="339">
        <v>0</v>
      </c>
      <c r="BB134" s="339">
        <v>0</v>
      </c>
      <c r="BC134" s="339">
        <v>190488.51</v>
      </c>
      <c r="BD134" s="339" t="s">
        <v>2932</v>
      </c>
      <c r="BE134" s="339" t="s">
        <v>2932</v>
      </c>
      <c r="BF134" s="339">
        <v>0</v>
      </c>
      <c r="BG134" s="339">
        <v>0</v>
      </c>
      <c r="BH134" s="339">
        <v>0</v>
      </c>
      <c r="BI134" s="339">
        <v>0</v>
      </c>
      <c r="BJ134" s="339">
        <v>0</v>
      </c>
      <c r="BK134" s="339">
        <v>0</v>
      </c>
      <c r="BL134" s="339">
        <v>0</v>
      </c>
      <c r="BM134" s="339">
        <v>0</v>
      </c>
      <c r="BN134" s="339">
        <v>0</v>
      </c>
      <c r="BO134" s="339">
        <v>0</v>
      </c>
      <c r="BP134" s="339">
        <v>0</v>
      </c>
      <c r="BQ134" s="339">
        <v>0</v>
      </c>
      <c r="BR134" s="339">
        <v>0</v>
      </c>
      <c r="BS134" s="110" t="e">
        <f t="array" aca="1" ref="BS134" ca="1">_xludf.XLOOKUP(D134,'PL TOTAL D0'!N:N,'PL TOTAL D0'!P:P,"")</f>
        <v>#NAME?</v>
      </c>
      <c r="BT134" s="110"/>
    </row>
    <row r="135" spans="1:72" ht="15.75" customHeight="1">
      <c r="A135" s="122" t="s">
        <v>3785</v>
      </c>
      <c r="B135" s="104" t="s">
        <v>4232</v>
      </c>
      <c r="C135" s="390" t="s">
        <v>4233</v>
      </c>
      <c r="D135" s="292">
        <v>6489178</v>
      </c>
      <c r="E135" s="292" t="s">
        <v>19</v>
      </c>
      <c r="F135" s="292" t="s">
        <v>49</v>
      </c>
      <c r="G135" s="292" t="s">
        <v>4134</v>
      </c>
      <c r="H135" s="292" t="str">
        <f>IFERROR(VLOOKUP(G135,'Cadastro de assessores'!A:B,2,FALSE),"Não Cadastrado")</f>
        <v>14294</v>
      </c>
      <c r="I135" s="292"/>
      <c r="J135" s="24" t="s">
        <v>143</v>
      </c>
      <c r="K135" s="292" t="s">
        <v>3794</v>
      </c>
      <c r="L135" s="387">
        <v>44462</v>
      </c>
      <c r="M135" s="387">
        <v>44462</v>
      </c>
      <c r="N135" s="387">
        <v>44762</v>
      </c>
      <c r="O135" s="292" t="s">
        <v>3795</v>
      </c>
      <c r="P135" s="388">
        <v>1.4999999999999999E-2</v>
      </c>
      <c r="Q135" s="167" t="s">
        <v>4234</v>
      </c>
      <c r="R135" s="417"/>
      <c r="S135" s="292" t="str">
        <f t="shared" si="11"/>
        <v>Não Qualificado</v>
      </c>
      <c r="T135" s="292" t="s">
        <v>145</v>
      </c>
      <c r="U135" s="292" t="s">
        <v>3967</v>
      </c>
      <c r="V135" s="292" t="s">
        <v>49</v>
      </c>
      <c r="W135" s="350"/>
      <c r="X135" s="350"/>
      <c r="Y135" s="350"/>
      <c r="Z135" s="350"/>
      <c r="AA135" s="350"/>
      <c r="AB135" s="350"/>
      <c r="AC135" s="350"/>
      <c r="AD135" s="350"/>
      <c r="AE135" s="350"/>
      <c r="AF135" s="350"/>
      <c r="AG135" s="418"/>
      <c r="AH135" s="418"/>
      <c r="AI135" s="418"/>
      <c r="AJ135" s="339"/>
      <c r="AK135" s="339"/>
      <c r="AL135" s="339"/>
      <c r="AM135" s="339"/>
      <c r="AN135" s="339"/>
      <c r="AO135" s="339"/>
      <c r="AP135" s="339"/>
      <c r="AQ135" s="339"/>
      <c r="AR135" s="339"/>
      <c r="AS135" s="339"/>
      <c r="AT135" s="339"/>
      <c r="AU135" s="350"/>
      <c r="AV135" s="339"/>
      <c r="AW135" s="339">
        <v>95200.76</v>
      </c>
      <c r="AX135" s="339">
        <v>95680.72</v>
      </c>
      <c r="AY135" s="339">
        <v>95727.39</v>
      </c>
      <c r="AZ135" s="339">
        <v>97867.77</v>
      </c>
      <c r="BA135" s="339">
        <v>98882.880000000005</v>
      </c>
      <c r="BB135" s="339">
        <v>102379.8</v>
      </c>
      <c r="BC135" s="339">
        <v>304420.34000000003</v>
      </c>
      <c r="BD135" s="339">
        <v>100901.17</v>
      </c>
      <c r="BE135" s="339">
        <v>100371.71</v>
      </c>
      <c r="BF135" s="339">
        <v>101690.11</v>
      </c>
      <c r="BG135" s="339">
        <v>0</v>
      </c>
      <c r="BH135" s="339">
        <v>0</v>
      </c>
      <c r="BI135" s="339">
        <v>0</v>
      </c>
      <c r="BJ135" s="339">
        <v>0</v>
      </c>
      <c r="BK135" s="339">
        <v>0</v>
      </c>
      <c r="BL135" s="339">
        <v>0</v>
      </c>
      <c r="BM135" s="339">
        <v>0</v>
      </c>
      <c r="BN135" s="339">
        <v>0</v>
      </c>
      <c r="BO135" s="339">
        <v>0</v>
      </c>
      <c r="BP135" s="339">
        <v>0</v>
      </c>
      <c r="BQ135" s="339">
        <v>0</v>
      </c>
      <c r="BR135" s="339">
        <v>0</v>
      </c>
      <c r="BS135" s="110" t="e">
        <f t="array" aca="1" ref="BS135" ca="1">_xludf.XLOOKUP(D135,'PL TOTAL D0'!N:N,'PL TOTAL D0'!P:P,"")</f>
        <v>#NAME?</v>
      </c>
      <c r="BT135" s="110"/>
    </row>
    <row r="136" spans="1:72" ht="15.75" customHeight="1">
      <c r="A136" s="122" t="s">
        <v>3785</v>
      </c>
      <c r="B136" s="104" t="s">
        <v>4235</v>
      </c>
      <c r="C136" s="122" t="s">
        <v>4236</v>
      </c>
      <c r="D136" s="292">
        <v>4696943</v>
      </c>
      <c r="E136" s="293" t="s">
        <v>64</v>
      </c>
      <c r="F136" s="293" t="s">
        <v>20</v>
      </c>
      <c r="G136" s="293" t="s">
        <v>73</v>
      </c>
      <c r="H136" s="293" t="str">
        <f>IFERROR(VLOOKUP(G136,'Cadastro de assessores'!A:B,2,FALSE),"Não Cadastrado")</f>
        <v>17243</v>
      </c>
      <c r="I136" s="293"/>
      <c r="J136" s="24" t="s">
        <v>3788</v>
      </c>
      <c r="K136" s="292" t="s">
        <v>161</v>
      </c>
      <c r="L136" s="416">
        <v>44194</v>
      </c>
      <c r="M136" s="416">
        <v>44194</v>
      </c>
      <c r="N136" s="292"/>
      <c r="O136" s="292" t="s">
        <v>3795</v>
      </c>
      <c r="P136" s="388">
        <v>1.4999999999999999E-2</v>
      </c>
      <c r="Q136" s="420"/>
      <c r="R136" s="417"/>
      <c r="S136" s="292" t="str">
        <f t="shared" si="11"/>
        <v>Não Qualificado</v>
      </c>
      <c r="T136" s="292" t="s">
        <v>145</v>
      </c>
      <c r="U136" s="292" t="s">
        <v>3816</v>
      </c>
      <c r="V136" s="292" t="s">
        <v>20</v>
      </c>
      <c r="W136" s="418"/>
      <c r="X136" s="418"/>
      <c r="Y136" s="418"/>
      <c r="Z136" s="418"/>
      <c r="AA136" s="418"/>
      <c r="AB136" s="418"/>
      <c r="AC136" s="418"/>
      <c r="AD136" s="418"/>
      <c r="AE136" s="418"/>
      <c r="AF136" s="418"/>
      <c r="AG136" s="418"/>
      <c r="AH136" s="418"/>
      <c r="AI136" s="418" t="s">
        <v>3798</v>
      </c>
      <c r="AJ136" s="418"/>
      <c r="AK136" s="339" t="s">
        <v>3147</v>
      </c>
      <c r="AL136" s="339">
        <v>492287.37</v>
      </c>
      <c r="AM136" s="339">
        <v>480484.43</v>
      </c>
      <c r="AN136" s="339">
        <v>479223.31</v>
      </c>
      <c r="AO136" s="339">
        <v>493688.1</v>
      </c>
      <c r="AP136" s="339">
        <v>496689.12</v>
      </c>
      <c r="AQ136" s="339">
        <v>492904.47</v>
      </c>
      <c r="AR136" s="339">
        <v>506343.93</v>
      </c>
      <c r="AS136" s="339">
        <v>2032.77</v>
      </c>
      <c r="AT136" s="339">
        <v>2030.32</v>
      </c>
      <c r="AU136" s="339">
        <v>2027.68</v>
      </c>
      <c r="AV136" s="339">
        <v>979.26</v>
      </c>
      <c r="AW136" s="339">
        <v>2022.76</v>
      </c>
      <c r="AX136" s="339">
        <v>2020.36</v>
      </c>
      <c r="AY136" s="339">
        <v>969.53</v>
      </c>
      <c r="AZ136" s="339">
        <v>968.27</v>
      </c>
      <c r="BA136" s="339">
        <v>967.13</v>
      </c>
      <c r="BB136" s="339">
        <v>965.81</v>
      </c>
      <c r="BC136" s="339">
        <v>371332.36</v>
      </c>
      <c r="BD136" s="339">
        <v>1029.7</v>
      </c>
      <c r="BE136" s="339">
        <v>1036.96</v>
      </c>
      <c r="BF136" s="339">
        <v>1043.71</v>
      </c>
      <c r="BG136" s="339">
        <v>1051.81</v>
      </c>
      <c r="BH136" s="339">
        <v>1058.96</v>
      </c>
      <c r="BI136" s="339">
        <v>1067.03</v>
      </c>
      <c r="BJ136" s="339">
        <v>1087.3599999999999</v>
      </c>
      <c r="BK136" s="339">
        <v>1094.54</v>
      </c>
      <c r="BL136" s="339">
        <v>1103.75</v>
      </c>
      <c r="BM136" s="339">
        <v>1110.76</v>
      </c>
      <c r="BN136" s="339">
        <v>1113.67</v>
      </c>
      <c r="BO136" s="339">
        <v>1120.29</v>
      </c>
      <c r="BP136" s="339">
        <v>1131.08</v>
      </c>
      <c r="BQ136" s="339">
        <v>1139.3800000000001</v>
      </c>
      <c r="BR136" s="339">
        <v>1151.43</v>
      </c>
      <c r="BS136" s="110" t="e">
        <f t="array" aca="1" ref="BS136" ca="1">_xludf.XLOOKUP(D136,'PL TOTAL D0'!N:N,'PL TOTAL D0'!P:P,"")</f>
        <v>#NAME?</v>
      </c>
      <c r="BT136" s="110"/>
    </row>
    <row r="137" spans="1:72" ht="15.75" customHeight="1">
      <c r="A137" s="122" t="s">
        <v>3785</v>
      </c>
      <c r="B137" s="104" t="s">
        <v>4237</v>
      </c>
      <c r="C137" s="122" t="s">
        <v>4238</v>
      </c>
      <c r="D137" s="292">
        <v>4422652</v>
      </c>
      <c r="E137" s="293" t="s">
        <v>19</v>
      </c>
      <c r="F137" s="293" t="s">
        <v>20</v>
      </c>
      <c r="G137" s="293" t="s">
        <v>3793</v>
      </c>
      <c r="H137" s="293" t="str">
        <f>IFERROR(VLOOKUP(G137,'Cadastro de assessores'!A:B,2,FALSE),"Não Cadastrado")</f>
        <v>17679</v>
      </c>
      <c r="I137" s="293"/>
      <c r="J137" s="24" t="s">
        <v>3788</v>
      </c>
      <c r="K137" s="292" t="s">
        <v>161</v>
      </c>
      <c r="L137" s="415">
        <v>44071</v>
      </c>
      <c r="M137" s="415">
        <v>44075</v>
      </c>
      <c r="N137" s="292"/>
      <c r="O137" s="292" t="s">
        <v>3795</v>
      </c>
      <c r="P137" s="428">
        <v>1.4E-2</v>
      </c>
      <c r="Q137" s="420" t="s">
        <v>4239</v>
      </c>
      <c r="R137" s="417"/>
      <c r="S137" s="292" t="str">
        <f t="shared" si="11"/>
        <v>Não Qualificado</v>
      </c>
      <c r="T137" s="292" t="s">
        <v>145</v>
      </c>
      <c r="U137" s="292" t="s">
        <v>4039</v>
      </c>
      <c r="V137" s="292" t="s">
        <v>585</v>
      </c>
      <c r="W137" s="418" t="s">
        <v>3798</v>
      </c>
      <c r="X137" s="418" t="s">
        <v>3798</v>
      </c>
      <c r="Y137" s="418" t="s">
        <v>3798</v>
      </c>
      <c r="Z137" s="418" t="s">
        <v>3798</v>
      </c>
      <c r="AA137" s="418" t="s">
        <v>3798</v>
      </c>
      <c r="AB137" s="418" t="s">
        <v>3798</v>
      </c>
      <c r="AC137" s="418" t="s">
        <v>3798</v>
      </c>
      <c r="AD137" s="418" t="s">
        <v>3798</v>
      </c>
      <c r="AE137" s="418" t="s">
        <v>3798</v>
      </c>
      <c r="AF137" s="418" t="s">
        <v>3798</v>
      </c>
      <c r="AG137" s="418" t="s">
        <v>4240</v>
      </c>
      <c r="AH137" s="418" t="s">
        <v>4241</v>
      </c>
      <c r="AI137" s="418" t="s">
        <v>4242</v>
      </c>
      <c r="AJ137" s="418" t="s">
        <v>4243</v>
      </c>
      <c r="AK137" s="339">
        <v>311032.82</v>
      </c>
      <c r="AL137" s="339">
        <v>306509.38</v>
      </c>
      <c r="AM137" s="339">
        <v>296959.82</v>
      </c>
      <c r="AN137" s="339">
        <v>297248.02</v>
      </c>
      <c r="AO137" s="339">
        <v>304714.07</v>
      </c>
      <c r="AP137" s="339">
        <v>306339.12</v>
      </c>
      <c r="AQ137" s="339">
        <v>305142.08</v>
      </c>
      <c r="AR137" s="339">
        <v>312377.96000000002</v>
      </c>
      <c r="AS137" s="339">
        <v>11778.99</v>
      </c>
      <c r="AT137" s="339">
        <v>11796.88</v>
      </c>
      <c r="AU137" s="339">
        <v>8811.82</v>
      </c>
      <c r="AV137" s="339">
        <v>383.45</v>
      </c>
      <c r="AW137" s="339">
        <v>8792.0499999999993</v>
      </c>
      <c r="AX137" s="339">
        <v>8782.25</v>
      </c>
      <c r="AY137" s="339">
        <v>8215.9500000000007</v>
      </c>
      <c r="AZ137" s="339">
        <v>8206.2900000000009</v>
      </c>
      <c r="BA137" s="339">
        <v>8197.5499999999993</v>
      </c>
      <c r="BB137" s="339">
        <v>8187.48</v>
      </c>
      <c r="BC137" s="339">
        <v>299314.08</v>
      </c>
      <c r="BD137" s="339">
        <v>498.26</v>
      </c>
      <c r="BE137" s="339">
        <v>498.26</v>
      </c>
      <c r="BF137" s="339">
        <v>498.26</v>
      </c>
      <c r="BG137" s="339">
        <v>498.26</v>
      </c>
      <c r="BH137" s="339">
        <v>498.26</v>
      </c>
      <c r="BI137" s="339">
        <v>498.26</v>
      </c>
      <c r="BJ137" s="339">
        <v>498.26</v>
      </c>
      <c r="BK137" s="339">
        <v>498.26</v>
      </c>
      <c r="BL137" s="339">
        <v>498.26</v>
      </c>
      <c r="BM137" s="339">
        <v>498.26</v>
      </c>
      <c r="BN137" s="339">
        <v>498.26</v>
      </c>
      <c r="BO137" s="339">
        <v>498.26</v>
      </c>
      <c r="BP137" s="339">
        <v>498.26</v>
      </c>
      <c r="BQ137" s="339">
        <v>498.26</v>
      </c>
      <c r="BR137" s="339">
        <v>498.26</v>
      </c>
      <c r="BS137" s="110" t="e">
        <f t="array" aca="1" ref="BS137" ca="1">_xludf.XLOOKUP(D137,'PL TOTAL D0'!N:N,'PL TOTAL D0'!P:P,"")</f>
        <v>#NAME?</v>
      </c>
      <c r="BT137" s="110"/>
    </row>
    <row r="138" spans="1:72" ht="15.75" customHeight="1">
      <c r="A138" s="122" t="s">
        <v>3785</v>
      </c>
      <c r="B138" s="104" t="s">
        <v>905</v>
      </c>
      <c r="C138" s="390" t="s">
        <v>903</v>
      </c>
      <c r="D138" s="422">
        <v>8118585</v>
      </c>
      <c r="E138" s="293" t="s">
        <v>19</v>
      </c>
      <c r="F138" s="293" t="s">
        <v>20</v>
      </c>
      <c r="G138" s="293" t="s">
        <v>21</v>
      </c>
      <c r="H138" s="293">
        <f>IFERROR(VLOOKUP(G138,'Cadastro de assessores'!A:B,2,FALSE),"Não Cadastrado")</f>
        <v>12344</v>
      </c>
      <c r="I138" s="293"/>
      <c r="J138" s="24" t="s">
        <v>3788</v>
      </c>
      <c r="K138" s="293" t="s">
        <v>152</v>
      </c>
      <c r="L138" s="423">
        <v>44638</v>
      </c>
      <c r="M138" s="423">
        <v>44657</v>
      </c>
      <c r="N138" s="297"/>
      <c r="O138" s="297" t="s">
        <v>4244</v>
      </c>
      <c r="P138" s="388">
        <v>0.01</v>
      </c>
      <c r="Q138" s="420" t="s">
        <v>4245</v>
      </c>
      <c r="R138" s="417"/>
      <c r="S138" s="292" t="str">
        <f t="shared" si="11"/>
        <v>Não Qualificado</v>
      </c>
      <c r="T138" s="292" t="s">
        <v>145</v>
      </c>
      <c r="U138" s="292" t="s">
        <v>3929</v>
      </c>
      <c r="V138" s="292" t="s">
        <v>20</v>
      </c>
      <c r="W138" s="350"/>
      <c r="X138" s="350"/>
      <c r="Y138" s="350"/>
      <c r="Z138" s="350"/>
      <c r="AA138" s="350"/>
      <c r="AB138" s="350"/>
      <c r="AC138" s="350"/>
      <c r="AD138" s="350"/>
      <c r="AE138" s="350"/>
      <c r="AF138" s="350"/>
      <c r="AG138" s="418"/>
      <c r="AH138" s="418"/>
      <c r="AI138" s="418"/>
      <c r="AJ138" s="339"/>
      <c r="AK138" s="339"/>
      <c r="AL138" s="339"/>
      <c r="AM138" s="339"/>
      <c r="AN138" s="339"/>
      <c r="AO138" s="339"/>
      <c r="AP138" s="339"/>
      <c r="AQ138" s="339"/>
      <c r="AR138" s="339"/>
      <c r="AS138" s="339"/>
      <c r="AT138" s="339"/>
      <c r="AU138" s="339"/>
      <c r="AV138" s="339"/>
      <c r="AW138" s="339"/>
      <c r="AX138" s="350"/>
      <c r="AY138" s="350"/>
      <c r="AZ138" s="431"/>
      <c r="BA138" s="431"/>
      <c r="BB138" s="431"/>
      <c r="BC138" s="431">
        <v>14739.73</v>
      </c>
      <c r="BD138" s="339" t="s">
        <v>2932</v>
      </c>
      <c r="BE138" s="339">
        <v>72059.16</v>
      </c>
      <c r="BF138" s="339">
        <v>76819.45</v>
      </c>
      <c r="BG138" s="339">
        <v>75142.97</v>
      </c>
      <c r="BH138" s="339">
        <v>55353.2</v>
      </c>
      <c r="BI138" s="339">
        <v>57680.11</v>
      </c>
      <c r="BJ138" s="339">
        <v>60324.2</v>
      </c>
      <c r="BK138" s="339">
        <v>58556.13</v>
      </c>
      <c r="BL138" s="339">
        <v>58910.13</v>
      </c>
      <c r="BM138" s="339">
        <v>59634.42</v>
      </c>
      <c r="BN138" s="339">
        <v>0</v>
      </c>
      <c r="BO138" s="339">
        <v>0</v>
      </c>
      <c r="BP138" s="339">
        <v>0</v>
      </c>
      <c r="BQ138" s="339">
        <v>0</v>
      </c>
      <c r="BR138" s="339">
        <v>0</v>
      </c>
      <c r="BS138" s="110" t="e">
        <f t="array" aca="1" ref="BS138" ca="1">_xludf.XLOOKUP(D138,'PL TOTAL D0'!N:N,'PL TOTAL D0'!P:P,"")</f>
        <v>#NAME?</v>
      </c>
      <c r="BT138" s="110"/>
    </row>
    <row r="139" spans="1:72" ht="15.75" customHeight="1">
      <c r="A139" s="122" t="s">
        <v>3785</v>
      </c>
      <c r="B139" s="104" t="s">
        <v>905</v>
      </c>
      <c r="C139" s="122" t="s">
        <v>903</v>
      </c>
      <c r="D139" s="292">
        <v>4468606</v>
      </c>
      <c r="E139" s="293" t="s">
        <v>19</v>
      </c>
      <c r="F139" s="293" t="s">
        <v>20</v>
      </c>
      <c r="G139" s="293" t="s">
        <v>21</v>
      </c>
      <c r="H139" s="293">
        <f>IFERROR(VLOOKUP(G139,'Cadastro de assessores'!A:B,2,FALSE),"Não Cadastrado")</f>
        <v>12344</v>
      </c>
      <c r="I139" s="293"/>
      <c r="J139" s="24" t="s">
        <v>3788</v>
      </c>
      <c r="K139" s="293" t="s">
        <v>152</v>
      </c>
      <c r="L139" s="415">
        <v>44106</v>
      </c>
      <c r="M139" s="415">
        <v>44106</v>
      </c>
      <c r="N139" s="299"/>
      <c r="O139" s="299" t="s">
        <v>3802</v>
      </c>
      <c r="P139" s="388">
        <v>7.0000000000000001E-3</v>
      </c>
      <c r="Q139" s="420" t="s">
        <v>4246</v>
      </c>
      <c r="R139" s="417"/>
      <c r="S139" s="292" t="str">
        <f t="shared" si="11"/>
        <v>Não Qualificado</v>
      </c>
      <c r="T139" s="292" t="s">
        <v>145</v>
      </c>
      <c r="U139" s="292" t="s">
        <v>3929</v>
      </c>
      <c r="V139" s="292" t="s">
        <v>20</v>
      </c>
      <c r="W139" s="418" t="s">
        <v>3798</v>
      </c>
      <c r="X139" s="418" t="s">
        <v>3798</v>
      </c>
      <c r="Y139" s="418" t="s">
        <v>3798</v>
      </c>
      <c r="Z139" s="418" t="s">
        <v>3798</v>
      </c>
      <c r="AA139" s="418" t="s">
        <v>3798</v>
      </c>
      <c r="AB139" s="418" t="s">
        <v>3798</v>
      </c>
      <c r="AC139" s="418" t="s">
        <v>3798</v>
      </c>
      <c r="AD139" s="418" t="s">
        <v>3798</v>
      </c>
      <c r="AE139" s="418" t="s">
        <v>3798</v>
      </c>
      <c r="AF139" s="418" t="s">
        <v>3798</v>
      </c>
      <c r="AG139" s="418" t="s">
        <v>3798</v>
      </c>
      <c r="AH139" s="418" t="s">
        <v>3798</v>
      </c>
      <c r="AI139" s="418" t="s">
        <v>4247</v>
      </c>
      <c r="AJ139" s="418" t="s">
        <v>4248</v>
      </c>
      <c r="AK139" s="339">
        <v>256506.55</v>
      </c>
      <c r="AL139" s="339">
        <v>250251.54</v>
      </c>
      <c r="AM139" s="339">
        <v>232489.35</v>
      </c>
      <c r="AN139" s="339">
        <v>230175.61</v>
      </c>
      <c r="AO139" s="339">
        <v>238436.46</v>
      </c>
      <c r="AP139" s="339">
        <v>240118.18</v>
      </c>
      <c r="AQ139" s="339">
        <v>238943.35</v>
      </c>
      <c r="AR139" s="339">
        <v>245668.69</v>
      </c>
      <c r="AS139" s="339">
        <v>242064.7</v>
      </c>
      <c r="AT139" s="339">
        <v>234519.83</v>
      </c>
      <c r="AU139" s="339">
        <v>233030.17</v>
      </c>
      <c r="AV139" s="339">
        <v>228293.54</v>
      </c>
      <c r="AW139" s="339">
        <v>213444.08</v>
      </c>
      <c r="AX139" s="339">
        <v>162734.85</v>
      </c>
      <c r="AY139" s="339">
        <v>224411.9</v>
      </c>
      <c r="AZ139" s="339">
        <v>224978.61</v>
      </c>
      <c r="BA139" s="339">
        <v>225622.88</v>
      </c>
      <c r="BB139" s="339">
        <v>372394.6</v>
      </c>
      <c r="BC139" s="339">
        <v>302194.53000000003</v>
      </c>
      <c r="BD139" s="339">
        <v>1030957.81</v>
      </c>
      <c r="BE139" s="339">
        <v>1040652.87</v>
      </c>
      <c r="BF139" s="339">
        <v>1058290.42</v>
      </c>
      <c r="BG139" s="339">
        <v>1063294.828</v>
      </c>
      <c r="BH139" s="339">
        <v>1068630.17</v>
      </c>
      <c r="BI139" s="339">
        <v>49114.55</v>
      </c>
      <c r="BJ139" s="339">
        <v>49124.09</v>
      </c>
      <c r="BK139" s="339">
        <v>49527.11</v>
      </c>
      <c r="BL139" s="339">
        <v>17717.05</v>
      </c>
      <c r="BM139" s="339">
        <v>561.49</v>
      </c>
      <c r="BN139" s="339">
        <v>0</v>
      </c>
      <c r="BO139" s="339">
        <v>0</v>
      </c>
      <c r="BP139" s="339">
        <v>0</v>
      </c>
      <c r="BQ139" s="339">
        <v>0</v>
      </c>
      <c r="BR139" s="339">
        <v>0</v>
      </c>
      <c r="BS139" s="110" t="e">
        <f t="array" aca="1" ref="BS139" ca="1">_xludf.XLOOKUP(D139,'PL TOTAL D0'!N:N,'PL TOTAL D0'!P:P,"")</f>
        <v>#NAME?</v>
      </c>
      <c r="BT139" s="110"/>
    </row>
    <row r="140" spans="1:72" ht="15.75" customHeight="1">
      <c r="A140" s="122" t="s">
        <v>3785</v>
      </c>
      <c r="B140" s="104" t="s">
        <v>905</v>
      </c>
      <c r="C140" s="122" t="s">
        <v>903</v>
      </c>
      <c r="D140" s="299">
        <v>7519150</v>
      </c>
      <c r="E140" s="293" t="s">
        <v>19</v>
      </c>
      <c r="F140" s="293" t="s">
        <v>20</v>
      </c>
      <c r="G140" s="299" t="s">
        <v>21</v>
      </c>
      <c r="H140" s="293">
        <f>IFERROR(VLOOKUP(G140,'Cadastro de assessores'!A:B,2,FALSE),"Não Cadastrado")</f>
        <v>12344</v>
      </c>
      <c r="I140" s="293"/>
      <c r="J140" s="24" t="s">
        <v>3788</v>
      </c>
      <c r="K140" s="293" t="s">
        <v>152</v>
      </c>
      <c r="L140" s="415">
        <v>44578</v>
      </c>
      <c r="M140" s="415">
        <v>44578</v>
      </c>
      <c r="N140" s="299"/>
      <c r="O140" s="299" t="s">
        <v>3802</v>
      </c>
      <c r="P140" s="388">
        <v>0.01</v>
      </c>
      <c r="Q140" s="420" t="s">
        <v>4249</v>
      </c>
      <c r="R140" s="417"/>
      <c r="S140" s="292" t="str">
        <f t="shared" si="11"/>
        <v/>
      </c>
      <c r="T140" s="292" t="s">
        <v>145</v>
      </c>
      <c r="U140" s="292" t="s">
        <v>3929</v>
      </c>
      <c r="V140" s="292" t="s">
        <v>20</v>
      </c>
      <c r="W140" s="350"/>
      <c r="X140" s="350"/>
      <c r="Y140" s="350"/>
      <c r="Z140" s="350"/>
      <c r="AA140" s="350"/>
      <c r="AB140" s="350"/>
      <c r="AC140" s="350"/>
      <c r="AD140" s="350"/>
      <c r="AE140" s="350"/>
      <c r="AF140" s="350"/>
      <c r="AG140" s="350"/>
      <c r="AH140" s="418"/>
      <c r="AI140" s="418"/>
      <c r="AJ140" s="339"/>
      <c r="AK140" s="339"/>
      <c r="AL140" s="339"/>
      <c r="AM140" s="339"/>
      <c r="AN140" s="339"/>
      <c r="AO140" s="339"/>
      <c r="AP140" s="339"/>
      <c r="AQ140" s="339"/>
      <c r="AR140" s="339"/>
      <c r="AS140" s="339"/>
      <c r="AT140" s="339"/>
      <c r="AU140" s="339"/>
      <c r="AV140" s="339"/>
      <c r="AW140" s="339"/>
      <c r="AX140" s="350"/>
      <c r="AY140" s="350"/>
      <c r="AZ140" s="418"/>
      <c r="BA140" s="418">
        <v>633216.98</v>
      </c>
      <c r="BB140" s="418">
        <v>698773.17</v>
      </c>
      <c r="BC140" s="418">
        <v>0</v>
      </c>
      <c r="BD140" s="339">
        <v>174303.46</v>
      </c>
      <c r="BE140" s="339">
        <v>172128.38</v>
      </c>
      <c r="BF140" s="339">
        <v>177405.52</v>
      </c>
      <c r="BG140" s="339">
        <v>176894.15950000001</v>
      </c>
      <c r="BH140" s="339">
        <v>98198.55</v>
      </c>
      <c r="BI140" s="339">
        <v>35381.54</v>
      </c>
      <c r="BJ140" s="339">
        <v>35738.92</v>
      </c>
      <c r="BK140" s="339">
        <v>34890.699999999997</v>
      </c>
      <c r="BL140" s="339">
        <v>34455.08</v>
      </c>
      <c r="BM140" s="339">
        <v>35183.440000000002</v>
      </c>
      <c r="BN140" s="339">
        <v>2.87</v>
      </c>
      <c r="BO140" s="339">
        <v>0</v>
      </c>
      <c r="BP140" s="339">
        <v>0</v>
      </c>
      <c r="BQ140" s="339">
        <v>0</v>
      </c>
      <c r="BR140" s="339">
        <v>0</v>
      </c>
      <c r="BS140" s="110" t="e">
        <f t="array" aca="1" ref="BS140" ca="1">_xludf.XLOOKUP(D140,'PL TOTAL D0'!N:N,'PL TOTAL D0'!P:P,"")</f>
        <v>#NAME?</v>
      </c>
      <c r="BT140" s="110"/>
    </row>
    <row r="141" spans="1:72" ht="15.75" customHeight="1">
      <c r="A141" s="122" t="s">
        <v>3785</v>
      </c>
      <c r="B141" s="104" t="s">
        <v>905</v>
      </c>
      <c r="C141" s="122" t="s">
        <v>903</v>
      </c>
      <c r="D141" s="299">
        <v>96891</v>
      </c>
      <c r="E141" s="293" t="s">
        <v>19</v>
      </c>
      <c r="F141" s="293" t="s">
        <v>20</v>
      </c>
      <c r="G141" s="299" t="s">
        <v>21</v>
      </c>
      <c r="H141" s="293">
        <f>IFERROR(VLOOKUP(G141,'Cadastro de assessores'!A:B,2,FALSE),"Não Cadastrado")</f>
        <v>12344</v>
      </c>
      <c r="I141" s="293"/>
      <c r="J141" s="24" t="s">
        <v>3788</v>
      </c>
      <c r="K141" s="293" t="s">
        <v>152</v>
      </c>
      <c r="L141" s="415">
        <v>44614</v>
      </c>
      <c r="M141" s="415">
        <v>44614</v>
      </c>
      <c r="N141" s="426"/>
      <c r="O141" s="426" t="s">
        <v>3802</v>
      </c>
      <c r="P141" s="388">
        <v>7.0000000000000001E-3</v>
      </c>
      <c r="Q141" s="167" t="s">
        <v>4250</v>
      </c>
      <c r="R141" s="417"/>
      <c r="S141" s="292" t="str">
        <f t="shared" si="11"/>
        <v>Não Qualificado</v>
      </c>
      <c r="T141" s="292" t="s">
        <v>145</v>
      </c>
      <c r="U141" s="292" t="s">
        <v>3929</v>
      </c>
      <c r="V141" s="292" t="s">
        <v>20</v>
      </c>
      <c r="W141" s="350"/>
      <c r="X141" s="350"/>
      <c r="Y141" s="350"/>
      <c r="Z141" s="350"/>
      <c r="AA141" s="350"/>
      <c r="AB141" s="350"/>
      <c r="AC141" s="350"/>
      <c r="AD141" s="350"/>
      <c r="AE141" s="350"/>
      <c r="AF141" s="350"/>
      <c r="AG141" s="418"/>
      <c r="AH141" s="418"/>
      <c r="AI141" s="418"/>
      <c r="AJ141" s="339"/>
      <c r="AK141" s="339"/>
      <c r="AL141" s="339"/>
      <c r="AM141" s="339"/>
      <c r="AN141" s="339"/>
      <c r="AO141" s="339"/>
      <c r="AP141" s="339"/>
      <c r="AQ141" s="339"/>
      <c r="AR141" s="339"/>
      <c r="AS141" s="339"/>
      <c r="AT141" s="339"/>
      <c r="AU141" s="339"/>
      <c r="AV141" s="339"/>
      <c r="AW141" s="339"/>
      <c r="AX141" s="350"/>
      <c r="AY141" s="350"/>
      <c r="AZ141" s="431">
        <v>1691485.7</v>
      </c>
      <c r="BA141" s="431">
        <v>1255414.97</v>
      </c>
      <c r="BB141" s="431">
        <v>1082191.8</v>
      </c>
      <c r="BC141" s="431">
        <v>209924.43</v>
      </c>
      <c r="BD141" s="339">
        <v>1003433.82</v>
      </c>
      <c r="BE141" s="339">
        <v>996833.13</v>
      </c>
      <c r="BF141" s="339">
        <v>1025691.33</v>
      </c>
      <c r="BG141" s="339">
        <v>1055079.987</v>
      </c>
      <c r="BH141" s="339">
        <v>1099735.82</v>
      </c>
      <c r="BI141" s="339">
        <v>2130491.2599999998</v>
      </c>
      <c r="BJ141" s="339">
        <v>2149403.7599999998</v>
      </c>
      <c r="BK141" s="339">
        <v>2167502.14</v>
      </c>
      <c r="BL141" s="339">
        <v>2220686.4</v>
      </c>
      <c r="BM141" s="339">
        <v>280753.2</v>
      </c>
      <c r="BN141" s="339">
        <v>9753.42</v>
      </c>
      <c r="BO141" s="339">
        <v>9829.2000000000007</v>
      </c>
      <c r="BP141" s="339">
        <v>20.49</v>
      </c>
      <c r="BQ141" s="339">
        <v>20.49</v>
      </c>
      <c r="BR141" s="339">
        <v>20.49</v>
      </c>
      <c r="BS141" s="110" t="e">
        <f t="array" aca="1" ref="BS141" ca="1">_xludf.XLOOKUP(D141,'PL TOTAL D0'!N:N,'PL TOTAL D0'!P:P,"")</f>
        <v>#NAME?</v>
      </c>
      <c r="BT141" s="110"/>
    </row>
    <row r="142" spans="1:72" ht="15.75" customHeight="1">
      <c r="A142" s="122" t="s">
        <v>3785</v>
      </c>
      <c r="B142" s="104" t="s">
        <v>905</v>
      </c>
      <c r="C142" s="122" t="s">
        <v>903</v>
      </c>
      <c r="D142" s="299">
        <v>7032894</v>
      </c>
      <c r="E142" s="293" t="s">
        <v>19</v>
      </c>
      <c r="F142" s="293" t="s">
        <v>20</v>
      </c>
      <c r="G142" s="299" t="s">
        <v>21</v>
      </c>
      <c r="H142" s="293">
        <f>IFERROR(VLOOKUP(G142,'Cadastro de assessores'!A:B,2,FALSE),"Não Cadastrado")</f>
        <v>12344</v>
      </c>
      <c r="I142" s="293"/>
      <c r="J142" s="24" t="s">
        <v>152</v>
      </c>
      <c r="K142" s="293" t="s">
        <v>152</v>
      </c>
      <c r="L142" s="423">
        <v>44504</v>
      </c>
      <c r="M142" s="423">
        <v>44508</v>
      </c>
      <c r="N142" s="299"/>
      <c r="O142" s="299" t="s">
        <v>3809</v>
      </c>
      <c r="P142" s="388">
        <v>2.5000000000000001E-2</v>
      </c>
      <c r="Q142" s="420"/>
      <c r="R142" s="417"/>
      <c r="S142" s="292" t="str">
        <f t="shared" si="11"/>
        <v>Não Qualificado</v>
      </c>
      <c r="T142" s="292" t="s">
        <v>145</v>
      </c>
      <c r="U142" s="292" t="s">
        <v>3929</v>
      </c>
      <c r="V142" s="292" t="s">
        <v>20</v>
      </c>
      <c r="W142" s="350"/>
      <c r="X142" s="350"/>
      <c r="Y142" s="350"/>
      <c r="Z142" s="350"/>
      <c r="AA142" s="350"/>
      <c r="AB142" s="350"/>
      <c r="AC142" s="350"/>
      <c r="AD142" s="350"/>
      <c r="AE142" s="350"/>
      <c r="AF142" s="350"/>
      <c r="AG142" s="418"/>
      <c r="AH142" s="418"/>
      <c r="AI142" s="339"/>
      <c r="AJ142" s="339"/>
      <c r="AK142" s="339"/>
      <c r="AL142" s="339"/>
      <c r="AM142" s="339"/>
      <c r="AN142" s="339"/>
      <c r="AO142" s="339"/>
      <c r="AP142" s="339"/>
      <c r="AQ142" s="339"/>
      <c r="AR142" s="431"/>
      <c r="AS142" s="340"/>
      <c r="AT142" s="340"/>
      <c r="AU142" s="339"/>
      <c r="AV142" s="339"/>
      <c r="AW142" s="350"/>
      <c r="AX142" s="340"/>
      <c r="AY142" s="340">
        <v>119198.3</v>
      </c>
      <c r="AZ142" s="339">
        <v>127531.9</v>
      </c>
      <c r="BA142" s="339">
        <v>125055.37</v>
      </c>
      <c r="BB142" s="339">
        <v>133742.34</v>
      </c>
      <c r="BC142" s="339">
        <v>212184.41</v>
      </c>
      <c r="BD142" s="339">
        <v>272795.65999999997</v>
      </c>
      <c r="BE142" s="339">
        <v>261080.2</v>
      </c>
      <c r="BF142" s="339">
        <v>273532.84000000003</v>
      </c>
      <c r="BG142" s="339">
        <v>275147.93</v>
      </c>
      <c r="BH142" s="339">
        <v>428930.31</v>
      </c>
      <c r="BI142" s="339">
        <v>484648.38</v>
      </c>
      <c r="BJ142" s="339">
        <v>482677.41</v>
      </c>
      <c r="BK142" s="339">
        <v>480297.84</v>
      </c>
      <c r="BL142" s="339">
        <v>487491.76</v>
      </c>
      <c r="BM142" s="339">
        <v>466967.29</v>
      </c>
      <c r="BN142" s="339">
        <v>40546.879999999997</v>
      </c>
      <c r="BO142" s="339">
        <v>35410.839999999997</v>
      </c>
      <c r="BP142" s="339">
        <v>32643.52</v>
      </c>
      <c r="BQ142" s="339">
        <v>34290.43</v>
      </c>
      <c r="BR142" s="339">
        <v>37262.32</v>
      </c>
      <c r="BS142" s="110" t="e">
        <f t="array" aca="1" ref="BS142" ca="1">_xludf.XLOOKUP(D142,'PL TOTAL D0'!N:N,'PL TOTAL D0'!P:P,"")</f>
        <v>#NAME?</v>
      </c>
      <c r="BT142" s="110"/>
    </row>
    <row r="143" spans="1:72" ht="15.75" customHeight="1">
      <c r="A143" s="122" t="s">
        <v>3785</v>
      </c>
      <c r="B143" s="104" t="s">
        <v>929</v>
      </c>
      <c r="C143" s="122" t="s">
        <v>926</v>
      </c>
      <c r="D143" s="292">
        <v>8853992</v>
      </c>
      <c r="E143" s="292" t="s">
        <v>19</v>
      </c>
      <c r="F143" s="292" t="s">
        <v>49</v>
      </c>
      <c r="G143" s="292" t="s">
        <v>166</v>
      </c>
      <c r="H143" s="293" t="str">
        <f>IFERROR(VLOOKUP(G143,'Cadastro de assessores'!A:B,2,FALSE),"Não Cadastrado")</f>
        <v>18890</v>
      </c>
      <c r="I143" s="292"/>
      <c r="J143" s="24" t="s">
        <v>3788</v>
      </c>
      <c r="K143" s="292"/>
      <c r="L143" s="387"/>
      <c r="M143" s="387">
        <v>44847</v>
      </c>
      <c r="N143" s="391"/>
      <c r="O143" s="299" t="s">
        <v>3802</v>
      </c>
      <c r="P143" s="388">
        <v>0.01</v>
      </c>
      <c r="Q143" s="420" t="s">
        <v>3908</v>
      </c>
      <c r="R143" s="417"/>
      <c r="S143" s="292"/>
      <c r="T143" s="292"/>
      <c r="U143" s="292"/>
      <c r="V143" s="292" t="s">
        <v>534</v>
      </c>
      <c r="W143" s="418"/>
      <c r="X143" s="418"/>
      <c r="Y143" s="418"/>
      <c r="Z143" s="418"/>
      <c r="AA143" s="418"/>
      <c r="AB143" s="418"/>
      <c r="AC143" s="418"/>
      <c r="AD143" s="418"/>
      <c r="AE143" s="418"/>
      <c r="AF143" s="418"/>
      <c r="AG143" s="418"/>
      <c r="AH143" s="418"/>
      <c r="AI143" s="418"/>
      <c r="AJ143" s="418"/>
      <c r="AK143" s="339"/>
      <c r="AL143" s="339"/>
      <c r="AM143" s="339"/>
      <c r="AN143" s="339"/>
      <c r="AO143" s="339"/>
      <c r="AP143" s="339"/>
      <c r="AQ143" s="339"/>
      <c r="AR143" s="339"/>
      <c r="AS143" s="339"/>
      <c r="AT143" s="339"/>
      <c r="AU143" s="339"/>
      <c r="AV143" s="339"/>
      <c r="AW143" s="339"/>
      <c r="AX143" s="339"/>
      <c r="AY143" s="339"/>
      <c r="AZ143" s="339"/>
      <c r="BA143" s="339"/>
      <c r="BB143" s="339"/>
      <c r="BC143" s="339"/>
      <c r="BD143" s="339"/>
      <c r="BE143" s="339"/>
      <c r="BF143" s="339"/>
      <c r="BG143" s="339"/>
      <c r="BH143" s="339"/>
      <c r="BI143" s="339">
        <v>16092.47</v>
      </c>
      <c r="BJ143" s="339">
        <v>16245.22</v>
      </c>
      <c r="BK143" s="339">
        <v>16382.43</v>
      </c>
      <c r="BL143" s="339">
        <v>16973.689999999999</v>
      </c>
      <c r="BM143" s="339">
        <v>0</v>
      </c>
      <c r="BN143" s="339">
        <v>0.74</v>
      </c>
      <c r="BO143" s="339">
        <v>0.74</v>
      </c>
      <c r="BP143" s="339">
        <v>0.74</v>
      </c>
      <c r="BQ143" s="339">
        <v>0.74</v>
      </c>
      <c r="BR143" s="339">
        <v>0.74</v>
      </c>
      <c r="BS143" s="110" t="e">
        <f t="array" aca="1" ref="BS143" ca="1">_xludf.XLOOKUP(D143,'PL TOTAL D0'!N:N,'PL TOTAL D0'!P:P,"")</f>
        <v>#NAME?</v>
      </c>
      <c r="BT143" s="110"/>
    </row>
    <row r="144" spans="1:72" ht="15.75" customHeight="1">
      <c r="A144" s="122" t="s">
        <v>3785</v>
      </c>
      <c r="B144" s="104" t="s">
        <v>4251</v>
      </c>
      <c r="C144" s="122" t="s">
        <v>4252</v>
      </c>
      <c r="D144" s="292">
        <v>4706119</v>
      </c>
      <c r="E144" s="292" t="s">
        <v>19</v>
      </c>
      <c r="F144" s="292" t="s">
        <v>20</v>
      </c>
      <c r="G144" s="292" t="s">
        <v>3793</v>
      </c>
      <c r="H144" s="292" t="str">
        <f>IFERROR(VLOOKUP(G144,'Cadastro de assessores'!A:B,2,FALSE),"Não Cadastrado")</f>
        <v>17679</v>
      </c>
      <c r="I144" s="292"/>
      <c r="J144" s="24" t="s">
        <v>143</v>
      </c>
      <c r="K144" s="292" t="s">
        <v>3794</v>
      </c>
      <c r="L144" s="387">
        <v>44203</v>
      </c>
      <c r="M144" s="387">
        <v>44203</v>
      </c>
      <c r="N144" s="391">
        <v>44450</v>
      </c>
      <c r="O144" s="299" t="s">
        <v>3842</v>
      </c>
      <c r="P144" s="388">
        <v>8.0000000000000002E-3</v>
      </c>
      <c r="Q144" s="420" t="s">
        <v>4253</v>
      </c>
      <c r="R144" s="417"/>
      <c r="S144" s="292" t="str">
        <f t="shared" ref="S144:S158" si="12">IF(BC144&lt;=0,"",IF(BC144&lt;=1000000,"Não Qualificado",IF(AND(BC144&gt;1000000,BC144&lt;=10000000),"Qualificado","Profissional")))</f>
        <v>Não Qualificado</v>
      </c>
      <c r="T144" s="292" t="s">
        <v>145</v>
      </c>
      <c r="U144" s="292" t="s">
        <v>4049</v>
      </c>
      <c r="V144" s="292" t="s">
        <v>886</v>
      </c>
      <c r="W144" s="418" t="s">
        <v>3798</v>
      </c>
      <c r="X144" s="418" t="s">
        <v>3798</v>
      </c>
      <c r="Y144" s="418" t="s">
        <v>3798</v>
      </c>
      <c r="Z144" s="418" t="s">
        <v>3798</v>
      </c>
      <c r="AA144" s="418" t="s">
        <v>3798</v>
      </c>
      <c r="AB144" s="418" t="s">
        <v>3798</v>
      </c>
      <c r="AC144" s="418" t="s">
        <v>3798</v>
      </c>
      <c r="AD144" s="418" t="s">
        <v>3798</v>
      </c>
      <c r="AE144" s="418" t="s">
        <v>3798</v>
      </c>
      <c r="AF144" s="418" t="s">
        <v>3798</v>
      </c>
      <c r="AG144" s="418" t="s">
        <v>3798</v>
      </c>
      <c r="AH144" s="418" t="s">
        <v>3798</v>
      </c>
      <c r="AI144" s="418" t="s">
        <v>3798</v>
      </c>
      <c r="AJ144" s="418" t="s">
        <v>3798</v>
      </c>
      <c r="AK144" s="339" t="s">
        <v>3147</v>
      </c>
      <c r="AL144" s="339">
        <v>300209.89</v>
      </c>
      <c r="AM144" s="339">
        <v>302479.34999999998</v>
      </c>
      <c r="AN144" s="339">
        <v>293742.26</v>
      </c>
      <c r="AO144" s="339">
        <v>289421.09999999998</v>
      </c>
      <c r="AP144" s="339">
        <v>292920.24</v>
      </c>
      <c r="AQ144" s="339">
        <v>294472.37</v>
      </c>
      <c r="AR144" s="339">
        <v>290274.14</v>
      </c>
      <c r="AS144" s="339">
        <v>286356.43</v>
      </c>
      <c r="AT144" s="339">
        <v>291987.59000000003</v>
      </c>
      <c r="AU144" s="339">
        <v>283028.01</v>
      </c>
      <c r="AV144" s="339"/>
      <c r="AW144" s="339"/>
      <c r="AX144" s="339"/>
      <c r="AY144" s="339"/>
      <c r="AZ144" s="339"/>
      <c r="BA144" s="339"/>
      <c r="BB144" s="339"/>
      <c r="BC144" s="339">
        <v>310730.99</v>
      </c>
      <c r="BD144" s="339" t="s">
        <v>2932</v>
      </c>
      <c r="BE144" s="339" t="s">
        <v>2932</v>
      </c>
      <c r="BF144" s="339">
        <v>0</v>
      </c>
      <c r="BG144" s="339">
        <v>0</v>
      </c>
      <c r="BH144" s="339">
        <v>0</v>
      </c>
      <c r="BI144" s="339">
        <v>0</v>
      </c>
      <c r="BJ144" s="339">
        <v>0</v>
      </c>
      <c r="BK144" s="339">
        <v>0</v>
      </c>
      <c r="BL144" s="339">
        <v>0</v>
      </c>
      <c r="BM144" s="339">
        <v>0</v>
      </c>
      <c r="BN144" s="339">
        <v>0</v>
      </c>
      <c r="BO144" s="339">
        <v>0</v>
      </c>
      <c r="BP144" s="339">
        <v>0</v>
      </c>
      <c r="BQ144" s="339">
        <v>0</v>
      </c>
      <c r="BR144" s="339">
        <v>0</v>
      </c>
      <c r="BS144" s="110" t="e">
        <f t="array" aca="1" ref="BS144" ca="1">_xludf.XLOOKUP(D144,'PL TOTAL D0'!N:N,'PL TOTAL D0'!P:P,"")</f>
        <v>#NAME?</v>
      </c>
      <c r="BT144" s="110"/>
    </row>
    <row r="145" spans="1:72" ht="15.75" customHeight="1">
      <c r="A145" s="122" t="s">
        <v>3785</v>
      </c>
      <c r="B145" s="104" t="s">
        <v>4251</v>
      </c>
      <c r="C145" s="122" t="s">
        <v>4252</v>
      </c>
      <c r="D145" s="292">
        <v>4728915</v>
      </c>
      <c r="E145" s="292" t="s">
        <v>19</v>
      </c>
      <c r="F145" s="292" t="s">
        <v>20</v>
      </c>
      <c r="G145" s="292" t="s">
        <v>3793</v>
      </c>
      <c r="H145" s="292" t="str">
        <f>IFERROR(VLOOKUP(G145,'Cadastro de assessores'!A:B,2,FALSE),"Não Cadastrado")</f>
        <v>17679</v>
      </c>
      <c r="I145" s="292"/>
      <c r="J145" s="24" t="s">
        <v>143</v>
      </c>
      <c r="K145" s="292" t="s">
        <v>3794</v>
      </c>
      <c r="L145" s="387">
        <v>44203</v>
      </c>
      <c r="M145" s="387">
        <v>44203</v>
      </c>
      <c r="N145" s="391">
        <v>44450</v>
      </c>
      <c r="O145" s="292" t="s">
        <v>3795</v>
      </c>
      <c r="P145" s="388">
        <v>1.4999999999999999E-2</v>
      </c>
      <c r="Q145" s="420" t="s">
        <v>4253</v>
      </c>
      <c r="R145" s="417"/>
      <c r="S145" s="292" t="str">
        <f t="shared" si="12"/>
        <v>Não Qualificado</v>
      </c>
      <c r="T145" s="292" t="s">
        <v>145</v>
      </c>
      <c r="U145" s="292" t="s">
        <v>4049</v>
      </c>
      <c r="V145" s="292" t="s">
        <v>886</v>
      </c>
      <c r="W145" s="418"/>
      <c r="X145" s="418"/>
      <c r="Y145" s="418"/>
      <c r="Z145" s="418"/>
      <c r="AA145" s="418"/>
      <c r="AB145" s="418"/>
      <c r="AC145" s="418"/>
      <c r="AD145" s="418"/>
      <c r="AE145" s="418"/>
      <c r="AF145" s="418"/>
      <c r="AG145" s="418"/>
      <c r="AH145" s="418"/>
      <c r="AI145" s="418"/>
      <c r="AJ145" s="418"/>
      <c r="AK145" s="339"/>
      <c r="AL145" s="339">
        <v>296997.28999999998</v>
      </c>
      <c r="AM145" s="339">
        <v>289702.36</v>
      </c>
      <c r="AN145" s="339">
        <v>289024.76</v>
      </c>
      <c r="AO145" s="339">
        <v>297719.28000000003</v>
      </c>
      <c r="AP145" s="339">
        <v>292668.65999999997</v>
      </c>
      <c r="AQ145" s="339">
        <v>298534.26</v>
      </c>
      <c r="AR145" s="339">
        <v>305438.89</v>
      </c>
      <c r="AS145" s="339">
        <v>303185.26</v>
      </c>
      <c r="AT145" s="339">
        <v>297342.68</v>
      </c>
      <c r="AU145" s="339">
        <v>295681.91999999998</v>
      </c>
      <c r="AV145" s="339"/>
      <c r="AW145" s="339"/>
      <c r="AX145" s="339"/>
      <c r="AY145" s="339"/>
      <c r="AZ145" s="339"/>
      <c r="BA145" s="339">
        <v>0</v>
      </c>
      <c r="BB145" s="339">
        <v>0</v>
      </c>
      <c r="BC145" s="339">
        <v>162720.85</v>
      </c>
      <c r="BD145" s="339" t="s">
        <v>2932</v>
      </c>
      <c r="BE145" s="339" t="s">
        <v>2932</v>
      </c>
      <c r="BF145" s="339">
        <v>0</v>
      </c>
      <c r="BG145" s="339">
        <v>0</v>
      </c>
      <c r="BH145" s="339">
        <v>0</v>
      </c>
      <c r="BI145" s="339">
        <v>0</v>
      </c>
      <c r="BJ145" s="339">
        <v>0</v>
      </c>
      <c r="BK145" s="339">
        <v>0</v>
      </c>
      <c r="BL145" s="339">
        <v>0</v>
      </c>
      <c r="BM145" s="339">
        <v>0</v>
      </c>
      <c r="BN145" s="339">
        <v>0</v>
      </c>
      <c r="BO145" s="339">
        <v>0</v>
      </c>
      <c r="BP145" s="339">
        <v>0</v>
      </c>
      <c r="BQ145" s="339">
        <v>0</v>
      </c>
      <c r="BR145" s="339">
        <v>0</v>
      </c>
      <c r="BS145" s="110" t="e">
        <f t="array" aca="1" ref="BS145" ca="1">_xludf.XLOOKUP(D145,'PL TOTAL D0'!N:N,'PL TOTAL D0'!P:P,"")</f>
        <v>#NAME?</v>
      </c>
      <c r="BT145" s="110"/>
    </row>
    <row r="146" spans="1:72" ht="15.75" customHeight="1">
      <c r="A146" s="122" t="s">
        <v>3785</v>
      </c>
      <c r="B146" s="104" t="s">
        <v>4254</v>
      </c>
      <c r="C146" s="122" t="s">
        <v>4255</v>
      </c>
      <c r="D146" s="292">
        <v>3221916</v>
      </c>
      <c r="E146" s="293" t="s">
        <v>19</v>
      </c>
      <c r="F146" s="293" t="s">
        <v>20</v>
      </c>
      <c r="G146" s="293" t="s">
        <v>3793</v>
      </c>
      <c r="H146" s="293" t="str">
        <f>IFERROR(VLOOKUP(G146,'Cadastro de assessores'!A:B,2,FALSE),"Não Cadastrado")</f>
        <v>17679</v>
      </c>
      <c r="I146" s="293"/>
      <c r="J146" s="24" t="s">
        <v>3788</v>
      </c>
      <c r="K146" s="292" t="s">
        <v>161</v>
      </c>
      <c r="L146" s="292" t="s">
        <v>3147</v>
      </c>
      <c r="M146" s="436" t="s">
        <v>3638</v>
      </c>
      <c r="N146" s="292"/>
      <c r="O146" s="292" t="s">
        <v>3795</v>
      </c>
      <c r="P146" s="388">
        <v>1.4999999999999999E-2</v>
      </c>
      <c r="Q146" s="420"/>
      <c r="R146" s="417"/>
      <c r="S146" s="292" t="str">
        <f t="shared" si="12"/>
        <v>Não Qualificado</v>
      </c>
      <c r="T146" s="292" t="s">
        <v>145</v>
      </c>
      <c r="U146" s="292" t="s">
        <v>4223</v>
      </c>
      <c r="V146" s="292" t="s">
        <v>3647</v>
      </c>
      <c r="W146" s="418"/>
      <c r="X146" s="418"/>
      <c r="Y146" s="418"/>
      <c r="Z146" s="418"/>
      <c r="AA146" s="418"/>
      <c r="AB146" s="418"/>
      <c r="AC146" s="418"/>
      <c r="AD146" s="418"/>
      <c r="AE146" s="418"/>
      <c r="AF146" s="418"/>
      <c r="AG146" s="418"/>
      <c r="AH146" s="418"/>
      <c r="AI146" s="418"/>
      <c r="AJ146" s="418"/>
      <c r="AK146" s="339"/>
      <c r="AL146" s="339"/>
      <c r="AM146" s="339" t="s">
        <v>3147</v>
      </c>
      <c r="AN146" s="339" t="s">
        <v>3147</v>
      </c>
      <c r="AO146" s="339"/>
      <c r="AP146" s="339"/>
      <c r="AQ146" s="339"/>
      <c r="AR146" s="339"/>
      <c r="AS146" s="339"/>
      <c r="AT146" s="339"/>
      <c r="AU146" s="339"/>
      <c r="AV146" s="339"/>
      <c r="AW146" s="339"/>
      <c r="AX146" s="339"/>
      <c r="AY146" s="339"/>
      <c r="AZ146" s="339"/>
      <c r="BA146" s="339">
        <v>0</v>
      </c>
      <c r="BB146" s="339">
        <v>0</v>
      </c>
      <c r="BC146" s="339">
        <v>237.35</v>
      </c>
      <c r="BD146" s="339" t="s">
        <v>2932</v>
      </c>
      <c r="BE146" s="339" t="s">
        <v>2932</v>
      </c>
      <c r="BF146" s="339">
        <v>0</v>
      </c>
      <c r="BG146" s="339">
        <v>0</v>
      </c>
      <c r="BH146" s="339">
        <v>0</v>
      </c>
      <c r="BI146" s="339">
        <v>0</v>
      </c>
      <c r="BJ146" s="339">
        <v>0</v>
      </c>
      <c r="BK146" s="339">
        <v>0</v>
      </c>
      <c r="BL146" s="339">
        <v>0</v>
      </c>
      <c r="BM146" s="339">
        <v>0</v>
      </c>
      <c r="BN146" s="339">
        <v>0</v>
      </c>
      <c r="BO146" s="339">
        <v>0</v>
      </c>
      <c r="BP146" s="339">
        <v>0</v>
      </c>
      <c r="BQ146" s="339">
        <v>0</v>
      </c>
      <c r="BR146" s="339">
        <v>0</v>
      </c>
      <c r="BS146" s="110" t="e">
        <f t="array" aca="1" ref="BS146" ca="1">_xludf.XLOOKUP(D146,'PL TOTAL D0'!N:N,'PL TOTAL D0'!P:P,"")</f>
        <v>#NAME?</v>
      </c>
      <c r="BT146" s="110"/>
    </row>
    <row r="147" spans="1:72" ht="15.75" customHeight="1">
      <c r="A147" s="122" t="s">
        <v>3785</v>
      </c>
      <c r="B147" s="104" t="s">
        <v>4256</v>
      </c>
      <c r="C147" s="122" t="s">
        <v>4257</v>
      </c>
      <c r="D147" s="292">
        <v>4668132</v>
      </c>
      <c r="E147" s="292" t="s">
        <v>19</v>
      </c>
      <c r="F147" s="292" t="s">
        <v>20</v>
      </c>
      <c r="G147" s="292" t="s">
        <v>3793</v>
      </c>
      <c r="H147" s="292" t="str">
        <f>IFERROR(VLOOKUP(G147,'Cadastro de assessores'!A:B,2,FALSE),"Não Cadastrado")</f>
        <v>17679</v>
      </c>
      <c r="I147" s="292"/>
      <c r="J147" s="24" t="s">
        <v>143</v>
      </c>
      <c r="K147" s="292" t="s">
        <v>3794</v>
      </c>
      <c r="L147" s="387">
        <v>44202</v>
      </c>
      <c r="M147" s="387">
        <v>44202</v>
      </c>
      <c r="N147" s="387">
        <v>44453</v>
      </c>
      <c r="O147" s="292" t="s">
        <v>3795</v>
      </c>
      <c r="P147" s="388">
        <v>1.4999999999999999E-2</v>
      </c>
      <c r="Q147" s="420" t="s">
        <v>4258</v>
      </c>
      <c r="R147" s="417"/>
      <c r="S147" s="292" t="str">
        <f t="shared" si="12"/>
        <v>Não Qualificado</v>
      </c>
      <c r="T147" s="292" t="s">
        <v>145</v>
      </c>
      <c r="U147" s="292" t="s">
        <v>4223</v>
      </c>
      <c r="V147" s="292" t="s">
        <v>3647</v>
      </c>
      <c r="W147" s="418"/>
      <c r="X147" s="418"/>
      <c r="Y147" s="418"/>
      <c r="Z147" s="418"/>
      <c r="AA147" s="418"/>
      <c r="AB147" s="418"/>
      <c r="AC147" s="418"/>
      <c r="AD147" s="418"/>
      <c r="AE147" s="418"/>
      <c r="AF147" s="418"/>
      <c r="AG147" s="418"/>
      <c r="AH147" s="418"/>
      <c r="AI147" s="418"/>
      <c r="AJ147" s="418"/>
      <c r="AK147" s="339"/>
      <c r="AL147" s="339">
        <v>59218.52</v>
      </c>
      <c r="AM147" s="339">
        <v>111543.09</v>
      </c>
      <c r="AN147" s="339">
        <v>111336.82</v>
      </c>
      <c r="AO147" s="339">
        <v>114681.86</v>
      </c>
      <c r="AP147" s="339">
        <v>115310.77</v>
      </c>
      <c r="AQ147" s="339">
        <v>114917.94</v>
      </c>
      <c r="AR147" s="339">
        <v>117383.6</v>
      </c>
      <c r="AS147" s="339">
        <v>116604.26</v>
      </c>
      <c r="AT147" s="339">
        <v>114357.23</v>
      </c>
      <c r="AU147" s="339">
        <v>113700.44</v>
      </c>
      <c r="AV147" s="339">
        <v>111910.79</v>
      </c>
      <c r="AW147" s="339"/>
      <c r="AX147" s="339"/>
      <c r="AY147" s="339"/>
      <c r="AZ147" s="339"/>
      <c r="BA147" s="339">
        <v>0</v>
      </c>
      <c r="BB147" s="339">
        <v>0</v>
      </c>
      <c r="BC147" s="339">
        <v>256541.88</v>
      </c>
      <c r="BD147" s="339" t="s">
        <v>2932</v>
      </c>
      <c r="BE147" s="339" t="s">
        <v>2932</v>
      </c>
      <c r="BF147" s="339">
        <v>0</v>
      </c>
      <c r="BG147" s="339">
        <v>0</v>
      </c>
      <c r="BH147" s="339">
        <v>0</v>
      </c>
      <c r="BI147" s="339">
        <v>0</v>
      </c>
      <c r="BJ147" s="339">
        <v>0</v>
      </c>
      <c r="BK147" s="339">
        <v>0</v>
      </c>
      <c r="BL147" s="339">
        <v>0</v>
      </c>
      <c r="BM147" s="339">
        <v>0</v>
      </c>
      <c r="BN147" s="339">
        <v>0</v>
      </c>
      <c r="BO147" s="339">
        <v>0</v>
      </c>
      <c r="BP147" s="339">
        <v>0</v>
      </c>
      <c r="BQ147" s="339">
        <v>0</v>
      </c>
      <c r="BR147" s="339">
        <v>0</v>
      </c>
      <c r="BS147" s="110" t="e">
        <f t="array" aca="1" ref="BS147" ca="1">_xludf.XLOOKUP(D147,'PL TOTAL D0'!N:N,'PL TOTAL D0'!P:P,"")</f>
        <v>#NAME?</v>
      </c>
      <c r="BT147" s="110"/>
    </row>
    <row r="148" spans="1:72" ht="15.75" customHeight="1">
      <c r="A148" s="122" t="s">
        <v>3785</v>
      </c>
      <c r="B148" s="104" t="s">
        <v>4259</v>
      </c>
      <c r="C148" s="122" t="s">
        <v>4260</v>
      </c>
      <c r="D148" s="292">
        <v>4403283</v>
      </c>
      <c r="E148" s="292" t="s">
        <v>64</v>
      </c>
      <c r="F148" s="292" t="s">
        <v>20</v>
      </c>
      <c r="G148" s="292" t="s">
        <v>3853</v>
      </c>
      <c r="H148" s="292" t="str">
        <f>IFERROR(VLOOKUP(G148,'Cadastro de assessores'!A:B,2,FALSE),"Não Cadastrado")</f>
        <v>1441</v>
      </c>
      <c r="I148" s="292"/>
      <c r="J148" s="24" t="s">
        <v>143</v>
      </c>
      <c r="K148" s="292" t="s">
        <v>3794</v>
      </c>
      <c r="L148" s="387">
        <v>44075</v>
      </c>
      <c r="M148" s="387">
        <v>44075</v>
      </c>
      <c r="N148" s="391">
        <v>44537</v>
      </c>
      <c r="O148" s="299" t="s">
        <v>3789</v>
      </c>
      <c r="P148" s="388">
        <v>0.02</v>
      </c>
      <c r="Q148" s="420" t="s">
        <v>4261</v>
      </c>
      <c r="R148" s="417"/>
      <c r="S148" s="292" t="str">
        <f t="shared" si="12"/>
        <v/>
      </c>
      <c r="T148" s="292" t="s">
        <v>145</v>
      </c>
      <c r="U148" s="292" t="s">
        <v>4094</v>
      </c>
      <c r="V148" s="292" t="s">
        <v>46</v>
      </c>
      <c r="W148" s="418" t="s">
        <v>3798</v>
      </c>
      <c r="X148" s="418" t="s">
        <v>3798</v>
      </c>
      <c r="Y148" s="418" t="s">
        <v>3798</v>
      </c>
      <c r="Z148" s="418" t="s">
        <v>3798</v>
      </c>
      <c r="AA148" s="418" t="s">
        <v>3798</v>
      </c>
      <c r="AB148" s="418" t="s">
        <v>3798</v>
      </c>
      <c r="AC148" s="418" t="s">
        <v>3798</v>
      </c>
      <c r="AD148" s="418" t="s">
        <v>3798</v>
      </c>
      <c r="AE148" s="418" t="s">
        <v>3798</v>
      </c>
      <c r="AF148" s="418" t="s">
        <v>3798</v>
      </c>
      <c r="AG148" s="418" t="s">
        <v>4262</v>
      </c>
      <c r="AH148" s="418" t="s">
        <v>4263</v>
      </c>
      <c r="AI148" s="418" t="s">
        <v>4264</v>
      </c>
      <c r="AJ148" s="418" t="s">
        <v>4265</v>
      </c>
      <c r="AK148" s="339">
        <v>212420.23</v>
      </c>
      <c r="AL148" s="339">
        <v>207132.84</v>
      </c>
      <c r="AM148" s="339">
        <v>241664.81</v>
      </c>
      <c r="AN148" s="339">
        <v>240520</v>
      </c>
      <c r="AO148" s="339">
        <v>247244.88</v>
      </c>
      <c r="AP148" s="339">
        <v>254308.12</v>
      </c>
      <c r="AQ148" s="339">
        <v>252740.79</v>
      </c>
      <c r="AR148" s="339">
        <v>261805.33</v>
      </c>
      <c r="AS148" s="339">
        <v>256051.4</v>
      </c>
      <c r="AT148" s="339">
        <v>247960.85</v>
      </c>
      <c r="AU148" s="339">
        <v>246986.64</v>
      </c>
      <c r="AV148" s="339">
        <v>60433.15</v>
      </c>
      <c r="AW148" s="339">
        <v>114820.46</v>
      </c>
      <c r="AX148" s="339">
        <v>114673.43</v>
      </c>
      <c r="AY148" s="339"/>
      <c r="AZ148" s="339"/>
      <c r="BA148" s="339">
        <v>0</v>
      </c>
      <c r="BB148" s="339">
        <v>0</v>
      </c>
      <c r="BC148" s="339">
        <v>0</v>
      </c>
      <c r="BD148" s="339" t="s">
        <v>2932</v>
      </c>
      <c r="BE148" s="339" t="s">
        <v>2932</v>
      </c>
      <c r="BF148" s="339">
        <v>0</v>
      </c>
      <c r="BG148" s="339">
        <v>0</v>
      </c>
      <c r="BH148" s="339">
        <v>0</v>
      </c>
      <c r="BI148" s="339">
        <v>0</v>
      </c>
      <c r="BJ148" s="339">
        <v>0</v>
      </c>
      <c r="BK148" s="339">
        <v>0</v>
      </c>
      <c r="BL148" s="339">
        <v>0</v>
      </c>
      <c r="BM148" s="339">
        <v>0</v>
      </c>
      <c r="BN148" s="339">
        <v>0</v>
      </c>
      <c r="BO148" s="339">
        <v>0</v>
      </c>
      <c r="BP148" s="339">
        <v>0</v>
      </c>
      <c r="BQ148" s="339">
        <v>0</v>
      </c>
      <c r="BR148" s="339">
        <v>0</v>
      </c>
      <c r="BS148" s="110" t="e">
        <f t="array" aca="1" ref="BS148" ca="1">_xludf.XLOOKUP(D148,'PL TOTAL D0'!N:N,'PL TOTAL D0'!P:P,"")</f>
        <v>#NAME?</v>
      </c>
      <c r="BT148" s="110"/>
    </row>
    <row r="149" spans="1:72" ht="15.75" customHeight="1">
      <c r="A149" s="122" t="s">
        <v>3785</v>
      </c>
      <c r="B149" s="104" t="s">
        <v>957</v>
      </c>
      <c r="C149" s="390" t="s">
        <v>4266</v>
      </c>
      <c r="D149" s="299">
        <v>5183783</v>
      </c>
      <c r="E149" s="293" t="s">
        <v>64</v>
      </c>
      <c r="F149" s="293" t="s">
        <v>20</v>
      </c>
      <c r="G149" s="293" t="s">
        <v>4267</v>
      </c>
      <c r="H149" s="293">
        <f>IFERROR(VLOOKUP(G149,'Cadastro de assessores'!A:B,2,FALSE),"Não Cadastrado")</f>
        <v>12330</v>
      </c>
      <c r="I149" s="293"/>
      <c r="J149" s="24" t="s">
        <v>3788</v>
      </c>
      <c r="K149" s="293" t="s">
        <v>152</v>
      </c>
      <c r="L149" s="423">
        <v>44701</v>
      </c>
      <c r="M149" s="423">
        <v>44701</v>
      </c>
      <c r="N149" s="299"/>
      <c r="O149" s="299" t="s">
        <v>3802</v>
      </c>
      <c r="P149" s="388">
        <v>7.0000000000000001E-3</v>
      </c>
      <c r="Q149" s="420"/>
      <c r="R149" s="417"/>
      <c r="S149" s="292" t="str">
        <f t="shared" si="12"/>
        <v/>
      </c>
      <c r="T149" s="292" t="s">
        <v>145</v>
      </c>
      <c r="U149" s="292" t="s">
        <v>3811</v>
      </c>
      <c r="V149" s="292" t="s">
        <v>20</v>
      </c>
      <c r="W149" s="418"/>
      <c r="X149" s="418"/>
      <c r="Y149" s="418"/>
      <c r="Z149" s="418"/>
      <c r="AA149" s="418"/>
      <c r="AB149" s="418"/>
      <c r="AC149" s="418"/>
      <c r="AD149" s="418"/>
      <c r="AE149" s="418"/>
      <c r="AF149" s="418"/>
      <c r="AG149" s="418"/>
      <c r="AH149" s="418"/>
      <c r="AI149" s="418"/>
      <c r="AJ149" s="418"/>
      <c r="AK149" s="339"/>
      <c r="AL149" s="339"/>
      <c r="AM149" s="339"/>
      <c r="AN149" s="339"/>
      <c r="AO149" s="339"/>
      <c r="AP149" s="339"/>
      <c r="AQ149" s="339"/>
      <c r="AR149" s="339"/>
      <c r="AS149" s="339"/>
      <c r="AT149" s="339"/>
      <c r="AU149" s="339"/>
      <c r="AV149" s="339"/>
      <c r="AW149" s="339"/>
      <c r="AX149" s="339"/>
      <c r="AY149" s="339"/>
      <c r="AZ149" s="339"/>
      <c r="BA149" s="339"/>
      <c r="BB149" s="339"/>
      <c r="BC149" s="339"/>
      <c r="BD149" s="339">
        <v>382840.19</v>
      </c>
      <c r="BE149" s="339">
        <v>281146.59000000003</v>
      </c>
      <c r="BF149" s="339">
        <v>283719.21999999997</v>
      </c>
      <c r="BG149" s="339">
        <v>305478.52010000002</v>
      </c>
      <c r="BH149" s="339">
        <v>307498.88</v>
      </c>
      <c r="BI149" s="339">
        <v>309874.48</v>
      </c>
      <c r="BJ149" s="339">
        <v>312853.76000000001</v>
      </c>
      <c r="BK149" s="339">
        <v>315639.74</v>
      </c>
      <c r="BL149" s="339">
        <v>664.86</v>
      </c>
      <c r="BM149" s="339">
        <v>74.78</v>
      </c>
      <c r="BN149" s="339">
        <v>74.78</v>
      </c>
      <c r="BO149" s="339">
        <v>74.78</v>
      </c>
      <c r="BP149" s="339">
        <v>74.78</v>
      </c>
      <c r="BQ149" s="339">
        <v>74.78</v>
      </c>
      <c r="BR149" s="339">
        <v>74.78</v>
      </c>
      <c r="BS149" s="110" t="e">
        <f t="array" aca="1" ref="BS149" ca="1">_xludf.XLOOKUP(D149,'PL TOTAL D0'!N:N,'PL TOTAL D0'!P:P,"")</f>
        <v>#NAME?</v>
      </c>
      <c r="BT149" s="110"/>
    </row>
    <row r="150" spans="1:72" ht="15.75" customHeight="1">
      <c r="A150" s="122" t="s">
        <v>3785</v>
      </c>
      <c r="B150" s="104" t="s">
        <v>976</v>
      </c>
      <c r="C150" s="441" t="s">
        <v>973</v>
      </c>
      <c r="D150" s="422">
        <v>3714503</v>
      </c>
      <c r="E150" s="293" t="s">
        <v>19</v>
      </c>
      <c r="F150" s="293" t="s">
        <v>49</v>
      </c>
      <c r="G150" s="293" t="s">
        <v>50</v>
      </c>
      <c r="H150" s="293">
        <f>IFERROR(VLOOKUP(G150,'Cadastro de assessores'!A:B,2,FALSE),"Não Cadastrado")</f>
        <v>12331</v>
      </c>
      <c r="I150" s="293"/>
      <c r="J150" s="24" t="s">
        <v>3788</v>
      </c>
      <c r="K150" s="293" t="s">
        <v>152</v>
      </c>
      <c r="L150" s="423">
        <v>44614</v>
      </c>
      <c r="M150" s="423">
        <v>44614</v>
      </c>
      <c r="N150" s="299"/>
      <c r="O150" s="299" t="s">
        <v>3802</v>
      </c>
      <c r="P150" s="388">
        <v>7.0000000000000001E-3</v>
      </c>
      <c r="Q150" s="304" t="s">
        <v>4268</v>
      </c>
      <c r="R150" s="417"/>
      <c r="S150" s="292" t="str">
        <f t="shared" si="12"/>
        <v>Não Qualificado</v>
      </c>
      <c r="T150" s="292" t="s">
        <v>145</v>
      </c>
      <c r="U150" s="292" t="s">
        <v>4269</v>
      </c>
      <c r="V150" s="292" t="s">
        <v>977</v>
      </c>
      <c r="W150" s="418"/>
      <c r="X150" s="418"/>
      <c r="Y150" s="418"/>
      <c r="Z150" s="418"/>
      <c r="AA150" s="418"/>
      <c r="AB150" s="418"/>
      <c r="AC150" s="418"/>
      <c r="AD150" s="418"/>
      <c r="AE150" s="418"/>
      <c r="AF150" s="418"/>
      <c r="AG150" s="418"/>
      <c r="AH150" s="418"/>
      <c r="AI150" s="418"/>
      <c r="AJ150" s="418"/>
      <c r="AK150" s="339"/>
      <c r="AL150" s="339"/>
      <c r="AM150" s="339"/>
      <c r="AN150" s="339"/>
      <c r="AO150" s="339"/>
      <c r="AP150" s="339"/>
      <c r="AQ150" s="339"/>
      <c r="AR150" s="339"/>
      <c r="AS150" s="339"/>
      <c r="AT150" s="339"/>
      <c r="AU150" s="339"/>
      <c r="AV150" s="339"/>
      <c r="AW150" s="339"/>
      <c r="AX150" s="339"/>
      <c r="AY150" s="339"/>
      <c r="AZ150" s="339"/>
      <c r="BA150" s="339">
        <v>141704.68</v>
      </c>
      <c r="BB150" s="339">
        <v>143339.32999999999</v>
      </c>
      <c r="BC150" s="339">
        <v>769557.67</v>
      </c>
      <c r="BD150" s="339">
        <v>145770.57999999999</v>
      </c>
      <c r="BE150" s="339">
        <v>147108.99</v>
      </c>
      <c r="BF150" s="339">
        <v>148023.34</v>
      </c>
      <c r="BG150" s="339">
        <v>149001.0312</v>
      </c>
      <c r="BH150" s="339">
        <v>149878.94</v>
      </c>
      <c r="BI150" s="339">
        <v>151025.28</v>
      </c>
      <c r="BJ150" s="339">
        <v>152301.47</v>
      </c>
      <c r="BK150" s="339">
        <v>153539.88</v>
      </c>
      <c r="BL150" s="339">
        <v>150829.35999999999</v>
      </c>
      <c r="BM150" s="339">
        <v>162710.88</v>
      </c>
      <c r="BN150" s="339">
        <v>129672.04</v>
      </c>
      <c r="BO150" s="339">
        <v>56820.29</v>
      </c>
      <c r="BP150" s="339">
        <v>49793.5</v>
      </c>
      <c r="BQ150" s="339">
        <v>49757.2</v>
      </c>
      <c r="BR150" s="339">
        <v>211.65</v>
      </c>
      <c r="BS150" s="110" t="e">
        <f t="array" aca="1" ref="BS150" ca="1">_xludf.XLOOKUP(D150,'PL TOTAL D0'!N:N,'PL TOTAL D0'!P:P,"")</f>
        <v>#NAME?</v>
      </c>
      <c r="BT150" s="110"/>
    </row>
    <row r="151" spans="1:72" ht="15.75" customHeight="1">
      <c r="A151" s="122" t="s">
        <v>3785</v>
      </c>
      <c r="B151" s="104" t="s">
        <v>4270</v>
      </c>
      <c r="C151" s="390" t="s">
        <v>4271</v>
      </c>
      <c r="D151" s="299">
        <v>6121090</v>
      </c>
      <c r="E151" s="292" t="s">
        <v>19</v>
      </c>
      <c r="F151" s="292" t="s">
        <v>49</v>
      </c>
      <c r="G151" s="292" t="s">
        <v>328</v>
      </c>
      <c r="H151" s="292" t="str">
        <f>IFERROR(VLOOKUP(G151,'Cadastro de assessores'!A:B,2,FALSE),"Não Cadastrado")</f>
        <v>18009</v>
      </c>
      <c r="I151" s="292"/>
      <c r="J151" s="24" t="s">
        <v>143</v>
      </c>
      <c r="K151" s="292" t="s">
        <v>3794</v>
      </c>
      <c r="L151" s="387"/>
      <c r="M151" s="387">
        <v>44421</v>
      </c>
      <c r="N151" s="387">
        <v>44685</v>
      </c>
      <c r="O151" s="292" t="s">
        <v>3789</v>
      </c>
      <c r="P151" s="388">
        <v>0.02</v>
      </c>
      <c r="Q151" s="167" t="s">
        <v>4272</v>
      </c>
      <c r="R151" s="417"/>
      <c r="S151" s="292" t="str">
        <f t="shared" si="12"/>
        <v>Não Qualificado</v>
      </c>
      <c r="T151" s="292" t="s">
        <v>145</v>
      </c>
      <c r="U151" s="299" t="s">
        <v>4273</v>
      </c>
      <c r="V151" s="292" t="s">
        <v>46</v>
      </c>
      <c r="W151" s="350"/>
      <c r="X151" s="350"/>
      <c r="Y151" s="350"/>
      <c r="Z151" s="350"/>
      <c r="AA151" s="350"/>
      <c r="AB151" s="350"/>
      <c r="AC151" s="350"/>
      <c r="AD151" s="350"/>
      <c r="AE151" s="350"/>
      <c r="AF151" s="350"/>
      <c r="AG151" s="350"/>
      <c r="AH151" s="418"/>
      <c r="AI151" s="418"/>
      <c r="AJ151" s="339"/>
      <c r="AK151" s="339"/>
      <c r="AL151" s="339"/>
      <c r="AM151" s="339"/>
      <c r="AN151" s="339"/>
      <c r="AO151" s="339"/>
      <c r="AP151" s="339"/>
      <c r="AQ151" s="339"/>
      <c r="AR151" s="339"/>
      <c r="AS151" s="431"/>
      <c r="AT151" s="340"/>
      <c r="AU151" s="340">
        <v>47827.66</v>
      </c>
      <c r="AV151" s="339">
        <v>46440.15</v>
      </c>
      <c r="AW151" s="339">
        <v>44189.16</v>
      </c>
      <c r="AX151" s="339">
        <v>43967.21</v>
      </c>
      <c r="AY151" s="339">
        <v>44439.5</v>
      </c>
      <c r="AZ151" s="339">
        <v>45943.08</v>
      </c>
      <c r="BA151" s="339">
        <v>46251.82</v>
      </c>
      <c r="BB151" s="339">
        <v>48186.57</v>
      </c>
      <c r="BC151" s="339">
        <v>264992.65999999997</v>
      </c>
      <c r="BD151" s="339" t="s">
        <v>2932</v>
      </c>
      <c r="BE151" s="339" t="s">
        <v>2932</v>
      </c>
      <c r="BF151" s="339">
        <v>0</v>
      </c>
      <c r="BG151" s="339">
        <v>0</v>
      </c>
      <c r="BH151" s="339">
        <v>0</v>
      </c>
      <c r="BI151" s="339">
        <v>0</v>
      </c>
      <c r="BJ151" s="339">
        <v>0</v>
      </c>
      <c r="BK151" s="339">
        <v>0</v>
      </c>
      <c r="BL151" s="339">
        <v>0</v>
      </c>
      <c r="BM151" s="339">
        <v>0</v>
      </c>
      <c r="BN151" s="339">
        <v>0</v>
      </c>
      <c r="BO151" s="339">
        <v>0</v>
      </c>
      <c r="BP151" s="339">
        <v>0</v>
      </c>
      <c r="BQ151" s="339">
        <v>0</v>
      </c>
      <c r="BR151" s="339">
        <v>0</v>
      </c>
      <c r="BS151" s="110" t="e">
        <f t="array" aca="1" ref="BS151" ca="1">_xludf.XLOOKUP(D151,'PL TOTAL D0'!N:N,'PL TOTAL D0'!P:P,"")</f>
        <v>#NAME?</v>
      </c>
      <c r="BT151" s="110"/>
    </row>
    <row r="152" spans="1:72" ht="17.25" customHeight="1">
      <c r="A152" s="122" t="s">
        <v>3785</v>
      </c>
      <c r="B152" s="104" t="s">
        <v>986</v>
      </c>
      <c r="C152" s="390" t="s">
        <v>984</v>
      </c>
      <c r="D152" s="422">
        <v>8203715</v>
      </c>
      <c r="E152" s="293" t="s">
        <v>19</v>
      </c>
      <c r="F152" s="293" t="s">
        <v>20</v>
      </c>
      <c r="G152" s="293" t="s">
        <v>21</v>
      </c>
      <c r="H152" s="293">
        <f>IFERROR(VLOOKUP(G152,'Cadastro de assessores'!A:B,2,FALSE),"Não Cadastrado")</f>
        <v>12344</v>
      </c>
      <c r="I152" s="293"/>
      <c r="J152" s="24" t="s">
        <v>3788</v>
      </c>
      <c r="K152" s="293" t="s">
        <v>152</v>
      </c>
      <c r="L152" s="423">
        <v>44649</v>
      </c>
      <c r="M152" s="423">
        <v>44655</v>
      </c>
      <c r="N152" s="299"/>
      <c r="O152" s="299" t="s">
        <v>3802</v>
      </c>
      <c r="P152" s="388">
        <v>7.0000000000000001E-3</v>
      </c>
      <c r="Q152" s="420"/>
      <c r="R152" s="417"/>
      <c r="S152" s="292" t="str">
        <f t="shared" si="12"/>
        <v/>
      </c>
      <c r="T152" s="292" t="s">
        <v>145</v>
      </c>
      <c r="U152" s="292" t="s">
        <v>3816</v>
      </c>
      <c r="V152" s="292" t="s">
        <v>20</v>
      </c>
      <c r="W152" s="418"/>
      <c r="X152" s="418"/>
      <c r="Y152" s="418"/>
      <c r="Z152" s="418"/>
      <c r="AA152" s="418"/>
      <c r="AB152" s="418"/>
      <c r="AC152" s="418"/>
      <c r="AD152" s="418"/>
      <c r="AE152" s="418"/>
      <c r="AF152" s="418"/>
      <c r="AG152" s="418"/>
      <c r="AH152" s="418"/>
      <c r="AI152" s="418"/>
      <c r="AJ152" s="418"/>
      <c r="AK152" s="339"/>
      <c r="AL152" s="339"/>
      <c r="AM152" s="339"/>
      <c r="AN152" s="339"/>
      <c r="AO152" s="339"/>
      <c r="AP152" s="339"/>
      <c r="AQ152" s="339"/>
      <c r="AR152" s="339"/>
      <c r="AS152" s="339"/>
      <c r="AT152" s="339"/>
      <c r="AU152" s="339"/>
      <c r="AV152" s="339"/>
      <c r="AW152" s="339"/>
      <c r="AX152" s="339"/>
      <c r="AY152" s="339"/>
      <c r="AZ152" s="339"/>
      <c r="BA152" s="339"/>
      <c r="BB152" s="339">
        <v>0</v>
      </c>
      <c r="BC152" s="339"/>
      <c r="BD152" s="339">
        <v>318697.81</v>
      </c>
      <c r="BE152" s="339">
        <v>321055.34000000003</v>
      </c>
      <c r="BF152" s="339">
        <v>322692.09000000003</v>
      </c>
      <c r="BG152" s="339">
        <v>478441.02179999999</v>
      </c>
      <c r="BH152" s="339">
        <v>482933.32</v>
      </c>
      <c r="BI152" s="339">
        <v>486859.84</v>
      </c>
      <c r="BJ152" s="339">
        <v>489909.03</v>
      </c>
      <c r="BK152" s="339">
        <v>494950.75</v>
      </c>
      <c r="BL152" s="339">
        <v>638708.21</v>
      </c>
      <c r="BM152" s="339">
        <v>503776.9</v>
      </c>
      <c r="BN152" s="339">
        <v>0</v>
      </c>
      <c r="BO152" s="339">
        <v>0</v>
      </c>
      <c r="BP152" s="339">
        <v>0</v>
      </c>
      <c r="BQ152" s="339">
        <v>0</v>
      </c>
      <c r="BR152" s="339">
        <v>0</v>
      </c>
      <c r="BS152" s="110" t="e">
        <f t="array" aca="1" ref="BS152" ca="1">_xludf.XLOOKUP(D152,'PL TOTAL D0'!N:N,'PL TOTAL D0'!P:P,"")</f>
        <v>#NAME?</v>
      </c>
      <c r="BT152" s="110"/>
    </row>
    <row r="153" spans="1:72" ht="15.75" customHeight="1">
      <c r="A153" s="122" t="s">
        <v>3785</v>
      </c>
      <c r="B153" s="104" t="s">
        <v>4274</v>
      </c>
      <c r="C153" s="390" t="s">
        <v>4275</v>
      </c>
      <c r="D153" s="299">
        <v>0</v>
      </c>
      <c r="E153" s="292" t="s">
        <v>19</v>
      </c>
      <c r="F153" s="292" t="s">
        <v>49</v>
      </c>
      <c r="G153" s="292" t="s">
        <v>328</v>
      </c>
      <c r="H153" s="292" t="str">
        <f>IFERROR(VLOOKUP(G153,'Cadastro de assessores'!A:B,2,FALSE),"Não Cadastrado")</f>
        <v>18009</v>
      </c>
      <c r="I153" s="292"/>
      <c r="J153" s="24" t="s">
        <v>143</v>
      </c>
      <c r="K153" s="292" t="s">
        <v>3794</v>
      </c>
      <c r="L153" s="387">
        <v>44300</v>
      </c>
      <c r="M153" s="387">
        <v>44300</v>
      </c>
      <c r="N153" s="387">
        <v>44651</v>
      </c>
      <c r="O153" s="292" t="s">
        <v>3795</v>
      </c>
      <c r="P153" s="388">
        <v>1.2E-2</v>
      </c>
      <c r="Q153" s="420" t="s">
        <v>4276</v>
      </c>
      <c r="R153" s="417"/>
      <c r="S153" s="292" t="str">
        <f t="shared" si="12"/>
        <v>Não Qualificado</v>
      </c>
      <c r="T153" s="292" t="s">
        <v>145</v>
      </c>
      <c r="U153" s="292" t="s">
        <v>3846</v>
      </c>
      <c r="V153" s="292" t="s">
        <v>46</v>
      </c>
      <c r="W153" s="418"/>
      <c r="X153" s="418"/>
      <c r="Y153" s="418"/>
      <c r="Z153" s="418"/>
      <c r="AA153" s="418"/>
      <c r="AB153" s="418"/>
      <c r="AC153" s="418"/>
      <c r="AD153" s="418"/>
      <c r="AE153" s="418"/>
      <c r="AF153" s="418"/>
      <c r="AG153" s="418"/>
      <c r="AH153" s="418"/>
      <c r="AI153" s="418"/>
      <c r="AJ153" s="418"/>
      <c r="AK153" s="339"/>
      <c r="AL153" s="339"/>
      <c r="AM153" s="339"/>
      <c r="AN153" s="339"/>
      <c r="AO153" s="339"/>
      <c r="AP153" s="339">
        <v>236507.03</v>
      </c>
      <c r="AQ153" s="339">
        <v>236037.96</v>
      </c>
      <c r="AR153" s="339">
        <v>238935.82</v>
      </c>
      <c r="AS153" s="339">
        <v>238307.02</v>
      </c>
      <c r="AT153" s="339">
        <v>240933.87</v>
      </c>
      <c r="AU153" s="339">
        <v>302129.81</v>
      </c>
      <c r="AV153" s="339">
        <v>296868.15000000002</v>
      </c>
      <c r="AW153" s="339">
        <v>287734.45</v>
      </c>
      <c r="AX153" s="339">
        <v>287931.74</v>
      </c>
      <c r="AY153" s="339">
        <v>271617.8</v>
      </c>
      <c r="AZ153" s="339">
        <v>279245.12</v>
      </c>
      <c r="BA153" s="339"/>
      <c r="BB153" s="339">
        <v>281601.33</v>
      </c>
      <c r="BC153" s="339">
        <v>307801.13</v>
      </c>
      <c r="BD153" s="339" t="s">
        <v>2932</v>
      </c>
      <c r="BE153" s="339" t="s">
        <v>2932</v>
      </c>
      <c r="BF153" s="339">
        <v>0</v>
      </c>
      <c r="BG153" s="339">
        <v>0</v>
      </c>
      <c r="BH153" s="339">
        <v>0</v>
      </c>
      <c r="BI153" s="339">
        <v>0</v>
      </c>
      <c r="BJ153" s="339">
        <v>0</v>
      </c>
      <c r="BK153" s="339">
        <v>0</v>
      </c>
      <c r="BL153" s="339">
        <v>0</v>
      </c>
      <c r="BM153" s="339">
        <v>0</v>
      </c>
      <c r="BN153" s="339">
        <v>0</v>
      </c>
      <c r="BO153" s="339">
        <v>0</v>
      </c>
      <c r="BP153" s="339">
        <v>0</v>
      </c>
      <c r="BQ153" s="339">
        <v>0</v>
      </c>
      <c r="BR153" s="339">
        <v>0</v>
      </c>
      <c r="BS153" s="110" t="e">
        <f t="array" aca="1" ref="BS153" ca="1">_xludf.XLOOKUP(D153,'PL TOTAL D0'!N:N,'PL TOTAL D0'!P:P,"")</f>
        <v>#NAME?</v>
      </c>
      <c r="BT153" s="110"/>
    </row>
    <row r="154" spans="1:72" ht="15.75" customHeight="1">
      <c r="A154" s="122" t="s">
        <v>3785</v>
      </c>
      <c r="B154" s="104" t="s">
        <v>998</v>
      </c>
      <c r="C154" s="390" t="s">
        <v>4277</v>
      </c>
      <c r="D154" s="299">
        <v>3561110</v>
      </c>
      <c r="E154" s="293" t="s">
        <v>19</v>
      </c>
      <c r="F154" s="293" t="s">
        <v>20</v>
      </c>
      <c r="G154" s="299" t="s">
        <v>942</v>
      </c>
      <c r="H154" s="299">
        <f>IFERROR(VLOOKUP(G154,'Cadastro de assessores'!A:B,2,FALSE),"Não Cadastrado")</f>
        <v>12342</v>
      </c>
      <c r="I154" s="299"/>
      <c r="J154" s="24" t="s">
        <v>3788</v>
      </c>
      <c r="K154" s="293" t="s">
        <v>152</v>
      </c>
      <c r="L154" s="423">
        <v>44656</v>
      </c>
      <c r="M154" s="423">
        <v>44658</v>
      </c>
      <c r="N154" s="299"/>
      <c r="O154" s="299" t="s">
        <v>3802</v>
      </c>
      <c r="P154" s="388">
        <v>7.0000000000000001E-3</v>
      </c>
      <c r="Q154" s="167" t="s">
        <v>4278</v>
      </c>
      <c r="R154" s="417"/>
      <c r="S154" s="292" t="str">
        <f t="shared" si="12"/>
        <v>Não Qualificado</v>
      </c>
      <c r="T154" s="292" t="s">
        <v>145</v>
      </c>
      <c r="U154" s="299" t="s">
        <v>3816</v>
      </c>
      <c r="V154" s="299" t="s">
        <v>20</v>
      </c>
      <c r="W154" s="350"/>
      <c r="X154" s="350"/>
      <c r="Y154" s="350"/>
      <c r="Z154" s="350"/>
      <c r="AA154" s="350"/>
      <c r="AB154" s="350"/>
      <c r="AC154" s="350"/>
      <c r="AD154" s="350"/>
      <c r="AE154" s="350"/>
      <c r="AF154" s="350"/>
      <c r="AG154" s="350"/>
      <c r="AH154" s="350"/>
      <c r="AI154" s="350"/>
      <c r="AJ154" s="350"/>
      <c r="AK154" s="339"/>
      <c r="AL154" s="339"/>
      <c r="AM154" s="339"/>
      <c r="AN154" s="339"/>
      <c r="AO154" s="339"/>
      <c r="AP154" s="339"/>
      <c r="AQ154" s="350"/>
      <c r="AR154" s="340"/>
      <c r="AS154" s="339"/>
      <c r="AT154" s="339"/>
      <c r="AU154" s="339"/>
      <c r="AV154" s="339"/>
      <c r="AW154" s="339"/>
      <c r="AX154" s="339"/>
      <c r="AY154" s="339"/>
      <c r="AZ154" s="339"/>
      <c r="BA154" s="339"/>
      <c r="BB154" s="339"/>
      <c r="BC154" s="339">
        <v>185043.78</v>
      </c>
      <c r="BD154" s="339">
        <v>90983.039999999994</v>
      </c>
      <c r="BE154" s="339">
        <v>146913.53</v>
      </c>
      <c r="BF154" s="339">
        <v>147726.78</v>
      </c>
      <c r="BG154" s="339">
        <v>194847.39910000001</v>
      </c>
      <c r="BH154" s="339">
        <v>528900.29</v>
      </c>
      <c r="BI154" s="339">
        <v>714954.58</v>
      </c>
      <c r="BJ154" s="339">
        <v>771236.72</v>
      </c>
      <c r="BK154" s="339">
        <v>778736.87</v>
      </c>
      <c r="BL154" s="339">
        <v>787775.81</v>
      </c>
      <c r="BM154" s="339">
        <v>738039.4</v>
      </c>
      <c r="BN154" s="339">
        <v>747012.38</v>
      </c>
      <c r="BO154" s="339">
        <v>704170.24</v>
      </c>
      <c r="BP154" s="339">
        <v>711924.65</v>
      </c>
      <c r="BQ154" s="339">
        <v>701135.39</v>
      </c>
      <c r="BR154" s="339">
        <v>669772.23</v>
      </c>
      <c r="BS154" s="110" t="e">
        <f t="array" aca="1" ref="BS154" ca="1">_xludf.XLOOKUP(D154,'PL TOTAL D0'!N:N,'PL TOTAL D0'!P:P,"")</f>
        <v>#NAME?</v>
      </c>
      <c r="BT154" s="110"/>
    </row>
    <row r="155" spans="1:72" ht="15.75" customHeight="1">
      <c r="A155" s="122" t="s">
        <v>3785</v>
      </c>
      <c r="B155" s="104" t="s">
        <v>4279</v>
      </c>
      <c r="C155" s="122" t="s">
        <v>4280</v>
      </c>
      <c r="D155" s="292">
        <v>4403399</v>
      </c>
      <c r="E155" s="292" t="s">
        <v>64</v>
      </c>
      <c r="F155" s="292" t="s">
        <v>20</v>
      </c>
      <c r="G155" s="292" t="s">
        <v>4067</v>
      </c>
      <c r="H155" s="292" t="str">
        <f>IFERROR(VLOOKUP(G155,'Cadastro de assessores'!A:B,2,FALSE),"Não Cadastrado")</f>
        <v>15049</v>
      </c>
      <c r="I155" s="292"/>
      <c r="J155" s="24" t="s">
        <v>143</v>
      </c>
      <c r="K155" s="292" t="s">
        <v>3794</v>
      </c>
      <c r="L155" s="387">
        <v>44074</v>
      </c>
      <c r="M155" s="387">
        <v>44074</v>
      </c>
      <c r="N155" s="387">
        <v>44627</v>
      </c>
      <c r="O155" s="292" t="s">
        <v>3805</v>
      </c>
      <c r="P155" s="388">
        <v>1.2E-2</v>
      </c>
      <c r="Q155" s="420" t="s">
        <v>4281</v>
      </c>
      <c r="R155" s="417"/>
      <c r="S155" s="292" t="str">
        <f t="shared" si="12"/>
        <v>Não Qualificado</v>
      </c>
      <c r="T155" s="292" t="s">
        <v>145</v>
      </c>
      <c r="U155" s="292" t="s">
        <v>4209</v>
      </c>
      <c r="V155" s="292" t="s">
        <v>20</v>
      </c>
      <c r="W155" s="418" t="s">
        <v>3798</v>
      </c>
      <c r="X155" s="418" t="s">
        <v>3798</v>
      </c>
      <c r="Y155" s="418" t="s">
        <v>3798</v>
      </c>
      <c r="Z155" s="418" t="s">
        <v>3798</v>
      </c>
      <c r="AA155" s="418" t="s">
        <v>3798</v>
      </c>
      <c r="AB155" s="418" t="s">
        <v>3798</v>
      </c>
      <c r="AC155" s="418" t="s">
        <v>3798</v>
      </c>
      <c r="AD155" s="418" t="s">
        <v>3798</v>
      </c>
      <c r="AE155" s="418" t="s">
        <v>3798</v>
      </c>
      <c r="AF155" s="418" t="s">
        <v>3798</v>
      </c>
      <c r="AG155" s="418" t="s">
        <v>4282</v>
      </c>
      <c r="AH155" s="418" t="s">
        <v>4283</v>
      </c>
      <c r="AI155" s="418" t="s">
        <v>4284</v>
      </c>
      <c r="AJ155" s="418" t="s">
        <v>4285</v>
      </c>
      <c r="AK155" s="339">
        <v>341942.98</v>
      </c>
      <c r="AL155" s="339">
        <v>385396.66</v>
      </c>
      <c r="AM155" s="339">
        <v>379495.89</v>
      </c>
      <c r="AN155" s="339">
        <v>379183.97</v>
      </c>
      <c r="AO155" s="339">
        <v>382477.97</v>
      </c>
      <c r="AP155" s="339">
        <v>383193.45</v>
      </c>
      <c r="AQ155" s="339">
        <v>382437.44</v>
      </c>
      <c r="AR155" s="339">
        <v>387372.87</v>
      </c>
      <c r="AS155" s="339">
        <v>386609.88</v>
      </c>
      <c r="AT155" s="339">
        <v>383867.77</v>
      </c>
      <c r="AU155" s="339">
        <v>383775.99</v>
      </c>
      <c r="AV155" s="339">
        <v>381921.63</v>
      </c>
      <c r="AW155" s="339">
        <v>374515.3</v>
      </c>
      <c r="AX155" s="339">
        <v>374422.49</v>
      </c>
      <c r="AY155" s="339">
        <v>378125.76</v>
      </c>
      <c r="AZ155" s="339">
        <v>383328.31</v>
      </c>
      <c r="BA155" s="339">
        <v>384674.62</v>
      </c>
      <c r="BB155" s="339">
        <v>0</v>
      </c>
      <c r="BC155" s="339">
        <v>102598.23</v>
      </c>
      <c r="BD155" s="339" t="s">
        <v>2932</v>
      </c>
      <c r="BE155" s="339" t="s">
        <v>2932</v>
      </c>
      <c r="BF155" s="339">
        <v>0</v>
      </c>
      <c r="BG155" s="339">
        <v>0</v>
      </c>
      <c r="BH155" s="339">
        <v>0</v>
      </c>
      <c r="BI155" s="339">
        <v>0</v>
      </c>
      <c r="BJ155" s="339">
        <v>0</v>
      </c>
      <c r="BK155" s="339">
        <v>0</v>
      </c>
      <c r="BL155" s="339">
        <v>0</v>
      </c>
      <c r="BM155" s="339">
        <v>0</v>
      </c>
      <c r="BN155" s="339">
        <v>0</v>
      </c>
      <c r="BO155" s="339">
        <v>0</v>
      </c>
      <c r="BP155" s="339">
        <v>0</v>
      </c>
      <c r="BQ155" s="339">
        <v>0</v>
      </c>
      <c r="BR155" s="339">
        <v>0</v>
      </c>
      <c r="BS155" s="110" t="e">
        <f t="array" aca="1" ref="BS155" ca="1">_xludf.XLOOKUP(D155,'PL TOTAL D0'!N:N,'PL TOTAL D0'!P:P,"")</f>
        <v>#NAME?</v>
      </c>
      <c r="BT155" s="110"/>
    </row>
    <row r="156" spans="1:72" ht="15.75" customHeight="1">
      <c r="A156" s="122" t="s">
        <v>3785</v>
      </c>
      <c r="B156" s="104" t="s">
        <v>4286</v>
      </c>
      <c r="C156" s="390" t="s">
        <v>4287</v>
      </c>
      <c r="D156" s="299">
        <v>5599659</v>
      </c>
      <c r="E156" s="293" t="s">
        <v>64</v>
      </c>
      <c r="F156" s="293" t="s">
        <v>20</v>
      </c>
      <c r="G156" s="299" t="s">
        <v>2803</v>
      </c>
      <c r="H156" s="299">
        <f>IFERROR(VLOOKUP(G156,'Cadastro de assessores'!A:B,2,FALSE),"Não Cadastrado")</f>
        <v>12347</v>
      </c>
      <c r="I156" s="299"/>
      <c r="J156" s="24" t="s">
        <v>3788</v>
      </c>
      <c r="K156" s="293" t="s">
        <v>152</v>
      </c>
      <c r="L156" s="415">
        <v>44341</v>
      </c>
      <c r="M156" s="415">
        <v>44344</v>
      </c>
      <c r="N156" s="299"/>
      <c r="O156" s="299" t="s">
        <v>3802</v>
      </c>
      <c r="P156" s="388">
        <v>7.0000000000000001E-3</v>
      </c>
      <c r="Q156" s="167"/>
      <c r="R156" s="417"/>
      <c r="S156" s="292" t="str">
        <f t="shared" si="12"/>
        <v/>
      </c>
      <c r="T156" s="292" t="s">
        <v>145</v>
      </c>
      <c r="U156" s="299" t="s">
        <v>3811</v>
      </c>
      <c r="V156" s="299" t="s">
        <v>20</v>
      </c>
      <c r="W156" s="350"/>
      <c r="X156" s="350"/>
      <c r="Y156" s="350"/>
      <c r="Z156" s="350"/>
      <c r="AA156" s="350"/>
      <c r="AB156" s="350"/>
      <c r="AC156" s="350"/>
      <c r="AD156" s="350"/>
      <c r="AE156" s="350"/>
      <c r="AF156" s="350"/>
      <c r="AG156" s="350"/>
      <c r="AH156" s="350"/>
      <c r="AI156" s="350"/>
      <c r="AJ156" s="350"/>
      <c r="AK156" s="339"/>
      <c r="AL156" s="339"/>
      <c r="AM156" s="339"/>
      <c r="AN156" s="339"/>
      <c r="AO156" s="339"/>
      <c r="AP156" s="339"/>
      <c r="AQ156" s="350"/>
      <c r="AR156" s="340">
        <v>99876.03</v>
      </c>
      <c r="AS156" s="339">
        <v>98549.1</v>
      </c>
      <c r="AT156" s="339">
        <v>95466.31</v>
      </c>
      <c r="AU156" s="339">
        <v>143637.57999999999</v>
      </c>
      <c r="AV156" s="339">
        <v>139188.16</v>
      </c>
      <c r="AW156" s="339">
        <v>132342.12</v>
      </c>
      <c r="AX156" s="339">
        <v>131838.74</v>
      </c>
      <c r="AY156" s="339">
        <v>133560.64000000001</v>
      </c>
      <c r="AZ156" s="339">
        <v>138636.1</v>
      </c>
      <c r="BA156" s="339">
        <v>139612.79999999999</v>
      </c>
      <c r="BB156" s="339">
        <v>145666.13</v>
      </c>
      <c r="BC156" s="339">
        <v>0</v>
      </c>
      <c r="BD156" s="339">
        <v>142887.9</v>
      </c>
      <c r="BE156" s="339">
        <v>141939.76999999999</v>
      </c>
      <c r="BF156" s="339">
        <v>143688.16</v>
      </c>
      <c r="BG156" s="339">
        <v>144389.5526</v>
      </c>
      <c r="BH156" s="339">
        <v>145221.71</v>
      </c>
      <c r="BI156" s="339">
        <v>148590.6</v>
      </c>
      <c r="BJ156" s="339">
        <v>150115.38</v>
      </c>
      <c r="BK156" s="339">
        <v>151266.01999999999</v>
      </c>
      <c r="BL156" s="339">
        <v>153079.04000000001</v>
      </c>
      <c r="BM156" s="339">
        <v>153037.43</v>
      </c>
      <c r="BN156" s="339">
        <v>0</v>
      </c>
      <c r="BO156" s="339">
        <v>0</v>
      </c>
      <c r="BP156" s="339">
        <v>0</v>
      </c>
      <c r="BQ156" s="339">
        <v>0</v>
      </c>
      <c r="BR156" s="339">
        <v>0</v>
      </c>
      <c r="BS156" s="110" t="e">
        <f t="array" aca="1" ref="BS156" ca="1">_xludf.XLOOKUP(D156,'PL TOTAL D0'!N:N,'PL TOTAL D0'!P:P,"")</f>
        <v>#NAME?</v>
      </c>
      <c r="BT156" s="110"/>
    </row>
    <row r="157" spans="1:72" ht="15.75" customHeight="1">
      <c r="A157" s="122" t="s">
        <v>3785</v>
      </c>
      <c r="B157" s="104" t="s">
        <v>4288</v>
      </c>
      <c r="C157" s="122" t="s">
        <v>4289</v>
      </c>
      <c r="D157" s="292">
        <v>4743699</v>
      </c>
      <c r="E157" s="292" t="s">
        <v>64</v>
      </c>
      <c r="F157" s="292" t="s">
        <v>20</v>
      </c>
      <c r="G157" s="292" t="s">
        <v>3634</v>
      </c>
      <c r="H157" s="292" t="str">
        <f>IFERROR(VLOOKUP(G157,'Cadastro de assessores'!A:B,2,FALSE),"Não Cadastrado")</f>
        <v>14574</v>
      </c>
      <c r="I157" s="292"/>
      <c r="J157" s="24" t="s">
        <v>143</v>
      </c>
      <c r="K157" s="292" t="s">
        <v>3794</v>
      </c>
      <c r="L157" s="387">
        <v>44211</v>
      </c>
      <c r="M157" s="387">
        <v>44211</v>
      </c>
      <c r="N157" s="387">
        <v>44803</v>
      </c>
      <c r="O157" s="292" t="s">
        <v>3795</v>
      </c>
      <c r="P157" s="388">
        <v>1.4999999999999999E-2</v>
      </c>
      <c r="Q157" s="420" t="s">
        <v>4290</v>
      </c>
      <c r="R157" s="417"/>
      <c r="S157" s="292" t="str">
        <f t="shared" si="12"/>
        <v/>
      </c>
      <c r="T157" s="292" t="s">
        <v>145</v>
      </c>
      <c r="U157" s="292" t="s">
        <v>3797</v>
      </c>
      <c r="V157" s="292" t="s">
        <v>20</v>
      </c>
      <c r="W157" s="418"/>
      <c r="X157" s="418"/>
      <c r="Y157" s="418"/>
      <c r="Z157" s="418"/>
      <c r="AA157" s="418"/>
      <c r="AB157" s="418"/>
      <c r="AC157" s="418"/>
      <c r="AD157" s="418"/>
      <c r="AE157" s="418"/>
      <c r="AF157" s="418"/>
      <c r="AG157" s="418"/>
      <c r="AH157" s="418"/>
      <c r="AI157" s="418"/>
      <c r="AJ157" s="418"/>
      <c r="AK157" s="339"/>
      <c r="AL157" s="339">
        <v>137510.16</v>
      </c>
      <c r="AM157" s="339">
        <v>134127.89000000001</v>
      </c>
      <c r="AN157" s="339">
        <v>133840.12</v>
      </c>
      <c r="AO157" s="339">
        <v>137821.24</v>
      </c>
      <c r="AP157" s="339">
        <v>138631.28</v>
      </c>
      <c r="AQ157" s="339">
        <v>138002.01</v>
      </c>
      <c r="AR157" s="339">
        <v>141315.10999999999</v>
      </c>
      <c r="AS157" s="339">
        <v>140248.23000000001</v>
      </c>
      <c r="AT157" s="339">
        <v>137410.98000000001</v>
      </c>
      <c r="AU157" s="339">
        <v>136571.68</v>
      </c>
      <c r="AV157" s="339">
        <v>134123.97</v>
      </c>
      <c r="AW157" s="339">
        <v>129022.36</v>
      </c>
      <c r="AX157" s="339">
        <v>128941.63</v>
      </c>
      <c r="AY157" s="339">
        <v>130488.89</v>
      </c>
      <c r="AZ157" s="339">
        <v>133678.32</v>
      </c>
      <c r="BA157" s="339">
        <v>134267.57</v>
      </c>
      <c r="BB157" s="339">
        <v>139380.17000000001</v>
      </c>
      <c r="BC157" s="339">
        <v>0</v>
      </c>
      <c r="BD157" s="339">
        <v>128163.83</v>
      </c>
      <c r="BE157" s="339">
        <v>125944.15</v>
      </c>
      <c r="BF157" s="339">
        <v>128641.65</v>
      </c>
      <c r="BG157" s="339">
        <v>127346.98</v>
      </c>
      <c r="BH157" s="339">
        <v>0</v>
      </c>
      <c r="BI157" s="339">
        <v>0</v>
      </c>
      <c r="BJ157" s="339">
        <v>0</v>
      </c>
      <c r="BK157" s="339">
        <v>0</v>
      </c>
      <c r="BL157" s="339">
        <v>0</v>
      </c>
      <c r="BM157" s="339">
        <v>0</v>
      </c>
      <c r="BN157" s="339">
        <v>0</v>
      </c>
      <c r="BO157" s="339">
        <v>0</v>
      </c>
      <c r="BP157" s="339">
        <v>0</v>
      </c>
      <c r="BQ157" s="339">
        <v>0</v>
      </c>
      <c r="BR157" s="339">
        <v>0</v>
      </c>
      <c r="BS157" s="110" t="e">
        <f t="array" aca="1" ref="BS157" ca="1">_xludf.XLOOKUP(D157,'PL TOTAL D0'!N:N,'PL TOTAL D0'!P:P,"")</f>
        <v>#NAME?</v>
      </c>
      <c r="BT157" s="110"/>
    </row>
    <row r="158" spans="1:72" ht="15.75" customHeight="1">
      <c r="A158" s="122" t="s">
        <v>3785</v>
      </c>
      <c r="B158" s="104" t="s">
        <v>4291</v>
      </c>
      <c r="C158" s="122" t="s">
        <v>4292</v>
      </c>
      <c r="D158" s="292">
        <v>4695581</v>
      </c>
      <c r="E158" s="293" t="s">
        <v>64</v>
      </c>
      <c r="F158" s="293" t="s">
        <v>20</v>
      </c>
      <c r="G158" s="293" t="s">
        <v>4104</v>
      </c>
      <c r="H158" s="293" t="str">
        <f>IFERROR(VLOOKUP(G158,'Cadastro de assessores'!A:B,2,FALSE),"Não Cadastrado")</f>
        <v>19157</v>
      </c>
      <c r="I158" s="293"/>
      <c r="J158" s="24" t="s">
        <v>3788</v>
      </c>
      <c r="K158" s="293" t="s">
        <v>152</v>
      </c>
      <c r="L158" s="416">
        <v>44186</v>
      </c>
      <c r="M158" s="416">
        <v>44193</v>
      </c>
      <c r="N158" s="299"/>
      <c r="O158" s="299" t="s">
        <v>3789</v>
      </c>
      <c r="P158" s="388">
        <v>0.02</v>
      </c>
      <c r="Q158" s="420"/>
      <c r="R158" s="417"/>
      <c r="S158" s="292" t="str">
        <f t="shared" si="12"/>
        <v/>
      </c>
      <c r="T158" s="292" t="s">
        <v>145</v>
      </c>
      <c r="U158" s="292" t="s">
        <v>4293</v>
      </c>
      <c r="V158" s="292" t="s">
        <v>20</v>
      </c>
      <c r="W158" s="418" t="s">
        <v>3798</v>
      </c>
      <c r="X158" s="418" t="s">
        <v>3798</v>
      </c>
      <c r="Y158" s="418" t="s">
        <v>3798</v>
      </c>
      <c r="Z158" s="418" t="s">
        <v>3798</v>
      </c>
      <c r="AA158" s="418" t="s">
        <v>3798</v>
      </c>
      <c r="AB158" s="418" t="s">
        <v>3798</v>
      </c>
      <c r="AC158" s="418" t="s">
        <v>3798</v>
      </c>
      <c r="AD158" s="418" t="s">
        <v>3798</v>
      </c>
      <c r="AE158" s="418" t="s">
        <v>3798</v>
      </c>
      <c r="AF158" s="418" t="s">
        <v>3798</v>
      </c>
      <c r="AG158" s="418" t="s">
        <v>3798</v>
      </c>
      <c r="AH158" s="418" t="s">
        <v>3798</v>
      </c>
      <c r="AI158" s="418" t="s">
        <v>3798</v>
      </c>
      <c r="AJ158" s="418" t="s">
        <v>3798</v>
      </c>
      <c r="AK158" s="339">
        <v>132820.07999999999</v>
      </c>
      <c r="AL158" s="339">
        <v>129282.33</v>
      </c>
      <c r="AM158" s="339">
        <v>124494.97</v>
      </c>
      <c r="AN158" s="339">
        <v>124216.25</v>
      </c>
      <c r="AO158" s="339">
        <v>129641.16</v>
      </c>
      <c r="AP158" s="339">
        <v>130659.46</v>
      </c>
      <c r="AQ158" s="339">
        <v>129844.06</v>
      </c>
      <c r="AR158" s="339">
        <v>134217.18</v>
      </c>
      <c r="AS158" s="339">
        <v>132551.01</v>
      </c>
      <c r="AT158" s="339">
        <v>128637.34</v>
      </c>
      <c r="AU158" s="339">
        <v>127287.88</v>
      </c>
      <c r="AV158" s="339">
        <v>122960.97</v>
      </c>
      <c r="AW158" s="339">
        <v>117109.06</v>
      </c>
      <c r="AX158" s="339">
        <v>116609.78</v>
      </c>
      <c r="AY158" s="339">
        <v>118341.33</v>
      </c>
      <c r="AZ158" s="339">
        <v>122678.22</v>
      </c>
      <c r="BA158" s="339">
        <v>123992.6</v>
      </c>
      <c r="BB158" s="339">
        <v>129864.9</v>
      </c>
      <c r="BC158" s="339">
        <v>0</v>
      </c>
      <c r="BD158" s="339">
        <v>125838.29</v>
      </c>
      <c r="BE158" s="339">
        <v>123104.79</v>
      </c>
      <c r="BF158" s="339">
        <v>127149.2</v>
      </c>
      <c r="BG158" s="339">
        <v>129379.4903</v>
      </c>
      <c r="BH158" s="339">
        <v>128458.75</v>
      </c>
      <c r="BI158" s="339">
        <v>135930</v>
      </c>
      <c r="BJ158" s="339">
        <v>135692.53</v>
      </c>
      <c r="BK158" s="339">
        <v>136099.79999999999</v>
      </c>
      <c r="BL158" s="339">
        <v>136270.29999999999</v>
      </c>
      <c r="BM158" s="339">
        <v>135654.70000000001</v>
      </c>
      <c r="BN158" s="339">
        <v>645.75</v>
      </c>
      <c r="BO158" s="339">
        <v>645.75</v>
      </c>
      <c r="BP158" s="339">
        <v>645.75</v>
      </c>
      <c r="BQ158" s="339">
        <v>648.23</v>
      </c>
      <c r="BR158" s="339">
        <v>648.23</v>
      </c>
      <c r="BS158" s="110" t="e">
        <f t="array" aca="1" ref="BS158" ca="1">_xludf.XLOOKUP(D158,'PL TOTAL D0'!N:N,'PL TOTAL D0'!P:P,"")</f>
        <v>#NAME?</v>
      </c>
      <c r="BT158" s="110"/>
    </row>
    <row r="159" spans="1:72" ht="15.75" customHeight="1">
      <c r="A159" s="122" t="s">
        <v>3785</v>
      </c>
      <c r="B159" s="104" t="s">
        <v>4294</v>
      </c>
      <c r="C159" s="441" t="s">
        <v>4295</v>
      </c>
      <c r="D159" s="426">
        <v>3274958</v>
      </c>
      <c r="E159" s="293" t="s">
        <v>64</v>
      </c>
      <c r="F159" s="293" t="s">
        <v>20</v>
      </c>
      <c r="G159" s="293" t="s">
        <v>4058</v>
      </c>
      <c r="H159" s="293" t="str">
        <f>IFERROR(VLOOKUP(G159,'Cadastro de assessores'!A:B,2,FALSE),"Não Cadastrado")</f>
        <v>19634</v>
      </c>
      <c r="I159" s="293"/>
      <c r="J159" s="24" t="s">
        <v>3788</v>
      </c>
      <c r="K159" s="293" t="s">
        <v>152</v>
      </c>
      <c r="L159" s="423">
        <v>44714</v>
      </c>
      <c r="M159" s="423">
        <v>44714</v>
      </c>
      <c r="N159" s="299"/>
      <c r="O159" s="299" t="s">
        <v>3802</v>
      </c>
      <c r="P159" s="388">
        <v>7.0000000000000001E-3</v>
      </c>
      <c r="Q159" s="167" t="s">
        <v>4296</v>
      </c>
      <c r="R159" s="417"/>
      <c r="S159" s="292"/>
      <c r="T159" s="292" t="s">
        <v>145</v>
      </c>
      <c r="U159" s="292" t="s">
        <v>3933</v>
      </c>
      <c r="V159" s="299" t="s">
        <v>20</v>
      </c>
      <c r="W159" s="350"/>
      <c r="X159" s="350"/>
      <c r="Y159" s="350"/>
      <c r="Z159" s="350"/>
      <c r="AA159" s="350"/>
      <c r="AB159" s="350"/>
      <c r="AC159" s="350"/>
      <c r="AD159" s="350"/>
      <c r="AE159" s="350"/>
      <c r="AF159" s="350"/>
      <c r="AG159" s="418"/>
      <c r="AH159" s="418"/>
      <c r="AI159" s="418"/>
      <c r="AJ159" s="339"/>
      <c r="AK159" s="339"/>
      <c r="AL159" s="339"/>
      <c r="AM159" s="339"/>
      <c r="AN159" s="339"/>
      <c r="AO159" s="339"/>
      <c r="AP159" s="339"/>
      <c r="AQ159" s="339"/>
      <c r="AR159" s="339"/>
      <c r="AS159" s="339"/>
      <c r="AT159" s="339"/>
      <c r="AU159" s="339"/>
      <c r="AV159" s="339"/>
      <c r="AW159" s="339"/>
      <c r="AX159" s="339"/>
      <c r="AY159" s="339"/>
      <c r="AZ159" s="339"/>
      <c r="BA159" s="339"/>
      <c r="BB159" s="339"/>
      <c r="BC159" s="339"/>
      <c r="BD159" s="339" t="s">
        <v>2932</v>
      </c>
      <c r="BE159" s="339" t="s">
        <v>2932</v>
      </c>
      <c r="BF159" s="339">
        <v>205735.78</v>
      </c>
      <c r="BG159" s="339">
        <v>213350.81020000001</v>
      </c>
      <c r="BH159" s="339">
        <v>213358.43</v>
      </c>
      <c r="BI159" s="339">
        <v>217959.63</v>
      </c>
      <c r="BJ159" s="339">
        <v>212986.95</v>
      </c>
      <c r="BK159" s="339">
        <v>213148.45</v>
      </c>
      <c r="BL159" s="339">
        <v>217189.48</v>
      </c>
      <c r="BM159" s="339">
        <v>216041.42</v>
      </c>
      <c r="BN159" s="339">
        <v>215837.04</v>
      </c>
      <c r="BO159" s="339">
        <v>0</v>
      </c>
      <c r="BP159" s="339">
        <v>0</v>
      </c>
      <c r="BQ159" s="339">
        <v>0</v>
      </c>
      <c r="BR159" s="339">
        <v>0</v>
      </c>
      <c r="BS159" s="110" t="e">
        <f t="array" aca="1" ref="BS159" ca="1">_xludf.XLOOKUP(D159,'PL TOTAL D0'!N:N,'PL TOTAL D0'!P:P,"")</f>
        <v>#NAME?</v>
      </c>
      <c r="BT159" s="110"/>
    </row>
    <row r="160" spans="1:72" ht="15.75" customHeight="1">
      <c r="A160" s="122" t="s">
        <v>3785</v>
      </c>
      <c r="B160" s="104" t="s">
        <v>1020</v>
      </c>
      <c r="C160" s="441" t="s">
        <v>4297</v>
      </c>
      <c r="D160" s="426">
        <v>6986262</v>
      </c>
      <c r="E160" s="293" t="s">
        <v>19</v>
      </c>
      <c r="F160" s="293" t="s">
        <v>49</v>
      </c>
      <c r="G160" s="293" t="s">
        <v>328</v>
      </c>
      <c r="H160" s="293" t="str">
        <f>IFERROR(VLOOKUP(G160,'Cadastro de assessores'!A:B,2,FALSE),"Não Cadastrado")</f>
        <v>18009</v>
      </c>
      <c r="I160" s="293"/>
      <c r="J160" s="24" t="s">
        <v>3788</v>
      </c>
      <c r="K160" s="293" t="s">
        <v>152</v>
      </c>
      <c r="L160" s="415">
        <v>44508</v>
      </c>
      <c r="M160" s="415">
        <v>44503</v>
      </c>
      <c r="N160" s="391">
        <v>45033</v>
      </c>
      <c r="O160" s="299" t="s">
        <v>3842</v>
      </c>
      <c r="P160" s="388">
        <v>8.0000000000000002E-3</v>
      </c>
      <c r="Q160" s="167" t="s">
        <v>4298</v>
      </c>
      <c r="R160" s="417"/>
      <c r="S160" s="292" t="str">
        <f t="shared" ref="S160:S161" si="13">IF(BC160&lt;=0,"",IF(BC160&lt;=1000000,"Não Qualificado",IF(AND(BC160&gt;1000000,BC160&lt;=10000000),"Qualificado","Profissional")))</f>
        <v>Não Qualificado</v>
      </c>
      <c r="T160" s="292" t="s">
        <v>145</v>
      </c>
      <c r="U160" s="292" t="s">
        <v>3933</v>
      </c>
      <c r="V160" s="299" t="s">
        <v>20</v>
      </c>
      <c r="W160" s="350"/>
      <c r="X160" s="350"/>
      <c r="Y160" s="350"/>
      <c r="Z160" s="350"/>
      <c r="AA160" s="350"/>
      <c r="AB160" s="350"/>
      <c r="AC160" s="350"/>
      <c r="AD160" s="350"/>
      <c r="AE160" s="350"/>
      <c r="AF160" s="350"/>
      <c r="AG160" s="418"/>
      <c r="AH160" s="418"/>
      <c r="AI160" s="418"/>
      <c r="AJ160" s="339"/>
      <c r="AK160" s="339"/>
      <c r="AL160" s="339"/>
      <c r="AM160" s="339"/>
      <c r="AN160" s="339"/>
      <c r="AO160" s="339"/>
      <c r="AP160" s="339"/>
      <c r="AQ160" s="339"/>
      <c r="AR160" s="339"/>
      <c r="AS160" s="339"/>
      <c r="AT160" s="339"/>
      <c r="AU160" s="339"/>
      <c r="AV160" s="339"/>
      <c r="AW160" s="339"/>
      <c r="AX160" s="339">
        <v>95585.03</v>
      </c>
      <c r="AY160" s="339">
        <v>101884.62</v>
      </c>
      <c r="AZ160" s="339">
        <v>119130.48</v>
      </c>
      <c r="BA160" s="339">
        <v>119171.71</v>
      </c>
      <c r="BB160" s="339">
        <v>93325.64</v>
      </c>
      <c r="BC160" s="339">
        <v>207608.37</v>
      </c>
      <c r="BD160" s="339">
        <v>72802.5</v>
      </c>
      <c r="BE160" s="339">
        <v>71745.149999999994</v>
      </c>
      <c r="BF160" s="339">
        <v>71493.490000000005</v>
      </c>
      <c r="BG160" s="339">
        <v>72674.820000000007</v>
      </c>
      <c r="BH160" s="339">
        <v>72068.97</v>
      </c>
      <c r="BI160" s="339">
        <v>72927.820000000007</v>
      </c>
      <c r="BJ160" s="339">
        <v>66177.75</v>
      </c>
      <c r="BK160" s="339">
        <v>62934.1</v>
      </c>
      <c r="BL160" s="339">
        <v>702.83</v>
      </c>
      <c r="BM160" s="339">
        <v>0</v>
      </c>
      <c r="BN160" s="339">
        <v>0</v>
      </c>
      <c r="BO160" s="339">
        <v>0</v>
      </c>
      <c r="BP160" s="339">
        <v>0</v>
      </c>
      <c r="BQ160" s="339">
        <v>0</v>
      </c>
      <c r="BR160" s="339">
        <v>0</v>
      </c>
      <c r="BS160" s="110" t="e">
        <f t="array" aca="1" ref="BS160" ca="1">_xludf.XLOOKUP(D160,'PL TOTAL D0'!N:N,'PL TOTAL D0'!P:P,"")</f>
        <v>#NAME?</v>
      </c>
      <c r="BT160" s="110"/>
    </row>
    <row r="161" spans="1:72" ht="15.75" customHeight="1">
      <c r="A161" s="122" t="s">
        <v>3785</v>
      </c>
      <c r="B161" s="104" t="s">
        <v>4299</v>
      </c>
      <c r="C161" s="122" t="s">
        <v>4300</v>
      </c>
      <c r="D161" s="292">
        <v>395136</v>
      </c>
      <c r="E161" s="292" t="s">
        <v>19</v>
      </c>
      <c r="F161" s="292" t="s">
        <v>20</v>
      </c>
      <c r="G161" s="292" t="s">
        <v>4301</v>
      </c>
      <c r="H161" s="292" t="str">
        <f>IFERROR(VLOOKUP(G161,'Cadastro de assessores'!A:B,2,FALSE),"Não Cadastrado")</f>
        <v>12846</v>
      </c>
      <c r="I161" s="292"/>
      <c r="J161" s="24" t="s">
        <v>143</v>
      </c>
      <c r="K161" s="292" t="s">
        <v>3794</v>
      </c>
      <c r="L161" s="387">
        <v>44260</v>
      </c>
      <c r="M161" s="387">
        <v>44260</v>
      </c>
      <c r="N161" s="387">
        <v>44378</v>
      </c>
      <c r="O161" s="292" t="s">
        <v>3809</v>
      </c>
      <c r="P161" s="388">
        <v>5.0000000000000001E-3</v>
      </c>
      <c r="Q161" s="440" t="s">
        <v>4302</v>
      </c>
      <c r="R161" s="417"/>
      <c r="S161" s="292" t="str">
        <f t="shared" si="13"/>
        <v/>
      </c>
      <c r="T161" s="292" t="s">
        <v>145</v>
      </c>
      <c r="U161" s="292" t="s">
        <v>3832</v>
      </c>
      <c r="V161" s="292" t="s">
        <v>20</v>
      </c>
      <c r="W161" s="418"/>
      <c r="X161" s="418"/>
      <c r="Y161" s="418"/>
      <c r="Z161" s="418"/>
      <c r="AA161" s="418"/>
      <c r="AB161" s="418"/>
      <c r="AC161" s="418"/>
      <c r="AD161" s="418"/>
      <c r="AE161" s="418"/>
      <c r="AF161" s="418"/>
      <c r="AG161" s="418"/>
      <c r="AH161" s="418"/>
      <c r="AI161" s="418"/>
      <c r="AJ161" s="418"/>
      <c r="AK161" s="339"/>
      <c r="AL161" s="339"/>
      <c r="AM161" s="339"/>
      <c r="AN161" s="339">
        <v>61476885.340000004</v>
      </c>
      <c r="AO161" s="339">
        <v>62130083.039999999</v>
      </c>
      <c r="AP161" s="339">
        <v>62405867.149999999</v>
      </c>
      <c r="AQ161" s="339">
        <v>62193170.390000001</v>
      </c>
      <c r="AR161" s="339">
        <v>63244943.659999996</v>
      </c>
      <c r="AS161" s="339">
        <v>62033589.189999998</v>
      </c>
      <c r="AT161" s="339"/>
      <c r="AU161" s="339"/>
      <c r="AV161" s="339"/>
      <c r="AW161" s="339"/>
      <c r="AX161" s="339"/>
      <c r="AY161" s="339"/>
      <c r="AZ161" s="339"/>
      <c r="BA161" s="339">
        <v>0</v>
      </c>
      <c r="BB161" s="339">
        <v>0</v>
      </c>
      <c r="BC161" s="339">
        <v>0</v>
      </c>
      <c r="BD161" s="339" t="s">
        <v>2932</v>
      </c>
      <c r="BE161" s="339" t="s">
        <v>2932</v>
      </c>
      <c r="BF161" s="339">
        <v>0</v>
      </c>
      <c r="BG161" s="339">
        <v>0</v>
      </c>
      <c r="BH161" s="339">
        <v>0</v>
      </c>
      <c r="BI161" s="339">
        <v>0</v>
      </c>
      <c r="BJ161" s="339">
        <v>0</v>
      </c>
      <c r="BK161" s="339">
        <v>0</v>
      </c>
      <c r="BL161" s="339">
        <v>0</v>
      </c>
      <c r="BM161" s="339">
        <v>0</v>
      </c>
      <c r="BN161" s="339">
        <v>0</v>
      </c>
      <c r="BO161" s="339">
        <v>0</v>
      </c>
      <c r="BP161" s="339">
        <v>0</v>
      </c>
      <c r="BQ161" s="339">
        <v>0</v>
      </c>
      <c r="BR161" s="339">
        <v>0</v>
      </c>
      <c r="BS161" s="110" t="e">
        <f t="array" aca="1" ref="BS161" ca="1">_xludf.XLOOKUP(D161,'PL TOTAL D0'!N:N,'PL TOTAL D0'!P:P,"")</f>
        <v>#NAME?</v>
      </c>
      <c r="BT161" s="110"/>
    </row>
    <row r="162" spans="1:72" ht="15.75" customHeight="1">
      <c r="A162" s="122" t="s">
        <v>3785</v>
      </c>
      <c r="B162" s="104" t="s">
        <v>4303</v>
      </c>
      <c r="C162" s="390" t="s">
        <v>4304</v>
      </c>
      <c r="D162" s="422">
        <v>9225581</v>
      </c>
      <c r="E162" s="293" t="s">
        <v>19</v>
      </c>
      <c r="F162" s="293" t="s">
        <v>49</v>
      </c>
      <c r="G162" s="293" t="s">
        <v>50</v>
      </c>
      <c r="H162" s="292">
        <f>IFERROR(VLOOKUP(G162,'Cadastro de assessores'!A:B,2,FALSE),"Não Cadastrado")</f>
        <v>12331</v>
      </c>
      <c r="I162" s="292"/>
      <c r="J162" s="24" t="s">
        <v>3788</v>
      </c>
      <c r="K162" s="292" t="s">
        <v>161</v>
      </c>
      <c r="L162" s="439" t="s">
        <v>3147</v>
      </c>
      <c r="M162" s="439"/>
      <c r="N162" s="299"/>
      <c r="O162" s="299" t="s">
        <v>3805</v>
      </c>
      <c r="P162" s="388">
        <v>0.01</v>
      </c>
      <c r="Q162" s="440" t="s">
        <v>4305</v>
      </c>
      <c r="R162" s="417"/>
      <c r="S162" s="292"/>
      <c r="T162" s="292"/>
      <c r="U162" s="292"/>
      <c r="V162" s="292" t="s">
        <v>49</v>
      </c>
      <c r="W162" s="418"/>
      <c r="X162" s="418"/>
      <c r="Y162" s="418"/>
      <c r="Z162" s="418"/>
      <c r="AA162" s="418"/>
      <c r="AB162" s="418"/>
      <c r="AC162" s="418"/>
      <c r="AD162" s="418"/>
      <c r="AE162" s="418"/>
      <c r="AF162" s="418"/>
      <c r="AG162" s="418"/>
      <c r="AH162" s="418"/>
      <c r="AI162" s="418"/>
      <c r="AJ162" s="418"/>
      <c r="AK162" s="339"/>
      <c r="AL162" s="339"/>
      <c r="AM162" s="339"/>
      <c r="AN162" s="339"/>
      <c r="AO162" s="339"/>
      <c r="AP162" s="339"/>
      <c r="AQ162" s="339"/>
      <c r="AR162" s="339"/>
      <c r="AS162" s="339"/>
      <c r="AT162" s="339"/>
      <c r="AU162" s="339"/>
      <c r="AV162" s="339"/>
      <c r="AW162" s="339"/>
      <c r="AX162" s="339"/>
      <c r="AY162" s="339"/>
      <c r="AZ162" s="339"/>
      <c r="BA162" s="339"/>
      <c r="BB162" s="339"/>
      <c r="BC162" s="339"/>
      <c r="BD162" s="339"/>
      <c r="BE162" s="339"/>
      <c r="BF162" s="339"/>
      <c r="BG162" s="339">
        <v>0</v>
      </c>
      <c r="BH162" s="339">
        <v>0</v>
      </c>
      <c r="BI162" s="339">
        <v>0</v>
      </c>
      <c r="BJ162" s="339">
        <v>0</v>
      </c>
      <c r="BK162" s="339">
        <v>0</v>
      </c>
      <c r="BL162" s="339">
        <v>400010</v>
      </c>
      <c r="BM162" s="339">
        <v>403313.07</v>
      </c>
      <c r="BN162" s="339">
        <v>408662.99</v>
      </c>
      <c r="BO162" s="339">
        <v>617691.19999999995</v>
      </c>
      <c r="BP162" s="339">
        <v>413573.8</v>
      </c>
      <c r="BQ162" s="339">
        <v>416994.89</v>
      </c>
      <c r="BR162" s="339">
        <v>421928.84</v>
      </c>
      <c r="BS162" s="110" t="e">
        <f t="array" aca="1" ref="BS162" ca="1">_xludf.XLOOKUP(D162,'PL TOTAL D0'!N:N,'PL TOTAL D0'!P:P,"")</f>
        <v>#NAME?</v>
      </c>
      <c r="BT162" s="110"/>
    </row>
    <row r="163" spans="1:72" ht="15.75" customHeight="1">
      <c r="A163" s="122" t="s">
        <v>3785</v>
      </c>
      <c r="B163" s="104" t="s">
        <v>1047</v>
      </c>
      <c r="C163" s="390" t="s">
        <v>3122</v>
      </c>
      <c r="D163" s="422">
        <v>2551563</v>
      </c>
      <c r="E163" s="293" t="s">
        <v>19</v>
      </c>
      <c r="F163" s="293" t="s">
        <v>20</v>
      </c>
      <c r="G163" s="293" t="s">
        <v>21</v>
      </c>
      <c r="H163" s="293">
        <f>IFERROR(VLOOKUP(G163,'Cadastro de assessores'!A:B,2,FALSE),"Não Cadastrado")</f>
        <v>12344</v>
      </c>
      <c r="I163" s="293"/>
      <c r="J163" s="24" t="s">
        <v>3788</v>
      </c>
      <c r="K163" s="293" t="s">
        <v>152</v>
      </c>
      <c r="L163" s="423">
        <v>44644</v>
      </c>
      <c r="M163" s="423">
        <v>44644</v>
      </c>
      <c r="N163" s="299"/>
      <c r="O163" s="299" t="s">
        <v>3802</v>
      </c>
      <c r="P163" s="388">
        <v>7.0000000000000001E-3</v>
      </c>
      <c r="Q163" s="420"/>
      <c r="R163" s="417"/>
      <c r="S163" s="292" t="str">
        <f t="shared" ref="S163:S169" si="14">IF(BC163&lt;=0,"",IF(BC163&lt;=1000000,"Não Qualificado",IF(AND(BC163&gt;1000000,BC163&lt;=10000000),"Qualificado","Profissional")))</f>
        <v>Não Qualificado</v>
      </c>
      <c r="T163" s="292" t="s">
        <v>145</v>
      </c>
      <c r="U163" s="292" t="s">
        <v>3933</v>
      </c>
      <c r="V163" s="292" t="s">
        <v>20</v>
      </c>
      <c r="W163" s="418"/>
      <c r="X163" s="418"/>
      <c r="Y163" s="418"/>
      <c r="Z163" s="418"/>
      <c r="AA163" s="418"/>
      <c r="AB163" s="418"/>
      <c r="AC163" s="418"/>
      <c r="AD163" s="418"/>
      <c r="AE163" s="418"/>
      <c r="AF163" s="418"/>
      <c r="AG163" s="418"/>
      <c r="AH163" s="418"/>
      <c r="AI163" s="418"/>
      <c r="AJ163" s="418"/>
      <c r="AK163" s="339"/>
      <c r="AL163" s="339"/>
      <c r="AM163" s="339"/>
      <c r="AN163" s="339"/>
      <c r="AO163" s="339"/>
      <c r="AP163" s="339"/>
      <c r="AQ163" s="339"/>
      <c r="AR163" s="339"/>
      <c r="AS163" s="339"/>
      <c r="AT163" s="339"/>
      <c r="AU163" s="339"/>
      <c r="AV163" s="339"/>
      <c r="AW163" s="339"/>
      <c r="AX163" s="339"/>
      <c r="AY163" s="339"/>
      <c r="AZ163" s="339"/>
      <c r="BA163" s="339"/>
      <c r="BB163" s="339">
        <v>1025821.69</v>
      </c>
      <c r="BC163" s="339">
        <v>315158.26</v>
      </c>
      <c r="BD163" s="339">
        <v>1035508.97</v>
      </c>
      <c r="BE163" s="339">
        <v>1005092.6</v>
      </c>
      <c r="BF163" s="339">
        <v>925576.55</v>
      </c>
      <c r="BG163" s="339">
        <v>938163.57079999999</v>
      </c>
      <c r="BH163" s="339">
        <v>942331.55</v>
      </c>
      <c r="BI163" s="339">
        <v>944029.3</v>
      </c>
      <c r="BJ163" s="339">
        <v>923835.09</v>
      </c>
      <c r="BK163" s="339">
        <v>856291.1</v>
      </c>
      <c r="BL163" s="339">
        <v>861952.62</v>
      </c>
      <c r="BM163" s="339">
        <v>850686.8</v>
      </c>
      <c r="BN163" s="339">
        <v>74520.509999999995</v>
      </c>
      <c r="BO163" s="339">
        <v>73020.11</v>
      </c>
      <c r="BP163" s="339">
        <v>71810.62</v>
      </c>
      <c r="BQ163" s="339">
        <v>70175.820000000007</v>
      </c>
      <c r="BR163" s="339">
        <v>0</v>
      </c>
      <c r="BS163" s="110" t="e">
        <f t="array" aca="1" ref="BS163" ca="1">_xludf.XLOOKUP(D163,'PL TOTAL D0'!N:N,'PL TOTAL D0'!P:P,"")</f>
        <v>#NAME?</v>
      </c>
      <c r="BT163" s="110"/>
    </row>
    <row r="164" spans="1:72" ht="15.75" customHeight="1">
      <c r="A164" s="122" t="s">
        <v>3785</v>
      </c>
      <c r="B164" s="104" t="s">
        <v>4306</v>
      </c>
      <c r="C164" s="390" t="s">
        <v>4307</v>
      </c>
      <c r="D164" s="422">
        <v>2160689</v>
      </c>
      <c r="E164" s="293" t="s">
        <v>19</v>
      </c>
      <c r="F164" s="293" t="s">
        <v>49</v>
      </c>
      <c r="G164" s="293" t="s">
        <v>50</v>
      </c>
      <c r="H164" s="426">
        <f>IFERROR(VLOOKUP(G164,'Cadastro de assessores'!A:B,2,FALSE),"Não Cadastrado")</f>
        <v>12331</v>
      </c>
      <c r="I164" s="426"/>
      <c r="J164" s="24" t="s">
        <v>152</v>
      </c>
      <c r="K164" s="293" t="s">
        <v>152</v>
      </c>
      <c r="L164" s="423">
        <v>44645</v>
      </c>
      <c r="M164" s="423">
        <v>44645</v>
      </c>
      <c r="N164" s="299"/>
      <c r="O164" s="299" t="s">
        <v>3795</v>
      </c>
      <c r="P164" s="388">
        <v>1.4999999999999999E-2</v>
      </c>
      <c r="Q164" s="420" t="s">
        <v>4308</v>
      </c>
      <c r="R164" s="417"/>
      <c r="S164" s="292" t="str">
        <f t="shared" si="14"/>
        <v>Não Qualificado</v>
      </c>
      <c r="T164" s="292" t="s">
        <v>145</v>
      </c>
      <c r="U164" s="299" t="s">
        <v>4309</v>
      </c>
      <c r="V164" s="292" t="s">
        <v>1245</v>
      </c>
      <c r="W164" s="350"/>
      <c r="X164" s="350"/>
      <c r="Y164" s="350"/>
      <c r="Z164" s="350"/>
      <c r="AA164" s="350"/>
      <c r="AB164" s="350"/>
      <c r="AC164" s="350"/>
      <c r="AD164" s="350"/>
      <c r="AE164" s="350"/>
      <c r="AF164" s="350"/>
      <c r="AG164" s="418"/>
      <c r="AH164" s="418"/>
      <c r="AI164" s="418"/>
      <c r="AJ164" s="339"/>
      <c r="AK164" s="339"/>
      <c r="AL164" s="339"/>
      <c r="AM164" s="339"/>
      <c r="AN164" s="339"/>
      <c r="AO164" s="339"/>
      <c r="AP164" s="339"/>
      <c r="AQ164" s="339"/>
      <c r="AR164" s="339"/>
      <c r="AS164" s="339"/>
      <c r="AT164" s="339"/>
      <c r="AU164" s="339"/>
      <c r="AV164" s="339"/>
      <c r="AW164" s="339"/>
      <c r="AX164" s="339"/>
      <c r="AY164" s="339"/>
      <c r="AZ164" s="339"/>
      <c r="BA164" s="339"/>
      <c r="BB164" s="339"/>
      <c r="BC164" s="339">
        <v>101781.47</v>
      </c>
      <c r="BD164" s="339" t="s">
        <v>2932</v>
      </c>
      <c r="BE164" s="339">
        <v>388000.81</v>
      </c>
      <c r="BF164" s="339">
        <v>299398.90000000002</v>
      </c>
      <c r="BG164" s="339">
        <v>308586.97230000002</v>
      </c>
      <c r="BH164" s="339">
        <v>284174.11</v>
      </c>
      <c r="BI164" s="339">
        <v>291058.62</v>
      </c>
      <c r="BJ164" s="339">
        <v>261777.54</v>
      </c>
      <c r="BK164" s="339">
        <v>261625.65</v>
      </c>
      <c r="BL164" s="339">
        <v>213548.12</v>
      </c>
      <c r="BM164" s="339">
        <v>212277.24</v>
      </c>
      <c r="BN164" s="339">
        <v>214159.26</v>
      </c>
      <c r="BO164" s="339">
        <v>49455.58</v>
      </c>
      <c r="BP164" s="339">
        <v>50216.639999999999</v>
      </c>
      <c r="BQ164" s="339">
        <v>50702.35</v>
      </c>
      <c r="BR164" s="339">
        <v>99369.12</v>
      </c>
      <c r="BS164" s="110" t="e">
        <f t="array" aca="1" ref="BS164" ca="1">_xludf.XLOOKUP(D164,'PL TOTAL D0'!N:N,'PL TOTAL D0'!P:P,"")</f>
        <v>#NAME?</v>
      </c>
      <c r="BT164" s="110"/>
    </row>
    <row r="165" spans="1:72" ht="15.75" customHeight="1">
      <c r="A165" s="122" t="s">
        <v>3785</v>
      </c>
      <c r="B165" s="104" t="s">
        <v>4310</v>
      </c>
      <c r="C165" s="390" t="s">
        <v>4311</v>
      </c>
      <c r="D165" s="299">
        <v>6486558</v>
      </c>
      <c r="E165" s="293" t="s">
        <v>19</v>
      </c>
      <c r="F165" s="293" t="s">
        <v>20</v>
      </c>
      <c r="G165" s="426" t="s">
        <v>3641</v>
      </c>
      <c r="H165" s="426" t="str">
        <f>IFERROR(VLOOKUP(G165,'Cadastro de assessores'!A:B,2,FALSE),"Não Cadastrado")</f>
        <v>14739</v>
      </c>
      <c r="I165" s="426"/>
      <c r="J165" s="24" t="s">
        <v>152</v>
      </c>
      <c r="K165" s="293" t="s">
        <v>152</v>
      </c>
      <c r="L165" s="415">
        <v>44439</v>
      </c>
      <c r="M165" s="415">
        <v>44447</v>
      </c>
      <c r="N165" s="299"/>
      <c r="O165" s="299" t="s">
        <v>3795</v>
      </c>
      <c r="P165" s="388">
        <v>1.4999999999999999E-2</v>
      </c>
      <c r="Q165" s="420"/>
      <c r="R165" s="417"/>
      <c r="S165" s="292" t="str">
        <f t="shared" si="14"/>
        <v>Não Qualificado</v>
      </c>
      <c r="T165" s="292" t="s">
        <v>145</v>
      </c>
      <c r="U165" s="299" t="s">
        <v>4312</v>
      </c>
      <c r="V165" s="292" t="s">
        <v>46</v>
      </c>
      <c r="W165" s="350"/>
      <c r="X165" s="350"/>
      <c r="Y165" s="350"/>
      <c r="Z165" s="350"/>
      <c r="AA165" s="350"/>
      <c r="AB165" s="350"/>
      <c r="AC165" s="350"/>
      <c r="AD165" s="350"/>
      <c r="AE165" s="350"/>
      <c r="AF165" s="350"/>
      <c r="AG165" s="350"/>
      <c r="AH165" s="418"/>
      <c r="AI165" s="418"/>
      <c r="AJ165" s="339"/>
      <c r="AK165" s="339"/>
      <c r="AL165" s="339"/>
      <c r="AM165" s="339"/>
      <c r="AN165" s="339"/>
      <c r="AO165" s="339"/>
      <c r="AP165" s="339"/>
      <c r="AQ165" s="339"/>
      <c r="AR165" s="339"/>
      <c r="AS165" s="431"/>
      <c r="AT165" s="340"/>
      <c r="AU165" s="340"/>
      <c r="AV165" s="339">
        <v>99505.279999999999</v>
      </c>
      <c r="AW165" s="339">
        <v>96398.79</v>
      </c>
      <c r="AX165" s="339">
        <v>195166.67</v>
      </c>
      <c r="AY165" s="339">
        <v>197749.36</v>
      </c>
      <c r="AZ165" s="339">
        <v>203540.46</v>
      </c>
      <c r="BA165" s="339">
        <v>205255.89</v>
      </c>
      <c r="BB165" s="339">
        <v>211908.49</v>
      </c>
      <c r="BC165" s="339">
        <v>206914.14</v>
      </c>
      <c r="BD165" s="339">
        <v>209950.05</v>
      </c>
      <c r="BE165" s="339">
        <v>209157.16</v>
      </c>
      <c r="BF165" s="339">
        <v>212567.54</v>
      </c>
      <c r="BG165" s="339">
        <v>214088.69709999999</v>
      </c>
      <c r="BH165" s="339">
        <v>215408.33</v>
      </c>
      <c r="BI165" s="339">
        <v>223130.99</v>
      </c>
      <c r="BJ165" s="339">
        <v>221935.53</v>
      </c>
      <c r="BK165" s="339">
        <v>223307.13</v>
      </c>
      <c r="BL165" s="339">
        <v>225875.13</v>
      </c>
      <c r="BM165" s="339">
        <v>227500.63</v>
      </c>
      <c r="BN165" s="339">
        <v>229726.14</v>
      </c>
      <c r="BO165" s="339">
        <v>231802.52</v>
      </c>
      <c r="BP165" s="339">
        <v>189520.32</v>
      </c>
      <c r="BQ165" s="339">
        <v>190766.24</v>
      </c>
      <c r="BR165" s="339">
        <v>183687.23</v>
      </c>
      <c r="BS165" s="110" t="e">
        <f t="array" aca="1" ref="BS165" ca="1">_xludf.XLOOKUP(D165,'PL TOTAL D0'!N:N,'PL TOTAL D0'!P:P,"")</f>
        <v>#NAME?</v>
      </c>
      <c r="BT165" s="110"/>
    </row>
    <row r="166" spans="1:72" ht="15.75" customHeight="1">
      <c r="A166" s="122" t="s">
        <v>3785</v>
      </c>
      <c r="B166" s="104" t="s">
        <v>1072</v>
      </c>
      <c r="C166" s="448" t="s">
        <v>1069</v>
      </c>
      <c r="D166" s="299">
        <v>7032839</v>
      </c>
      <c r="E166" s="293" t="s">
        <v>19</v>
      </c>
      <c r="F166" s="293" t="s">
        <v>20</v>
      </c>
      <c r="G166" s="299" t="s">
        <v>3641</v>
      </c>
      <c r="H166" s="426" t="str">
        <f>IFERROR(VLOOKUP(G166,'Cadastro de assessores'!A:B,2,FALSE),"Não Cadastrado")</f>
        <v>14739</v>
      </c>
      <c r="I166" s="426"/>
      <c r="J166" s="24" t="s">
        <v>3788</v>
      </c>
      <c r="K166" s="293" t="s">
        <v>152</v>
      </c>
      <c r="L166" s="415">
        <v>44508</v>
      </c>
      <c r="M166" s="415">
        <v>44509</v>
      </c>
      <c r="N166" s="299"/>
      <c r="O166" s="299" t="s">
        <v>3802</v>
      </c>
      <c r="P166" s="449">
        <v>7.0000000000000001E-3</v>
      </c>
      <c r="Q166" s="420"/>
      <c r="R166" s="417"/>
      <c r="S166" s="292" t="str">
        <f t="shared" si="14"/>
        <v>Não Qualificado</v>
      </c>
      <c r="T166" s="292" t="s">
        <v>145</v>
      </c>
      <c r="U166" s="299" t="s">
        <v>4312</v>
      </c>
      <c r="V166" s="292" t="s">
        <v>46</v>
      </c>
      <c r="W166" s="350"/>
      <c r="X166" s="350"/>
      <c r="Y166" s="350"/>
      <c r="Z166" s="350"/>
      <c r="AA166" s="350"/>
      <c r="AB166" s="350"/>
      <c r="AC166" s="350"/>
      <c r="AD166" s="350"/>
      <c r="AE166" s="350"/>
      <c r="AF166" s="350"/>
      <c r="AG166" s="418"/>
      <c r="AH166" s="418"/>
      <c r="AI166" s="418"/>
      <c r="AJ166" s="339"/>
      <c r="AK166" s="339"/>
      <c r="AL166" s="339"/>
      <c r="AM166" s="339"/>
      <c r="AN166" s="339"/>
      <c r="AO166" s="339"/>
      <c r="AP166" s="339"/>
      <c r="AQ166" s="339"/>
      <c r="AR166" s="339"/>
      <c r="AS166" s="339"/>
      <c r="AT166" s="339"/>
      <c r="AU166" s="339"/>
      <c r="AV166" s="339"/>
      <c r="AW166" s="339"/>
      <c r="AX166" s="339"/>
      <c r="AY166" s="339">
        <v>611893.62</v>
      </c>
      <c r="AZ166" s="339">
        <v>617525.86</v>
      </c>
      <c r="BA166" s="339">
        <v>519312.62</v>
      </c>
      <c r="BB166" s="339">
        <v>524879.42000000004</v>
      </c>
      <c r="BC166" s="339">
        <v>373083.73</v>
      </c>
      <c r="BD166" s="339">
        <v>536467.81999999995</v>
      </c>
      <c r="BE166" s="339">
        <v>439118.67</v>
      </c>
      <c r="BF166" s="339">
        <v>442739.48</v>
      </c>
      <c r="BG166" s="339">
        <v>444898.14970000001</v>
      </c>
      <c r="BH166" s="339">
        <v>447341.31</v>
      </c>
      <c r="BI166" s="339">
        <v>450246.34</v>
      </c>
      <c r="BJ166" s="339">
        <v>454096.81</v>
      </c>
      <c r="BK166" s="339">
        <v>457880.89</v>
      </c>
      <c r="BL166" s="339">
        <v>462789.82</v>
      </c>
      <c r="BM166" s="339">
        <v>465428.03</v>
      </c>
      <c r="BN166" s="339">
        <v>149248.23000000001</v>
      </c>
      <c r="BO166" s="339">
        <v>8524.39</v>
      </c>
      <c r="BP166" s="339">
        <v>8604.19</v>
      </c>
      <c r="BQ166" s="339">
        <v>0</v>
      </c>
      <c r="BR166" s="339">
        <v>0</v>
      </c>
      <c r="BS166" s="110" t="e">
        <f t="array" aca="1" ref="BS166" ca="1">_xludf.XLOOKUP(D166,'PL TOTAL D0'!N:N,'PL TOTAL D0'!P:P,"")</f>
        <v>#NAME?</v>
      </c>
      <c r="BT166" s="110"/>
    </row>
    <row r="167" spans="1:72" ht="15.75" customHeight="1">
      <c r="A167" s="122" t="s">
        <v>3785</v>
      </c>
      <c r="B167" s="104" t="s">
        <v>1072</v>
      </c>
      <c r="C167" s="448" t="s">
        <v>1069</v>
      </c>
      <c r="D167" s="299">
        <v>7046433</v>
      </c>
      <c r="E167" s="293" t="s">
        <v>19</v>
      </c>
      <c r="F167" s="293" t="s">
        <v>20</v>
      </c>
      <c r="G167" s="299" t="s">
        <v>3641</v>
      </c>
      <c r="H167" s="426" t="str">
        <f>IFERROR(VLOOKUP(G167,'Cadastro de assessores'!A:B,2,FALSE),"Não Cadastrado")</f>
        <v>14739</v>
      </c>
      <c r="I167" s="426"/>
      <c r="J167" s="24" t="s">
        <v>3788</v>
      </c>
      <c r="K167" s="293" t="s">
        <v>152</v>
      </c>
      <c r="L167" s="415">
        <v>44508</v>
      </c>
      <c r="M167" s="415">
        <v>44508</v>
      </c>
      <c r="N167" s="299"/>
      <c r="O167" s="299" t="s">
        <v>3809</v>
      </c>
      <c r="P167" s="388">
        <v>2.5000000000000001E-2</v>
      </c>
      <c r="Q167" s="420"/>
      <c r="R167" s="417"/>
      <c r="S167" s="292" t="str">
        <f t="shared" si="14"/>
        <v>Não Qualificado</v>
      </c>
      <c r="T167" s="292" t="s">
        <v>145</v>
      </c>
      <c r="U167" s="299" t="s">
        <v>4312</v>
      </c>
      <c r="V167" s="292" t="s">
        <v>46</v>
      </c>
      <c r="W167" s="350"/>
      <c r="X167" s="350"/>
      <c r="Y167" s="350"/>
      <c r="Z167" s="350"/>
      <c r="AA167" s="350"/>
      <c r="AB167" s="350"/>
      <c r="AC167" s="350"/>
      <c r="AD167" s="350"/>
      <c r="AE167" s="350"/>
      <c r="AF167" s="350"/>
      <c r="AG167" s="418"/>
      <c r="AH167" s="418"/>
      <c r="AI167" s="418"/>
      <c r="AJ167" s="339"/>
      <c r="AK167" s="339"/>
      <c r="AL167" s="339"/>
      <c r="AM167" s="339"/>
      <c r="AN167" s="339"/>
      <c r="AO167" s="339"/>
      <c r="AP167" s="339"/>
      <c r="AQ167" s="339"/>
      <c r="AR167" s="339"/>
      <c r="AS167" s="339"/>
      <c r="AT167" s="339"/>
      <c r="AU167" s="339"/>
      <c r="AV167" s="339"/>
      <c r="AW167" s="350"/>
      <c r="AX167" s="340"/>
      <c r="AY167" s="340">
        <v>390535.92</v>
      </c>
      <c r="AZ167" s="339">
        <v>518929.42</v>
      </c>
      <c r="BA167" s="339">
        <v>1223670.3799999999</v>
      </c>
      <c r="BB167" s="339">
        <v>1312265.97</v>
      </c>
      <c r="BC167" s="339">
        <v>239191.26</v>
      </c>
      <c r="BD167" s="339">
        <v>1227094.3</v>
      </c>
      <c r="BE167" s="339">
        <v>1170101.6100000001</v>
      </c>
      <c r="BF167" s="339">
        <v>1232059.3899999999</v>
      </c>
      <c r="BG167" s="339">
        <v>1250917.689</v>
      </c>
      <c r="BH167" s="339">
        <v>1235818.27</v>
      </c>
      <c r="BI167" s="339">
        <v>1358626.34</v>
      </c>
      <c r="BJ167" s="339">
        <v>1319066.67</v>
      </c>
      <c r="BK167" s="339">
        <v>1518444.81</v>
      </c>
      <c r="BL167" s="339">
        <v>1542746.62</v>
      </c>
      <c r="BM167" s="339">
        <v>1354390.49</v>
      </c>
      <c r="BN167" s="339">
        <v>125093.58</v>
      </c>
      <c r="BO167" s="339">
        <v>10628.71</v>
      </c>
      <c r="BP167" s="339">
        <v>63.81</v>
      </c>
      <c r="BQ167" s="339">
        <v>177.21</v>
      </c>
      <c r="BR167" s="339">
        <v>181.92</v>
      </c>
      <c r="BS167" s="110" t="e">
        <f t="array" aca="1" ref="BS167" ca="1">_xludf.XLOOKUP(D167,'PL TOTAL D0'!N:N,'PL TOTAL D0'!P:P,"")</f>
        <v>#NAME?</v>
      </c>
      <c r="BT167" s="110"/>
    </row>
    <row r="168" spans="1:72" ht="15.75" customHeight="1">
      <c r="A168" s="122" t="s">
        <v>3785</v>
      </c>
      <c r="B168" s="104" t="s">
        <v>4313</v>
      </c>
      <c r="C168" s="122" t="s">
        <v>4314</v>
      </c>
      <c r="D168" s="292">
        <v>4947409</v>
      </c>
      <c r="E168" s="293" t="s">
        <v>19</v>
      </c>
      <c r="F168" s="293" t="s">
        <v>20</v>
      </c>
      <c r="G168" s="293" t="s">
        <v>4315</v>
      </c>
      <c r="H168" s="293" t="str">
        <f>IFERROR(VLOOKUP(G168,'Cadastro de assessores'!A:B,2,FALSE),"Não Cadastrado")</f>
        <v>13896</v>
      </c>
      <c r="I168" s="293"/>
      <c r="J168" s="24" t="s">
        <v>3788</v>
      </c>
      <c r="K168" s="293" t="s">
        <v>152</v>
      </c>
      <c r="L168" s="415">
        <v>44272</v>
      </c>
      <c r="M168" s="415">
        <v>44260</v>
      </c>
      <c r="N168" s="292"/>
      <c r="O168" s="292" t="s">
        <v>3809</v>
      </c>
      <c r="P168" s="388">
        <v>2.5000000000000001E-2</v>
      </c>
      <c r="Q168" s="420"/>
      <c r="R168" s="417"/>
      <c r="S168" s="292" t="str">
        <f t="shared" si="14"/>
        <v/>
      </c>
      <c r="T168" s="292" t="s">
        <v>145</v>
      </c>
      <c r="U168" s="292" t="s">
        <v>3846</v>
      </c>
      <c r="V168" s="292" t="s">
        <v>46</v>
      </c>
      <c r="W168" s="418"/>
      <c r="X168" s="418"/>
      <c r="Y168" s="418"/>
      <c r="Z168" s="418"/>
      <c r="AA168" s="418"/>
      <c r="AB168" s="418"/>
      <c r="AC168" s="418"/>
      <c r="AD168" s="418"/>
      <c r="AE168" s="418"/>
      <c r="AF168" s="418"/>
      <c r="AG168" s="418"/>
      <c r="AH168" s="418"/>
      <c r="AI168" s="418"/>
      <c r="AJ168" s="418"/>
      <c r="AK168" s="339"/>
      <c r="AL168" s="339"/>
      <c r="AM168" s="339"/>
      <c r="AN168" s="339"/>
      <c r="AO168" s="339">
        <v>311050.89</v>
      </c>
      <c r="AP168" s="339">
        <v>315606</v>
      </c>
      <c r="AQ168" s="339">
        <v>312118.33</v>
      </c>
      <c r="AR168" s="339">
        <v>330338.52</v>
      </c>
      <c r="AS168" s="339">
        <v>469284</v>
      </c>
      <c r="AT168" s="339">
        <v>444033.24</v>
      </c>
      <c r="AU168" s="339">
        <v>433836.87</v>
      </c>
      <c r="AV168" s="339">
        <v>387272.68</v>
      </c>
      <c r="AW168" s="339">
        <v>356283.8</v>
      </c>
      <c r="AX168" s="339">
        <v>351842.76</v>
      </c>
      <c r="AY168" s="339">
        <v>360003.55</v>
      </c>
      <c r="AZ168" s="339">
        <v>384400.77</v>
      </c>
      <c r="BA168" s="339">
        <v>389879.42</v>
      </c>
      <c r="BB168" s="339">
        <v>414499.73</v>
      </c>
      <c r="BC168" s="339">
        <v>0</v>
      </c>
      <c r="BD168" s="339">
        <v>390803.55</v>
      </c>
      <c r="BE168" s="339">
        <v>371466.68</v>
      </c>
      <c r="BF168" s="339">
        <v>391772.32</v>
      </c>
      <c r="BG168" s="339">
        <v>396111.5919</v>
      </c>
      <c r="BH168" s="339">
        <v>385652.55</v>
      </c>
      <c r="BI168" s="339">
        <v>413943.13</v>
      </c>
      <c r="BJ168" s="339">
        <v>398777.51</v>
      </c>
      <c r="BK168" s="339">
        <v>397074.82</v>
      </c>
      <c r="BL168" s="339">
        <v>393848.03</v>
      </c>
      <c r="BM168" s="339">
        <v>376246.6</v>
      </c>
      <c r="BN168" s="339">
        <v>0</v>
      </c>
      <c r="BO168" s="339">
        <v>0</v>
      </c>
      <c r="BP168" s="339">
        <v>0</v>
      </c>
      <c r="BQ168" s="339">
        <v>0</v>
      </c>
      <c r="BR168" s="339">
        <v>0</v>
      </c>
      <c r="BS168" s="110" t="e">
        <f t="array" aca="1" ref="BS168" ca="1">_xludf.XLOOKUP(D168,'PL TOTAL D0'!N:N,'PL TOTAL D0'!P:P,"")</f>
        <v>#NAME?</v>
      </c>
      <c r="BT168" s="110"/>
    </row>
    <row r="169" spans="1:72" ht="15.75" customHeight="1">
      <c r="A169" s="122" t="s">
        <v>3785</v>
      </c>
      <c r="B169" s="104" t="s">
        <v>4316</v>
      </c>
      <c r="C169" s="122" t="s">
        <v>4317</v>
      </c>
      <c r="D169" s="292">
        <v>4622255</v>
      </c>
      <c r="E169" s="293" t="s">
        <v>64</v>
      </c>
      <c r="F169" s="293" t="s">
        <v>20</v>
      </c>
      <c r="G169" s="293" t="s">
        <v>4104</v>
      </c>
      <c r="H169" s="293" t="str">
        <f>IFERROR(VLOOKUP(G169,'Cadastro de assessores'!A:B,2,FALSE),"Não Cadastrado")</f>
        <v>19157</v>
      </c>
      <c r="I169" s="293"/>
      <c r="J169" s="24" t="s">
        <v>3788</v>
      </c>
      <c r="K169" s="292" t="s">
        <v>161</v>
      </c>
      <c r="L169" s="292" t="s">
        <v>3147</v>
      </c>
      <c r="M169" s="436" t="s">
        <v>3638</v>
      </c>
      <c r="N169" s="292"/>
      <c r="O169" s="292" t="s">
        <v>3795</v>
      </c>
      <c r="P169" s="388">
        <v>1.4999999999999999E-2</v>
      </c>
      <c r="Q169" s="420"/>
      <c r="R169" s="417"/>
      <c r="S169" s="292" t="str">
        <f t="shared" si="14"/>
        <v>Não Qualificado</v>
      </c>
      <c r="T169" s="292" t="s">
        <v>145</v>
      </c>
      <c r="U169" s="292" t="s">
        <v>3823</v>
      </c>
      <c r="V169" s="292" t="s">
        <v>20</v>
      </c>
      <c r="W169" s="418" t="s">
        <v>3798</v>
      </c>
      <c r="X169" s="418" t="s">
        <v>3798</v>
      </c>
      <c r="Y169" s="418" t="s">
        <v>3798</v>
      </c>
      <c r="Z169" s="418" t="s">
        <v>3798</v>
      </c>
      <c r="AA169" s="418" t="s">
        <v>3798</v>
      </c>
      <c r="AB169" s="418" t="s">
        <v>3798</v>
      </c>
      <c r="AC169" s="418" t="s">
        <v>3798</v>
      </c>
      <c r="AD169" s="418" t="s">
        <v>3798</v>
      </c>
      <c r="AE169" s="418" t="s">
        <v>3798</v>
      </c>
      <c r="AF169" s="418" t="s">
        <v>3798</v>
      </c>
      <c r="AG169" s="418" t="s">
        <v>3798</v>
      </c>
      <c r="AH169" s="418" t="s">
        <v>3798</v>
      </c>
      <c r="AI169" s="418" t="s">
        <v>3798</v>
      </c>
      <c r="AJ169" s="418" t="s">
        <v>3798</v>
      </c>
      <c r="AK169" s="339" t="s">
        <v>3147</v>
      </c>
      <c r="AL169" s="339"/>
      <c r="AM169" s="339" t="s">
        <v>3147</v>
      </c>
      <c r="AN169" s="339" t="s">
        <v>3147</v>
      </c>
      <c r="AO169" s="339"/>
      <c r="AP169" s="339"/>
      <c r="AQ169" s="339"/>
      <c r="AR169" s="339"/>
      <c r="AS169" s="339"/>
      <c r="AT169" s="339"/>
      <c r="AU169" s="339"/>
      <c r="AV169" s="339"/>
      <c r="AW169" s="339"/>
      <c r="AX169" s="339"/>
      <c r="AY169" s="339"/>
      <c r="AZ169" s="339"/>
      <c r="BA169" s="339">
        <v>0</v>
      </c>
      <c r="BB169" s="339">
        <v>0</v>
      </c>
      <c r="BC169" s="339">
        <v>210730.39</v>
      </c>
      <c r="BD169" s="339" t="s">
        <v>2932</v>
      </c>
      <c r="BE169" s="339" t="s">
        <v>2932</v>
      </c>
      <c r="BF169" s="339">
        <v>0</v>
      </c>
      <c r="BG169" s="339">
        <v>0</v>
      </c>
      <c r="BH169" s="339">
        <v>0</v>
      </c>
      <c r="BI169" s="339">
        <v>0</v>
      </c>
      <c r="BJ169" s="339">
        <v>0</v>
      </c>
      <c r="BK169" s="339">
        <v>0</v>
      </c>
      <c r="BL169" s="339">
        <v>0</v>
      </c>
      <c r="BM169" s="339">
        <v>0</v>
      </c>
      <c r="BN169" s="339">
        <v>0</v>
      </c>
      <c r="BO169" s="339">
        <v>0</v>
      </c>
      <c r="BP169" s="339">
        <v>0</v>
      </c>
      <c r="BQ169" s="339">
        <v>0</v>
      </c>
      <c r="BR169" s="339">
        <v>0</v>
      </c>
      <c r="BS169" s="110" t="e">
        <f t="array" aca="1" ref="BS169" ca="1">_xludf.XLOOKUP(D169,'PL TOTAL D0'!N:N,'PL TOTAL D0'!P:P,"")</f>
        <v>#NAME?</v>
      </c>
      <c r="BT169" s="110"/>
    </row>
    <row r="170" spans="1:72" ht="15.75" customHeight="1">
      <c r="A170" s="122" t="s">
        <v>3785</v>
      </c>
      <c r="B170" s="104" t="s">
        <v>4318</v>
      </c>
      <c r="C170" s="390" t="s">
        <v>4319</v>
      </c>
      <c r="D170" s="299">
        <v>394871</v>
      </c>
      <c r="E170" s="293" t="s">
        <v>19</v>
      </c>
      <c r="F170" s="293" t="s">
        <v>20</v>
      </c>
      <c r="G170" s="293" t="s">
        <v>21</v>
      </c>
      <c r="H170" s="293">
        <v>12344</v>
      </c>
      <c r="I170" s="293"/>
      <c r="J170" s="24" t="s">
        <v>3788</v>
      </c>
      <c r="K170" s="293" t="s">
        <v>152</v>
      </c>
      <c r="L170" s="415">
        <v>44757</v>
      </c>
      <c r="M170" s="415">
        <v>44757</v>
      </c>
      <c r="N170" s="292"/>
      <c r="O170" s="292" t="s">
        <v>3805</v>
      </c>
      <c r="P170" s="388">
        <v>1.2E-2</v>
      </c>
      <c r="Q170" s="420" t="s">
        <v>4320</v>
      </c>
      <c r="R170" s="417"/>
      <c r="S170" s="292"/>
      <c r="T170" s="292" t="s">
        <v>145</v>
      </c>
      <c r="U170" s="292" t="s">
        <v>3816</v>
      </c>
      <c r="V170" s="292" t="s">
        <v>20</v>
      </c>
      <c r="W170" s="418"/>
      <c r="X170" s="418"/>
      <c r="Y170" s="418"/>
      <c r="Z170" s="418"/>
      <c r="AA170" s="418"/>
      <c r="AB170" s="418"/>
      <c r="AC170" s="418"/>
      <c r="AD170" s="418"/>
      <c r="AE170" s="418"/>
      <c r="AF170" s="418"/>
      <c r="AG170" s="418"/>
      <c r="AH170" s="418"/>
      <c r="AI170" s="418"/>
      <c r="AJ170" s="418"/>
      <c r="AK170" s="339"/>
      <c r="AL170" s="339"/>
      <c r="AM170" s="339"/>
      <c r="AN170" s="339"/>
      <c r="AO170" s="339"/>
      <c r="AP170" s="339"/>
      <c r="AQ170" s="339"/>
      <c r="AR170" s="339"/>
      <c r="AS170" s="339"/>
      <c r="AT170" s="339"/>
      <c r="AU170" s="339"/>
      <c r="AV170" s="339"/>
      <c r="AW170" s="339"/>
      <c r="AX170" s="339"/>
      <c r="AY170" s="339"/>
      <c r="AZ170" s="339"/>
      <c r="BA170" s="339"/>
      <c r="BB170" s="339"/>
      <c r="BC170" s="339"/>
      <c r="BD170" s="339"/>
      <c r="BE170" s="339">
        <v>568434.37</v>
      </c>
      <c r="BF170" s="339">
        <v>572533.18999999994</v>
      </c>
      <c r="BG170" s="339">
        <v>574280.22790000006</v>
      </c>
      <c r="BH170" s="339">
        <v>572911.06999999995</v>
      </c>
      <c r="BI170" s="339">
        <v>587626.94999999995</v>
      </c>
      <c r="BJ170" s="339">
        <v>591695.62</v>
      </c>
      <c r="BK170" s="339">
        <v>596967.11</v>
      </c>
      <c r="BL170" s="339">
        <v>604418.21</v>
      </c>
      <c r="BM170" s="339">
        <v>607782.80000000005</v>
      </c>
      <c r="BN170" s="339">
        <v>546041.85</v>
      </c>
      <c r="BO170" s="339">
        <v>517142.36</v>
      </c>
      <c r="BP170" s="339">
        <v>516945.85</v>
      </c>
      <c r="BQ170" s="339">
        <v>0</v>
      </c>
      <c r="BR170" s="339">
        <v>0</v>
      </c>
      <c r="BS170" s="110" t="e">
        <f t="array" aca="1" ref="BS170" ca="1">_xludf.XLOOKUP(D170,'PL TOTAL D0'!N:N,'PL TOTAL D0'!P:P,"")</f>
        <v>#NAME?</v>
      </c>
      <c r="BT170" s="110"/>
    </row>
    <row r="171" spans="1:72" ht="15.75" customHeight="1">
      <c r="A171" s="122" t="s">
        <v>3785</v>
      </c>
      <c r="B171" s="104" t="s">
        <v>4321</v>
      </c>
      <c r="C171" s="122" t="s">
        <v>4322</v>
      </c>
      <c r="D171" s="292">
        <v>4862815</v>
      </c>
      <c r="E171" s="292" t="s">
        <v>19</v>
      </c>
      <c r="F171" s="292" t="s">
        <v>49</v>
      </c>
      <c r="G171" s="292" t="s">
        <v>328</v>
      </c>
      <c r="H171" s="292" t="str">
        <f>IFERROR(VLOOKUP(G171,'Cadastro de assessores'!A:B,2,FALSE),"Não Cadastrado")</f>
        <v>18009</v>
      </c>
      <c r="I171" s="292"/>
      <c r="J171" s="24" t="s">
        <v>143</v>
      </c>
      <c r="K171" s="292" t="s">
        <v>3794</v>
      </c>
      <c r="L171" s="387">
        <v>44251</v>
      </c>
      <c r="M171" s="387">
        <v>44251</v>
      </c>
      <c r="N171" s="387">
        <v>44777</v>
      </c>
      <c r="O171" s="292" t="s">
        <v>3809</v>
      </c>
      <c r="P171" s="388">
        <v>2.5000000000000001E-2</v>
      </c>
      <c r="Q171" s="420" t="s">
        <v>4323</v>
      </c>
      <c r="R171" s="417"/>
      <c r="S171" s="292" t="str">
        <f t="shared" ref="S171:S173" si="15">IF(BC171&lt;=0,"",IF(BC171&lt;=1000000,"Não Qualificado",IF(AND(BC171&gt;1000000,BC171&lt;=10000000),"Qualificado","Profissional")))</f>
        <v/>
      </c>
      <c r="T171" s="292" t="s">
        <v>145</v>
      </c>
      <c r="U171" s="292" t="s">
        <v>3846</v>
      </c>
      <c r="V171" s="292" t="s">
        <v>46</v>
      </c>
      <c r="W171" s="418"/>
      <c r="X171" s="418"/>
      <c r="Y171" s="418"/>
      <c r="Z171" s="418"/>
      <c r="AA171" s="418"/>
      <c r="AB171" s="418"/>
      <c r="AC171" s="418"/>
      <c r="AD171" s="418"/>
      <c r="AE171" s="418"/>
      <c r="AF171" s="418"/>
      <c r="AG171" s="418"/>
      <c r="AH171" s="418"/>
      <c r="AI171" s="418"/>
      <c r="AJ171" s="418"/>
      <c r="AK171" s="339"/>
      <c r="AL171" s="339"/>
      <c r="AM171" s="339">
        <v>172047.98</v>
      </c>
      <c r="AN171" s="339">
        <v>172657.88</v>
      </c>
      <c r="AO171" s="339">
        <v>186013.14</v>
      </c>
      <c r="AP171" s="339">
        <v>189139.66</v>
      </c>
      <c r="AQ171" s="339">
        <v>186997.12</v>
      </c>
      <c r="AR171" s="339">
        <v>197852.63</v>
      </c>
      <c r="AS171" s="339">
        <v>193478.02</v>
      </c>
      <c r="AT171" s="339">
        <v>183243.57</v>
      </c>
      <c r="AU171" s="339">
        <v>240334.19</v>
      </c>
      <c r="AV171" s="339">
        <v>225907.57</v>
      </c>
      <c r="AW171" s="339">
        <v>208441.57</v>
      </c>
      <c r="AX171" s="339">
        <v>206884.26</v>
      </c>
      <c r="AY171" s="339">
        <v>213117.73</v>
      </c>
      <c r="AZ171" s="339">
        <v>226009.54</v>
      </c>
      <c r="BA171" s="339">
        <v>228071.75</v>
      </c>
      <c r="BB171" s="339">
        <v>244031.88</v>
      </c>
      <c r="BC171" s="339">
        <v>0</v>
      </c>
      <c r="BD171" s="339">
        <v>158667.01</v>
      </c>
      <c r="BE171" s="339">
        <v>149193.85</v>
      </c>
      <c r="BF171" s="339">
        <v>3672.46</v>
      </c>
      <c r="BG171" s="339">
        <v>0</v>
      </c>
      <c r="BH171" s="339">
        <v>0</v>
      </c>
      <c r="BI171" s="339">
        <v>0</v>
      </c>
      <c r="BJ171" s="339">
        <v>0</v>
      </c>
      <c r="BK171" s="339">
        <v>0</v>
      </c>
      <c r="BL171" s="339">
        <v>0</v>
      </c>
      <c r="BM171" s="339">
        <v>0</v>
      </c>
      <c r="BN171" s="339">
        <v>0</v>
      </c>
      <c r="BO171" s="339">
        <v>0</v>
      </c>
      <c r="BP171" s="339">
        <v>0</v>
      </c>
      <c r="BQ171" s="339">
        <v>0</v>
      </c>
      <c r="BR171" s="339">
        <v>0</v>
      </c>
      <c r="BS171" s="110" t="e">
        <f t="array" aca="1" ref="BS171" ca="1">_xludf.XLOOKUP(D171,'PL TOTAL D0'!N:N,'PL TOTAL D0'!P:P,"")</f>
        <v>#NAME?</v>
      </c>
      <c r="BT171" s="110"/>
    </row>
    <row r="172" spans="1:72" ht="15.75" customHeight="1">
      <c r="A172" s="122" t="s">
        <v>3785</v>
      </c>
      <c r="B172" s="104" t="s">
        <v>4324</v>
      </c>
      <c r="C172" s="390" t="s">
        <v>4325</v>
      </c>
      <c r="D172" s="299">
        <v>5171052</v>
      </c>
      <c r="E172" s="293" t="s">
        <v>19</v>
      </c>
      <c r="F172" s="293" t="s">
        <v>49</v>
      </c>
      <c r="G172" s="293" t="s">
        <v>328</v>
      </c>
      <c r="H172" s="293" t="str">
        <f>IFERROR(VLOOKUP(G172,'Cadastro de assessores'!A:B,2,FALSE),"Não Cadastrado")</f>
        <v>18009</v>
      </c>
      <c r="I172" s="293"/>
      <c r="J172" s="24" t="s">
        <v>152</v>
      </c>
      <c r="K172" s="293" t="s">
        <v>152</v>
      </c>
      <c r="L172" s="415">
        <v>44299</v>
      </c>
      <c r="M172" s="415">
        <v>44314</v>
      </c>
      <c r="N172" s="292"/>
      <c r="O172" s="292" t="s">
        <v>3809</v>
      </c>
      <c r="P172" s="388">
        <v>2.5000000000000001E-2</v>
      </c>
      <c r="Q172" s="420"/>
      <c r="R172" s="417"/>
      <c r="S172" s="292" t="str">
        <f t="shared" si="15"/>
        <v>Não Qualificado</v>
      </c>
      <c r="T172" s="292" t="s">
        <v>145</v>
      </c>
      <c r="U172" s="292" t="s">
        <v>4326</v>
      </c>
      <c r="V172" s="292" t="s">
        <v>46</v>
      </c>
      <c r="W172" s="418"/>
      <c r="X172" s="418"/>
      <c r="Y172" s="418"/>
      <c r="Z172" s="418"/>
      <c r="AA172" s="418"/>
      <c r="AB172" s="418"/>
      <c r="AC172" s="418"/>
      <c r="AD172" s="418"/>
      <c r="AE172" s="418"/>
      <c r="AF172" s="418"/>
      <c r="AG172" s="418"/>
      <c r="AH172" s="418"/>
      <c r="AI172" s="418"/>
      <c r="AJ172" s="418"/>
      <c r="AK172" s="339"/>
      <c r="AL172" s="339"/>
      <c r="AM172" s="339"/>
      <c r="AN172" s="339"/>
      <c r="AO172" s="339"/>
      <c r="AP172" s="339"/>
      <c r="AQ172" s="339">
        <v>98718.49</v>
      </c>
      <c r="AR172" s="339">
        <v>104549.66</v>
      </c>
      <c r="AS172" s="339">
        <v>102079.95</v>
      </c>
      <c r="AT172" s="339">
        <v>96552.47</v>
      </c>
      <c r="AU172" s="339">
        <v>94492.59</v>
      </c>
      <c r="AV172" s="339">
        <v>89006.99</v>
      </c>
      <c r="AW172" s="339">
        <v>82143.289999999994</v>
      </c>
      <c r="AX172" s="339">
        <v>81336.070000000007</v>
      </c>
      <c r="AY172" s="339">
        <v>82885.490000000005</v>
      </c>
      <c r="AZ172" s="339">
        <v>88056.48</v>
      </c>
      <c r="BA172" s="339">
        <v>89270.81</v>
      </c>
      <c r="BB172" s="339">
        <v>95220.64</v>
      </c>
      <c r="BC172" s="339">
        <v>212879.2</v>
      </c>
      <c r="BD172" s="339">
        <v>88765.51</v>
      </c>
      <c r="BE172" s="339">
        <v>85282.99</v>
      </c>
      <c r="BF172" s="339">
        <v>90031.64</v>
      </c>
      <c r="BG172" s="339">
        <v>91393.48</v>
      </c>
      <c r="BH172" s="339">
        <v>90472.59</v>
      </c>
      <c r="BI172" s="339">
        <v>98685.88</v>
      </c>
      <c r="BJ172" s="339">
        <v>95542.3</v>
      </c>
      <c r="BK172" s="339">
        <v>94874.83</v>
      </c>
      <c r="BL172" s="339">
        <v>96555.43</v>
      </c>
      <c r="BM172" s="339">
        <v>92876.04</v>
      </c>
      <c r="BN172" s="339">
        <v>91957.51</v>
      </c>
      <c r="BO172" s="339">
        <v>91178.79</v>
      </c>
      <c r="BP172" s="339">
        <v>93130.62</v>
      </c>
      <c r="BQ172" s="339">
        <v>98386.68</v>
      </c>
      <c r="BR172" s="339">
        <v>101358.91</v>
      </c>
      <c r="BS172" s="110" t="e">
        <f t="array" aca="1" ref="BS172" ca="1">_xludf.XLOOKUP(D172,'PL TOTAL D0'!N:N,'PL TOTAL D0'!P:P,"")</f>
        <v>#NAME?</v>
      </c>
      <c r="BT172" s="110"/>
    </row>
    <row r="173" spans="1:72" ht="15.75" customHeight="1">
      <c r="A173" s="122" t="s">
        <v>3785</v>
      </c>
      <c r="B173" s="104" t="s">
        <v>4327</v>
      </c>
      <c r="C173" s="122" t="s">
        <v>4328</v>
      </c>
      <c r="D173" s="292">
        <v>2218857</v>
      </c>
      <c r="E173" s="292" t="s">
        <v>64</v>
      </c>
      <c r="F173" s="292" t="s">
        <v>20</v>
      </c>
      <c r="G173" s="292" t="s">
        <v>3634</v>
      </c>
      <c r="H173" s="292" t="str">
        <f>IFERROR(VLOOKUP(G173,'Cadastro de assessores'!A:B,2,FALSE),"Não Cadastrado")</f>
        <v>14574</v>
      </c>
      <c r="I173" s="292"/>
      <c r="J173" s="24" t="s">
        <v>143</v>
      </c>
      <c r="K173" s="292" t="s">
        <v>3794</v>
      </c>
      <c r="L173" s="419">
        <v>44126</v>
      </c>
      <c r="M173" s="419">
        <v>44126</v>
      </c>
      <c r="N173" s="387">
        <v>44281</v>
      </c>
      <c r="O173" s="292" t="s">
        <v>3795</v>
      </c>
      <c r="P173" s="388">
        <v>1.4999999999999999E-2</v>
      </c>
      <c r="Q173" s="420" t="s">
        <v>4329</v>
      </c>
      <c r="R173" s="417"/>
      <c r="S173" s="292" t="str">
        <f t="shared" si="15"/>
        <v>Qualificado</v>
      </c>
      <c r="T173" s="292" t="s">
        <v>145</v>
      </c>
      <c r="U173" s="292" t="s">
        <v>3929</v>
      </c>
      <c r="V173" s="292" t="s">
        <v>20</v>
      </c>
      <c r="W173" s="418" t="s">
        <v>3798</v>
      </c>
      <c r="X173" s="418" t="s">
        <v>3798</v>
      </c>
      <c r="Y173" s="418" t="s">
        <v>3798</v>
      </c>
      <c r="Z173" s="418" t="s">
        <v>3798</v>
      </c>
      <c r="AA173" s="418" t="s">
        <v>3798</v>
      </c>
      <c r="AB173" s="418" t="s">
        <v>3798</v>
      </c>
      <c r="AC173" s="418" t="s">
        <v>3798</v>
      </c>
      <c r="AD173" s="418" t="s">
        <v>3798</v>
      </c>
      <c r="AE173" s="418" t="s">
        <v>3798</v>
      </c>
      <c r="AF173" s="418" t="s">
        <v>3798</v>
      </c>
      <c r="AG173" s="418" t="s">
        <v>3798</v>
      </c>
      <c r="AH173" s="418" t="s">
        <v>3798</v>
      </c>
      <c r="AI173" s="418" t="s">
        <v>4330</v>
      </c>
      <c r="AJ173" s="418" t="s">
        <v>4331</v>
      </c>
      <c r="AK173" s="339">
        <v>127463.51</v>
      </c>
      <c r="AL173" s="339">
        <v>145987.89000000001</v>
      </c>
      <c r="AM173" s="339">
        <v>152606.06</v>
      </c>
      <c r="AN173" s="339">
        <v>159235.94</v>
      </c>
      <c r="AO173" s="339">
        <v>165066.01999999999</v>
      </c>
      <c r="AP173" s="339"/>
      <c r="AQ173" s="339"/>
      <c r="AR173" s="339"/>
      <c r="AS173" s="339"/>
      <c r="AT173" s="339"/>
      <c r="AU173" s="339"/>
      <c r="AV173" s="339"/>
      <c r="AW173" s="339"/>
      <c r="AX173" s="339"/>
      <c r="AY173" s="339"/>
      <c r="AZ173" s="339"/>
      <c r="BA173" s="339">
        <v>0</v>
      </c>
      <c r="BB173" s="339">
        <v>0</v>
      </c>
      <c r="BC173" s="339">
        <v>1024594.84</v>
      </c>
      <c r="BD173" s="339" t="s">
        <v>2932</v>
      </c>
      <c r="BE173" s="339" t="s">
        <v>2932</v>
      </c>
      <c r="BF173" s="339">
        <v>0</v>
      </c>
      <c r="BG173" s="339">
        <v>0</v>
      </c>
      <c r="BH173" s="339">
        <v>0</v>
      </c>
      <c r="BI173" s="339">
        <v>0</v>
      </c>
      <c r="BJ173" s="339">
        <v>0</v>
      </c>
      <c r="BK173" s="339">
        <v>0</v>
      </c>
      <c r="BL173" s="339">
        <v>0</v>
      </c>
      <c r="BM173" s="339">
        <v>0</v>
      </c>
      <c r="BN173" s="339">
        <v>0</v>
      </c>
      <c r="BO173" s="339">
        <v>0</v>
      </c>
      <c r="BP173" s="339">
        <v>0</v>
      </c>
      <c r="BQ173" s="339">
        <v>0</v>
      </c>
      <c r="BR173" s="339">
        <v>0</v>
      </c>
      <c r="BS173" s="110" t="e">
        <f t="array" aca="1" ref="BS173" ca="1">_xludf.XLOOKUP(D173,'PL TOTAL D0'!N:N,'PL TOTAL D0'!P:P,"")</f>
        <v>#NAME?</v>
      </c>
      <c r="BT173" s="110"/>
    </row>
    <row r="174" spans="1:72" ht="15.75" customHeight="1">
      <c r="A174" s="122" t="s">
        <v>3785</v>
      </c>
      <c r="B174" s="104" t="s">
        <v>1119</v>
      </c>
      <c r="C174" s="390" t="s">
        <v>1115</v>
      </c>
      <c r="D174" s="299">
        <v>2257037</v>
      </c>
      <c r="E174" s="293" t="s">
        <v>64</v>
      </c>
      <c r="F174" s="293" t="s">
        <v>20</v>
      </c>
      <c r="G174" s="293" t="s">
        <v>4267</v>
      </c>
      <c r="H174" s="293">
        <f>IFERROR(VLOOKUP(G174,'Cadastro de assessores'!A:B,2,FALSE),"Não Cadastrado")</f>
        <v>12330</v>
      </c>
      <c r="I174" s="293"/>
      <c r="J174" s="24" t="s">
        <v>3788</v>
      </c>
      <c r="K174" s="293" t="s">
        <v>152</v>
      </c>
      <c r="L174" s="423">
        <v>44684</v>
      </c>
      <c r="M174" s="423">
        <v>44706</v>
      </c>
      <c r="N174" s="292"/>
      <c r="O174" s="292" t="s">
        <v>4332</v>
      </c>
      <c r="P174" s="388">
        <v>2E-3</v>
      </c>
      <c r="Q174" s="167" t="s">
        <v>4320</v>
      </c>
      <c r="R174" s="417"/>
      <c r="S174" s="292"/>
      <c r="T174" s="292" t="s">
        <v>145</v>
      </c>
      <c r="U174" s="292" t="s">
        <v>3823</v>
      </c>
      <c r="V174" s="292" t="s">
        <v>20</v>
      </c>
      <c r="W174" s="418"/>
      <c r="X174" s="418"/>
      <c r="Y174" s="418"/>
      <c r="Z174" s="418"/>
      <c r="AA174" s="418"/>
      <c r="AB174" s="418"/>
      <c r="AC174" s="418"/>
      <c r="AD174" s="418"/>
      <c r="AE174" s="418"/>
      <c r="AF174" s="418"/>
      <c r="AG174" s="418"/>
      <c r="AH174" s="418"/>
      <c r="AI174" s="418"/>
      <c r="AJ174" s="418"/>
      <c r="AK174" s="339"/>
      <c r="AL174" s="339"/>
      <c r="AM174" s="339"/>
      <c r="AN174" s="339"/>
      <c r="AO174" s="339"/>
      <c r="AP174" s="339"/>
      <c r="AQ174" s="339"/>
      <c r="AR174" s="339"/>
      <c r="AS174" s="339"/>
      <c r="AT174" s="339"/>
      <c r="AU174" s="339"/>
      <c r="AV174" s="339"/>
      <c r="AW174" s="339"/>
      <c r="AX174" s="339"/>
      <c r="AY174" s="339"/>
      <c r="AZ174" s="339"/>
      <c r="BA174" s="339"/>
      <c r="BB174" s="339"/>
      <c r="BC174" s="339"/>
      <c r="BD174" s="339"/>
      <c r="BE174" s="339">
        <v>698753.33</v>
      </c>
      <c r="BF174" s="339">
        <v>683511.94</v>
      </c>
      <c r="BG174" s="339">
        <v>709321.70059999998</v>
      </c>
      <c r="BH174" s="339">
        <v>712735.17</v>
      </c>
      <c r="BI174" s="339">
        <v>704511.09</v>
      </c>
      <c r="BJ174" s="339">
        <v>706575.9</v>
      </c>
      <c r="BK174" s="339">
        <v>711393.02</v>
      </c>
      <c r="BL174" s="339">
        <v>715043.89</v>
      </c>
      <c r="BM174" s="339">
        <v>714401.72</v>
      </c>
      <c r="BN174" s="339">
        <v>122819.33</v>
      </c>
      <c r="BO174" s="339">
        <v>0</v>
      </c>
      <c r="BP174" s="339">
        <v>0</v>
      </c>
      <c r="BQ174" s="339">
        <v>0</v>
      </c>
      <c r="BR174" s="339">
        <v>0</v>
      </c>
      <c r="BS174" s="110" t="e">
        <f t="array" aca="1" ref="BS174" ca="1">_xludf.XLOOKUP(D174,'PL TOTAL D0'!N:N,'PL TOTAL D0'!P:P,"")</f>
        <v>#NAME?</v>
      </c>
      <c r="BT174" s="110"/>
    </row>
    <row r="175" spans="1:72" ht="15.75" customHeight="1">
      <c r="A175" s="122" t="s">
        <v>3785</v>
      </c>
      <c r="B175" s="104" t="s">
        <v>1119</v>
      </c>
      <c r="C175" s="390" t="s">
        <v>1115</v>
      </c>
      <c r="D175" s="299">
        <v>8588911</v>
      </c>
      <c r="E175" s="293" t="s">
        <v>64</v>
      </c>
      <c r="F175" s="293" t="s">
        <v>20</v>
      </c>
      <c r="G175" s="293" t="s">
        <v>4267</v>
      </c>
      <c r="H175" s="293">
        <f>IFERROR(VLOOKUP(G175,'Cadastro de assessores'!A:B,2,FALSE),"Não Cadastrado")</f>
        <v>12330</v>
      </c>
      <c r="I175" s="293"/>
      <c r="J175" s="24" t="s">
        <v>3788</v>
      </c>
      <c r="K175" s="293" t="s">
        <v>152</v>
      </c>
      <c r="L175" s="423">
        <v>44704</v>
      </c>
      <c r="M175" s="423">
        <v>44706</v>
      </c>
      <c r="N175" s="292"/>
      <c r="O175" s="292" t="s">
        <v>3805</v>
      </c>
      <c r="P175" s="388">
        <v>0.01</v>
      </c>
      <c r="Q175" s="420" t="s">
        <v>4333</v>
      </c>
      <c r="R175" s="417"/>
      <c r="S175" s="292" t="str">
        <f t="shared" ref="S175:S178" si="16">IF(BC175&lt;=0,"",IF(BC175&lt;=1000000,"Não Qualificado",IF(AND(BC175&gt;1000000,BC175&lt;=10000000),"Qualificado","Profissional")))</f>
        <v>Qualificado</v>
      </c>
      <c r="T175" s="292" t="s">
        <v>145</v>
      </c>
      <c r="U175" s="292" t="s">
        <v>3823</v>
      </c>
      <c r="V175" s="292" t="s">
        <v>20</v>
      </c>
      <c r="W175" s="418"/>
      <c r="X175" s="418"/>
      <c r="Y175" s="418"/>
      <c r="Z175" s="418"/>
      <c r="AA175" s="418"/>
      <c r="AB175" s="418"/>
      <c r="AC175" s="418"/>
      <c r="AD175" s="418"/>
      <c r="AE175" s="418"/>
      <c r="AF175" s="418"/>
      <c r="AG175" s="418"/>
      <c r="AH175" s="418"/>
      <c r="AI175" s="418"/>
      <c r="AJ175" s="418"/>
      <c r="AK175" s="339"/>
      <c r="AL175" s="339"/>
      <c r="AM175" s="339"/>
      <c r="AN175" s="339"/>
      <c r="AO175" s="339"/>
      <c r="AP175" s="339"/>
      <c r="AQ175" s="339"/>
      <c r="AR175" s="339"/>
      <c r="AS175" s="339"/>
      <c r="AT175" s="339"/>
      <c r="AU175" s="339"/>
      <c r="AV175" s="339"/>
      <c r="AW175" s="339"/>
      <c r="AX175" s="339"/>
      <c r="AY175" s="339"/>
      <c r="AZ175" s="339"/>
      <c r="BA175" s="339"/>
      <c r="BB175" s="339"/>
      <c r="BC175" s="339">
        <v>1003742.99</v>
      </c>
      <c r="BD175" s="339">
        <v>302624.32</v>
      </c>
      <c r="BE175" s="339">
        <v>395735.65</v>
      </c>
      <c r="BF175" s="339">
        <v>428056.29</v>
      </c>
      <c r="BG175" s="339">
        <v>432493.21740000002</v>
      </c>
      <c r="BH175" s="339">
        <v>433636.9</v>
      </c>
      <c r="BI175" s="339">
        <v>342910.77</v>
      </c>
      <c r="BJ175" s="339">
        <v>353654.39</v>
      </c>
      <c r="BK175" s="339">
        <v>363575.74</v>
      </c>
      <c r="BL175" s="339">
        <v>372861.75</v>
      </c>
      <c r="BM175" s="339">
        <v>385543.29</v>
      </c>
      <c r="BN175" s="339">
        <v>0</v>
      </c>
      <c r="BO175" s="339">
        <v>0</v>
      </c>
      <c r="BP175" s="339">
        <v>0</v>
      </c>
      <c r="BQ175" s="339">
        <v>0</v>
      </c>
      <c r="BR175" s="339">
        <v>0</v>
      </c>
      <c r="BS175" s="110" t="e">
        <f t="array" aca="1" ref="BS175" ca="1">_xludf.XLOOKUP(D175,'PL TOTAL D0'!N:N,'PL TOTAL D0'!P:P,"")</f>
        <v>#NAME?</v>
      </c>
      <c r="BT175" s="110"/>
    </row>
    <row r="176" spans="1:72" ht="15.75" customHeight="1">
      <c r="A176" s="122" t="s">
        <v>3785</v>
      </c>
      <c r="B176" s="104" t="s">
        <v>1127</v>
      </c>
      <c r="C176" s="441" t="s">
        <v>4334</v>
      </c>
      <c r="D176" s="422">
        <v>7393141</v>
      </c>
      <c r="E176" s="293" t="s">
        <v>19</v>
      </c>
      <c r="F176" s="293" t="s">
        <v>49</v>
      </c>
      <c r="G176" s="293" t="s">
        <v>50</v>
      </c>
      <c r="H176" s="293">
        <f>IFERROR(VLOOKUP(G176,'Cadastro de assessores'!A:B,2,FALSE),"Não Cadastrado")</f>
        <v>12331</v>
      </c>
      <c r="I176" s="293"/>
      <c r="J176" s="24" t="s">
        <v>3788</v>
      </c>
      <c r="K176" s="293" t="s">
        <v>152</v>
      </c>
      <c r="L176" s="423">
        <v>44607</v>
      </c>
      <c r="M176" s="423">
        <v>44606</v>
      </c>
      <c r="N176" s="292"/>
      <c r="O176" s="292" t="s">
        <v>3805</v>
      </c>
      <c r="P176" s="388">
        <v>1.2E-2</v>
      </c>
      <c r="Q176" s="420" t="s">
        <v>4084</v>
      </c>
      <c r="R176" s="417"/>
      <c r="S176" s="292" t="str">
        <f t="shared" si="16"/>
        <v>Não Qualificado</v>
      </c>
      <c r="T176" s="292" t="s">
        <v>187</v>
      </c>
      <c r="U176" s="292" t="s">
        <v>3841</v>
      </c>
      <c r="V176" s="292" t="s">
        <v>49</v>
      </c>
      <c r="W176" s="418"/>
      <c r="X176" s="418"/>
      <c r="Y176" s="418"/>
      <c r="Z176" s="418"/>
      <c r="AA176" s="418"/>
      <c r="AB176" s="418"/>
      <c r="AC176" s="418"/>
      <c r="AD176" s="418"/>
      <c r="AE176" s="418"/>
      <c r="AF176" s="418"/>
      <c r="AG176" s="418"/>
      <c r="AH176" s="418"/>
      <c r="AI176" s="418"/>
      <c r="AJ176" s="418"/>
      <c r="AK176" s="339"/>
      <c r="AL176" s="339"/>
      <c r="AM176" s="339"/>
      <c r="AN176" s="339"/>
      <c r="AO176" s="339"/>
      <c r="AP176" s="339"/>
      <c r="AQ176" s="339"/>
      <c r="AR176" s="339"/>
      <c r="AS176" s="339"/>
      <c r="AT176" s="339"/>
      <c r="AU176" s="339"/>
      <c r="AV176" s="339"/>
      <c r="AW176" s="339"/>
      <c r="AX176" s="339"/>
      <c r="AY176" s="339"/>
      <c r="AZ176" s="339"/>
      <c r="BA176" s="339">
        <v>101037.98</v>
      </c>
      <c r="BB176" s="339">
        <v>103421.19</v>
      </c>
      <c r="BC176" s="339">
        <v>7585.18</v>
      </c>
      <c r="BD176" s="339">
        <v>103753.08</v>
      </c>
      <c r="BE176" s="339">
        <v>104674.41</v>
      </c>
      <c r="BF176" s="339">
        <v>105470.65</v>
      </c>
      <c r="BG176" s="339">
        <v>106174.1611</v>
      </c>
      <c r="BH176" s="339">
        <v>106774.37</v>
      </c>
      <c r="BI176" s="339">
        <v>107511.33</v>
      </c>
      <c r="BJ176" s="339">
        <v>168889.22</v>
      </c>
      <c r="BK176" s="339">
        <v>170322.58</v>
      </c>
      <c r="BL176" s="339">
        <v>5422.29</v>
      </c>
      <c r="BM176" s="339">
        <v>0</v>
      </c>
      <c r="BN176" s="339">
        <v>0</v>
      </c>
      <c r="BO176" s="339">
        <v>0</v>
      </c>
      <c r="BP176" s="339">
        <v>0</v>
      </c>
      <c r="BQ176" s="339">
        <v>0</v>
      </c>
      <c r="BR176" s="339">
        <v>0</v>
      </c>
      <c r="BS176" s="110" t="e">
        <f t="array" aca="1" ref="BS176" ca="1">_xludf.XLOOKUP(D176,'PL TOTAL D0'!N:N,'PL TOTAL D0'!P:P,"")</f>
        <v>#NAME?</v>
      </c>
      <c r="BT176" s="110"/>
    </row>
    <row r="177" spans="1:72" ht="15.75" customHeight="1">
      <c r="A177" s="122" t="s">
        <v>3785</v>
      </c>
      <c r="B177" s="104" t="s">
        <v>4335</v>
      </c>
      <c r="C177" s="122" t="s">
        <v>4336</v>
      </c>
      <c r="D177" s="292">
        <v>4418403</v>
      </c>
      <c r="E177" s="292" t="s">
        <v>64</v>
      </c>
      <c r="F177" s="292" t="s">
        <v>20</v>
      </c>
      <c r="G177" s="292" t="s">
        <v>3634</v>
      </c>
      <c r="H177" s="292" t="str">
        <f>IFERROR(VLOOKUP(G177,'Cadastro de assessores'!A:B,2,FALSE),"Não Cadastrado")</f>
        <v>14574</v>
      </c>
      <c r="I177" s="292"/>
      <c r="J177" s="24" t="s">
        <v>143</v>
      </c>
      <c r="K177" s="292" t="s">
        <v>3794</v>
      </c>
      <c r="L177" s="387">
        <v>44075</v>
      </c>
      <c r="M177" s="387">
        <v>44075</v>
      </c>
      <c r="N177" s="387">
        <v>44650</v>
      </c>
      <c r="O177" s="292" t="s">
        <v>3795</v>
      </c>
      <c r="P177" s="388">
        <v>1.4999999999999999E-2</v>
      </c>
      <c r="Q177" s="420" t="s">
        <v>4337</v>
      </c>
      <c r="R177" s="417"/>
      <c r="S177" s="292" t="str">
        <f t="shared" si="16"/>
        <v/>
      </c>
      <c r="T177" s="292" t="s">
        <v>145</v>
      </c>
      <c r="U177" s="292" t="s">
        <v>3797</v>
      </c>
      <c r="V177" s="292" t="s">
        <v>20</v>
      </c>
      <c r="W177" s="418" t="s">
        <v>3798</v>
      </c>
      <c r="X177" s="418" t="s">
        <v>3798</v>
      </c>
      <c r="Y177" s="418" t="s">
        <v>3798</v>
      </c>
      <c r="Z177" s="418" t="s">
        <v>3798</v>
      </c>
      <c r="AA177" s="418" t="s">
        <v>3798</v>
      </c>
      <c r="AB177" s="418" t="s">
        <v>3798</v>
      </c>
      <c r="AC177" s="418" t="s">
        <v>3798</v>
      </c>
      <c r="AD177" s="418" t="s">
        <v>3798</v>
      </c>
      <c r="AE177" s="418" t="s">
        <v>3798</v>
      </c>
      <c r="AF177" s="418" t="s">
        <v>3798</v>
      </c>
      <c r="AG177" s="418" t="s">
        <v>3798</v>
      </c>
      <c r="AH177" s="418" t="s">
        <v>4338</v>
      </c>
      <c r="AI177" s="418" t="s">
        <v>4339</v>
      </c>
      <c r="AJ177" s="418" t="s">
        <v>4340</v>
      </c>
      <c r="AK177" s="339">
        <v>513022.22</v>
      </c>
      <c r="AL177" s="339">
        <v>508196.47</v>
      </c>
      <c r="AM177" s="339">
        <v>517530.25</v>
      </c>
      <c r="AN177" s="339">
        <v>516652.41</v>
      </c>
      <c r="AO177" s="339">
        <v>522095.51</v>
      </c>
      <c r="AP177" s="339">
        <v>523735.99</v>
      </c>
      <c r="AQ177" s="339">
        <v>521397.57</v>
      </c>
      <c r="AR177" s="339">
        <v>534858.62</v>
      </c>
      <c r="AS177" s="339">
        <v>530681.48</v>
      </c>
      <c r="AT177" s="339">
        <v>520101.3</v>
      </c>
      <c r="AU177" s="339">
        <v>517028.61</v>
      </c>
      <c r="AV177" s="339">
        <v>507901.9</v>
      </c>
      <c r="AW177" s="339">
        <v>487529.71</v>
      </c>
      <c r="AX177" s="339">
        <v>488751.87</v>
      </c>
      <c r="AY177" s="339">
        <v>495991.77</v>
      </c>
      <c r="AZ177" s="339">
        <v>510428.92</v>
      </c>
      <c r="BA177" s="339">
        <v>513869.33</v>
      </c>
      <c r="BB177" s="339">
        <v>0</v>
      </c>
      <c r="BC177" s="339"/>
      <c r="BD177" s="339" t="s">
        <v>2932</v>
      </c>
      <c r="BE177" s="339" t="s">
        <v>2932</v>
      </c>
      <c r="BF177" s="339">
        <v>0</v>
      </c>
      <c r="BG177" s="339">
        <v>0</v>
      </c>
      <c r="BH177" s="339">
        <v>0</v>
      </c>
      <c r="BI177" s="339">
        <v>0</v>
      </c>
      <c r="BJ177" s="339">
        <v>0</v>
      </c>
      <c r="BK177" s="339">
        <v>0</v>
      </c>
      <c r="BL177" s="339">
        <v>0</v>
      </c>
      <c r="BM177" s="339">
        <v>0</v>
      </c>
      <c r="BN177" s="339">
        <v>0</v>
      </c>
      <c r="BO177" s="339">
        <v>0</v>
      </c>
      <c r="BP177" s="339">
        <v>0</v>
      </c>
      <c r="BQ177" s="339">
        <v>0</v>
      </c>
      <c r="BR177" s="339">
        <v>0</v>
      </c>
      <c r="BS177" s="110" t="e">
        <f t="array" aca="1" ref="BS177" ca="1">_xludf.XLOOKUP(D177,'PL TOTAL D0'!N:N,'PL TOTAL D0'!P:P,"")</f>
        <v>#NAME?</v>
      </c>
      <c r="BT177" s="110"/>
    </row>
    <row r="178" spans="1:72" ht="15.75" customHeight="1">
      <c r="A178" s="122" t="s">
        <v>3785</v>
      </c>
      <c r="B178" s="104" t="s">
        <v>4341</v>
      </c>
      <c r="C178" s="390" t="s">
        <v>4342</v>
      </c>
      <c r="D178" s="432">
        <v>7970402</v>
      </c>
      <c r="E178" s="292" t="s">
        <v>19</v>
      </c>
      <c r="F178" s="292" t="s">
        <v>20</v>
      </c>
      <c r="G178" s="292" t="s">
        <v>4343</v>
      </c>
      <c r="H178" s="292" t="str">
        <f>IFERROR(VLOOKUP(G178,'Cadastro de assessores'!A:B,2,FALSE),"Não Cadastrado")</f>
        <v>16130</v>
      </c>
      <c r="I178" s="292"/>
      <c r="J178" s="24" t="s">
        <v>143</v>
      </c>
      <c r="K178" s="292" t="s">
        <v>3794</v>
      </c>
      <c r="L178" s="387">
        <v>44623</v>
      </c>
      <c r="M178" s="387">
        <v>44623</v>
      </c>
      <c r="N178" s="391">
        <v>44763</v>
      </c>
      <c r="O178" s="299" t="s">
        <v>3802</v>
      </c>
      <c r="P178" s="388">
        <v>7.0000000000000001E-3</v>
      </c>
      <c r="Q178" s="420" t="s">
        <v>4344</v>
      </c>
      <c r="R178" s="417"/>
      <c r="S178" s="292" t="str">
        <f t="shared" si="16"/>
        <v>Não Qualificado</v>
      </c>
      <c r="T178" s="292" t="s">
        <v>145</v>
      </c>
      <c r="U178" s="292" t="s">
        <v>3832</v>
      </c>
      <c r="V178" s="292" t="s">
        <v>20</v>
      </c>
      <c r="W178" s="418"/>
      <c r="X178" s="418"/>
      <c r="Y178" s="418"/>
      <c r="Z178" s="418"/>
      <c r="AA178" s="418"/>
      <c r="AB178" s="418"/>
      <c r="AC178" s="418"/>
      <c r="AD178" s="418"/>
      <c r="AE178" s="418"/>
      <c r="AF178" s="418"/>
      <c r="AG178" s="418"/>
      <c r="AH178" s="418"/>
      <c r="AI178" s="418"/>
      <c r="AJ178" s="418"/>
      <c r="AK178" s="339"/>
      <c r="AL178" s="339"/>
      <c r="AM178" s="339"/>
      <c r="AN178" s="339"/>
      <c r="AO178" s="339"/>
      <c r="AP178" s="339"/>
      <c r="AQ178" s="339"/>
      <c r="AR178" s="339"/>
      <c r="AS178" s="339"/>
      <c r="AT178" s="339"/>
      <c r="AU178" s="339"/>
      <c r="AV178" s="339"/>
      <c r="AW178" s="339"/>
      <c r="AX178" s="339"/>
      <c r="AY178" s="339"/>
      <c r="AZ178" s="339"/>
      <c r="BA178" s="339"/>
      <c r="BB178" s="339">
        <v>56466.82</v>
      </c>
      <c r="BC178" s="339">
        <v>64112.17</v>
      </c>
      <c r="BD178" s="339">
        <v>80910.990000000005</v>
      </c>
      <c r="BE178" s="339">
        <v>81614.17</v>
      </c>
      <c r="BF178" s="339">
        <v>0</v>
      </c>
      <c r="BG178" s="339">
        <v>0</v>
      </c>
      <c r="BH178" s="339">
        <v>0</v>
      </c>
      <c r="BI178" s="339">
        <v>0</v>
      </c>
      <c r="BJ178" s="339">
        <v>0</v>
      </c>
      <c r="BK178" s="339">
        <v>0</v>
      </c>
      <c r="BL178" s="339">
        <v>0</v>
      </c>
      <c r="BM178" s="339">
        <v>0</v>
      </c>
      <c r="BN178" s="339">
        <v>0</v>
      </c>
      <c r="BO178" s="339">
        <v>0</v>
      </c>
      <c r="BP178" s="339">
        <v>0</v>
      </c>
      <c r="BQ178" s="339">
        <v>0</v>
      </c>
      <c r="BR178" s="339">
        <v>0</v>
      </c>
      <c r="BS178" s="110" t="e">
        <f t="array" aca="1" ref="BS178" ca="1">_xludf.XLOOKUP(D178,'PL TOTAL D0'!N:N,'PL TOTAL D0'!P:P,"")</f>
        <v>#NAME?</v>
      </c>
      <c r="BT178" s="110"/>
    </row>
    <row r="179" spans="1:72" ht="15.75" customHeight="1">
      <c r="A179" s="122" t="s">
        <v>3785</v>
      </c>
      <c r="B179" s="104" t="s">
        <v>3154</v>
      </c>
      <c r="C179" s="390" t="s">
        <v>4345</v>
      </c>
      <c r="D179" s="299">
        <v>522975</v>
      </c>
      <c r="E179" s="293" t="s">
        <v>19</v>
      </c>
      <c r="F179" s="293" t="s">
        <v>20</v>
      </c>
      <c r="G179" s="299" t="s">
        <v>2955</v>
      </c>
      <c r="H179" s="292" t="str">
        <f>IFERROR(VLOOKUP(G179,'Cadastro de assessores'!A:B,2,FALSE),"Não Cadastrado")</f>
        <v>18836</v>
      </c>
      <c r="I179" s="293"/>
      <c r="J179" s="24" t="s">
        <v>3788</v>
      </c>
      <c r="K179" s="293"/>
      <c r="L179" s="423"/>
      <c r="M179" s="423"/>
      <c r="N179" s="299"/>
      <c r="O179" s="299" t="s">
        <v>3802</v>
      </c>
      <c r="P179" s="388">
        <v>0.01</v>
      </c>
      <c r="Q179" s="420"/>
      <c r="R179" s="417"/>
      <c r="S179" s="292"/>
      <c r="T179" s="292"/>
      <c r="U179" s="292"/>
      <c r="V179" s="292" t="s">
        <v>886</v>
      </c>
      <c r="W179" s="418"/>
      <c r="X179" s="418"/>
      <c r="Y179" s="418"/>
      <c r="Z179" s="418"/>
      <c r="AA179" s="418"/>
      <c r="AB179" s="418"/>
      <c r="AC179" s="418"/>
      <c r="AD179" s="418"/>
      <c r="AE179" s="418"/>
      <c r="AF179" s="418"/>
      <c r="AG179" s="418"/>
      <c r="AH179" s="418"/>
      <c r="AI179" s="418"/>
      <c r="AJ179" s="418"/>
      <c r="AK179" s="339"/>
      <c r="AL179" s="339"/>
      <c r="AM179" s="339"/>
      <c r="AN179" s="339"/>
      <c r="AO179" s="339"/>
      <c r="AP179" s="339"/>
      <c r="AQ179" s="339"/>
      <c r="AR179" s="339"/>
      <c r="AS179" s="339"/>
      <c r="AT179" s="339"/>
      <c r="AU179" s="339"/>
      <c r="AV179" s="339"/>
      <c r="AW179" s="339"/>
      <c r="AX179" s="339"/>
      <c r="AY179" s="339"/>
      <c r="AZ179" s="339"/>
      <c r="BA179" s="339"/>
      <c r="BB179" s="339"/>
      <c r="BC179" s="339"/>
      <c r="BD179" s="339"/>
      <c r="BE179" s="339"/>
      <c r="BF179" s="339"/>
      <c r="BG179" s="339"/>
      <c r="BH179" s="339"/>
      <c r="BI179" s="339">
        <v>57816.56</v>
      </c>
      <c r="BJ179" s="339">
        <v>58584.45</v>
      </c>
      <c r="BK179" s="339">
        <v>59243.98</v>
      </c>
      <c r="BL179" s="339">
        <v>91314.57</v>
      </c>
      <c r="BM179" s="339">
        <v>100230.19</v>
      </c>
      <c r="BN179" s="339">
        <v>80.7</v>
      </c>
      <c r="BO179" s="339">
        <v>81.45</v>
      </c>
      <c r="BP179" s="339">
        <v>200.07</v>
      </c>
      <c r="BQ179" s="339">
        <v>394.74</v>
      </c>
      <c r="BR179" s="339">
        <v>480.85</v>
      </c>
      <c r="BS179" s="110" t="e">
        <f t="array" aca="1" ref="BS179" ca="1">_xludf.XLOOKUP(D179,'PL TOTAL D0'!N:N,'PL TOTAL D0'!P:P,"")</f>
        <v>#NAME?</v>
      </c>
      <c r="BT179" s="110"/>
    </row>
    <row r="180" spans="1:72" ht="15.75" customHeight="1">
      <c r="A180" s="122" t="s">
        <v>3785</v>
      </c>
      <c r="B180" s="104" t="s">
        <v>4346</v>
      </c>
      <c r="C180" s="390" t="s">
        <v>4347</v>
      </c>
      <c r="D180" s="299">
        <v>3581528</v>
      </c>
      <c r="E180" s="293" t="s">
        <v>64</v>
      </c>
      <c r="F180" s="293" t="s">
        <v>20</v>
      </c>
      <c r="G180" s="299" t="s">
        <v>2803</v>
      </c>
      <c r="H180" s="293">
        <f>IFERROR(VLOOKUP(G180,'Cadastro de assessores'!A:B,2,FALSE),"Não Cadastrado")</f>
        <v>12347</v>
      </c>
      <c r="I180" s="293"/>
      <c r="J180" s="24" t="s">
        <v>152</v>
      </c>
      <c r="K180" s="293" t="s">
        <v>152</v>
      </c>
      <c r="L180" s="423">
        <v>44693</v>
      </c>
      <c r="M180" s="423">
        <v>44693</v>
      </c>
      <c r="N180" s="299"/>
      <c r="O180" s="299" t="s">
        <v>3805</v>
      </c>
      <c r="P180" s="388">
        <v>1.2E-2</v>
      </c>
      <c r="Q180" s="420"/>
      <c r="R180" s="417"/>
      <c r="S180" s="292" t="str">
        <f>IF(BC180&lt;=0,"",IF(BC180&lt;=1000000,"Não Qualificado",IF(AND(BC180&gt;1000000,BC180&lt;=10000000),"Qualificado","Profissional")))</f>
        <v>Não Qualificado</v>
      </c>
      <c r="T180" s="292" t="s">
        <v>145</v>
      </c>
      <c r="U180" s="292" t="s">
        <v>3797</v>
      </c>
      <c r="V180" s="292" t="s">
        <v>20</v>
      </c>
      <c r="W180" s="418"/>
      <c r="X180" s="418"/>
      <c r="Y180" s="418"/>
      <c r="Z180" s="418"/>
      <c r="AA180" s="418"/>
      <c r="AB180" s="418"/>
      <c r="AC180" s="418"/>
      <c r="AD180" s="418"/>
      <c r="AE180" s="418"/>
      <c r="AF180" s="418"/>
      <c r="AG180" s="418"/>
      <c r="AH180" s="418"/>
      <c r="AI180" s="418"/>
      <c r="AJ180" s="418"/>
      <c r="AK180" s="339"/>
      <c r="AL180" s="339"/>
      <c r="AM180" s="339"/>
      <c r="AN180" s="339"/>
      <c r="AO180" s="339"/>
      <c r="AP180" s="339"/>
      <c r="AQ180" s="339"/>
      <c r="AR180" s="339"/>
      <c r="AS180" s="339"/>
      <c r="AT180" s="339"/>
      <c r="AU180" s="339"/>
      <c r="AV180" s="339"/>
      <c r="AW180" s="339"/>
      <c r="AX180" s="339"/>
      <c r="AY180" s="339"/>
      <c r="AZ180" s="339"/>
      <c r="BA180" s="339"/>
      <c r="BB180" s="339"/>
      <c r="BC180" s="339">
        <v>269622.01</v>
      </c>
      <c r="BD180" s="339">
        <v>425173.48</v>
      </c>
      <c r="BE180" s="339">
        <v>295581.08</v>
      </c>
      <c r="BF180" s="339">
        <v>300602.63</v>
      </c>
      <c r="BG180" s="339">
        <v>302247.98930000002</v>
      </c>
      <c r="BH180" s="339">
        <v>304149.59000000003</v>
      </c>
      <c r="BI180" s="339">
        <v>313515.83</v>
      </c>
      <c r="BJ180" s="339">
        <v>313484.7</v>
      </c>
      <c r="BK180" s="339">
        <v>315863.65000000002</v>
      </c>
      <c r="BL180" s="339">
        <v>318816.53999999998</v>
      </c>
      <c r="BM180" s="339">
        <v>320997.93</v>
      </c>
      <c r="BN180" s="339">
        <v>323894.49</v>
      </c>
      <c r="BO180" s="339">
        <v>326638.67</v>
      </c>
      <c r="BP180" s="339">
        <v>329409.87</v>
      </c>
      <c r="BQ180" s="339">
        <v>330460.53999999998</v>
      </c>
      <c r="BR180" s="339">
        <v>333003.86</v>
      </c>
      <c r="BS180" s="110" t="e">
        <f t="array" aca="1" ref="BS180" ca="1">_xludf.XLOOKUP(D180,'PL TOTAL D0'!N:N,'PL TOTAL D0'!P:P,"")</f>
        <v>#NAME?</v>
      </c>
      <c r="BT180" s="110"/>
    </row>
    <row r="181" spans="1:72" ht="15.75" customHeight="1">
      <c r="A181" s="122" t="s">
        <v>3785</v>
      </c>
      <c r="B181" s="104" t="s">
        <v>3160</v>
      </c>
      <c r="C181" s="390" t="s">
        <v>3158</v>
      </c>
      <c r="D181" s="299">
        <v>4001766</v>
      </c>
      <c r="E181" s="293" t="s">
        <v>19</v>
      </c>
      <c r="F181" s="293" t="s">
        <v>20</v>
      </c>
      <c r="G181" s="299" t="s">
        <v>3159</v>
      </c>
      <c r="H181" s="293" t="str">
        <f>IFERROR(VLOOKUP(G181,'Cadastro de assessores'!A:B,2,FALSE),"Não Cadastrado")</f>
        <v>13444</v>
      </c>
      <c r="I181" s="293"/>
      <c r="J181" s="24" t="s">
        <v>3788</v>
      </c>
      <c r="K181" s="293" t="s">
        <v>152</v>
      </c>
      <c r="L181" s="423">
        <v>44747</v>
      </c>
      <c r="M181" s="423">
        <v>44747</v>
      </c>
      <c r="N181" s="299"/>
      <c r="O181" s="299" t="s">
        <v>3805</v>
      </c>
      <c r="P181" s="388">
        <v>1.2E-2</v>
      </c>
      <c r="Q181" s="167" t="s">
        <v>4348</v>
      </c>
      <c r="R181" s="417"/>
      <c r="S181" s="292"/>
      <c r="T181" s="292" t="s">
        <v>145</v>
      </c>
      <c r="U181" s="292" t="s">
        <v>4349</v>
      </c>
      <c r="V181" s="292" t="s">
        <v>46</v>
      </c>
      <c r="W181" s="418"/>
      <c r="X181" s="418"/>
      <c r="Y181" s="418"/>
      <c r="Z181" s="418"/>
      <c r="AA181" s="418"/>
      <c r="AB181" s="418"/>
      <c r="AC181" s="418"/>
      <c r="AD181" s="418"/>
      <c r="AE181" s="418"/>
      <c r="AF181" s="418"/>
      <c r="AG181" s="418"/>
      <c r="AH181" s="418"/>
      <c r="AI181" s="418"/>
      <c r="AJ181" s="418"/>
      <c r="AK181" s="339"/>
      <c r="AL181" s="339"/>
      <c r="AM181" s="339"/>
      <c r="AN181" s="339"/>
      <c r="AO181" s="339"/>
      <c r="AP181" s="339"/>
      <c r="AQ181" s="339"/>
      <c r="AR181" s="339"/>
      <c r="AS181" s="339"/>
      <c r="AT181" s="339"/>
      <c r="AU181" s="339"/>
      <c r="AV181" s="339"/>
      <c r="AW181" s="339"/>
      <c r="AX181" s="339"/>
      <c r="AY181" s="339"/>
      <c r="AZ181" s="339"/>
      <c r="BA181" s="339"/>
      <c r="BB181" s="339"/>
      <c r="BC181" s="339"/>
      <c r="BD181" s="339"/>
      <c r="BE181" s="339" t="s">
        <v>2932</v>
      </c>
      <c r="BF181" s="339">
        <v>103418.85</v>
      </c>
      <c r="BG181" s="339">
        <v>108786.126</v>
      </c>
      <c r="BH181" s="339">
        <v>165889.68</v>
      </c>
      <c r="BI181" s="339">
        <v>171230.72</v>
      </c>
      <c r="BJ181" s="339">
        <v>155827.82999999999</v>
      </c>
      <c r="BK181" s="339">
        <v>136694.07999999999</v>
      </c>
      <c r="BL181" s="339">
        <v>128081.83</v>
      </c>
      <c r="BM181" s="339">
        <v>111338.1</v>
      </c>
      <c r="BN181" s="339">
        <v>7.63</v>
      </c>
      <c r="BO181" s="339">
        <v>7.63</v>
      </c>
      <c r="BP181" s="339">
        <v>7.63</v>
      </c>
      <c r="BQ181" s="339">
        <v>7.63</v>
      </c>
      <c r="BR181" s="339">
        <v>7.63</v>
      </c>
      <c r="BS181" s="110" t="e">
        <f t="array" aca="1" ref="BS181" ca="1">_xludf.XLOOKUP(D181,'PL TOTAL D0'!N:N,'PL TOTAL D0'!P:P,"")</f>
        <v>#NAME?</v>
      </c>
      <c r="BT181" s="110"/>
    </row>
    <row r="182" spans="1:72" ht="15.75" customHeight="1">
      <c r="A182" s="122" t="s">
        <v>3785</v>
      </c>
      <c r="B182" s="104" t="s">
        <v>4350</v>
      </c>
      <c r="C182" s="390" t="s">
        <v>4351</v>
      </c>
      <c r="D182" s="299">
        <v>2651260</v>
      </c>
      <c r="E182" s="292" t="s">
        <v>19</v>
      </c>
      <c r="F182" s="292" t="s">
        <v>20</v>
      </c>
      <c r="G182" s="292" t="s">
        <v>3683</v>
      </c>
      <c r="H182" s="292" t="str">
        <f>IFERROR(VLOOKUP(G182,'Cadastro de assessores'!A:B,2,FALSE),"Não Cadastrado")</f>
        <v>18266</v>
      </c>
      <c r="I182" s="292"/>
      <c r="J182" s="24" t="s">
        <v>143</v>
      </c>
      <c r="K182" s="292" t="s">
        <v>3794</v>
      </c>
      <c r="L182" s="292" t="s">
        <v>3147</v>
      </c>
      <c r="M182" s="292" t="s">
        <v>3147</v>
      </c>
      <c r="N182" s="387">
        <v>44459</v>
      </c>
      <c r="O182" s="292" t="s">
        <v>3809</v>
      </c>
      <c r="P182" s="388">
        <v>2.5000000000000001E-2</v>
      </c>
      <c r="Q182" s="420" t="s">
        <v>4352</v>
      </c>
      <c r="R182" s="417"/>
      <c r="S182" s="292" t="str">
        <f>IF(BC182&lt;=0,"",IF(BC182&lt;=1000000,"Não Qualificado",IF(AND(BC182&gt;1000000,BC182&lt;=10000000),"Qualificado","Profissional")))</f>
        <v>Não Qualificado</v>
      </c>
      <c r="T182" s="292" t="s">
        <v>145</v>
      </c>
      <c r="U182" s="299" t="s">
        <v>4049</v>
      </c>
      <c r="V182" s="299" t="s">
        <v>886</v>
      </c>
      <c r="W182" s="350"/>
      <c r="X182" s="350"/>
      <c r="Y182" s="350"/>
      <c r="Z182" s="350"/>
      <c r="AA182" s="350"/>
      <c r="AB182" s="350"/>
      <c r="AC182" s="350"/>
      <c r="AD182" s="350"/>
      <c r="AE182" s="350"/>
      <c r="AF182" s="350"/>
      <c r="AG182" s="350"/>
      <c r="AH182" s="350"/>
      <c r="AI182" s="350"/>
      <c r="AJ182" s="350"/>
      <c r="AK182" s="339"/>
      <c r="AL182" s="339"/>
      <c r="AM182" s="339"/>
      <c r="AN182" s="339"/>
      <c r="AO182" s="339"/>
      <c r="AP182" s="339"/>
      <c r="AQ182" s="350"/>
      <c r="AR182" s="340">
        <v>104420.51</v>
      </c>
      <c r="AS182" s="339">
        <v>101510.67</v>
      </c>
      <c r="AT182" s="339">
        <v>99241.38</v>
      </c>
      <c r="AU182" s="339">
        <v>95161.41</v>
      </c>
      <c r="AV182" s="339"/>
      <c r="AW182" s="339"/>
      <c r="AX182" s="339"/>
      <c r="AY182" s="339"/>
      <c r="AZ182" s="339"/>
      <c r="BA182" s="339">
        <v>0</v>
      </c>
      <c r="BB182" s="339">
        <v>0</v>
      </c>
      <c r="BC182" s="339">
        <v>88166.66</v>
      </c>
      <c r="BD182" s="339" t="s">
        <v>2932</v>
      </c>
      <c r="BE182" s="339" t="s">
        <v>2932</v>
      </c>
      <c r="BF182" s="339">
        <v>0</v>
      </c>
      <c r="BG182" s="339">
        <v>0</v>
      </c>
      <c r="BH182" s="339">
        <v>0</v>
      </c>
      <c r="BI182" s="339">
        <v>0</v>
      </c>
      <c r="BJ182" s="339">
        <v>0</v>
      </c>
      <c r="BK182" s="339">
        <v>0</v>
      </c>
      <c r="BL182" s="339">
        <v>0</v>
      </c>
      <c r="BM182" s="339">
        <v>0</v>
      </c>
      <c r="BN182" s="339">
        <v>0</v>
      </c>
      <c r="BO182" s="339">
        <v>0</v>
      </c>
      <c r="BP182" s="339">
        <v>0</v>
      </c>
      <c r="BQ182" s="339">
        <v>0</v>
      </c>
      <c r="BR182" s="339">
        <v>0</v>
      </c>
      <c r="BS182" s="110" t="e">
        <f t="array" aca="1" ref="BS182" ca="1">_xludf.XLOOKUP(D182,'PL TOTAL D0'!N:N,'PL TOTAL D0'!P:P,"")</f>
        <v>#NAME?</v>
      </c>
      <c r="BT182" s="110"/>
    </row>
    <row r="183" spans="1:72" ht="15.75" customHeight="1">
      <c r="A183" s="122" t="s">
        <v>3785</v>
      </c>
      <c r="B183" s="104" t="s">
        <v>3079</v>
      </c>
      <c r="C183" s="390" t="s">
        <v>4353</v>
      </c>
      <c r="D183" s="299">
        <v>3716665</v>
      </c>
      <c r="E183" s="293" t="s">
        <v>64</v>
      </c>
      <c r="F183" s="293" t="s">
        <v>20</v>
      </c>
      <c r="G183" s="299" t="s">
        <v>337</v>
      </c>
      <c r="H183" s="293" t="str">
        <f>IFERROR(VLOOKUP(G183,'Cadastro de assessores'!A:B,2,FALSE),"Não Cadastrado")</f>
        <v>17896</v>
      </c>
      <c r="I183" s="293"/>
      <c r="J183" s="24" t="s">
        <v>3788</v>
      </c>
      <c r="K183" s="292" t="s">
        <v>3147</v>
      </c>
      <c r="L183" s="292" t="s">
        <v>3147</v>
      </c>
      <c r="M183" s="436" t="s">
        <v>4354</v>
      </c>
      <c r="N183" s="299"/>
      <c r="O183" s="299" t="s">
        <v>3805</v>
      </c>
      <c r="P183" s="388">
        <v>1.2E-2</v>
      </c>
      <c r="Q183" s="420"/>
      <c r="R183" s="417"/>
      <c r="S183" s="292"/>
      <c r="T183" s="292" t="s">
        <v>187</v>
      </c>
      <c r="U183" s="292"/>
      <c r="V183" s="292" t="s">
        <v>20</v>
      </c>
      <c r="W183" s="418"/>
      <c r="X183" s="418"/>
      <c r="Y183" s="418"/>
      <c r="Z183" s="418"/>
      <c r="AA183" s="418"/>
      <c r="AB183" s="418"/>
      <c r="AC183" s="418"/>
      <c r="AD183" s="418"/>
      <c r="AE183" s="418"/>
      <c r="AF183" s="418"/>
      <c r="AG183" s="418"/>
      <c r="AH183" s="418"/>
      <c r="AI183" s="418"/>
      <c r="AJ183" s="418"/>
      <c r="AK183" s="339"/>
      <c r="AL183" s="339"/>
      <c r="AM183" s="339"/>
      <c r="AN183" s="339"/>
      <c r="AO183" s="339"/>
      <c r="AP183" s="339"/>
      <c r="AQ183" s="339"/>
      <c r="AR183" s="339"/>
      <c r="AS183" s="339"/>
      <c r="AT183" s="339"/>
      <c r="AU183" s="339"/>
      <c r="AV183" s="339"/>
      <c r="AW183" s="339"/>
      <c r="AX183" s="339"/>
      <c r="AY183" s="339"/>
      <c r="AZ183" s="339"/>
      <c r="BA183" s="339"/>
      <c r="BB183" s="339"/>
      <c r="BC183" s="339"/>
      <c r="BD183" s="339" t="s">
        <v>2932</v>
      </c>
      <c r="BE183" s="339" t="s">
        <v>2932</v>
      </c>
      <c r="BF183" s="339">
        <v>0</v>
      </c>
      <c r="BG183" s="339">
        <v>0</v>
      </c>
      <c r="BH183" s="339">
        <v>0</v>
      </c>
      <c r="BI183" s="339">
        <v>0</v>
      </c>
      <c r="BJ183" s="339">
        <v>0</v>
      </c>
      <c r="BK183" s="339">
        <v>0</v>
      </c>
      <c r="BL183" s="339">
        <v>0</v>
      </c>
      <c r="BM183" s="339">
        <v>0</v>
      </c>
      <c r="BN183" s="339">
        <v>0</v>
      </c>
      <c r="BO183" s="339">
        <v>0</v>
      </c>
      <c r="BP183" s="339">
        <v>0</v>
      </c>
      <c r="BQ183" s="339">
        <v>0</v>
      </c>
      <c r="BR183" s="339">
        <v>0</v>
      </c>
      <c r="BS183" s="110" t="e">
        <f t="array" aca="1" ref="BS183" ca="1">_xludf.XLOOKUP(D183,'PL TOTAL D0'!N:N,'PL TOTAL D0'!P:P,"")</f>
        <v>#NAME?</v>
      </c>
      <c r="BT183" s="110"/>
    </row>
    <row r="184" spans="1:72" ht="15.75" customHeight="1">
      <c r="A184" s="122" t="s">
        <v>3785</v>
      </c>
      <c r="B184" s="104" t="s">
        <v>1164</v>
      </c>
      <c r="C184" s="390" t="s">
        <v>4355</v>
      </c>
      <c r="D184" s="299">
        <v>8461167</v>
      </c>
      <c r="E184" s="293" t="s">
        <v>19</v>
      </c>
      <c r="F184" s="293" t="s">
        <v>49</v>
      </c>
      <c r="G184" s="299" t="s">
        <v>3983</v>
      </c>
      <c r="H184" s="293">
        <f>IFERROR(VLOOKUP(G184,'Cadastro de assessores'!A:B,2,FALSE),"Não Cadastrado")</f>
        <v>12351</v>
      </c>
      <c r="I184" s="293"/>
      <c r="J184" s="24" t="s">
        <v>3788</v>
      </c>
      <c r="K184" s="293" t="s">
        <v>152</v>
      </c>
      <c r="L184" s="416">
        <v>44690</v>
      </c>
      <c r="M184" s="416">
        <v>44694</v>
      </c>
      <c r="N184" s="299"/>
      <c r="O184" s="299" t="s">
        <v>3805</v>
      </c>
      <c r="P184" s="388">
        <v>1.2E-2</v>
      </c>
      <c r="Q184" s="420"/>
      <c r="R184" s="417"/>
      <c r="S184" s="292" t="str">
        <f t="shared" ref="S184:S188" si="17">IF(BC184&lt;=0,"",IF(BC184&lt;=1000000,"Não Qualificado",IF(AND(BC184&gt;1000000,BC184&lt;=10000000),"Qualificado","Profissional")))</f>
        <v>Não Qualificado</v>
      </c>
      <c r="T184" s="292" t="s">
        <v>145</v>
      </c>
      <c r="U184" s="292" t="s">
        <v>3841</v>
      </c>
      <c r="V184" s="292" t="s">
        <v>49</v>
      </c>
      <c r="W184" s="418"/>
      <c r="X184" s="418"/>
      <c r="Y184" s="418"/>
      <c r="Z184" s="418"/>
      <c r="AA184" s="418"/>
      <c r="AB184" s="418"/>
      <c r="AC184" s="418"/>
      <c r="AD184" s="418"/>
      <c r="AE184" s="418"/>
      <c r="AF184" s="418"/>
      <c r="AG184" s="418"/>
      <c r="AH184" s="418"/>
      <c r="AI184" s="418"/>
      <c r="AJ184" s="418"/>
      <c r="AK184" s="339"/>
      <c r="AL184" s="339"/>
      <c r="AM184" s="339"/>
      <c r="AN184" s="339"/>
      <c r="AO184" s="339"/>
      <c r="AP184" s="339"/>
      <c r="AQ184" s="339"/>
      <c r="AR184" s="339"/>
      <c r="AS184" s="339"/>
      <c r="AT184" s="339"/>
      <c r="AU184" s="339"/>
      <c r="AV184" s="339"/>
      <c r="AW184" s="339"/>
      <c r="AX184" s="339"/>
      <c r="AY184" s="339"/>
      <c r="AZ184" s="339"/>
      <c r="BA184" s="339"/>
      <c r="BB184" s="339"/>
      <c r="BC184" s="339">
        <v>36058.300000000003</v>
      </c>
      <c r="BD184" s="339">
        <v>40142.11</v>
      </c>
      <c r="BE184" s="339">
        <v>40154.21</v>
      </c>
      <c r="BF184" s="339">
        <v>40646.33</v>
      </c>
      <c r="BG184" s="339">
        <v>40906.905070000001</v>
      </c>
      <c r="BH184" s="339">
        <v>41248.5</v>
      </c>
      <c r="BI184" s="339">
        <v>42112.480000000003</v>
      </c>
      <c r="BJ184" s="339">
        <v>42091.07</v>
      </c>
      <c r="BK184" s="339">
        <v>42447.95</v>
      </c>
      <c r="BL184" s="339">
        <v>42877.01</v>
      </c>
      <c r="BM184" s="339">
        <v>21306.22</v>
      </c>
      <c r="BN184" s="339">
        <v>1.83</v>
      </c>
      <c r="BO184" s="339">
        <v>17.72</v>
      </c>
      <c r="BP184" s="339">
        <v>17.72</v>
      </c>
      <c r="BQ184" s="339">
        <v>17.72</v>
      </c>
      <c r="BR184" s="339">
        <v>0.72</v>
      </c>
      <c r="BS184" s="110" t="e">
        <f t="array" aca="1" ref="BS184" ca="1">_xludf.XLOOKUP(D184,'PL TOTAL D0'!N:N,'PL TOTAL D0'!P:P,"")</f>
        <v>#NAME?</v>
      </c>
      <c r="BT184" s="110"/>
    </row>
    <row r="185" spans="1:72" ht="15.75" customHeight="1">
      <c r="A185" s="122" t="s">
        <v>3785</v>
      </c>
      <c r="B185" s="104" t="s">
        <v>4356</v>
      </c>
      <c r="C185" s="122" t="s">
        <v>4357</v>
      </c>
      <c r="D185" s="292">
        <v>4696470</v>
      </c>
      <c r="E185" s="293" t="s">
        <v>64</v>
      </c>
      <c r="F185" s="293" t="s">
        <v>20</v>
      </c>
      <c r="G185" s="293" t="s">
        <v>73</v>
      </c>
      <c r="H185" s="293" t="str">
        <f>IFERROR(VLOOKUP(G185,'Cadastro de assessores'!A:B,2,FALSE),"Não Cadastrado")</f>
        <v>17243</v>
      </c>
      <c r="I185" s="293"/>
      <c r="J185" s="24" t="s">
        <v>3788</v>
      </c>
      <c r="K185" s="292" t="s">
        <v>161</v>
      </c>
      <c r="L185" s="416">
        <v>44193</v>
      </c>
      <c r="M185" s="416">
        <v>44195</v>
      </c>
      <c r="N185" s="292"/>
      <c r="O185" s="292" t="s">
        <v>3805</v>
      </c>
      <c r="P185" s="388">
        <v>1.2E-2</v>
      </c>
      <c r="Q185" s="420"/>
      <c r="R185" s="417"/>
      <c r="S185" s="292" t="str">
        <f t="shared" si="17"/>
        <v>Não Qualificado</v>
      </c>
      <c r="T185" s="292" t="s">
        <v>145</v>
      </c>
      <c r="U185" s="292" t="s">
        <v>3797</v>
      </c>
      <c r="V185" s="292" t="s">
        <v>20</v>
      </c>
      <c r="W185" s="418" t="s">
        <v>3798</v>
      </c>
      <c r="X185" s="418" t="s">
        <v>3798</v>
      </c>
      <c r="Y185" s="418" t="s">
        <v>3798</v>
      </c>
      <c r="Z185" s="418" t="s">
        <v>3798</v>
      </c>
      <c r="AA185" s="418" t="s">
        <v>3798</v>
      </c>
      <c r="AB185" s="418" t="s">
        <v>3798</v>
      </c>
      <c r="AC185" s="418" t="s">
        <v>3798</v>
      </c>
      <c r="AD185" s="418" t="s">
        <v>3798</v>
      </c>
      <c r="AE185" s="418" t="s">
        <v>3798</v>
      </c>
      <c r="AF185" s="418" t="s">
        <v>3798</v>
      </c>
      <c r="AG185" s="418" t="s">
        <v>3798</v>
      </c>
      <c r="AH185" s="418" t="s">
        <v>3798</v>
      </c>
      <c r="AI185" s="418" t="s">
        <v>3798</v>
      </c>
      <c r="AJ185" s="418" t="s">
        <v>3798</v>
      </c>
      <c r="AK185" s="339">
        <v>330663.71000000002</v>
      </c>
      <c r="AL185" s="339">
        <v>327919.39</v>
      </c>
      <c r="AM185" s="339">
        <v>324320.46999999997</v>
      </c>
      <c r="AN185" s="339">
        <v>324101.44</v>
      </c>
      <c r="AO185" s="339">
        <v>328583.39</v>
      </c>
      <c r="AP185" s="339">
        <v>104.99</v>
      </c>
      <c r="AQ185" s="339">
        <v>104.99</v>
      </c>
      <c r="AR185" s="339">
        <v>105</v>
      </c>
      <c r="AS185" s="339">
        <v>107.77</v>
      </c>
      <c r="AT185" s="339">
        <v>107.55</v>
      </c>
      <c r="AU185" s="339">
        <v>107.33</v>
      </c>
      <c r="AV185" s="339">
        <v>56.06</v>
      </c>
      <c r="AW185" s="339">
        <v>106.92</v>
      </c>
      <c r="AX185" s="339">
        <v>106.72</v>
      </c>
      <c r="AY185" s="339">
        <v>50.62</v>
      </c>
      <c r="AZ185" s="339">
        <v>50.62</v>
      </c>
      <c r="BA185" s="339">
        <v>50.62</v>
      </c>
      <c r="BB185" s="339">
        <v>50.62</v>
      </c>
      <c r="BC185" s="339">
        <v>90375.06</v>
      </c>
      <c r="BD185" s="339">
        <v>51.81</v>
      </c>
      <c r="BE185" s="339">
        <v>51.81</v>
      </c>
      <c r="BF185" s="339">
        <v>51.82</v>
      </c>
      <c r="BG185" s="339">
        <v>51.82</v>
      </c>
      <c r="BH185" s="339">
        <v>51.82</v>
      </c>
      <c r="BI185" s="339">
        <v>51.82</v>
      </c>
      <c r="BJ185" s="339">
        <v>51.82</v>
      </c>
      <c r="BK185" s="339">
        <v>51.82</v>
      </c>
      <c r="BL185" s="339">
        <v>51.82</v>
      </c>
      <c r="BM185" s="339">
        <v>51.82</v>
      </c>
      <c r="BN185" s="339">
        <v>51.82</v>
      </c>
      <c r="BO185" s="339">
        <v>51.82</v>
      </c>
      <c r="BP185" s="339">
        <v>51.82</v>
      </c>
      <c r="BQ185" s="339">
        <v>51.82</v>
      </c>
      <c r="BR185" s="339">
        <v>51.82</v>
      </c>
      <c r="BS185" s="110" t="e">
        <f t="array" aca="1" ref="BS185" ca="1">_xludf.XLOOKUP(D185,'PL TOTAL D0'!N:N,'PL TOTAL D0'!P:P,"")</f>
        <v>#NAME?</v>
      </c>
      <c r="BT185" s="110"/>
    </row>
    <row r="186" spans="1:72" ht="15.75" customHeight="1">
      <c r="A186" s="122" t="s">
        <v>3785</v>
      </c>
      <c r="B186" s="104" t="s">
        <v>4358</v>
      </c>
      <c r="C186" s="390" t="s">
        <v>4359</v>
      </c>
      <c r="D186" s="299">
        <v>4929433</v>
      </c>
      <c r="E186" s="293" t="s">
        <v>19</v>
      </c>
      <c r="F186" s="293" t="s">
        <v>20</v>
      </c>
      <c r="G186" s="293" t="s">
        <v>4360</v>
      </c>
      <c r="H186" s="293" t="str">
        <f>IFERROR(VLOOKUP(G186,'Cadastro de assessores'!A:B,2,FALSE),"Não Cadastrado")</f>
        <v>1633</v>
      </c>
      <c r="I186" s="293"/>
      <c r="J186" s="24" t="s">
        <v>3788</v>
      </c>
      <c r="K186" s="292" t="s">
        <v>3147</v>
      </c>
      <c r="L186" s="292" t="s">
        <v>3147</v>
      </c>
      <c r="M186" s="436" t="s">
        <v>3638</v>
      </c>
      <c r="N186" s="299"/>
      <c r="O186" s="299" t="s">
        <v>3842</v>
      </c>
      <c r="P186" s="388">
        <v>8.0000000000000002E-3</v>
      </c>
      <c r="Q186" s="167"/>
      <c r="R186" s="417"/>
      <c r="S186" s="292" t="str">
        <f t="shared" si="17"/>
        <v>Não Qualificado</v>
      </c>
      <c r="T186" s="292" t="s">
        <v>145</v>
      </c>
      <c r="U186" s="292" t="s">
        <v>3797</v>
      </c>
      <c r="V186" s="292" t="s">
        <v>20</v>
      </c>
      <c r="W186" s="350"/>
      <c r="X186" s="350"/>
      <c r="Y186" s="350"/>
      <c r="Z186" s="350"/>
      <c r="AA186" s="350"/>
      <c r="AB186" s="350"/>
      <c r="AC186" s="350"/>
      <c r="AD186" s="350"/>
      <c r="AE186" s="350"/>
      <c r="AF186" s="350"/>
      <c r="AG186" s="350"/>
      <c r="AH186" s="350"/>
      <c r="AI186" s="350"/>
      <c r="AJ186" s="350"/>
      <c r="AK186" s="339"/>
      <c r="AL186" s="339"/>
      <c r="AM186" s="339"/>
      <c r="AN186" s="339"/>
      <c r="AO186" s="339"/>
      <c r="AP186" s="339"/>
      <c r="AQ186" s="350"/>
      <c r="AR186" s="340"/>
      <c r="AS186" s="339"/>
      <c r="AT186" s="339"/>
      <c r="AU186" s="339"/>
      <c r="AV186" s="339"/>
      <c r="AW186" s="339"/>
      <c r="AX186" s="339"/>
      <c r="AY186" s="339"/>
      <c r="AZ186" s="339"/>
      <c r="BA186" s="339">
        <v>0</v>
      </c>
      <c r="BB186" s="339">
        <v>0</v>
      </c>
      <c r="BC186" s="339">
        <v>96206.97</v>
      </c>
      <c r="BD186" s="339" t="s">
        <v>2932</v>
      </c>
      <c r="BE186" s="339" t="s">
        <v>2932</v>
      </c>
      <c r="BF186" s="339">
        <v>0</v>
      </c>
      <c r="BG186" s="339">
        <v>0</v>
      </c>
      <c r="BH186" s="339">
        <v>0</v>
      </c>
      <c r="BI186" s="339">
        <v>0</v>
      </c>
      <c r="BJ186" s="339">
        <v>0</v>
      </c>
      <c r="BK186" s="339">
        <v>0</v>
      </c>
      <c r="BL186" s="339">
        <v>0</v>
      </c>
      <c r="BM186" s="339">
        <v>0</v>
      </c>
      <c r="BN186" s="339">
        <v>0</v>
      </c>
      <c r="BO186" s="339">
        <v>0</v>
      </c>
      <c r="BP186" s="339">
        <v>0</v>
      </c>
      <c r="BQ186" s="339">
        <v>0</v>
      </c>
      <c r="BR186" s="339">
        <v>0</v>
      </c>
      <c r="BS186" s="110" t="e">
        <f t="array" aca="1" ref="BS186" ca="1">_xludf.XLOOKUP(D186,'PL TOTAL D0'!N:N,'PL TOTAL D0'!P:P,"")</f>
        <v>#NAME?</v>
      </c>
      <c r="BT186" s="110"/>
    </row>
    <row r="187" spans="1:72" ht="15.75" customHeight="1">
      <c r="A187" s="122" t="s">
        <v>3785</v>
      </c>
      <c r="B187" s="104" t="s">
        <v>4361</v>
      </c>
      <c r="C187" s="390" t="s">
        <v>4362</v>
      </c>
      <c r="D187" s="299">
        <v>38592</v>
      </c>
      <c r="E187" s="292" t="s">
        <v>64</v>
      </c>
      <c r="F187" s="292" t="s">
        <v>20</v>
      </c>
      <c r="G187" s="292" t="s">
        <v>4363</v>
      </c>
      <c r="H187" s="292" t="str">
        <f>IFERROR(VLOOKUP(G187,'Cadastro de assessores'!A:B,2,FALSE),"Não Cadastrado")</f>
        <v>11113</v>
      </c>
      <c r="I187" s="292"/>
      <c r="J187" s="24" t="s">
        <v>143</v>
      </c>
      <c r="K187" s="292" t="s">
        <v>3794</v>
      </c>
      <c r="L187" s="387">
        <v>44407</v>
      </c>
      <c r="M187" s="387">
        <v>44407</v>
      </c>
      <c r="N187" s="447">
        <v>44516</v>
      </c>
      <c r="O187" s="299" t="s">
        <v>3795</v>
      </c>
      <c r="P187" s="388">
        <v>1.4999999999999999E-2</v>
      </c>
      <c r="Q187" s="167" t="s">
        <v>4364</v>
      </c>
      <c r="R187" s="417"/>
      <c r="S187" s="292" t="str">
        <f t="shared" si="17"/>
        <v>Não Qualificado</v>
      </c>
      <c r="T187" s="292" t="s">
        <v>145</v>
      </c>
      <c r="U187" s="299" t="s">
        <v>4178</v>
      </c>
      <c r="V187" s="299" t="s">
        <v>20</v>
      </c>
      <c r="W187" s="350"/>
      <c r="X187" s="350"/>
      <c r="Y187" s="350"/>
      <c r="Z187" s="350"/>
      <c r="AA187" s="350"/>
      <c r="AB187" s="350"/>
      <c r="AC187" s="350"/>
      <c r="AD187" s="350"/>
      <c r="AE187" s="350"/>
      <c r="AF187" s="350"/>
      <c r="AG187" s="350"/>
      <c r="AH187" s="350"/>
      <c r="AI187" s="339"/>
      <c r="AJ187" s="339"/>
      <c r="AK187" s="339"/>
      <c r="AL187" s="339"/>
      <c r="AM187" s="339"/>
      <c r="AN187" s="339"/>
      <c r="AO187" s="350"/>
      <c r="AP187" s="340"/>
      <c r="AQ187" s="339"/>
      <c r="AR187" s="350"/>
      <c r="AS187" s="350"/>
      <c r="AT187" s="340">
        <v>98440.45</v>
      </c>
      <c r="AU187" s="340">
        <v>95789.2</v>
      </c>
      <c r="AV187" s="339">
        <v>94545.98</v>
      </c>
      <c r="AW187" s="339">
        <v>91589.07</v>
      </c>
      <c r="AX187" s="339"/>
      <c r="AY187" s="339"/>
      <c r="AZ187" s="339"/>
      <c r="BA187" s="339">
        <v>0</v>
      </c>
      <c r="BB187" s="339">
        <v>0</v>
      </c>
      <c r="BC187" s="339">
        <v>197238.58</v>
      </c>
      <c r="BD187" s="339" t="s">
        <v>2932</v>
      </c>
      <c r="BE187" s="339" t="s">
        <v>2932</v>
      </c>
      <c r="BF187" s="339">
        <v>0</v>
      </c>
      <c r="BG187" s="339">
        <v>0</v>
      </c>
      <c r="BH187" s="339">
        <v>0</v>
      </c>
      <c r="BI187" s="339">
        <v>0</v>
      </c>
      <c r="BJ187" s="339">
        <v>0</v>
      </c>
      <c r="BK187" s="339">
        <v>0</v>
      </c>
      <c r="BL187" s="339">
        <v>0</v>
      </c>
      <c r="BM187" s="339">
        <v>0</v>
      </c>
      <c r="BN187" s="339">
        <v>0</v>
      </c>
      <c r="BO187" s="339">
        <v>0</v>
      </c>
      <c r="BP187" s="339">
        <v>0</v>
      </c>
      <c r="BQ187" s="339">
        <v>0</v>
      </c>
      <c r="BR187" s="339">
        <v>0</v>
      </c>
      <c r="BS187" s="110" t="e">
        <f t="array" aca="1" ref="BS187" ca="1">_xludf.XLOOKUP(D187,'PL TOTAL D0'!N:N,'PL TOTAL D0'!P:P,"")</f>
        <v>#NAME?</v>
      </c>
      <c r="BT187" s="110"/>
    </row>
    <row r="188" spans="1:72" ht="15.75" customHeight="1">
      <c r="A188" s="122" t="s">
        <v>3785</v>
      </c>
      <c r="B188" s="104" t="s">
        <v>1187</v>
      </c>
      <c r="C188" s="122" t="s">
        <v>1184</v>
      </c>
      <c r="D188" s="292">
        <v>4568576</v>
      </c>
      <c r="E188" s="293" t="s">
        <v>64</v>
      </c>
      <c r="F188" s="293" t="s">
        <v>20</v>
      </c>
      <c r="G188" s="293" t="s">
        <v>4104</v>
      </c>
      <c r="H188" s="293" t="str">
        <f>IFERROR(VLOOKUP(G188,'Cadastro de assessores'!A:B,2,FALSE),"Não Cadastrado")</f>
        <v>19157</v>
      </c>
      <c r="I188" s="293"/>
      <c r="J188" s="24" t="s">
        <v>3788</v>
      </c>
      <c r="K188" s="292" t="s">
        <v>152</v>
      </c>
      <c r="L188" s="416">
        <v>44138</v>
      </c>
      <c r="M188" s="416">
        <v>44145</v>
      </c>
      <c r="N188" s="299"/>
      <c r="O188" s="299" t="s">
        <v>3789</v>
      </c>
      <c r="P188" s="388">
        <v>0.02</v>
      </c>
      <c r="Q188" s="420" t="s">
        <v>4365</v>
      </c>
      <c r="R188" s="417"/>
      <c r="S188" s="292" t="str">
        <f t="shared" si="17"/>
        <v/>
      </c>
      <c r="T188" s="292" t="s">
        <v>145</v>
      </c>
      <c r="U188" s="292" t="s">
        <v>4094</v>
      </c>
      <c r="V188" s="292" t="s">
        <v>46</v>
      </c>
      <c r="W188" s="418" t="s">
        <v>3798</v>
      </c>
      <c r="X188" s="418" t="s">
        <v>3798</v>
      </c>
      <c r="Y188" s="418" t="s">
        <v>3798</v>
      </c>
      <c r="Z188" s="418" t="s">
        <v>3798</v>
      </c>
      <c r="AA188" s="418" t="s">
        <v>3798</v>
      </c>
      <c r="AB188" s="418" t="s">
        <v>3798</v>
      </c>
      <c r="AC188" s="418" t="s">
        <v>3798</v>
      </c>
      <c r="AD188" s="418" t="s">
        <v>3798</v>
      </c>
      <c r="AE188" s="418" t="s">
        <v>3798</v>
      </c>
      <c r="AF188" s="418" t="s">
        <v>3798</v>
      </c>
      <c r="AG188" s="418" t="s">
        <v>3798</v>
      </c>
      <c r="AH188" s="418" t="s">
        <v>3798</v>
      </c>
      <c r="AI188" s="418" t="s">
        <v>3798</v>
      </c>
      <c r="AJ188" s="418" t="s">
        <v>4366</v>
      </c>
      <c r="AK188" s="339">
        <v>162899.53</v>
      </c>
      <c r="AL188" s="339">
        <v>159876.14000000001</v>
      </c>
      <c r="AM188" s="339">
        <v>198929.44</v>
      </c>
      <c r="AN188" s="339">
        <v>198512.77</v>
      </c>
      <c r="AO188" s="339">
        <v>134271.19</v>
      </c>
      <c r="AP188" s="339">
        <v>135980.59</v>
      </c>
      <c r="AQ188" s="339">
        <v>134736.41</v>
      </c>
      <c r="AR188" s="339">
        <v>140789.13</v>
      </c>
      <c r="AS188" s="339">
        <v>129898.4</v>
      </c>
      <c r="AT188" s="339">
        <v>78745.34</v>
      </c>
      <c r="AU188" s="339">
        <v>78615.02</v>
      </c>
      <c r="AV188" s="339">
        <v>65210.43</v>
      </c>
      <c r="AW188" s="339">
        <v>60826.239999999998</v>
      </c>
      <c r="AX188" s="339">
        <v>55218.080000000002</v>
      </c>
      <c r="AY188" s="339">
        <v>46001.82</v>
      </c>
      <c r="AZ188" s="339">
        <v>43601.120000000003</v>
      </c>
      <c r="BA188" s="339">
        <v>22282.23</v>
      </c>
      <c r="BB188" s="339">
        <v>19520.25</v>
      </c>
      <c r="BC188" s="339"/>
      <c r="BD188" s="339">
        <v>3277.2</v>
      </c>
      <c r="BE188" s="339">
        <v>156.59</v>
      </c>
      <c r="BF188" s="339">
        <v>156.6</v>
      </c>
      <c r="BG188" s="339">
        <v>156.61000000000001</v>
      </c>
      <c r="BH188" s="339">
        <v>156.61000000000001</v>
      </c>
      <c r="BI188" s="339">
        <v>156.61000000000001</v>
      </c>
      <c r="BJ188" s="339">
        <v>0</v>
      </c>
      <c r="BK188" s="339">
        <v>0</v>
      </c>
      <c r="BL188" s="339">
        <v>0</v>
      </c>
      <c r="BM188" s="339">
        <v>0</v>
      </c>
      <c r="BN188" s="339">
        <v>0</v>
      </c>
      <c r="BO188" s="339">
        <v>0</v>
      </c>
      <c r="BP188" s="339">
        <v>0</v>
      </c>
      <c r="BQ188" s="339">
        <v>0</v>
      </c>
      <c r="BR188" s="339">
        <v>0</v>
      </c>
      <c r="BS188" s="110" t="e">
        <f t="array" aca="1" ref="BS188" ca="1">_xludf.XLOOKUP(D188,'PL TOTAL D0'!N:N,'PL TOTAL D0'!P:P,"")</f>
        <v>#NAME?</v>
      </c>
      <c r="BT188" s="110"/>
    </row>
    <row r="189" spans="1:72" ht="15.75" customHeight="1">
      <c r="A189" s="122" t="s">
        <v>3785</v>
      </c>
      <c r="B189" s="104" t="s">
        <v>4367</v>
      </c>
      <c r="C189" s="122" t="s">
        <v>4368</v>
      </c>
      <c r="D189" s="292">
        <v>2089993</v>
      </c>
      <c r="E189" s="293" t="s">
        <v>19</v>
      </c>
      <c r="F189" s="293" t="s">
        <v>20</v>
      </c>
      <c r="G189" s="293" t="s">
        <v>2955</v>
      </c>
      <c r="H189" s="292" t="str">
        <f>IFERROR(VLOOKUP(G189,'Cadastro de assessores'!A:B,2,FALSE),"Não Cadastrado")</f>
        <v>18836</v>
      </c>
      <c r="I189" s="293"/>
      <c r="J189" s="24" t="s">
        <v>3788</v>
      </c>
      <c r="K189" s="293"/>
      <c r="L189" s="415"/>
      <c r="M189" s="415"/>
      <c r="N189" s="292"/>
      <c r="O189" s="292" t="s">
        <v>3802</v>
      </c>
      <c r="P189" s="388">
        <v>0.01</v>
      </c>
      <c r="Q189" s="420"/>
      <c r="R189" s="417"/>
      <c r="S189" s="292"/>
      <c r="T189" s="292"/>
      <c r="U189" s="292"/>
      <c r="V189" s="292" t="s">
        <v>886</v>
      </c>
      <c r="W189" s="418"/>
      <c r="X189" s="418"/>
      <c r="Y189" s="418"/>
      <c r="Z189" s="418"/>
      <c r="AA189" s="418"/>
      <c r="AB189" s="418"/>
      <c r="AC189" s="418"/>
      <c r="AD189" s="418"/>
      <c r="AE189" s="418"/>
      <c r="AF189" s="418"/>
      <c r="AG189" s="418"/>
      <c r="AH189" s="418"/>
      <c r="AI189" s="418"/>
      <c r="AJ189" s="418"/>
      <c r="AK189" s="339"/>
      <c r="AL189" s="339"/>
      <c r="AM189" s="339"/>
      <c r="AN189" s="339"/>
      <c r="AO189" s="339"/>
      <c r="AP189" s="339"/>
      <c r="AQ189" s="339"/>
      <c r="AR189" s="339"/>
      <c r="AS189" s="339"/>
      <c r="AT189" s="339"/>
      <c r="AU189" s="339"/>
      <c r="AV189" s="339"/>
      <c r="AW189" s="339"/>
      <c r="AX189" s="339"/>
      <c r="AY189" s="339"/>
      <c r="AZ189" s="339"/>
      <c r="BA189" s="339"/>
      <c r="BB189" s="339"/>
      <c r="BC189" s="339"/>
      <c r="BD189" s="339"/>
      <c r="BE189" s="339"/>
      <c r="BF189" s="339"/>
      <c r="BG189" s="339"/>
      <c r="BH189" s="339">
        <v>0</v>
      </c>
      <c r="BI189" s="339">
        <v>39488.76</v>
      </c>
      <c r="BJ189" s="339">
        <v>39890.480000000003</v>
      </c>
      <c r="BK189" s="339">
        <v>40296.49</v>
      </c>
      <c r="BL189" s="339">
        <v>40154.92</v>
      </c>
      <c r="BM189" s="339">
        <v>40537.74</v>
      </c>
      <c r="BN189" s="339">
        <v>39968.639999999999</v>
      </c>
      <c r="BO189" s="339">
        <v>40163.730000000003</v>
      </c>
      <c r="BP189" s="339">
        <v>3153.5</v>
      </c>
      <c r="BQ189" s="339">
        <v>105.9</v>
      </c>
      <c r="BR189" s="339">
        <v>0</v>
      </c>
      <c r="BS189" s="110" t="e">
        <f t="array" aca="1" ref="BS189" ca="1">_xludf.XLOOKUP(D189,'PL TOTAL D0'!N:N,'PL TOTAL D0'!P:P,"")</f>
        <v>#NAME?</v>
      </c>
      <c r="BT189" s="110"/>
    </row>
    <row r="190" spans="1:72" ht="15.75" customHeight="1">
      <c r="A190" s="122" t="s">
        <v>3785</v>
      </c>
      <c r="B190" s="104" t="s">
        <v>4369</v>
      </c>
      <c r="C190" s="390" t="s">
        <v>4370</v>
      </c>
      <c r="D190" s="299">
        <v>5907461</v>
      </c>
      <c r="E190" s="292" t="s">
        <v>19</v>
      </c>
      <c r="F190" s="292" t="s">
        <v>20</v>
      </c>
      <c r="G190" s="292" t="s">
        <v>3683</v>
      </c>
      <c r="H190" s="292" t="str">
        <f>IFERROR(VLOOKUP(G190,'Cadastro de assessores'!A:B,2,FALSE),"Não Cadastrado")</f>
        <v>18266</v>
      </c>
      <c r="I190" s="292"/>
      <c r="J190" s="24" t="s">
        <v>143</v>
      </c>
      <c r="K190" s="292" t="s">
        <v>3794</v>
      </c>
      <c r="L190" s="387">
        <v>44405</v>
      </c>
      <c r="M190" s="387">
        <v>44405</v>
      </c>
      <c r="N190" s="391">
        <v>44677</v>
      </c>
      <c r="O190" s="299" t="s">
        <v>3809</v>
      </c>
      <c r="P190" s="388">
        <v>2.5000000000000001E-2</v>
      </c>
      <c r="Q190" s="167" t="s">
        <v>4371</v>
      </c>
      <c r="R190" s="417"/>
      <c r="S190" s="292" t="str">
        <f>IF(BC190&lt;=0,"",IF(BC190&lt;=1000000,"Não Qualificado",IF(AND(BC190&gt;1000000,BC190&lt;=10000000),"Qualificado","Profissional")))</f>
        <v>Não Qualificado</v>
      </c>
      <c r="T190" s="292" t="s">
        <v>145</v>
      </c>
      <c r="U190" s="299" t="s">
        <v>4049</v>
      </c>
      <c r="V190" s="299" t="s">
        <v>886</v>
      </c>
      <c r="W190" s="350"/>
      <c r="X190" s="350"/>
      <c r="Y190" s="350"/>
      <c r="Z190" s="350"/>
      <c r="AA190" s="350"/>
      <c r="AB190" s="350"/>
      <c r="AC190" s="350"/>
      <c r="AD190" s="350"/>
      <c r="AE190" s="350"/>
      <c r="AF190" s="350"/>
      <c r="AG190" s="350"/>
      <c r="AH190" s="350"/>
      <c r="AI190" s="350"/>
      <c r="AJ190" s="339"/>
      <c r="AK190" s="339"/>
      <c r="AL190" s="339"/>
      <c r="AM190" s="339"/>
      <c r="AN190" s="339"/>
      <c r="AO190" s="339"/>
      <c r="AP190" s="350"/>
      <c r="AQ190" s="340"/>
      <c r="AR190" s="339"/>
      <c r="AS190" s="350"/>
      <c r="AT190" s="340">
        <v>125235.44</v>
      </c>
      <c r="AU190" s="340">
        <v>127171.85</v>
      </c>
      <c r="AV190" s="339">
        <v>119921.88</v>
      </c>
      <c r="AW190" s="339">
        <v>110341.45</v>
      </c>
      <c r="AX190" s="339">
        <v>109040.25</v>
      </c>
      <c r="AY190" s="339">
        <v>111150.09</v>
      </c>
      <c r="AZ190" s="339">
        <v>118162.63</v>
      </c>
      <c r="BA190" s="339">
        <v>119585.83</v>
      </c>
      <c r="BB190" s="339">
        <v>126794.66</v>
      </c>
      <c r="BC190" s="339">
        <v>99207.37</v>
      </c>
      <c r="BD190" s="339" t="s">
        <v>2932</v>
      </c>
      <c r="BE190" s="339" t="s">
        <v>2932</v>
      </c>
      <c r="BF190" s="339">
        <v>0</v>
      </c>
      <c r="BG190" s="339">
        <v>0</v>
      </c>
      <c r="BH190" s="339">
        <v>0</v>
      </c>
      <c r="BI190" s="339">
        <v>0</v>
      </c>
      <c r="BJ190" s="339">
        <v>0</v>
      </c>
      <c r="BK190" s="339">
        <v>0</v>
      </c>
      <c r="BL190" s="339">
        <v>0</v>
      </c>
      <c r="BM190" s="339">
        <v>0</v>
      </c>
      <c r="BN190" s="339">
        <v>0</v>
      </c>
      <c r="BO190" s="339">
        <v>0</v>
      </c>
      <c r="BP190" s="339">
        <v>0</v>
      </c>
      <c r="BQ190" s="339">
        <v>0</v>
      </c>
      <c r="BR190" s="339">
        <v>0</v>
      </c>
      <c r="BS190" s="110" t="e">
        <f t="array" aca="1" ref="BS190" ca="1">_xludf.XLOOKUP(D190,'PL TOTAL D0'!N:N,'PL TOTAL D0'!P:P,"")</f>
        <v>#NAME?</v>
      </c>
      <c r="BT190" s="110"/>
    </row>
    <row r="191" spans="1:72" ht="15.75" customHeight="1">
      <c r="A191" s="122" t="s">
        <v>3785</v>
      </c>
      <c r="B191" s="104" t="s">
        <v>1199</v>
      </c>
      <c r="C191" s="122" t="s">
        <v>1197</v>
      </c>
      <c r="D191" s="292">
        <v>8699747</v>
      </c>
      <c r="E191" s="293" t="s">
        <v>19</v>
      </c>
      <c r="F191" s="293" t="s">
        <v>20</v>
      </c>
      <c r="G191" s="293" t="s">
        <v>372</v>
      </c>
      <c r="H191" s="292">
        <f>IFERROR(VLOOKUP(G191,'Cadastro de assessores'!A:B,2,FALSE),"Não Cadastrado")</f>
        <v>12359</v>
      </c>
      <c r="I191" s="292"/>
      <c r="J191" s="24" t="s">
        <v>3788</v>
      </c>
      <c r="K191" s="292" t="s">
        <v>152</v>
      </c>
      <c r="L191" s="415">
        <v>44776</v>
      </c>
      <c r="M191" s="415">
        <v>44778</v>
      </c>
      <c r="N191" s="292"/>
      <c r="O191" s="292" t="s">
        <v>3802</v>
      </c>
      <c r="P191" s="388">
        <v>7.0000000000000001E-3</v>
      </c>
      <c r="Q191" s="420"/>
      <c r="R191" s="417"/>
      <c r="S191" s="292"/>
      <c r="T191" s="292"/>
      <c r="U191" s="292"/>
      <c r="V191" s="292" t="s">
        <v>886</v>
      </c>
      <c r="W191" s="418"/>
      <c r="X191" s="418"/>
      <c r="Y191" s="418"/>
      <c r="Z191" s="418"/>
      <c r="AA191" s="418"/>
      <c r="AB191" s="418"/>
      <c r="AC191" s="418"/>
      <c r="AD191" s="418"/>
      <c r="AE191" s="418"/>
      <c r="AF191" s="418"/>
      <c r="AG191" s="418"/>
      <c r="AH191" s="418"/>
      <c r="AI191" s="418"/>
      <c r="AJ191" s="418"/>
      <c r="AK191" s="339"/>
      <c r="AL191" s="339"/>
      <c r="AM191" s="339"/>
      <c r="AN191" s="339"/>
      <c r="AO191" s="339"/>
      <c r="AP191" s="339"/>
      <c r="AQ191" s="339"/>
      <c r="AR191" s="339"/>
      <c r="AS191" s="339"/>
      <c r="AT191" s="339"/>
      <c r="AU191" s="339"/>
      <c r="AV191" s="339"/>
      <c r="AW191" s="339"/>
      <c r="AX191" s="339"/>
      <c r="AY191" s="339"/>
      <c r="AZ191" s="339"/>
      <c r="BA191" s="339"/>
      <c r="BB191" s="339"/>
      <c r="BC191" s="339"/>
      <c r="BD191" s="339"/>
      <c r="BE191" s="339"/>
      <c r="BF191" s="339">
        <v>0</v>
      </c>
      <c r="BG191" s="339">
        <v>9076.2031490000008</v>
      </c>
      <c r="BH191" s="339">
        <v>10663.75</v>
      </c>
      <c r="BI191" s="339">
        <v>14782.3</v>
      </c>
      <c r="BJ191" s="339">
        <v>17416.080000000002</v>
      </c>
      <c r="BK191" s="339">
        <v>27567.63</v>
      </c>
      <c r="BL191" s="339">
        <v>27873.01</v>
      </c>
      <c r="BM191" s="339">
        <v>28082.95</v>
      </c>
      <c r="BN191" s="339">
        <v>4472.43</v>
      </c>
      <c r="BO191" s="339">
        <v>444.51</v>
      </c>
      <c r="BP191" s="339">
        <v>444.51</v>
      </c>
      <c r="BQ191" s="339">
        <v>444.51</v>
      </c>
      <c r="BR191" s="339">
        <v>444.51</v>
      </c>
      <c r="BS191" s="110" t="e">
        <f t="array" aca="1" ref="BS191" ca="1">_xludf.XLOOKUP(D191,'PL TOTAL D0'!N:N,'PL TOTAL D0'!P:P,"")</f>
        <v>#NAME?</v>
      </c>
      <c r="BT191" s="110"/>
    </row>
    <row r="192" spans="1:72" ht="15.75" customHeight="1">
      <c r="A192" s="122" t="s">
        <v>3785</v>
      </c>
      <c r="B192" s="104" t="s">
        <v>4372</v>
      </c>
      <c r="C192" s="122" t="s">
        <v>4373</v>
      </c>
      <c r="D192" s="292">
        <v>4920156</v>
      </c>
      <c r="E192" s="293" t="s">
        <v>64</v>
      </c>
      <c r="F192" s="293" t="s">
        <v>20</v>
      </c>
      <c r="G192" s="293" t="s">
        <v>3862</v>
      </c>
      <c r="H192" s="293" t="str">
        <f>IFERROR(VLOOKUP(G192,'Cadastro de assessores'!A:B,2,FALSE),"Não Cadastrado")</f>
        <v>1298</v>
      </c>
      <c r="I192" s="293"/>
      <c r="J192" s="24" t="s">
        <v>143</v>
      </c>
      <c r="K192" s="293" t="s">
        <v>152</v>
      </c>
      <c r="L192" s="415">
        <v>44258</v>
      </c>
      <c r="M192" s="415">
        <v>44263</v>
      </c>
      <c r="N192" s="387">
        <v>44987</v>
      </c>
      <c r="O192" s="292" t="s">
        <v>3795</v>
      </c>
      <c r="P192" s="388">
        <v>1.4999999999999999E-2</v>
      </c>
      <c r="Q192" s="420" t="s">
        <v>4374</v>
      </c>
      <c r="R192" s="417"/>
      <c r="S192" s="292" t="str">
        <f>IF(BC192&lt;=0,"",IF(BC192&lt;=1000000,"Não Qualificado",IF(AND(BC192&gt;1000000,BC192&lt;=10000000),"Qualificado","Profissional")))</f>
        <v>Não Qualificado</v>
      </c>
      <c r="T192" s="292" t="s">
        <v>145</v>
      </c>
      <c r="U192" s="292" t="s">
        <v>3797</v>
      </c>
      <c r="V192" s="292" t="s">
        <v>20</v>
      </c>
      <c r="W192" s="418"/>
      <c r="X192" s="418"/>
      <c r="Y192" s="418"/>
      <c r="Z192" s="418"/>
      <c r="AA192" s="418"/>
      <c r="AB192" s="418"/>
      <c r="AC192" s="418"/>
      <c r="AD192" s="418"/>
      <c r="AE192" s="418"/>
      <c r="AF192" s="418"/>
      <c r="AG192" s="418"/>
      <c r="AH192" s="418"/>
      <c r="AI192" s="418"/>
      <c r="AJ192" s="418"/>
      <c r="AK192" s="339"/>
      <c r="AL192" s="339"/>
      <c r="AM192" s="339"/>
      <c r="AN192" s="339">
        <v>197755.01</v>
      </c>
      <c r="AO192" s="339">
        <v>204509.97</v>
      </c>
      <c r="AP192" s="339">
        <v>205824.31</v>
      </c>
      <c r="AQ192" s="339">
        <v>205087.85</v>
      </c>
      <c r="AR192" s="339">
        <v>209685.15</v>
      </c>
      <c r="AS192" s="339">
        <v>208293.18</v>
      </c>
      <c r="AT192" s="339">
        <v>204189.57</v>
      </c>
      <c r="AU192" s="339">
        <v>202979.1</v>
      </c>
      <c r="AV192" s="339">
        <v>197438.47</v>
      </c>
      <c r="AW192" s="339">
        <v>191217.6</v>
      </c>
      <c r="AX192" s="339">
        <v>181278.66</v>
      </c>
      <c r="AY192" s="339">
        <v>178538.54</v>
      </c>
      <c r="AZ192" s="339">
        <v>173366.31</v>
      </c>
      <c r="BA192" s="339">
        <v>175314.68</v>
      </c>
      <c r="BB192" s="339">
        <v>181217.19</v>
      </c>
      <c r="BC192" s="339">
        <v>11314.04</v>
      </c>
      <c r="BD192" s="339">
        <v>144375.16</v>
      </c>
      <c r="BE192" s="339">
        <v>128152.79</v>
      </c>
      <c r="BF192" s="339">
        <v>124878.29</v>
      </c>
      <c r="BG192" s="339">
        <v>99275.463180000006</v>
      </c>
      <c r="BH192" s="339">
        <v>84064.4</v>
      </c>
      <c r="BI192" s="339">
        <v>77554.240000000005</v>
      </c>
      <c r="BJ192" s="339">
        <v>76140.460000000006</v>
      </c>
      <c r="BK192" s="339">
        <v>80405.850000000006</v>
      </c>
      <c r="BL192" s="339">
        <v>81515.820000000007</v>
      </c>
      <c r="BM192" s="339">
        <v>82088.44</v>
      </c>
      <c r="BN192" s="339">
        <v>0</v>
      </c>
      <c r="BO192" s="339">
        <v>0</v>
      </c>
      <c r="BP192" s="339">
        <v>0</v>
      </c>
      <c r="BQ192" s="339">
        <v>0</v>
      </c>
      <c r="BR192" s="339">
        <v>0</v>
      </c>
      <c r="BS192" s="110" t="e">
        <f t="array" aca="1" ref="BS192" ca="1">_xludf.XLOOKUP(D192,'PL TOTAL D0'!N:N,'PL TOTAL D0'!P:P,"")</f>
        <v>#NAME?</v>
      </c>
      <c r="BT192" s="110"/>
    </row>
    <row r="193" spans="1:72" ht="15.75" customHeight="1">
      <c r="A193" s="122" t="s">
        <v>3785</v>
      </c>
      <c r="B193" s="104" t="s">
        <v>4375</v>
      </c>
      <c r="C193" s="122" t="s">
        <v>4376</v>
      </c>
      <c r="D193" s="319">
        <v>508722</v>
      </c>
      <c r="E193" s="293" t="s">
        <v>19</v>
      </c>
      <c r="F193" s="293" t="s">
        <v>20</v>
      </c>
      <c r="G193" s="293" t="s">
        <v>3337</v>
      </c>
      <c r="H193" s="293">
        <f>IFERROR(VLOOKUP(G193,'Cadastro de assessores'!A:B,2,FALSE),"Não Cadastrado")</f>
        <v>12355</v>
      </c>
      <c r="I193" s="293"/>
      <c r="J193" s="24" t="s">
        <v>3788</v>
      </c>
      <c r="K193" s="292" t="s">
        <v>161</v>
      </c>
      <c r="L193" s="293" t="s">
        <v>3147</v>
      </c>
      <c r="M193" s="436" t="s">
        <v>3638</v>
      </c>
      <c r="N193" s="292"/>
      <c r="O193" s="292" t="s">
        <v>3802</v>
      </c>
      <c r="P193" s="388">
        <v>7.0000000000000001E-3</v>
      </c>
      <c r="Q193" s="420"/>
      <c r="R193" s="417"/>
      <c r="S193" s="292"/>
      <c r="T193" s="292" t="s">
        <v>145</v>
      </c>
      <c r="U193" s="292" t="s">
        <v>3832</v>
      </c>
      <c r="V193" s="292" t="s">
        <v>20</v>
      </c>
      <c r="W193" s="418"/>
      <c r="X193" s="418"/>
      <c r="Y193" s="418"/>
      <c r="Z193" s="418"/>
      <c r="AA193" s="418"/>
      <c r="AB193" s="418"/>
      <c r="AC193" s="418"/>
      <c r="AD193" s="418"/>
      <c r="AE193" s="418"/>
      <c r="AF193" s="418"/>
      <c r="AG193" s="418"/>
      <c r="AH193" s="418"/>
      <c r="AI193" s="418"/>
      <c r="AJ193" s="418"/>
      <c r="AK193" s="339"/>
      <c r="AL193" s="339"/>
      <c r="AM193" s="339"/>
      <c r="AN193" s="339"/>
      <c r="AO193" s="339"/>
      <c r="AP193" s="339"/>
      <c r="AQ193" s="339"/>
      <c r="AR193" s="339"/>
      <c r="AS193" s="339"/>
      <c r="AT193" s="339"/>
      <c r="AU193" s="339"/>
      <c r="AV193" s="339"/>
      <c r="AW193" s="339"/>
      <c r="AX193" s="339"/>
      <c r="AY193" s="339"/>
      <c r="AZ193" s="339"/>
      <c r="BA193" s="339"/>
      <c r="BB193" s="339"/>
      <c r="BC193" s="339"/>
      <c r="BD193" s="339"/>
      <c r="BE193" s="339" t="s">
        <v>2932</v>
      </c>
      <c r="BF193" s="339">
        <v>0</v>
      </c>
      <c r="BG193" s="339">
        <v>0</v>
      </c>
      <c r="BH193" s="339">
        <v>0</v>
      </c>
      <c r="BI193" s="339">
        <v>0</v>
      </c>
      <c r="BJ193" s="339">
        <v>0</v>
      </c>
      <c r="BK193" s="339">
        <v>0</v>
      </c>
      <c r="BL193" s="339">
        <v>0</v>
      </c>
      <c r="BM193" s="339">
        <v>0</v>
      </c>
      <c r="BN193" s="339">
        <v>0</v>
      </c>
      <c r="BO193" s="339">
        <v>0</v>
      </c>
      <c r="BP193" s="339">
        <v>0</v>
      </c>
      <c r="BQ193" s="339">
        <v>0</v>
      </c>
      <c r="BR193" s="339">
        <v>0</v>
      </c>
      <c r="BS193" s="110" t="e">
        <f t="array" aca="1" ref="BS193" ca="1">_xludf.XLOOKUP(D193,'PL TOTAL D0'!N:N,'PL TOTAL D0'!P:P,"")</f>
        <v>#NAME?</v>
      </c>
      <c r="BT193" s="110"/>
    </row>
    <row r="194" spans="1:72" ht="15.75" customHeight="1">
      <c r="A194" s="122" t="s">
        <v>3785</v>
      </c>
      <c r="B194" s="104" t="s">
        <v>4377</v>
      </c>
      <c r="C194" s="122" t="s">
        <v>4378</v>
      </c>
      <c r="D194" s="292">
        <v>4858869</v>
      </c>
      <c r="E194" s="292" t="s">
        <v>64</v>
      </c>
      <c r="F194" s="292" t="s">
        <v>20</v>
      </c>
      <c r="G194" s="292" t="s">
        <v>3634</v>
      </c>
      <c r="H194" s="292" t="str">
        <f>IFERROR(VLOOKUP(G194,'Cadastro de assessores'!A:B,2,FALSE),"Não Cadastrado")</f>
        <v>14574</v>
      </c>
      <c r="I194" s="292"/>
      <c r="J194" s="24" t="s">
        <v>143</v>
      </c>
      <c r="K194" s="292" t="s">
        <v>3794</v>
      </c>
      <c r="L194" s="387">
        <v>44238</v>
      </c>
      <c r="M194" s="387">
        <v>44238</v>
      </c>
      <c r="N194" s="391">
        <v>44504</v>
      </c>
      <c r="O194" s="299" t="s">
        <v>3789</v>
      </c>
      <c r="P194" s="388">
        <v>0.02</v>
      </c>
      <c r="Q194" s="167" t="s">
        <v>4379</v>
      </c>
      <c r="R194" s="417"/>
      <c r="S194" s="292" t="str">
        <f>IF(BC194&lt;=0,"",IF(BC194&lt;=1000000,"Não Qualificado",IF(AND(BC194&gt;1000000,BC194&lt;=10000000),"Qualificado","Profissional")))</f>
        <v>Não Qualificado</v>
      </c>
      <c r="T194" s="292" t="s">
        <v>187</v>
      </c>
      <c r="U194" s="292" t="s">
        <v>3933</v>
      </c>
      <c r="V194" s="292" t="s">
        <v>20</v>
      </c>
      <c r="W194" s="418"/>
      <c r="X194" s="418"/>
      <c r="Y194" s="418"/>
      <c r="Z194" s="418"/>
      <c r="AA194" s="418"/>
      <c r="AB194" s="418"/>
      <c r="AC194" s="418"/>
      <c r="AD194" s="418"/>
      <c r="AE194" s="418"/>
      <c r="AF194" s="418"/>
      <c r="AG194" s="418"/>
      <c r="AH194" s="418"/>
      <c r="AI194" s="418"/>
      <c r="AJ194" s="418"/>
      <c r="AK194" s="339"/>
      <c r="AL194" s="339"/>
      <c r="AM194" s="339">
        <v>236336.84</v>
      </c>
      <c r="AN194" s="339">
        <v>236905.27</v>
      </c>
      <c r="AO194" s="339">
        <v>249218.39</v>
      </c>
      <c r="AP194" s="339">
        <v>251379.17</v>
      </c>
      <c r="AQ194" s="339">
        <v>249803.6</v>
      </c>
      <c r="AR194" s="339">
        <v>257602.19</v>
      </c>
      <c r="AS194" s="339">
        <v>314624.05</v>
      </c>
      <c r="AT194" s="339">
        <v>304616.61</v>
      </c>
      <c r="AU194" s="339">
        <v>300770.15000000002</v>
      </c>
      <c r="AV194" s="339">
        <v>291859.89</v>
      </c>
      <c r="AW194" s="339">
        <v>277326.61</v>
      </c>
      <c r="AX194" s="339"/>
      <c r="AY194" s="339"/>
      <c r="AZ194" s="339"/>
      <c r="BA194" s="339">
        <v>0</v>
      </c>
      <c r="BB194" s="339">
        <v>0</v>
      </c>
      <c r="BC194" s="339">
        <v>646.80999999999995</v>
      </c>
      <c r="BD194" s="339" t="s">
        <v>2932</v>
      </c>
      <c r="BE194" s="339" t="s">
        <v>2932</v>
      </c>
      <c r="BF194" s="339">
        <v>0</v>
      </c>
      <c r="BG194" s="339">
        <v>0</v>
      </c>
      <c r="BH194" s="339">
        <v>0</v>
      </c>
      <c r="BI194" s="339">
        <v>0</v>
      </c>
      <c r="BJ194" s="339">
        <v>0</v>
      </c>
      <c r="BK194" s="339">
        <v>0</v>
      </c>
      <c r="BL194" s="339">
        <v>0</v>
      </c>
      <c r="BM194" s="339">
        <v>0</v>
      </c>
      <c r="BN194" s="339">
        <v>0</v>
      </c>
      <c r="BO194" s="339">
        <v>0</v>
      </c>
      <c r="BP194" s="339">
        <v>0</v>
      </c>
      <c r="BQ194" s="339">
        <v>0</v>
      </c>
      <c r="BR194" s="339">
        <v>0</v>
      </c>
      <c r="BS194" s="110" t="e">
        <f t="array" aca="1" ref="BS194" ca="1">_xludf.XLOOKUP(D194,'PL TOTAL D0'!N:N,'PL TOTAL D0'!P:P,"")</f>
        <v>#NAME?</v>
      </c>
      <c r="BT194" s="110"/>
    </row>
    <row r="195" spans="1:72" ht="15.75" customHeight="1">
      <c r="A195" s="122" t="s">
        <v>3785</v>
      </c>
      <c r="B195" s="104" t="s">
        <v>4380</v>
      </c>
      <c r="C195" s="122" t="s">
        <v>4381</v>
      </c>
      <c r="D195" s="450">
        <v>6480547</v>
      </c>
      <c r="E195" s="292" t="s">
        <v>19</v>
      </c>
      <c r="F195" s="292" t="s">
        <v>49</v>
      </c>
      <c r="G195" s="292" t="s">
        <v>328</v>
      </c>
      <c r="H195" s="292" t="str">
        <f>IFERROR(VLOOKUP(G195,'Cadastro de assessores'!A:B,2,FALSE),"Não Cadastrado")</f>
        <v>18009</v>
      </c>
      <c r="I195" s="292"/>
      <c r="J195" s="24" t="s">
        <v>143</v>
      </c>
      <c r="K195" s="292" t="s">
        <v>161</v>
      </c>
      <c r="L195" s="292" t="s">
        <v>3147</v>
      </c>
      <c r="M195" s="387">
        <v>44824</v>
      </c>
      <c r="N195" s="391">
        <v>44886</v>
      </c>
      <c r="O195" s="299" t="s">
        <v>3802</v>
      </c>
      <c r="P195" s="388">
        <v>0.01</v>
      </c>
      <c r="Q195" s="167" t="s">
        <v>4382</v>
      </c>
      <c r="R195" s="417"/>
      <c r="S195" s="292"/>
      <c r="T195" s="299"/>
      <c r="U195" s="299"/>
      <c r="V195" s="299" t="s">
        <v>3147</v>
      </c>
      <c r="W195" s="350"/>
      <c r="X195" s="350"/>
      <c r="Y195" s="350"/>
      <c r="Z195" s="350"/>
      <c r="AA195" s="350"/>
      <c r="AB195" s="350"/>
      <c r="AC195" s="350"/>
      <c r="AD195" s="350"/>
      <c r="AE195" s="350"/>
      <c r="AF195" s="350"/>
      <c r="AG195" s="350"/>
      <c r="AH195" s="350"/>
      <c r="AI195" s="418"/>
      <c r="AJ195" s="339"/>
      <c r="AK195" s="339"/>
      <c r="AL195" s="339"/>
      <c r="AM195" s="339"/>
      <c r="AN195" s="339"/>
      <c r="AO195" s="339"/>
      <c r="AP195" s="339"/>
      <c r="AQ195" s="339"/>
      <c r="AR195" s="339"/>
      <c r="AS195" s="339"/>
      <c r="AT195" s="339"/>
      <c r="AU195" s="350"/>
      <c r="AV195" s="339"/>
      <c r="AW195" s="339"/>
      <c r="AX195" s="339"/>
      <c r="AY195" s="339"/>
      <c r="AZ195" s="339"/>
      <c r="BA195" s="339"/>
      <c r="BB195" s="339"/>
      <c r="BC195" s="339"/>
      <c r="BD195" s="339"/>
      <c r="BE195" s="339"/>
      <c r="BF195" s="339"/>
      <c r="BG195" s="339">
        <v>0</v>
      </c>
      <c r="BH195" s="339">
        <v>977701.31</v>
      </c>
      <c r="BI195" s="339">
        <v>628331.76</v>
      </c>
      <c r="BJ195" s="339">
        <v>0</v>
      </c>
      <c r="BK195" s="339">
        <v>0</v>
      </c>
      <c r="BL195" s="339">
        <v>0</v>
      </c>
      <c r="BM195" s="339">
        <v>0</v>
      </c>
      <c r="BN195" s="339">
        <v>0</v>
      </c>
      <c r="BO195" s="339">
        <v>0</v>
      </c>
      <c r="BP195" s="339">
        <v>0</v>
      </c>
      <c r="BQ195" s="339">
        <v>0</v>
      </c>
      <c r="BR195" s="339">
        <v>0</v>
      </c>
      <c r="BS195" s="110" t="e">
        <f t="array" aca="1" ref="BS195" ca="1">_xludf.XLOOKUP(D195,'PL TOTAL D0'!N:N,'PL TOTAL D0'!P:P,"")</f>
        <v>#NAME?</v>
      </c>
      <c r="BT195" s="110"/>
    </row>
    <row r="196" spans="1:72" ht="15.75" customHeight="1">
      <c r="A196" s="122" t="s">
        <v>3785</v>
      </c>
      <c r="B196" s="104" t="s">
        <v>4380</v>
      </c>
      <c r="C196" s="122" t="s">
        <v>4381</v>
      </c>
      <c r="D196" s="450">
        <v>9206177</v>
      </c>
      <c r="E196" s="292" t="s">
        <v>19</v>
      </c>
      <c r="F196" s="292" t="s">
        <v>49</v>
      </c>
      <c r="G196" s="292" t="s">
        <v>328</v>
      </c>
      <c r="H196" s="292" t="str">
        <f>IFERROR(VLOOKUP(G196,'Cadastro de assessores'!A:B,2,FALSE),"Não Cadastrado")</f>
        <v>18009</v>
      </c>
      <c r="I196" s="292"/>
      <c r="J196" s="24" t="s">
        <v>143</v>
      </c>
      <c r="K196" s="292" t="s">
        <v>152</v>
      </c>
      <c r="L196" s="292" t="s">
        <v>3147</v>
      </c>
      <c r="M196" s="387">
        <v>44839</v>
      </c>
      <c r="N196" s="391">
        <v>44886</v>
      </c>
      <c r="O196" s="299" t="s">
        <v>3809</v>
      </c>
      <c r="P196" s="388">
        <v>2.5000000000000001E-2</v>
      </c>
      <c r="Q196" s="167" t="s">
        <v>4383</v>
      </c>
      <c r="R196" s="417"/>
      <c r="S196" s="292"/>
      <c r="T196" s="299"/>
      <c r="U196" s="299"/>
      <c r="V196" s="299" t="s">
        <v>3147</v>
      </c>
      <c r="W196" s="350"/>
      <c r="X196" s="350"/>
      <c r="Y196" s="350"/>
      <c r="Z196" s="350"/>
      <c r="AA196" s="350"/>
      <c r="AB196" s="350"/>
      <c r="AC196" s="350"/>
      <c r="AD196" s="350"/>
      <c r="AE196" s="350"/>
      <c r="AF196" s="350"/>
      <c r="AG196" s="350"/>
      <c r="AH196" s="350"/>
      <c r="AI196" s="418"/>
      <c r="AJ196" s="339"/>
      <c r="AK196" s="339"/>
      <c r="AL196" s="339"/>
      <c r="AM196" s="339"/>
      <c r="AN196" s="339"/>
      <c r="AO196" s="339"/>
      <c r="AP196" s="339"/>
      <c r="AQ196" s="339"/>
      <c r="AR196" s="339"/>
      <c r="AS196" s="339"/>
      <c r="AT196" s="339"/>
      <c r="AU196" s="350"/>
      <c r="AV196" s="339"/>
      <c r="AW196" s="339"/>
      <c r="AX196" s="339"/>
      <c r="AY196" s="339"/>
      <c r="AZ196" s="339"/>
      <c r="BA196" s="339"/>
      <c r="BB196" s="339"/>
      <c r="BC196" s="339"/>
      <c r="BD196" s="339"/>
      <c r="BE196" s="339"/>
      <c r="BF196" s="339"/>
      <c r="BG196" s="339">
        <v>0</v>
      </c>
      <c r="BH196" s="339">
        <v>0</v>
      </c>
      <c r="BI196" s="339">
        <v>115560.46</v>
      </c>
      <c r="BJ196" s="339">
        <v>118947.18</v>
      </c>
      <c r="BK196" s="339">
        <v>0</v>
      </c>
      <c r="BL196" s="339">
        <v>0</v>
      </c>
      <c r="BM196" s="339">
        <v>0</v>
      </c>
      <c r="BN196" s="339">
        <v>0</v>
      </c>
      <c r="BO196" s="339">
        <v>0</v>
      </c>
      <c r="BP196" s="339">
        <v>0</v>
      </c>
      <c r="BQ196" s="339">
        <v>0</v>
      </c>
      <c r="BR196" s="339">
        <v>0</v>
      </c>
      <c r="BS196" s="110" t="e">
        <f t="array" aca="1" ref="BS196" ca="1">_xludf.XLOOKUP(D196,'PL TOTAL D0'!N:N,'PL TOTAL D0'!P:P,"")</f>
        <v>#NAME?</v>
      </c>
      <c r="BT196" s="110"/>
    </row>
    <row r="197" spans="1:72" ht="15.75" customHeight="1">
      <c r="A197" s="122" t="s">
        <v>3785</v>
      </c>
      <c r="B197" s="104" t="s">
        <v>4384</v>
      </c>
      <c r="C197" s="451" t="s">
        <v>4385</v>
      </c>
      <c r="D197" s="292">
        <v>3373338</v>
      </c>
      <c r="E197" s="292" t="s">
        <v>19</v>
      </c>
      <c r="F197" s="292" t="s">
        <v>49</v>
      </c>
      <c r="G197" s="292" t="s">
        <v>4134</v>
      </c>
      <c r="H197" s="292" t="str">
        <f>IFERROR(VLOOKUP(G197,'Cadastro de assessores'!A:B,2,FALSE),"Não Cadastrado")</f>
        <v>14294</v>
      </c>
      <c r="I197" s="292"/>
      <c r="J197" s="24" t="s">
        <v>143</v>
      </c>
      <c r="K197" s="292" t="s">
        <v>3794</v>
      </c>
      <c r="L197" s="387">
        <v>44454</v>
      </c>
      <c r="M197" s="387">
        <v>44454</v>
      </c>
      <c r="N197" s="391">
        <v>44684</v>
      </c>
      <c r="O197" s="299" t="s">
        <v>3802</v>
      </c>
      <c r="P197" s="388">
        <v>7.0000000000000001E-3</v>
      </c>
      <c r="Q197" s="167" t="s">
        <v>4386</v>
      </c>
      <c r="R197" s="417"/>
      <c r="S197" s="292" t="str">
        <f t="shared" ref="S197:S199" si="18">IF(BC197&lt;=0,"",IF(BC197&lt;=1000000,"Não Qualificado",IF(AND(BC197&gt;1000000,BC197&lt;=10000000),"Qualificado","Profissional")))</f>
        <v>Não Qualificado</v>
      </c>
      <c r="T197" s="299" t="s">
        <v>187</v>
      </c>
      <c r="U197" s="299" t="s">
        <v>4387</v>
      </c>
      <c r="V197" s="299" t="s">
        <v>60</v>
      </c>
      <c r="W197" s="350"/>
      <c r="X197" s="350"/>
      <c r="Y197" s="350"/>
      <c r="Z197" s="350"/>
      <c r="AA197" s="350"/>
      <c r="AB197" s="350"/>
      <c r="AC197" s="350"/>
      <c r="AD197" s="350"/>
      <c r="AE197" s="350"/>
      <c r="AF197" s="350"/>
      <c r="AG197" s="350"/>
      <c r="AH197" s="350"/>
      <c r="AI197" s="418"/>
      <c r="AJ197" s="339"/>
      <c r="AK197" s="339"/>
      <c r="AL197" s="339"/>
      <c r="AM197" s="339"/>
      <c r="AN197" s="339"/>
      <c r="AO197" s="339"/>
      <c r="AP197" s="339"/>
      <c r="AQ197" s="339"/>
      <c r="AR197" s="339"/>
      <c r="AS197" s="339"/>
      <c r="AT197" s="339"/>
      <c r="AU197" s="350"/>
      <c r="AV197" s="339"/>
      <c r="AW197" s="339">
        <v>377805.56</v>
      </c>
      <c r="AX197" s="339">
        <v>378551.03999999998</v>
      </c>
      <c r="AY197" s="339">
        <v>382000.44</v>
      </c>
      <c r="AZ197" s="339">
        <v>388011.12</v>
      </c>
      <c r="BA197" s="339">
        <v>391268.68</v>
      </c>
      <c r="BB197" s="339">
        <v>398645.96</v>
      </c>
      <c r="BC197" s="339">
        <v>65.52</v>
      </c>
      <c r="BD197" s="339" t="s">
        <v>2932</v>
      </c>
      <c r="BE197" s="339" t="s">
        <v>2932</v>
      </c>
      <c r="BF197" s="339">
        <v>0</v>
      </c>
      <c r="BG197" s="339">
        <v>0</v>
      </c>
      <c r="BH197" s="339">
        <v>0</v>
      </c>
      <c r="BI197" s="339">
        <v>0</v>
      </c>
      <c r="BJ197" s="339">
        <v>0</v>
      </c>
      <c r="BK197" s="339">
        <v>0</v>
      </c>
      <c r="BL197" s="339">
        <v>0</v>
      </c>
      <c r="BM197" s="339">
        <v>0</v>
      </c>
      <c r="BN197" s="339">
        <v>0</v>
      </c>
      <c r="BO197" s="339">
        <v>0</v>
      </c>
      <c r="BP197" s="339">
        <v>0</v>
      </c>
      <c r="BQ197" s="339">
        <v>0</v>
      </c>
      <c r="BR197" s="339">
        <v>0</v>
      </c>
      <c r="BS197" s="110" t="e">
        <f t="array" aca="1" ref="BS197" ca="1">_xludf.XLOOKUP(D197,'PL TOTAL D0'!N:N,'PL TOTAL D0'!P:P,"")</f>
        <v>#NAME?</v>
      </c>
      <c r="BT197" s="110"/>
    </row>
    <row r="198" spans="1:72" ht="15.75" customHeight="1">
      <c r="A198" s="122" t="s">
        <v>3785</v>
      </c>
      <c r="B198" s="104" t="s">
        <v>4388</v>
      </c>
      <c r="C198" s="122" t="s">
        <v>4389</v>
      </c>
      <c r="D198" s="292">
        <v>4769682</v>
      </c>
      <c r="E198" s="292" t="s">
        <v>64</v>
      </c>
      <c r="F198" s="292" t="s">
        <v>20</v>
      </c>
      <c r="G198" s="292" t="s">
        <v>3634</v>
      </c>
      <c r="H198" s="292" t="str">
        <f>IFERROR(VLOOKUP(G198,'Cadastro de assessores'!A:B,2,FALSE),"Não Cadastrado")</f>
        <v>14574</v>
      </c>
      <c r="I198" s="292"/>
      <c r="J198" s="24" t="s">
        <v>143</v>
      </c>
      <c r="K198" s="292" t="s">
        <v>3794</v>
      </c>
      <c r="L198" s="387">
        <v>44238</v>
      </c>
      <c r="M198" s="387">
        <v>44238</v>
      </c>
      <c r="N198" s="391">
        <v>44477</v>
      </c>
      <c r="O198" s="299" t="s">
        <v>3789</v>
      </c>
      <c r="P198" s="388">
        <v>0.02</v>
      </c>
      <c r="Q198" s="167" t="s">
        <v>4390</v>
      </c>
      <c r="R198" s="417"/>
      <c r="S198" s="292" t="str">
        <f t="shared" si="18"/>
        <v>Não Qualificado</v>
      </c>
      <c r="T198" s="292" t="s">
        <v>145</v>
      </c>
      <c r="U198" s="292" t="s">
        <v>3811</v>
      </c>
      <c r="V198" s="292" t="s">
        <v>20</v>
      </c>
      <c r="W198" s="418"/>
      <c r="X198" s="418"/>
      <c r="Y198" s="418"/>
      <c r="Z198" s="418"/>
      <c r="AA198" s="418"/>
      <c r="AB198" s="418"/>
      <c r="AC198" s="418"/>
      <c r="AD198" s="418"/>
      <c r="AE198" s="418"/>
      <c r="AF198" s="418"/>
      <c r="AG198" s="418"/>
      <c r="AH198" s="418"/>
      <c r="AI198" s="418"/>
      <c r="AJ198" s="418"/>
      <c r="AK198" s="339"/>
      <c r="AL198" s="339"/>
      <c r="AM198" s="339">
        <v>281594.09999999998</v>
      </c>
      <c r="AN198" s="339">
        <v>282468.21999999997</v>
      </c>
      <c r="AO198" s="339">
        <v>296051.87</v>
      </c>
      <c r="AP198" s="339">
        <v>298507.31</v>
      </c>
      <c r="AQ198" s="339">
        <v>296614.76</v>
      </c>
      <c r="AR198" s="339">
        <v>305986.31</v>
      </c>
      <c r="AS198" s="339">
        <v>303012.43</v>
      </c>
      <c r="AT198" s="339">
        <v>293560.40000000002</v>
      </c>
      <c r="AU198" s="339">
        <v>5486.75</v>
      </c>
      <c r="AV198" s="339">
        <v>4862.3900000000003</v>
      </c>
      <c r="AW198" s="339"/>
      <c r="AX198" s="339"/>
      <c r="AY198" s="339"/>
      <c r="AZ198" s="339"/>
      <c r="BA198" s="339">
        <v>0</v>
      </c>
      <c r="BB198" s="339">
        <v>0</v>
      </c>
      <c r="BC198" s="339">
        <v>42615.82</v>
      </c>
      <c r="BD198" s="339" t="s">
        <v>2932</v>
      </c>
      <c r="BE198" s="339" t="s">
        <v>2932</v>
      </c>
      <c r="BF198" s="339">
        <v>0</v>
      </c>
      <c r="BG198" s="339">
        <v>0</v>
      </c>
      <c r="BH198" s="339">
        <v>0</v>
      </c>
      <c r="BI198" s="339">
        <v>0</v>
      </c>
      <c r="BJ198" s="339">
        <v>0</v>
      </c>
      <c r="BK198" s="339">
        <v>0</v>
      </c>
      <c r="BL198" s="339">
        <v>0</v>
      </c>
      <c r="BM198" s="339">
        <v>0</v>
      </c>
      <c r="BN198" s="339">
        <v>0</v>
      </c>
      <c r="BO198" s="339">
        <v>0</v>
      </c>
      <c r="BP198" s="339">
        <v>0</v>
      </c>
      <c r="BQ198" s="339">
        <v>0</v>
      </c>
      <c r="BR198" s="339">
        <v>0</v>
      </c>
      <c r="BS198" s="110" t="e">
        <f t="array" aca="1" ref="BS198" ca="1">_xludf.XLOOKUP(D198,'PL TOTAL D0'!N:N,'PL TOTAL D0'!P:P,"")</f>
        <v>#NAME?</v>
      </c>
      <c r="BT198" s="110"/>
    </row>
    <row r="199" spans="1:72" ht="15.75" customHeight="1">
      <c r="A199" s="122" t="s">
        <v>3785</v>
      </c>
      <c r="B199" s="104" t="s">
        <v>4388</v>
      </c>
      <c r="C199" s="122" t="s">
        <v>4389</v>
      </c>
      <c r="D199" s="292">
        <v>4756217</v>
      </c>
      <c r="E199" s="292" t="s">
        <v>64</v>
      </c>
      <c r="F199" s="292" t="s">
        <v>20</v>
      </c>
      <c r="G199" s="292" t="s">
        <v>3634</v>
      </c>
      <c r="H199" s="292" t="str">
        <f>IFERROR(VLOOKUP(G199,'Cadastro de assessores'!A:B,2,FALSE),"Não Cadastrado")</f>
        <v>14574</v>
      </c>
      <c r="I199" s="292"/>
      <c r="J199" s="24" t="s">
        <v>143</v>
      </c>
      <c r="K199" s="292" t="s">
        <v>3794</v>
      </c>
      <c r="L199" s="387">
        <v>44228</v>
      </c>
      <c r="M199" s="387">
        <v>44228</v>
      </c>
      <c r="N199" s="391">
        <v>44721</v>
      </c>
      <c r="O199" s="299" t="s">
        <v>3789</v>
      </c>
      <c r="P199" s="388">
        <v>0.02</v>
      </c>
      <c r="Q199" s="420" t="s">
        <v>4391</v>
      </c>
      <c r="R199" s="417"/>
      <c r="S199" s="292" t="str">
        <f t="shared" si="18"/>
        <v>Não Qualificado</v>
      </c>
      <c r="T199" s="292" t="s">
        <v>145</v>
      </c>
      <c r="U199" s="292" t="s">
        <v>3811</v>
      </c>
      <c r="V199" s="292" t="s">
        <v>20</v>
      </c>
      <c r="W199" s="418"/>
      <c r="X199" s="418"/>
      <c r="Y199" s="418"/>
      <c r="Z199" s="418"/>
      <c r="AA199" s="418"/>
      <c r="AB199" s="418"/>
      <c r="AC199" s="418"/>
      <c r="AD199" s="418"/>
      <c r="AE199" s="418"/>
      <c r="AF199" s="418"/>
      <c r="AG199" s="418"/>
      <c r="AH199" s="418"/>
      <c r="AI199" s="418"/>
      <c r="AJ199" s="418"/>
      <c r="AK199" s="339"/>
      <c r="AL199" s="339"/>
      <c r="AM199" s="339">
        <v>95274.52</v>
      </c>
      <c r="AN199" s="339">
        <v>127513.22</v>
      </c>
      <c r="AO199" s="339">
        <v>134212.29999999999</v>
      </c>
      <c r="AP199" s="339">
        <v>135351.28</v>
      </c>
      <c r="AQ199" s="339">
        <v>134466.76</v>
      </c>
      <c r="AR199" s="339">
        <v>138530.65</v>
      </c>
      <c r="AS199" s="339">
        <v>136207.56</v>
      </c>
      <c r="AT199" s="339">
        <v>131748.95000000001</v>
      </c>
      <c r="AU199" s="339">
        <v>130374.85</v>
      </c>
      <c r="AV199" s="339">
        <v>127122.1</v>
      </c>
      <c r="AW199" s="339">
        <v>119849.03</v>
      </c>
      <c r="AX199" s="339">
        <v>119100.88</v>
      </c>
      <c r="AY199" s="339">
        <v>120772.3</v>
      </c>
      <c r="AZ199" s="339">
        <v>125471.33</v>
      </c>
      <c r="BA199" s="339">
        <v>126273.57</v>
      </c>
      <c r="BB199" s="339">
        <v>132613.85</v>
      </c>
      <c r="BC199" s="339">
        <v>126269.88</v>
      </c>
      <c r="BD199" s="339">
        <v>130189.05</v>
      </c>
      <c r="BE199" s="339" t="s">
        <v>2932</v>
      </c>
      <c r="BF199" s="339">
        <v>0</v>
      </c>
      <c r="BG199" s="339">
        <v>0</v>
      </c>
      <c r="BH199" s="339">
        <v>0</v>
      </c>
      <c r="BI199" s="339">
        <v>0</v>
      </c>
      <c r="BJ199" s="339">
        <v>0</v>
      </c>
      <c r="BK199" s="339">
        <v>0</v>
      </c>
      <c r="BL199" s="339">
        <v>0</v>
      </c>
      <c r="BM199" s="339">
        <v>0</v>
      </c>
      <c r="BN199" s="339">
        <v>0</v>
      </c>
      <c r="BO199" s="339">
        <v>0</v>
      </c>
      <c r="BP199" s="339">
        <v>0</v>
      </c>
      <c r="BQ199" s="339">
        <v>0</v>
      </c>
      <c r="BR199" s="339">
        <v>0</v>
      </c>
      <c r="BS199" s="110" t="e">
        <f t="array" aca="1" ref="BS199" ca="1">_xludf.XLOOKUP(D199,'PL TOTAL D0'!N:N,'PL TOTAL D0'!P:P,"")</f>
        <v>#NAME?</v>
      </c>
      <c r="BT199" s="110"/>
    </row>
    <row r="200" spans="1:72" ht="15.75" customHeight="1">
      <c r="A200" s="122" t="s">
        <v>3785</v>
      </c>
      <c r="B200" s="104" t="s">
        <v>4392</v>
      </c>
      <c r="C200" s="441" t="s">
        <v>4393</v>
      </c>
      <c r="D200" s="299">
        <v>2476582</v>
      </c>
      <c r="E200" s="293" t="s">
        <v>19</v>
      </c>
      <c r="F200" s="293" t="s">
        <v>49</v>
      </c>
      <c r="G200" s="293" t="s">
        <v>50</v>
      </c>
      <c r="H200" s="292">
        <f>IFERROR(VLOOKUP(G200,'Cadastro de assessores'!A:B,2,FALSE),"Não Cadastrado")</f>
        <v>12331</v>
      </c>
      <c r="I200" s="292"/>
      <c r="J200" s="24" t="s">
        <v>3788</v>
      </c>
      <c r="K200" s="293" t="s">
        <v>152</v>
      </c>
      <c r="L200" s="416">
        <v>44683</v>
      </c>
      <c r="M200" s="416">
        <v>44697</v>
      </c>
      <c r="N200" s="299"/>
      <c r="O200" s="299" t="s">
        <v>3805</v>
      </c>
      <c r="P200" s="392">
        <v>1.2E-2</v>
      </c>
      <c r="Q200" s="420" t="s">
        <v>4394</v>
      </c>
      <c r="R200" s="417"/>
      <c r="S200" s="292"/>
      <c r="T200" s="292" t="s">
        <v>145</v>
      </c>
      <c r="U200" s="292"/>
      <c r="V200" s="292" t="s">
        <v>49</v>
      </c>
      <c r="W200" s="350"/>
      <c r="X200" s="350"/>
      <c r="Y200" s="350"/>
      <c r="Z200" s="350"/>
      <c r="AA200" s="350"/>
      <c r="AB200" s="350"/>
      <c r="AC200" s="350"/>
      <c r="AD200" s="350"/>
      <c r="AE200" s="350"/>
      <c r="AF200" s="350"/>
      <c r="AG200" s="418"/>
      <c r="AH200" s="418"/>
      <c r="AI200" s="418"/>
      <c r="AJ200" s="339"/>
      <c r="AK200" s="339"/>
      <c r="AL200" s="339"/>
      <c r="AM200" s="339"/>
      <c r="AN200" s="339"/>
      <c r="AO200" s="339"/>
      <c r="AP200" s="339"/>
      <c r="AQ200" s="339"/>
      <c r="AR200" s="339"/>
      <c r="AS200" s="339"/>
      <c r="AT200" s="339"/>
      <c r="AU200" s="339"/>
      <c r="AV200" s="339"/>
      <c r="AW200" s="350"/>
      <c r="AX200" s="340"/>
      <c r="AY200" s="340"/>
      <c r="AZ200" s="339"/>
      <c r="BA200" s="339"/>
      <c r="BB200" s="339"/>
      <c r="BC200" s="339"/>
      <c r="BD200" s="339"/>
      <c r="BE200" s="339"/>
      <c r="BF200" s="339">
        <v>0</v>
      </c>
      <c r="BG200" s="339">
        <v>806147.97420000006</v>
      </c>
      <c r="BH200" s="339">
        <v>761524.12</v>
      </c>
      <c r="BI200" s="339">
        <v>867290.36</v>
      </c>
      <c r="BJ200" s="339">
        <v>871979.81</v>
      </c>
      <c r="BK200" s="339">
        <v>878528.3</v>
      </c>
      <c r="BL200" s="339">
        <v>887642.62</v>
      </c>
      <c r="BM200" s="339">
        <v>905151.86</v>
      </c>
      <c r="BN200" s="339">
        <v>899235.19</v>
      </c>
      <c r="BO200" s="339">
        <v>0</v>
      </c>
      <c r="BP200" s="339">
        <v>0</v>
      </c>
      <c r="BQ200" s="339">
        <v>0</v>
      </c>
      <c r="BR200" s="339">
        <v>0</v>
      </c>
      <c r="BS200" s="110" t="e">
        <f t="array" aca="1" ref="BS200" ca="1">_xludf.XLOOKUP(D200,'PL TOTAL D0'!N:N,'PL TOTAL D0'!P:P,"")</f>
        <v>#NAME?</v>
      </c>
      <c r="BT200" s="110"/>
    </row>
    <row r="201" spans="1:72" ht="15.75" customHeight="1">
      <c r="A201" s="122" t="s">
        <v>3785</v>
      </c>
      <c r="B201" s="104" t="s">
        <v>1230</v>
      </c>
      <c r="C201" s="441" t="s">
        <v>1228</v>
      </c>
      <c r="D201" s="299">
        <v>3353688</v>
      </c>
      <c r="E201" s="293" t="s">
        <v>19</v>
      </c>
      <c r="F201" s="293" t="s">
        <v>20</v>
      </c>
      <c r="G201" s="293" t="s">
        <v>372</v>
      </c>
      <c r="H201" s="292">
        <f>IFERROR(VLOOKUP(G201,'Cadastro de assessores'!A:B,2,FALSE),"Não Cadastrado")</f>
        <v>12359</v>
      </c>
      <c r="I201" s="292"/>
      <c r="J201" s="24" t="s">
        <v>3788</v>
      </c>
      <c r="K201" s="293" t="s">
        <v>152</v>
      </c>
      <c r="L201" s="416">
        <v>44778</v>
      </c>
      <c r="M201" s="416">
        <v>44778</v>
      </c>
      <c r="N201" s="299"/>
      <c r="O201" s="299" t="s">
        <v>3802</v>
      </c>
      <c r="P201" s="392">
        <v>7.0000000000000001E-3</v>
      </c>
      <c r="Q201" s="446" t="s">
        <v>4395</v>
      </c>
      <c r="R201" s="417"/>
      <c r="S201" s="292"/>
      <c r="T201" s="292" t="s">
        <v>187</v>
      </c>
      <c r="U201" s="292"/>
      <c r="V201" s="292" t="s">
        <v>46</v>
      </c>
      <c r="W201" s="350"/>
      <c r="X201" s="350"/>
      <c r="Y201" s="350"/>
      <c r="Z201" s="350"/>
      <c r="AA201" s="350"/>
      <c r="AB201" s="350"/>
      <c r="AC201" s="350"/>
      <c r="AD201" s="350"/>
      <c r="AE201" s="350"/>
      <c r="AF201" s="350"/>
      <c r="AG201" s="418"/>
      <c r="AH201" s="418"/>
      <c r="AI201" s="418"/>
      <c r="AJ201" s="339"/>
      <c r="AK201" s="339"/>
      <c r="AL201" s="339"/>
      <c r="AM201" s="339"/>
      <c r="AN201" s="339"/>
      <c r="AO201" s="339"/>
      <c r="AP201" s="339"/>
      <c r="AQ201" s="339"/>
      <c r="AR201" s="339"/>
      <c r="AS201" s="339"/>
      <c r="AT201" s="339"/>
      <c r="AU201" s="339"/>
      <c r="AV201" s="339"/>
      <c r="AW201" s="350"/>
      <c r="AX201" s="340"/>
      <c r="AY201" s="340"/>
      <c r="AZ201" s="339"/>
      <c r="BA201" s="339"/>
      <c r="BB201" s="339"/>
      <c r="BC201" s="339"/>
      <c r="BD201" s="339"/>
      <c r="BE201" s="339"/>
      <c r="BF201" s="339">
        <v>0</v>
      </c>
      <c r="BG201" s="339">
        <v>83061.288570000004</v>
      </c>
      <c r="BH201" s="339">
        <v>83692.320000000007</v>
      </c>
      <c r="BI201" s="339">
        <v>84345.09</v>
      </c>
      <c r="BJ201" s="339">
        <v>84959.85</v>
      </c>
      <c r="BK201" s="339">
        <v>85594.45</v>
      </c>
      <c r="BL201" s="339">
        <v>13127.32</v>
      </c>
      <c r="BM201" s="339">
        <v>313.98</v>
      </c>
      <c r="BN201" s="339">
        <v>0</v>
      </c>
      <c r="BO201" s="339">
        <v>0</v>
      </c>
      <c r="BP201" s="339">
        <v>0</v>
      </c>
      <c r="BQ201" s="339">
        <v>0</v>
      </c>
      <c r="BR201" s="339">
        <v>0</v>
      </c>
      <c r="BS201" s="110" t="e">
        <f t="array" aca="1" ref="BS201" ca="1">_xludf.XLOOKUP(D201,'PL TOTAL D0'!N:N,'PL TOTAL D0'!P:P,"")</f>
        <v>#NAME?</v>
      </c>
      <c r="BT201" s="110"/>
    </row>
    <row r="202" spans="1:72" ht="15.75" customHeight="1">
      <c r="A202" s="122" t="s">
        <v>3785</v>
      </c>
      <c r="B202" s="104" t="s">
        <v>4396</v>
      </c>
      <c r="C202" s="441" t="s">
        <v>4397</v>
      </c>
      <c r="D202" s="299">
        <v>7082227</v>
      </c>
      <c r="E202" s="293" t="s">
        <v>19</v>
      </c>
      <c r="F202" s="293" t="s">
        <v>49</v>
      </c>
      <c r="G202" s="293" t="s">
        <v>328</v>
      </c>
      <c r="H202" s="293" t="str">
        <f>IFERROR(VLOOKUP(G202,'Cadastro de assessores'!A:B,2,FALSE),"Não Cadastrado")</f>
        <v>18009</v>
      </c>
      <c r="I202" s="293"/>
      <c r="J202" s="24" t="s">
        <v>3788</v>
      </c>
      <c r="K202" s="293" t="s">
        <v>152</v>
      </c>
      <c r="L202" s="416">
        <v>44509</v>
      </c>
      <c r="M202" s="416">
        <v>44511</v>
      </c>
      <c r="N202" s="299"/>
      <c r="O202" s="299" t="s">
        <v>3795</v>
      </c>
      <c r="P202" s="392">
        <v>1.4999999999999999E-2</v>
      </c>
      <c r="Q202" s="420" t="s">
        <v>4398</v>
      </c>
      <c r="R202" s="417"/>
      <c r="S202" s="292" t="str">
        <f t="shared" ref="S202:S210" si="19">IF(BC202&lt;=0,"",IF(BC202&lt;=1000000,"Não Qualificado",IF(AND(BC202&gt;1000000,BC202&lt;=10000000),"Qualificado","Profissional")))</f>
        <v>Qualificado</v>
      </c>
      <c r="T202" s="292" t="s">
        <v>145</v>
      </c>
      <c r="U202" s="292" t="s">
        <v>3967</v>
      </c>
      <c r="V202" s="292" t="s">
        <v>49</v>
      </c>
      <c r="W202" s="350"/>
      <c r="X202" s="350"/>
      <c r="Y202" s="350"/>
      <c r="Z202" s="350"/>
      <c r="AA202" s="350"/>
      <c r="AB202" s="350"/>
      <c r="AC202" s="350"/>
      <c r="AD202" s="350"/>
      <c r="AE202" s="350"/>
      <c r="AF202" s="350"/>
      <c r="AG202" s="418"/>
      <c r="AH202" s="418"/>
      <c r="AI202" s="418"/>
      <c r="AJ202" s="339"/>
      <c r="AK202" s="339"/>
      <c r="AL202" s="339"/>
      <c r="AM202" s="339"/>
      <c r="AN202" s="339"/>
      <c r="AO202" s="339"/>
      <c r="AP202" s="339"/>
      <c r="AQ202" s="339"/>
      <c r="AR202" s="339"/>
      <c r="AS202" s="339"/>
      <c r="AT202" s="339"/>
      <c r="AU202" s="339"/>
      <c r="AV202" s="339"/>
      <c r="AW202" s="350"/>
      <c r="AX202" s="340"/>
      <c r="AY202" s="340">
        <v>442798.46</v>
      </c>
      <c r="AZ202" s="339">
        <v>574043.36</v>
      </c>
      <c r="BA202" s="339">
        <v>578707.67000000004</v>
      </c>
      <c r="BB202" s="339">
        <v>643782.61</v>
      </c>
      <c r="BC202" s="339">
        <v>1234641.72</v>
      </c>
      <c r="BD202" s="339">
        <v>791677.5</v>
      </c>
      <c r="BE202" s="339">
        <v>792372.02</v>
      </c>
      <c r="BF202" s="339">
        <v>803435.78</v>
      </c>
      <c r="BG202" s="339">
        <v>809460.13100000005</v>
      </c>
      <c r="BH202" s="339">
        <v>812381.95</v>
      </c>
      <c r="BI202" s="339">
        <v>833860.43</v>
      </c>
      <c r="BJ202" s="339">
        <v>833075.28</v>
      </c>
      <c r="BK202" s="339">
        <v>552167.78</v>
      </c>
      <c r="BL202" s="339">
        <v>492363.13</v>
      </c>
      <c r="BM202" s="339">
        <v>495693.17</v>
      </c>
      <c r="BN202" s="339">
        <v>0</v>
      </c>
      <c r="BO202" s="339">
        <v>0</v>
      </c>
      <c r="BP202" s="339">
        <v>0</v>
      </c>
      <c r="BQ202" s="339">
        <v>0</v>
      </c>
      <c r="BR202" s="339">
        <v>0</v>
      </c>
      <c r="BS202" s="110" t="e">
        <f t="array" aca="1" ref="BS202" ca="1">_xludf.XLOOKUP(D202,'PL TOTAL D0'!N:N,'PL TOTAL D0'!P:P,"")</f>
        <v>#NAME?</v>
      </c>
      <c r="BT202" s="110"/>
    </row>
    <row r="203" spans="1:72" ht="15.75" customHeight="1">
      <c r="A203" s="122" t="s">
        <v>3785</v>
      </c>
      <c r="B203" s="104" t="s">
        <v>4399</v>
      </c>
      <c r="C203" s="104" t="s">
        <v>4400</v>
      </c>
      <c r="D203" s="292">
        <v>7998405</v>
      </c>
      <c r="E203" s="293" t="s">
        <v>19</v>
      </c>
      <c r="F203" s="293" t="s">
        <v>20</v>
      </c>
      <c r="G203" s="293" t="s">
        <v>199</v>
      </c>
      <c r="H203" s="293">
        <f>IFERROR(VLOOKUP(G203,'Cadastro de assessores'!A:B,2,FALSE),"Não Cadastrado")</f>
        <v>12332</v>
      </c>
      <c r="I203" s="293"/>
      <c r="J203" s="24" t="s">
        <v>3788</v>
      </c>
      <c r="K203" s="293" t="s">
        <v>152</v>
      </c>
      <c r="L203" s="423">
        <v>44613</v>
      </c>
      <c r="M203" s="423">
        <v>44615</v>
      </c>
      <c r="N203" s="292"/>
      <c r="O203" s="292" t="s">
        <v>3802</v>
      </c>
      <c r="P203" s="388">
        <v>7.0000000000000001E-3</v>
      </c>
      <c r="Q203" s="420"/>
      <c r="R203" s="417"/>
      <c r="S203" s="292" t="str">
        <f t="shared" si="19"/>
        <v>Não Qualificado</v>
      </c>
      <c r="T203" s="292" t="s">
        <v>145</v>
      </c>
      <c r="U203" s="292" t="s">
        <v>3929</v>
      </c>
      <c r="V203" s="292" t="s">
        <v>20</v>
      </c>
      <c r="W203" s="418"/>
      <c r="X203" s="418"/>
      <c r="Y203" s="418"/>
      <c r="Z203" s="418"/>
      <c r="AA203" s="418"/>
      <c r="AB203" s="418"/>
      <c r="AC203" s="418"/>
      <c r="AD203" s="418"/>
      <c r="AE203" s="418"/>
      <c r="AF203" s="418"/>
      <c r="AG203" s="418"/>
      <c r="AH203" s="418"/>
      <c r="AI203" s="418"/>
      <c r="AJ203" s="418"/>
      <c r="AK203" s="339"/>
      <c r="AL203" s="339"/>
      <c r="AM203" s="339"/>
      <c r="AN203" s="339"/>
      <c r="AO203" s="339"/>
      <c r="AP203" s="339"/>
      <c r="AQ203" s="339"/>
      <c r="AR203" s="339"/>
      <c r="AS203" s="339"/>
      <c r="AT203" s="339"/>
      <c r="AU203" s="339"/>
      <c r="AV203" s="339"/>
      <c r="AW203" s="339"/>
      <c r="AX203" s="339"/>
      <c r="AY203" s="339"/>
      <c r="AZ203" s="339"/>
      <c r="BA203" s="339">
        <v>37321.760000000002</v>
      </c>
      <c r="BB203" s="339">
        <v>37812.26</v>
      </c>
      <c r="BC203" s="339">
        <v>395304.9</v>
      </c>
      <c r="BD203" s="339">
        <v>38760.46</v>
      </c>
      <c r="BE203" s="339">
        <v>39133.85</v>
      </c>
      <c r="BF203" s="339">
        <v>30</v>
      </c>
      <c r="BG203" s="339">
        <v>14.72</v>
      </c>
      <c r="BH203" s="339">
        <v>14.72</v>
      </c>
      <c r="BI203" s="339">
        <v>14.72</v>
      </c>
      <c r="BJ203" s="339">
        <v>14.72</v>
      </c>
      <c r="BK203" s="339">
        <v>14.72</v>
      </c>
      <c r="BL203" s="339">
        <v>14.72</v>
      </c>
      <c r="BM203" s="339">
        <v>14.72</v>
      </c>
      <c r="BN203" s="339">
        <v>14.72</v>
      </c>
      <c r="BO203" s="339">
        <v>14.72</v>
      </c>
      <c r="BP203" s="339">
        <v>14.72</v>
      </c>
      <c r="BQ203" s="339">
        <v>14.72</v>
      </c>
      <c r="BR203" s="339">
        <v>14.72</v>
      </c>
      <c r="BS203" s="110" t="e">
        <f t="array" aca="1" ref="BS203" ca="1">_xludf.XLOOKUP(D203,'PL TOTAL D0'!N:N,'PL TOTAL D0'!P:P,"")</f>
        <v>#NAME?</v>
      </c>
      <c r="BT203" s="110"/>
    </row>
    <row r="204" spans="1:72" ht="15.75" customHeight="1">
      <c r="A204" s="122" t="s">
        <v>3785</v>
      </c>
      <c r="B204" s="104" t="s">
        <v>3183</v>
      </c>
      <c r="C204" s="104" t="s">
        <v>3181</v>
      </c>
      <c r="D204" s="292">
        <v>4798641</v>
      </c>
      <c r="E204" s="293" t="s">
        <v>19</v>
      </c>
      <c r="F204" s="293" t="s">
        <v>20</v>
      </c>
      <c r="G204" s="293" t="s">
        <v>2512</v>
      </c>
      <c r="H204" s="293" t="str">
        <f>IFERROR(VLOOKUP(G204,'Cadastro de assessores'!A:B,2,FALSE),"Não Cadastrado")</f>
        <v>18256</v>
      </c>
      <c r="I204" s="293"/>
      <c r="J204" s="24" t="s">
        <v>3788</v>
      </c>
      <c r="K204" s="293" t="s">
        <v>152</v>
      </c>
      <c r="L204" s="415">
        <v>44293</v>
      </c>
      <c r="M204" s="415">
        <v>44291</v>
      </c>
      <c r="N204" s="292"/>
      <c r="O204" s="292" t="s">
        <v>3795</v>
      </c>
      <c r="P204" s="388">
        <v>0.01</v>
      </c>
      <c r="Q204" s="420" t="s">
        <v>3878</v>
      </c>
      <c r="R204" s="417"/>
      <c r="S204" s="292" t="str">
        <f t="shared" si="19"/>
        <v>Não Qualificado</v>
      </c>
      <c r="T204" s="292" t="s">
        <v>145</v>
      </c>
      <c r="U204" s="292" t="s">
        <v>4178</v>
      </c>
      <c r="V204" s="292" t="s">
        <v>20</v>
      </c>
      <c r="W204" s="418"/>
      <c r="X204" s="418"/>
      <c r="Y204" s="418"/>
      <c r="Z204" s="418"/>
      <c r="AA204" s="418"/>
      <c r="AB204" s="418"/>
      <c r="AC204" s="418"/>
      <c r="AD204" s="418"/>
      <c r="AE204" s="418"/>
      <c r="AF204" s="418"/>
      <c r="AG204" s="418"/>
      <c r="AH204" s="418"/>
      <c r="AI204" s="418"/>
      <c r="AJ204" s="418"/>
      <c r="AK204" s="339"/>
      <c r="AL204" s="339"/>
      <c r="AM204" s="339" t="s">
        <v>3147</v>
      </c>
      <c r="AN204" s="339" t="s">
        <v>3147</v>
      </c>
      <c r="AO204" s="339"/>
      <c r="AP204" s="339">
        <v>147844.5</v>
      </c>
      <c r="AQ204" s="339">
        <v>146615.69</v>
      </c>
      <c r="AR204" s="339">
        <v>150175.82</v>
      </c>
      <c r="AS204" s="339">
        <v>140323.62</v>
      </c>
      <c r="AT204" s="339">
        <v>131011.12</v>
      </c>
      <c r="AU204" s="339">
        <v>119476.87</v>
      </c>
      <c r="AV204" s="339">
        <v>101839.01</v>
      </c>
      <c r="AW204" s="339">
        <v>27700.19</v>
      </c>
      <c r="AX204" s="339">
        <v>21560.98</v>
      </c>
      <c r="AY204" s="339">
        <v>21979.74</v>
      </c>
      <c r="AZ204" s="339">
        <v>23037.37</v>
      </c>
      <c r="BA204" s="339">
        <v>23369.02</v>
      </c>
      <c r="BB204" s="339">
        <v>24874.33</v>
      </c>
      <c r="BC204" s="339">
        <v>232128.88</v>
      </c>
      <c r="BD204" s="339">
        <v>23308.92</v>
      </c>
      <c r="BE204" s="339">
        <v>17940.330000000002</v>
      </c>
      <c r="BF204" s="339">
        <v>17058.46</v>
      </c>
      <c r="BG204" s="339">
        <v>5053.7</v>
      </c>
      <c r="BH204" s="339">
        <v>5085.08</v>
      </c>
      <c r="BI204" s="339">
        <v>5127.96</v>
      </c>
      <c r="BJ204" s="339">
        <v>5173.25</v>
      </c>
      <c r="BK204" s="339">
        <v>5214.21</v>
      </c>
      <c r="BL204" s="339">
        <v>5354.48</v>
      </c>
      <c r="BM204" s="339">
        <v>5400.8</v>
      </c>
      <c r="BN204" s="339">
        <v>0</v>
      </c>
      <c r="BO204" s="339">
        <v>0</v>
      </c>
      <c r="BP204" s="339">
        <v>0</v>
      </c>
      <c r="BQ204" s="339">
        <v>0</v>
      </c>
      <c r="BR204" s="339">
        <v>0</v>
      </c>
      <c r="BS204" s="110" t="e">
        <f t="array" aca="1" ref="BS204" ca="1">_xludf.XLOOKUP(D204,'PL TOTAL D0'!N:N,'PL TOTAL D0'!P:P,"")</f>
        <v>#NAME?</v>
      </c>
      <c r="BT204" s="110"/>
    </row>
    <row r="205" spans="1:72" ht="15.75" customHeight="1">
      <c r="A205" s="122" t="s">
        <v>3785</v>
      </c>
      <c r="B205" s="104" t="s">
        <v>4401</v>
      </c>
      <c r="C205" s="122" t="s">
        <v>4402</v>
      </c>
      <c r="D205" s="292">
        <v>4833105</v>
      </c>
      <c r="E205" s="292" t="s">
        <v>19</v>
      </c>
      <c r="F205" s="292" t="s">
        <v>20</v>
      </c>
      <c r="G205" s="292" t="s">
        <v>3793</v>
      </c>
      <c r="H205" s="292" t="str">
        <f>IFERROR(VLOOKUP(G205,'Cadastro de assessores'!A:B,2,FALSE),"Não Cadastrado")</f>
        <v>17679</v>
      </c>
      <c r="I205" s="292"/>
      <c r="J205" s="24" t="s">
        <v>143</v>
      </c>
      <c r="K205" s="292" t="s">
        <v>3794</v>
      </c>
      <c r="L205" s="387">
        <v>44231</v>
      </c>
      <c r="M205" s="387">
        <v>44231</v>
      </c>
      <c r="N205" s="419">
        <v>44518</v>
      </c>
      <c r="O205" s="292" t="s">
        <v>3805</v>
      </c>
      <c r="P205" s="388">
        <v>1.2E-2</v>
      </c>
      <c r="Q205" s="167" t="s">
        <v>4403</v>
      </c>
      <c r="R205" s="417"/>
      <c r="S205" s="292" t="str">
        <f t="shared" si="19"/>
        <v>Não Qualificado</v>
      </c>
      <c r="T205" s="292" t="s">
        <v>145</v>
      </c>
      <c r="U205" s="292" t="s">
        <v>3832</v>
      </c>
      <c r="V205" s="292" t="s">
        <v>20</v>
      </c>
      <c r="W205" s="418"/>
      <c r="X205" s="418"/>
      <c r="Y205" s="418"/>
      <c r="Z205" s="418"/>
      <c r="AA205" s="418"/>
      <c r="AB205" s="418"/>
      <c r="AC205" s="418"/>
      <c r="AD205" s="418"/>
      <c r="AE205" s="418"/>
      <c r="AF205" s="418"/>
      <c r="AG205" s="418"/>
      <c r="AH205" s="418"/>
      <c r="AI205" s="418"/>
      <c r="AJ205" s="418"/>
      <c r="AK205" s="339"/>
      <c r="AL205" s="339"/>
      <c r="AM205" s="339">
        <v>79826.06</v>
      </c>
      <c r="AN205" s="339">
        <v>79999.740000000005</v>
      </c>
      <c r="AO205" s="339">
        <v>121185.4</v>
      </c>
      <c r="AP205" s="339">
        <v>121764.11</v>
      </c>
      <c r="AQ205" s="339">
        <v>121441.11</v>
      </c>
      <c r="AR205" s="339">
        <v>123063.35</v>
      </c>
      <c r="AS205" s="339">
        <v>122760.49</v>
      </c>
      <c r="AT205" s="339">
        <v>121077.59</v>
      </c>
      <c r="AU205" s="339">
        <v>120231.67</v>
      </c>
      <c r="AV205" s="339">
        <v>121750.05</v>
      </c>
      <c r="AW205" s="339">
        <v>114163.92</v>
      </c>
      <c r="AX205" s="339"/>
      <c r="AY205" s="339"/>
      <c r="AZ205" s="339"/>
      <c r="BA205" s="339">
        <v>0</v>
      </c>
      <c r="BB205" s="339">
        <v>0</v>
      </c>
      <c r="BC205" s="339">
        <v>90391.89</v>
      </c>
      <c r="BD205" s="339" t="s">
        <v>2932</v>
      </c>
      <c r="BE205" s="339" t="s">
        <v>2932</v>
      </c>
      <c r="BF205" s="339">
        <v>0</v>
      </c>
      <c r="BG205" s="339">
        <v>0</v>
      </c>
      <c r="BH205" s="339">
        <v>0</v>
      </c>
      <c r="BI205" s="339">
        <v>0</v>
      </c>
      <c r="BJ205" s="339">
        <v>0</v>
      </c>
      <c r="BK205" s="339">
        <v>0</v>
      </c>
      <c r="BL205" s="339">
        <v>0</v>
      </c>
      <c r="BM205" s="339">
        <v>0</v>
      </c>
      <c r="BN205" s="339">
        <v>0</v>
      </c>
      <c r="BO205" s="339">
        <v>0</v>
      </c>
      <c r="BP205" s="339">
        <v>0</v>
      </c>
      <c r="BQ205" s="339">
        <v>0</v>
      </c>
      <c r="BR205" s="339">
        <v>0</v>
      </c>
      <c r="BS205" s="110" t="e">
        <f t="array" aca="1" ref="BS205" ca="1">_xludf.XLOOKUP(D205,'PL TOTAL D0'!N:N,'PL TOTAL D0'!P:P,"")</f>
        <v>#NAME?</v>
      </c>
      <c r="BT205" s="110"/>
    </row>
    <row r="206" spans="1:72" ht="15.75" customHeight="1">
      <c r="A206" s="122" t="s">
        <v>3785</v>
      </c>
      <c r="B206" s="104" t="s">
        <v>4404</v>
      </c>
      <c r="C206" s="390" t="s">
        <v>4405</v>
      </c>
      <c r="D206" s="299">
        <v>8118134</v>
      </c>
      <c r="E206" s="293" t="s">
        <v>64</v>
      </c>
      <c r="F206" s="293" t="s">
        <v>20</v>
      </c>
      <c r="G206" s="293" t="s">
        <v>3876</v>
      </c>
      <c r="H206" s="299">
        <f>IFERROR(VLOOKUP(G206,'Cadastro de assessores'!A:B,2,FALSE),"Não Cadastrado")</f>
        <v>12356</v>
      </c>
      <c r="I206" s="299"/>
      <c r="J206" s="24" t="s">
        <v>3788</v>
      </c>
      <c r="K206" s="293" t="s">
        <v>152</v>
      </c>
      <c r="L206" s="415">
        <v>44686</v>
      </c>
      <c r="M206" s="415">
        <v>44685</v>
      </c>
      <c r="N206" s="299"/>
      <c r="O206" s="299" t="s">
        <v>4406</v>
      </c>
      <c r="P206" s="388">
        <v>1.4999999999999999E-2</v>
      </c>
      <c r="Q206" s="167" t="s">
        <v>4407</v>
      </c>
      <c r="R206" s="417"/>
      <c r="S206" s="292" t="str">
        <f t="shared" si="19"/>
        <v/>
      </c>
      <c r="T206" s="292" t="s">
        <v>145</v>
      </c>
      <c r="U206" s="299" t="s">
        <v>3816</v>
      </c>
      <c r="V206" s="299" t="s">
        <v>20</v>
      </c>
      <c r="W206" s="350"/>
      <c r="X206" s="350"/>
      <c r="Y206" s="350"/>
      <c r="Z206" s="350"/>
      <c r="AA206" s="350"/>
      <c r="AB206" s="350"/>
      <c r="AC206" s="350"/>
      <c r="AD206" s="350"/>
      <c r="AE206" s="350"/>
      <c r="AF206" s="350"/>
      <c r="AG206" s="350"/>
      <c r="AH206" s="418"/>
      <c r="AI206" s="418"/>
      <c r="AJ206" s="339"/>
      <c r="AK206" s="339"/>
      <c r="AL206" s="339"/>
      <c r="AM206" s="339"/>
      <c r="AN206" s="339"/>
      <c r="AO206" s="339"/>
      <c r="AP206" s="339"/>
      <c r="AQ206" s="339"/>
      <c r="AR206" s="339"/>
      <c r="AS206" s="350"/>
      <c r="AT206" s="340"/>
      <c r="AU206" s="340"/>
      <c r="AV206" s="339"/>
      <c r="AW206" s="339"/>
      <c r="AX206" s="339"/>
      <c r="AY206" s="339"/>
      <c r="AZ206" s="339"/>
      <c r="BA206" s="339"/>
      <c r="BB206" s="339"/>
      <c r="BC206" s="339"/>
      <c r="BD206" s="339">
        <v>821332.71</v>
      </c>
      <c r="BE206" s="339">
        <v>828064.8</v>
      </c>
      <c r="BF206" s="339">
        <v>834802.06</v>
      </c>
      <c r="BG206" s="339">
        <v>848360.41209999996</v>
      </c>
      <c r="BH206" s="339">
        <v>850503.23</v>
      </c>
      <c r="BI206" s="339">
        <v>857335.17</v>
      </c>
      <c r="BJ206" s="339">
        <v>850002.23</v>
      </c>
      <c r="BK206" s="339">
        <v>852684.53</v>
      </c>
      <c r="BL206" s="339">
        <v>859574.4</v>
      </c>
      <c r="BM206" s="339">
        <v>339811.73</v>
      </c>
      <c r="BN206" s="339">
        <v>342552.68</v>
      </c>
      <c r="BO206" s="339">
        <v>249</v>
      </c>
      <c r="BP206" s="339">
        <v>249</v>
      </c>
      <c r="BQ206" s="339">
        <v>249</v>
      </c>
      <c r="BR206" s="339">
        <v>249</v>
      </c>
      <c r="BS206" s="110" t="e">
        <f t="array" aca="1" ref="BS206" ca="1">_xludf.XLOOKUP(D206,'PL TOTAL D0'!N:N,'PL TOTAL D0'!P:P,"")</f>
        <v>#NAME?</v>
      </c>
      <c r="BT206" s="110"/>
    </row>
    <row r="207" spans="1:72" ht="15.75" customHeight="1">
      <c r="A207" s="122" t="s">
        <v>3785</v>
      </c>
      <c r="B207" s="104" t="s">
        <v>4408</v>
      </c>
      <c r="C207" s="304" t="s">
        <v>4409</v>
      </c>
      <c r="D207" s="307">
        <v>5998094</v>
      </c>
      <c r="E207" s="292" t="s">
        <v>19</v>
      </c>
      <c r="F207" s="292" t="s">
        <v>49</v>
      </c>
      <c r="G207" s="292" t="s">
        <v>328</v>
      </c>
      <c r="H207" s="292" t="str">
        <f>IFERROR(VLOOKUP(G207,'Cadastro de assessores'!A:B,2,FALSE),"Não Cadastrado")</f>
        <v>18009</v>
      </c>
      <c r="I207" s="292"/>
      <c r="J207" s="24" t="s">
        <v>143</v>
      </c>
      <c r="K207" s="292" t="s">
        <v>3794</v>
      </c>
      <c r="L207" s="387">
        <v>44462</v>
      </c>
      <c r="M207" s="387">
        <v>44462</v>
      </c>
      <c r="N207" s="387">
        <v>44676</v>
      </c>
      <c r="O207" s="292" t="s">
        <v>3795</v>
      </c>
      <c r="P207" s="392">
        <v>1.4999999999999999E-2</v>
      </c>
      <c r="Q207" s="311" t="s">
        <v>4410</v>
      </c>
      <c r="R207" s="417"/>
      <c r="S207" s="292" t="str">
        <f t="shared" si="19"/>
        <v>Não Qualificado</v>
      </c>
      <c r="T207" s="292" t="s">
        <v>145</v>
      </c>
      <c r="U207" s="299" t="s">
        <v>3883</v>
      </c>
      <c r="V207" s="292" t="s">
        <v>3884</v>
      </c>
      <c r="W207" s="350"/>
      <c r="X207" s="350"/>
      <c r="Y207" s="350"/>
      <c r="Z207" s="350"/>
      <c r="AA207" s="350"/>
      <c r="AB207" s="350"/>
      <c r="AC207" s="350"/>
      <c r="AD207" s="350"/>
      <c r="AE207" s="350"/>
      <c r="AF207" s="350"/>
      <c r="AG207" s="350"/>
      <c r="AH207" s="350"/>
      <c r="AI207" s="350"/>
      <c r="AJ207" s="339"/>
      <c r="AK207" s="339"/>
      <c r="AL207" s="339"/>
      <c r="AM207" s="339"/>
      <c r="AN207" s="339"/>
      <c r="AO207" s="339"/>
      <c r="AP207" s="339"/>
      <c r="AQ207" s="350"/>
      <c r="AR207" s="339"/>
      <c r="AS207" s="339"/>
      <c r="AT207" s="340"/>
      <c r="AU207" s="340"/>
      <c r="AV207" s="339">
        <v>111123.17</v>
      </c>
      <c r="AW207" s="339">
        <v>107505</v>
      </c>
      <c r="AX207" s="339">
        <v>106646.14</v>
      </c>
      <c r="AY207" s="339">
        <v>107581.1</v>
      </c>
      <c r="AZ207" s="339">
        <v>111241.24</v>
      </c>
      <c r="BA207" s="339">
        <v>112103.75</v>
      </c>
      <c r="BB207" s="339">
        <v>116050.26</v>
      </c>
      <c r="BC207" s="339">
        <v>2317.88</v>
      </c>
      <c r="BD207" s="339" t="s">
        <v>2932</v>
      </c>
      <c r="BE207" s="339" t="s">
        <v>2932</v>
      </c>
      <c r="BF207" s="339">
        <v>0</v>
      </c>
      <c r="BG207" s="339">
        <v>0</v>
      </c>
      <c r="BH207" s="339">
        <v>0</v>
      </c>
      <c r="BI207" s="339">
        <v>0</v>
      </c>
      <c r="BJ207" s="339">
        <v>0</v>
      </c>
      <c r="BK207" s="339">
        <v>0</v>
      </c>
      <c r="BL207" s="339">
        <v>0</v>
      </c>
      <c r="BM207" s="339">
        <v>0</v>
      </c>
      <c r="BN207" s="339">
        <v>0</v>
      </c>
      <c r="BO207" s="339">
        <v>0</v>
      </c>
      <c r="BP207" s="339">
        <v>0</v>
      </c>
      <c r="BQ207" s="339">
        <v>0</v>
      </c>
      <c r="BR207" s="339">
        <v>0</v>
      </c>
      <c r="BS207" s="110" t="e">
        <f t="array" aca="1" ref="BS207" ca="1">_xludf.XLOOKUP(D207,'PL TOTAL D0'!N:N,'PL TOTAL D0'!P:P,"")</f>
        <v>#NAME?</v>
      </c>
      <c r="BT207" s="110"/>
    </row>
    <row r="208" spans="1:72" ht="15.75" customHeight="1">
      <c r="A208" s="122" t="s">
        <v>3785</v>
      </c>
      <c r="B208" s="104" t="s">
        <v>4411</v>
      </c>
      <c r="C208" s="390" t="s">
        <v>4412</v>
      </c>
      <c r="D208" s="299">
        <v>3712007</v>
      </c>
      <c r="E208" s="292" t="s">
        <v>19</v>
      </c>
      <c r="F208" s="292" t="s">
        <v>49</v>
      </c>
      <c r="G208" s="292" t="s">
        <v>328</v>
      </c>
      <c r="H208" s="292" t="str">
        <f>IFERROR(VLOOKUP(G208,'Cadastro de assessores'!A:B,2,FALSE),"Não Cadastrado")</f>
        <v>18009</v>
      </c>
      <c r="I208" s="292"/>
      <c r="J208" s="24" t="s">
        <v>143</v>
      </c>
      <c r="K208" s="292" t="s">
        <v>3794</v>
      </c>
      <c r="L208" s="292" t="s">
        <v>3147</v>
      </c>
      <c r="M208" s="292" t="s">
        <v>3147</v>
      </c>
      <c r="N208" s="391">
        <v>44404</v>
      </c>
      <c r="O208" s="299" t="s">
        <v>3795</v>
      </c>
      <c r="P208" s="392">
        <v>1.4999999999999999E-2</v>
      </c>
      <c r="Q208" s="167" t="s">
        <v>4413</v>
      </c>
      <c r="R208" s="417"/>
      <c r="S208" s="292" t="str">
        <f t="shared" si="19"/>
        <v>Não Qualificado</v>
      </c>
      <c r="T208" s="292" t="s">
        <v>145</v>
      </c>
      <c r="U208" s="299" t="s">
        <v>3846</v>
      </c>
      <c r="V208" s="299" t="s">
        <v>46</v>
      </c>
      <c r="W208" s="350"/>
      <c r="X208" s="350"/>
      <c r="Y208" s="350"/>
      <c r="Z208" s="350"/>
      <c r="AA208" s="350"/>
      <c r="AB208" s="350"/>
      <c r="AC208" s="350"/>
      <c r="AD208" s="350"/>
      <c r="AE208" s="350"/>
      <c r="AF208" s="350"/>
      <c r="AG208" s="350"/>
      <c r="AH208" s="350"/>
      <c r="AI208" s="350"/>
      <c r="AJ208" s="350"/>
      <c r="AK208" s="339"/>
      <c r="AL208" s="339"/>
      <c r="AM208" s="339"/>
      <c r="AN208" s="339"/>
      <c r="AO208" s="339"/>
      <c r="AP208" s="339"/>
      <c r="AQ208" s="339"/>
      <c r="AR208" s="350"/>
      <c r="AS208" s="339">
        <v>11549.13</v>
      </c>
      <c r="AT208" s="339">
        <v>11100.7</v>
      </c>
      <c r="AU208" s="339"/>
      <c r="AV208" s="339"/>
      <c r="AW208" s="339"/>
      <c r="AX208" s="339"/>
      <c r="AY208" s="339"/>
      <c r="AZ208" s="339"/>
      <c r="BA208" s="339">
        <v>0</v>
      </c>
      <c r="BB208" s="339">
        <v>0</v>
      </c>
      <c r="BC208" s="339">
        <v>723.98</v>
      </c>
      <c r="BD208" s="339" t="s">
        <v>2932</v>
      </c>
      <c r="BE208" s="339" t="s">
        <v>2932</v>
      </c>
      <c r="BF208" s="339">
        <v>0</v>
      </c>
      <c r="BG208" s="339">
        <v>0</v>
      </c>
      <c r="BH208" s="339">
        <v>0</v>
      </c>
      <c r="BI208" s="339">
        <v>0</v>
      </c>
      <c r="BJ208" s="339">
        <v>0</v>
      </c>
      <c r="BK208" s="339">
        <v>0</v>
      </c>
      <c r="BL208" s="339">
        <v>0</v>
      </c>
      <c r="BM208" s="339">
        <v>0</v>
      </c>
      <c r="BN208" s="339">
        <v>0</v>
      </c>
      <c r="BO208" s="339">
        <v>0</v>
      </c>
      <c r="BP208" s="339">
        <v>0</v>
      </c>
      <c r="BQ208" s="339">
        <v>0</v>
      </c>
      <c r="BR208" s="339">
        <v>0</v>
      </c>
      <c r="BS208" s="110" t="e">
        <f t="array" aca="1" ref="BS208" ca="1">_xludf.XLOOKUP(D208,'PL TOTAL D0'!N:N,'PL TOTAL D0'!P:P,"")</f>
        <v>#NAME?</v>
      </c>
      <c r="BT208" s="110"/>
    </row>
    <row r="209" spans="1:72" ht="15.75" customHeight="1">
      <c r="A209" s="122" t="s">
        <v>3785</v>
      </c>
      <c r="B209" s="104" t="s">
        <v>4414</v>
      </c>
      <c r="C209" s="390" t="s">
        <v>4415</v>
      </c>
      <c r="D209" s="299">
        <v>3919372</v>
      </c>
      <c r="E209" s="292" t="s">
        <v>19</v>
      </c>
      <c r="F209" s="292" t="s">
        <v>49</v>
      </c>
      <c r="G209" s="292" t="s">
        <v>328</v>
      </c>
      <c r="H209" s="299" t="str">
        <f>IFERROR(VLOOKUP(G209,'Cadastro de assessores'!A:B,2,FALSE),"Não Cadastrado")</f>
        <v>18009</v>
      </c>
      <c r="I209" s="299"/>
      <c r="J209" s="24" t="s">
        <v>143</v>
      </c>
      <c r="K209" s="292" t="s">
        <v>3794</v>
      </c>
      <c r="L209" s="387">
        <v>44413</v>
      </c>
      <c r="M209" s="387">
        <v>44413</v>
      </c>
      <c r="N209" s="299"/>
      <c r="O209" s="299" t="s">
        <v>3809</v>
      </c>
      <c r="P209" s="388">
        <v>2.5000000000000001E-2</v>
      </c>
      <c r="Q209" s="167" t="s">
        <v>4416</v>
      </c>
      <c r="R209" s="417"/>
      <c r="S209" s="292" t="str">
        <f t="shared" si="19"/>
        <v>Não Qualificado</v>
      </c>
      <c r="T209" s="292" t="s">
        <v>145</v>
      </c>
      <c r="U209" s="299" t="s">
        <v>3846</v>
      </c>
      <c r="V209" s="299" t="s">
        <v>46</v>
      </c>
      <c r="W209" s="350"/>
      <c r="X209" s="350"/>
      <c r="Y209" s="350"/>
      <c r="Z209" s="350"/>
      <c r="AA209" s="350"/>
      <c r="AB209" s="350"/>
      <c r="AC209" s="350"/>
      <c r="AD209" s="350"/>
      <c r="AE209" s="350"/>
      <c r="AF209" s="350"/>
      <c r="AG209" s="350"/>
      <c r="AH209" s="418"/>
      <c r="AI209" s="418"/>
      <c r="AJ209" s="339"/>
      <c r="AK209" s="339"/>
      <c r="AL209" s="339"/>
      <c r="AM209" s="339"/>
      <c r="AN209" s="339"/>
      <c r="AO209" s="339"/>
      <c r="AP209" s="339"/>
      <c r="AQ209" s="339"/>
      <c r="AR209" s="339"/>
      <c r="AS209" s="350"/>
      <c r="AT209" s="340">
        <v>77768.14</v>
      </c>
      <c r="AU209" s="340">
        <v>76647.509999999995</v>
      </c>
      <c r="AV209" s="339">
        <v>74347.05</v>
      </c>
      <c r="AW209" s="339">
        <v>70583.240000000005</v>
      </c>
      <c r="AX209" s="339">
        <v>16682.18</v>
      </c>
      <c r="AY209" s="339">
        <v>17103.669999999998</v>
      </c>
      <c r="AZ209" s="339">
        <v>719.6</v>
      </c>
      <c r="BA209" s="339">
        <v>721.33</v>
      </c>
      <c r="BB209" s="339">
        <v>722.77</v>
      </c>
      <c r="BC209" s="339">
        <v>198.79</v>
      </c>
      <c r="BD209" s="339" t="s">
        <v>2932</v>
      </c>
      <c r="BE209" s="339" t="s">
        <v>2932</v>
      </c>
      <c r="BF209" s="339">
        <v>0</v>
      </c>
      <c r="BG209" s="339">
        <v>0</v>
      </c>
      <c r="BH209" s="339">
        <v>0</v>
      </c>
      <c r="BI209" s="339">
        <v>0</v>
      </c>
      <c r="BJ209" s="339">
        <v>0</v>
      </c>
      <c r="BK209" s="339">
        <v>0</v>
      </c>
      <c r="BL209" s="339">
        <v>0</v>
      </c>
      <c r="BM209" s="339">
        <v>0</v>
      </c>
      <c r="BN209" s="339">
        <v>0</v>
      </c>
      <c r="BO209" s="339">
        <v>0</v>
      </c>
      <c r="BP209" s="339">
        <v>0</v>
      </c>
      <c r="BQ209" s="339">
        <v>0</v>
      </c>
      <c r="BR209" s="339">
        <v>0</v>
      </c>
      <c r="BS209" s="110" t="e">
        <f t="array" aca="1" ref="BS209" ca="1">_xludf.XLOOKUP(D209,'PL TOTAL D0'!N:N,'PL TOTAL D0'!P:P,"")</f>
        <v>#NAME?</v>
      </c>
      <c r="BT209" s="110"/>
    </row>
    <row r="210" spans="1:72" ht="15.75" customHeight="1">
      <c r="A210" s="122" t="s">
        <v>3785</v>
      </c>
      <c r="B210" s="104" t="s">
        <v>4417</v>
      </c>
      <c r="C210" s="122" t="s">
        <v>4418</v>
      </c>
      <c r="D210" s="292">
        <v>2466854</v>
      </c>
      <c r="E210" s="292" t="s">
        <v>2923</v>
      </c>
      <c r="F210" s="292" t="s">
        <v>20</v>
      </c>
      <c r="G210" s="292" t="s">
        <v>2923</v>
      </c>
      <c r="H210" s="292" t="str">
        <f>IFERROR(VLOOKUP(G210,'Cadastro de assessores'!A:B,2,FALSE),"Não Cadastrado")</f>
        <v>18986</v>
      </c>
      <c r="I210" s="292"/>
      <c r="J210" s="24" t="s">
        <v>143</v>
      </c>
      <c r="K210" s="292" t="s">
        <v>3794</v>
      </c>
      <c r="L210" s="387">
        <v>43696</v>
      </c>
      <c r="M210" s="387">
        <v>43696</v>
      </c>
      <c r="N210" s="387">
        <v>44091</v>
      </c>
      <c r="O210" s="292" t="s">
        <v>3795</v>
      </c>
      <c r="P210" s="388">
        <v>0.01</v>
      </c>
      <c r="Q210" s="420" t="s">
        <v>4419</v>
      </c>
      <c r="R210" s="417"/>
      <c r="S210" s="292" t="str">
        <f t="shared" si="19"/>
        <v/>
      </c>
      <c r="T210" s="292" t="s">
        <v>145</v>
      </c>
      <c r="U210" s="292" t="s">
        <v>3811</v>
      </c>
      <c r="V210" s="292" t="s">
        <v>20</v>
      </c>
      <c r="W210" s="418" t="s">
        <v>4420</v>
      </c>
      <c r="X210" s="418"/>
      <c r="Y210" s="418" t="s">
        <v>4421</v>
      </c>
      <c r="Z210" s="418" t="s">
        <v>4422</v>
      </c>
      <c r="AA210" s="418" t="s">
        <v>4423</v>
      </c>
      <c r="AB210" s="418" t="s">
        <v>4424</v>
      </c>
      <c r="AC210" s="418" t="s">
        <v>4425</v>
      </c>
      <c r="AD210" s="418" t="s">
        <v>4426</v>
      </c>
      <c r="AE210" s="418" t="s">
        <v>4427</v>
      </c>
      <c r="AF210" s="418" t="s">
        <v>4428</v>
      </c>
      <c r="AG210" s="418" t="s">
        <v>4429</v>
      </c>
      <c r="AH210" s="418"/>
      <c r="AI210" s="418" t="s">
        <v>4430</v>
      </c>
      <c r="AJ210" s="418"/>
      <c r="AK210" s="339"/>
      <c r="AL210" s="339">
        <v>214.15</v>
      </c>
      <c r="AM210" s="339" t="s">
        <v>3147</v>
      </c>
      <c r="AN210" s="339"/>
      <c r="AO210" s="339"/>
      <c r="AP210" s="339"/>
      <c r="AQ210" s="339"/>
      <c r="AR210" s="339"/>
      <c r="AS210" s="339"/>
      <c r="AT210" s="339"/>
      <c r="AU210" s="339"/>
      <c r="AV210" s="339"/>
      <c r="AW210" s="339"/>
      <c r="AX210" s="339"/>
      <c r="AY210" s="339"/>
      <c r="AZ210" s="339"/>
      <c r="BA210" s="339">
        <v>0</v>
      </c>
      <c r="BB210" s="339">
        <v>0</v>
      </c>
      <c r="BC210" s="339"/>
      <c r="BD210" s="339" t="s">
        <v>2932</v>
      </c>
      <c r="BE210" s="339" t="s">
        <v>2932</v>
      </c>
      <c r="BF210" s="339">
        <v>0</v>
      </c>
      <c r="BG210" s="339">
        <v>0</v>
      </c>
      <c r="BH210" s="339">
        <v>0</v>
      </c>
      <c r="BI210" s="339">
        <v>0</v>
      </c>
      <c r="BJ210" s="339">
        <v>0</v>
      </c>
      <c r="BK210" s="339">
        <v>0</v>
      </c>
      <c r="BL210" s="339">
        <v>0</v>
      </c>
      <c r="BM210" s="339">
        <v>0</v>
      </c>
      <c r="BN210" s="339">
        <v>0</v>
      </c>
      <c r="BO210" s="339">
        <v>0</v>
      </c>
      <c r="BP210" s="339">
        <v>0</v>
      </c>
      <c r="BQ210" s="339">
        <v>0</v>
      </c>
      <c r="BR210" s="339">
        <v>0</v>
      </c>
      <c r="BS210" s="110" t="e">
        <f t="array" aca="1" ref="BS210" ca="1">_xludf.XLOOKUP(D210,'PL TOTAL D0'!N:N,'PL TOTAL D0'!P:P,"")</f>
        <v>#NAME?</v>
      </c>
      <c r="BT210" s="110"/>
    </row>
    <row r="211" spans="1:72" ht="15.75" customHeight="1">
      <c r="A211" s="122" t="s">
        <v>3785</v>
      </c>
      <c r="B211" s="104" t="s">
        <v>662</v>
      </c>
      <c r="C211" s="122" t="s">
        <v>661</v>
      </c>
      <c r="D211" s="292">
        <v>2172585</v>
      </c>
      <c r="E211" s="293" t="s">
        <v>19</v>
      </c>
      <c r="F211" s="293" t="s">
        <v>20</v>
      </c>
      <c r="G211" s="293" t="s">
        <v>661</v>
      </c>
      <c r="H211" s="293"/>
      <c r="I211" s="293"/>
      <c r="J211" s="24" t="s">
        <v>3788</v>
      </c>
      <c r="K211" s="292"/>
      <c r="L211" s="292"/>
      <c r="M211" s="292"/>
      <c r="N211" s="292"/>
      <c r="O211" s="292" t="s">
        <v>3795</v>
      </c>
      <c r="P211" s="428">
        <v>1.2E-2</v>
      </c>
      <c r="Q211" s="420" t="s">
        <v>3878</v>
      </c>
      <c r="R211" s="417"/>
      <c r="S211" s="292"/>
      <c r="T211" s="292"/>
      <c r="U211" s="292"/>
      <c r="V211" s="292" t="s">
        <v>20</v>
      </c>
      <c r="W211" s="418"/>
      <c r="X211" s="418"/>
      <c r="Y211" s="418"/>
      <c r="Z211" s="418"/>
      <c r="AA211" s="418"/>
      <c r="AB211" s="418"/>
      <c r="AC211" s="418"/>
      <c r="AD211" s="418"/>
      <c r="AE211" s="418"/>
      <c r="AF211" s="418"/>
      <c r="AG211" s="418"/>
      <c r="AH211" s="418"/>
      <c r="AI211" s="418"/>
      <c r="AJ211" s="418"/>
      <c r="AK211" s="339"/>
      <c r="AL211" s="339"/>
      <c r="AM211" s="339"/>
      <c r="AN211" s="339"/>
      <c r="AO211" s="339"/>
      <c r="AP211" s="339"/>
      <c r="AQ211" s="339"/>
      <c r="AR211" s="339"/>
      <c r="AS211" s="339"/>
      <c r="AT211" s="339"/>
      <c r="AU211" s="339"/>
      <c r="AV211" s="339"/>
      <c r="AW211" s="339"/>
      <c r="AX211" s="339"/>
      <c r="AY211" s="339"/>
      <c r="AZ211" s="339"/>
      <c r="BA211" s="339"/>
      <c r="BB211" s="339"/>
      <c r="BC211" s="339"/>
      <c r="BD211" s="339"/>
      <c r="BE211" s="339"/>
      <c r="BF211" s="339"/>
      <c r="BG211" s="339"/>
      <c r="BH211" s="339"/>
      <c r="BI211" s="339"/>
      <c r="BJ211" s="339"/>
      <c r="BK211" s="339"/>
      <c r="BL211" s="339">
        <v>0</v>
      </c>
      <c r="BM211" s="339">
        <v>0</v>
      </c>
      <c r="BN211" s="339">
        <v>0</v>
      </c>
      <c r="BO211" s="339">
        <v>0</v>
      </c>
      <c r="BP211" s="339">
        <v>0</v>
      </c>
      <c r="BQ211" s="339">
        <v>0</v>
      </c>
      <c r="BR211" s="339">
        <v>0</v>
      </c>
      <c r="BS211" s="110" t="e">
        <f t="array" aca="1" ref="BS211" ca="1">_xludf.XLOOKUP(D211,'PL TOTAL D0'!N:N,'PL TOTAL D0'!P:P,"")</f>
        <v>#NAME?</v>
      </c>
      <c r="BT211" s="110"/>
    </row>
    <row r="212" spans="1:72" ht="15.75" customHeight="1">
      <c r="A212" s="122" t="s">
        <v>3785</v>
      </c>
      <c r="B212" s="104" t="s">
        <v>4431</v>
      </c>
      <c r="C212" s="122" t="s">
        <v>4432</v>
      </c>
      <c r="D212" s="292">
        <v>2566765</v>
      </c>
      <c r="E212" s="293" t="s">
        <v>19</v>
      </c>
      <c r="F212" s="293" t="s">
        <v>20</v>
      </c>
      <c r="G212" s="293" t="s">
        <v>2512</v>
      </c>
      <c r="H212" s="293" t="str">
        <f>IFERROR(VLOOKUP(G212,'Cadastro de assessores'!A:B,2,FALSE),"Não Cadastrado")</f>
        <v>18256</v>
      </c>
      <c r="I212" s="293"/>
      <c r="J212" s="24" t="s">
        <v>3788</v>
      </c>
      <c r="K212" s="292" t="s">
        <v>161</v>
      </c>
      <c r="L212" s="292" t="s">
        <v>3147</v>
      </c>
      <c r="M212" s="436" t="s">
        <v>3638</v>
      </c>
      <c r="N212" s="292"/>
      <c r="O212" s="292" t="s">
        <v>3809</v>
      </c>
      <c r="P212" s="428">
        <v>1E-4</v>
      </c>
      <c r="Q212" s="420"/>
      <c r="R212" s="417"/>
      <c r="S212" s="292" t="str">
        <f t="shared" ref="S212:S214" si="20">IF(BC212&lt;=0,"",IF(BC212&lt;=1000000,"Não Qualificado",IF(AND(BC212&gt;1000000,BC212&lt;=10000000),"Qualificado","Profissional")))</f>
        <v>Não Qualificado</v>
      </c>
      <c r="T212" s="292" t="s">
        <v>145</v>
      </c>
      <c r="U212" s="292" t="s">
        <v>3797</v>
      </c>
      <c r="V212" s="292" t="s">
        <v>20</v>
      </c>
      <c r="W212" s="418" t="s">
        <v>4433</v>
      </c>
      <c r="X212" s="418"/>
      <c r="Y212" s="418" t="s">
        <v>4434</v>
      </c>
      <c r="Z212" s="418" t="s">
        <v>4435</v>
      </c>
      <c r="AA212" s="418" t="s">
        <v>4436</v>
      </c>
      <c r="AB212" s="418" t="s">
        <v>4437</v>
      </c>
      <c r="AC212" s="418" t="s">
        <v>4438</v>
      </c>
      <c r="AD212" s="418" t="s">
        <v>4437</v>
      </c>
      <c r="AE212" s="418" t="s">
        <v>4437</v>
      </c>
      <c r="AF212" s="418" t="s">
        <v>4437</v>
      </c>
      <c r="AG212" s="418" t="s">
        <v>4439</v>
      </c>
      <c r="AH212" s="418" t="s">
        <v>4439</v>
      </c>
      <c r="AI212" s="418" t="s">
        <v>4440</v>
      </c>
      <c r="AJ212" s="418" t="s">
        <v>4440</v>
      </c>
      <c r="AK212" s="339">
        <v>260.3</v>
      </c>
      <c r="AL212" s="339">
        <v>123.59</v>
      </c>
      <c r="AM212" s="339">
        <v>123.59</v>
      </c>
      <c r="AN212" s="339">
        <v>123.59</v>
      </c>
      <c r="AO212" s="339">
        <v>198.79</v>
      </c>
      <c r="AP212" s="339">
        <v>198.79</v>
      </c>
      <c r="AQ212" s="339">
        <v>198.79</v>
      </c>
      <c r="AR212" s="339">
        <v>198.79</v>
      </c>
      <c r="AS212" s="339">
        <v>198.79</v>
      </c>
      <c r="AT212" s="339">
        <v>198.79</v>
      </c>
      <c r="AU212" s="339">
        <v>198.79</v>
      </c>
      <c r="AV212" s="339">
        <v>123.59</v>
      </c>
      <c r="AW212" s="339">
        <v>198.79</v>
      </c>
      <c r="AX212" s="339">
        <v>198.79</v>
      </c>
      <c r="AY212" s="339">
        <v>198.79</v>
      </c>
      <c r="AZ212" s="339">
        <v>198.79</v>
      </c>
      <c r="BA212" s="339">
        <v>198.79</v>
      </c>
      <c r="BB212" s="339">
        <v>198.79</v>
      </c>
      <c r="BC212" s="339">
        <v>88355.15</v>
      </c>
      <c r="BD212" s="339">
        <v>123.59</v>
      </c>
      <c r="BE212" s="339" t="s">
        <v>2932</v>
      </c>
      <c r="BF212" s="339">
        <v>123.59</v>
      </c>
      <c r="BG212" s="339">
        <v>123.59</v>
      </c>
      <c r="BH212" s="339">
        <v>123.59</v>
      </c>
      <c r="BI212" s="339">
        <v>123.59</v>
      </c>
      <c r="BJ212" s="339">
        <v>123.59</v>
      </c>
      <c r="BK212" s="339">
        <v>123.59</v>
      </c>
      <c r="BL212" s="339">
        <v>0</v>
      </c>
      <c r="BM212" s="339">
        <v>0</v>
      </c>
      <c r="BN212" s="339">
        <v>0</v>
      </c>
      <c r="BO212" s="339">
        <v>0</v>
      </c>
      <c r="BP212" s="339">
        <v>0</v>
      </c>
      <c r="BQ212" s="339">
        <v>0</v>
      </c>
      <c r="BR212" s="339">
        <v>0</v>
      </c>
      <c r="BS212" s="110" t="e">
        <f t="array" aca="1" ref="BS212" ca="1">_xludf.XLOOKUP(D212,'PL TOTAL D0'!N:N,'PL TOTAL D0'!P:P,"")</f>
        <v>#NAME?</v>
      </c>
      <c r="BT212" s="110"/>
    </row>
    <row r="213" spans="1:72" ht="15.75" customHeight="1">
      <c r="A213" s="122" t="s">
        <v>3785</v>
      </c>
      <c r="B213" s="104" t="s">
        <v>4441</v>
      </c>
      <c r="C213" s="452" t="s">
        <v>4442</v>
      </c>
      <c r="D213" s="299">
        <v>5092169</v>
      </c>
      <c r="E213" s="292" t="s">
        <v>19</v>
      </c>
      <c r="F213" s="292" t="s">
        <v>49</v>
      </c>
      <c r="G213" s="292" t="s">
        <v>328</v>
      </c>
      <c r="H213" s="292" t="str">
        <f>IFERROR(VLOOKUP(G213,'Cadastro de assessores'!A:B,2,FALSE),"Não Cadastrado")</f>
        <v>18009</v>
      </c>
      <c r="I213" s="292"/>
      <c r="J213" s="24" t="s">
        <v>143</v>
      </c>
      <c r="K213" s="292" t="s">
        <v>3794</v>
      </c>
      <c r="L213" s="387">
        <v>44287</v>
      </c>
      <c r="M213" s="387">
        <v>44287</v>
      </c>
      <c r="N213" s="387">
        <v>44805</v>
      </c>
      <c r="O213" s="292" t="s">
        <v>3795</v>
      </c>
      <c r="P213" s="392">
        <v>1.4999999999999999E-2</v>
      </c>
      <c r="Q213" s="167"/>
      <c r="R213" s="417"/>
      <c r="S213" s="292" t="str">
        <f t="shared" si="20"/>
        <v/>
      </c>
      <c r="T213" s="292" t="s">
        <v>145</v>
      </c>
      <c r="U213" s="299" t="s">
        <v>4223</v>
      </c>
      <c r="V213" s="299" t="s">
        <v>3647</v>
      </c>
      <c r="W213" s="350"/>
      <c r="X213" s="350"/>
      <c r="Y213" s="350"/>
      <c r="Z213" s="350"/>
      <c r="AA213" s="350"/>
      <c r="AB213" s="350"/>
      <c r="AC213" s="350"/>
      <c r="AD213" s="350"/>
      <c r="AE213" s="350"/>
      <c r="AF213" s="350"/>
      <c r="AG213" s="350"/>
      <c r="AH213" s="350"/>
      <c r="AI213" s="350"/>
      <c r="AJ213" s="350"/>
      <c r="AK213" s="340"/>
      <c r="AL213" s="339"/>
      <c r="AM213" s="339"/>
      <c r="AN213" s="339"/>
      <c r="AO213" s="339"/>
      <c r="AP213" s="339">
        <v>130609.87</v>
      </c>
      <c r="AQ213" s="339">
        <v>130051.55</v>
      </c>
      <c r="AR213" s="339">
        <v>130223.2</v>
      </c>
      <c r="AS213" s="339">
        <v>129100.56</v>
      </c>
      <c r="AT213" s="339">
        <v>150883.89000000001</v>
      </c>
      <c r="AU213" s="339">
        <v>149799.45000000001</v>
      </c>
      <c r="AV213" s="339">
        <v>150114.6</v>
      </c>
      <c r="AW213" s="339">
        <v>145546.43</v>
      </c>
      <c r="AX213" s="339">
        <v>124683.99</v>
      </c>
      <c r="AY213" s="339">
        <v>126361.37</v>
      </c>
      <c r="AZ213" s="339">
        <v>130383.69</v>
      </c>
      <c r="BA213" s="339">
        <v>131494.49</v>
      </c>
      <c r="BB213" s="339">
        <v>128695</v>
      </c>
      <c r="BC213" s="339"/>
      <c r="BD213" s="339">
        <v>126550.34</v>
      </c>
      <c r="BE213" s="339">
        <v>125646.62</v>
      </c>
      <c r="BF213" s="339">
        <v>127751.05</v>
      </c>
      <c r="BG213" s="339">
        <v>128114.45359999999</v>
      </c>
      <c r="BH213" s="339">
        <v>0</v>
      </c>
      <c r="BI213" s="339">
        <v>0</v>
      </c>
      <c r="BJ213" s="339">
        <v>0</v>
      </c>
      <c r="BK213" s="339">
        <v>0</v>
      </c>
      <c r="BL213" s="339">
        <v>0</v>
      </c>
      <c r="BM213" s="339">
        <v>0</v>
      </c>
      <c r="BN213" s="339">
        <v>0</v>
      </c>
      <c r="BO213" s="339">
        <v>0</v>
      </c>
      <c r="BP213" s="339">
        <v>0</v>
      </c>
      <c r="BQ213" s="339">
        <v>0</v>
      </c>
      <c r="BR213" s="339">
        <v>0</v>
      </c>
      <c r="BS213" s="110" t="e">
        <f t="array" aca="1" ref="BS213" ca="1">_xludf.XLOOKUP(D213,'PL TOTAL D0'!N:N,'PL TOTAL D0'!P:P,"")</f>
        <v>#NAME?</v>
      </c>
      <c r="BT213" s="110"/>
    </row>
    <row r="214" spans="1:72" ht="15.75" customHeight="1">
      <c r="A214" s="122" t="s">
        <v>3785</v>
      </c>
      <c r="B214" s="104" t="s">
        <v>4443</v>
      </c>
      <c r="C214" s="390" t="s">
        <v>4444</v>
      </c>
      <c r="D214" s="299">
        <v>5599106</v>
      </c>
      <c r="E214" s="292" t="s">
        <v>64</v>
      </c>
      <c r="F214" s="292" t="s">
        <v>20</v>
      </c>
      <c r="G214" s="292" t="s">
        <v>4104</v>
      </c>
      <c r="H214" s="292" t="str">
        <f>IFERROR(VLOOKUP(G214,'Cadastro de assessores'!A:B,2,FALSE),"Não Cadastrado")</f>
        <v>19157</v>
      </c>
      <c r="I214" s="292"/>
      <c r="J214" s="24" t="s">
        <v>143</v>
      </c>
      <c r="K214" s="292" t="s">
        <v>3794</v>
      </c>
      <c r="L214" s="387">
        <v>44368</v>
      </c>
      <c r="M214" s="387">
        <v>44368</v>
      </c>
      <c r="N214" s="447">
        <v>44494</v>
      </c>
      <c r="O214" s="299" t="s">
        <v>3809</v>
      </c>
      <c r="P214" s="388">
        <v>2.5000000000000001E-2</v>
      </c>
      <c r="Q214" s="420" t="s">
        <v>4445</v>
      </c>
      <c r="R214" s="417"/>
      <c r="S214" s="292" t="str">
        <f t="shared" si="20"/>
        <v>Não Qualificado</v>
      </c>
      <c r="T214" s="292" t="s">
        <v>145</v>
      </c>
      <c r="U214" s="299" t="s">
        <v>4446</v>
      </c>
      <c r="V214" s="299" t="s">
        <v>49</v>
      </c>
      <c r="W214" s="350"/>
      <c r="X214" s="350"/>
      <c r="Y214" s="350"/>
      <c r="Z214" s="350"/>
      <c r="AA214" s="350"/>
      <c r="AB214" s="350"/>
      <c r="AC214" s="350"/>
      <c r="AD214" s="350"/>
      <c r="AE214" s="350"/>
      <c r="AF214" s="350"/>
      <c r="AG214" s="350"/>
      <c r="AH214" s="350"/>
      <c r="AI214" s="350"/>
      <c r="AJ214" s="339"/>
      <c r="AK214" s="339"/>
      <c r="AL214" s="339"/>
      <c r="AM214" s="339"/>
      <c r="AN214" s="339"/>
      <c r="AO214" s="339"/>
      <c r="AP214" s="339"/>
      <c r="AQ214" s="339"/>
      <c r="AR214" s="350"/>
      <c r="AS214" s="339">
        <v>971353.75</v>
      </c>
      <c r="AT214" s="339">
        <v>921515.75</v>
      </c>
      <c r="AU214" s="339">
        <v>890302.12</v>
      </c>
      <c r="AV214" s="339">
        <v>833975.2</v>
      </c>
      <c r="AW214" s="339">
        <v>1984.9</v>
      </c>
      <c r="AX214" s="339"/>
      <c r="AY214" s="339"/>
      <c r="AZ214" s="339"/>
      <c r="BA214" s="339">
        <v>0</v>
      </c>
      <c r="BB214" s="339">
        <v>0</v>
      </c>
      <c r="BC214" s="339">
        <v>80031.899999999994</v>
      </c>
      <c r="BD214" s="339" t="s">
        <v>2932</v>
      </c>
      <c r="BE214" s="339" t="s">
        <v>2932</v>
      </c>
      <c r="BF214" s="339">
        <v>0</v>
      </c>
      <c r="BG214" s="339">
        <v>0</v>
      </c>
      <c r="BH214" s="339">
        <v>0</v>
      </c>
      <c r="BI214" s="339">
        <v>0</v>
      </c>
      <c r="BJ214" s="339">
        <v>0</v>
      </c>
      <c r="BK214" s="339">
        <v>0</v>
      </c>
      <c r="BL214" s="339">
        <v>0</v>
      </c>
      <c r="BM214" s="339">
        <v>0</v>
      </c>
      <c r="BN214" s="339">
        <v>0</v>
      </c>
      <c r="BO214" s="339">
        <v>0</v>
      </c>
      <c r="BP214" s="339">
        <v>0</v>
      </c>
      <c r="BQ214" s="339">
        <v>0</v>
      </c>
      <c r="BR214" s="339">
        <v>0</v>
      </c>
      <c r="BS214" s="110" t="e">
        <f t="array" aca="1" ref="BS214" ca="1">_xludf.XLOOKUP(D214,'PL TOTAL D0'!N:N,'PL TOTAL D0'!P:P,"")</f>
        <v>#NAME?</v>
      </c>
      <c r="BT214" s="110"/>
    </row>
    <row r="215" spans="1:72" ht="15.75" customHeight="1">
      <c r="A215" s="122" t="s">
        <v>3785</v>
      </c>
      <c r="B215" s="104" t="s">
        <v>1292</v>
      </c>
      <c r="C215" s="122" t="s">
        <v>1289</v>
      </c>
      <c r="D215" s="292">
        <v>3714924</v>
      </c>
      <c r="E215" s="292" t="s">
        <v>19</v>
      </c>
      <c r="F215" s="292" t="s">
        <v>20</v>
      </c>
      <c r="G215" s="292" t="s">
        <v>21</v>
      </c>
      <c r="H215" s="292"/>
      <c r="I215" s="292"/>
      <c r="J215" s="24" t="s">
        <v>3788</v>
      </c>
      <c r="K215" s="292"/>
      <c r="L215" s="387"/>
      <c r="M215" s="292" t="s">
        <v>4447</v>
      </c>
      <c r="N215" s="387"/>
      <c r="O215" s="292" t="s">
        <v>3802</v>
      </c>
      <c r="P215" s="388">
        <v>0</v>
      </c>
      <c r="Q215" s="420" t="s">
        <v>4448</v>
      </c>
      <c r="R215" s="417"/>
      <c r="S215" s="292"/>
      <c r="T215" s="292"/>
      <c r="U215" s="292"/>
      <c r="V215" s="292" t="s">
        <v>20</v>
      </c>
      <c r="W215" s="418"/>
      <c r="X215" s="418"/>
      <c r="Y215" s="418"/>
      <c r="Z215" s="418"/>
      <c r="AA215" s="418"/>
      <c r="AB215" s="418"/>
      <c r="AC215" s="418"/>
      <c r="AD215" s="418"/>
      <c r="AE215" s="418"/>
      <c r="AF215" s="418"/>
      <c r="AG215" s="418"/>
      <c r="AH215" s="418"/>
      <c r="AI215" s="418"/>
      <c r="AJ215" s="418"/>
      <c r="AK215" s="339"/>
      <c r="AL215" s="339"/>
      <c r="AM215" s="339"/>
      <c r="AN215" s="339"/>
      <c r="AO215" s="339"/>
      <c r="AP215" s="339"/>
      <c r="AQ215" s="339"/>
      <c r="AR215" s="339"/>
      <c r="AS215" s="339"/>
      <c r="AT215" s="339"/>
      <c r="AU215" s="339"/>
      <c r="AV215" s="339"/>
      <c r="AW215" s="339"/>
      <c r="AX215" s="339"/>
      <c r="AY215" s="339"/>
      <c r="AZ215" s="339"/>
      <c r="BA215" s="339"/>
      <c r="BB215" s="339"/>
      <c r="BC215" s="339"/>
      <c r="BD215" s="339"/>
      <c r="BE215" s="339"/>
      <c r="BF215" s="339"/>
      <c r="BG215" s="339"/>
      <c r="BH215" s="339"/>
      <c r="BI215" s="339"/>
      <c r="BJ215" s="339"/>
      <c r="BK215" s="339"/>
      <c r="BL215" s="339">
        <v>124101.59</v>
      </c>
      <c r="BM215" s="339">
        <v>54772.11</v>
      </c>
      <c r="BN215" s="339">
        <v>0</v>
      </c>
      <c r="BO215" s="339">
        <v>0</v>
      </c>
      <c r="BP215" s="339">
        <v>0</v>
      </c>
      <c r="BQ215" s="339">
        <v>0</v>
      </c>
      <c r="BR215" s="339">
        <v>0</v>
      </c>
      <c r="BS215" s="110" t="e">
        <f t="array" aca="1" ref="BS215" ca="1">_xludf.XLOOKUP(D215,'PL TOTAL D0'!N:N,'PL TOTAL D0'!P:P,"")</f>
        <v>#NAME?</v>
      </c>
      <c r="BT215" s="110"/>
    </row>
    <row r="216" spans="1:72" ht="15.75" customHeight="1">
      <c r="A216" s="122" t="s">
        <v>3785</v>
      </c>
      <c r="B216" s="104" t="s">
        <v>4449</v>
      </c>
      <c r="C216" s="122" t="s">
        <v>4450</v>
      </c>
      <c r="D216" s="292">
        <v>4760280</v>
      </c>
      <c r="E216" s="292" t="s">
        <v>64</v>
      </c>
      <c r="F216" s="292" t="s">
        <v>20</v>
      </c>
      <c r="G216" s="292" t="s">
        <v>4451</v>
      </c>
      <c r="H216" s="292" t="str">
        <f>IFERROR(VLOOKUP(G216,'Cadastro de assessores'!A:B,2,FALSE),"Não Cadastrado")</f>
        <v>14091</v>
      </c>
      <c r="I216" s="292"/>
      <c r="J216" s="24" t="s">
        <v>143</v>
      </c>
      <c r="K216" s="292" t="s">
        <v>3794</v>
      </c>
      <c r="L216" s="387">
        <v>44211</v>
      </c>
      <c r="M216" s="387">
        <v>44211</v>
      </c>
      <c r="N216" s="387">
        <v>44781</v>
      </c>
      <c r="O216" s="292" t="s">
        <v>3809</v>
      </c>
      <c r="P216" s="388">
        <v>2.5000000000000001E-2</v>
      </c>
      <c r="Q216" s="420" t="s">
        <v>4452</v>
      </c>
      <c r="R216" s="417"/>
      <c r="S216" s="292" t="str">
        <f t="shared" ref="S216:S231" si="21">IF(BC216&lt;=0,"",IF(BC216&lt;=1000000,"Não Qualificado",IF(AND(BC216&gt;1000000,BC216&lt;=10000000),"Qualificado","Profissional")))</f>
        <v>Não Qualificado</v>
      </c>
      <c r="T216" s="292" t="s">
        <v>145</v>
      </c>
      <c r="U216" s="292" t="s">
        <v>3816</v>
      </c>
      <c r="V216" s="292" t="s">
        <v>20</v>
      </c>
      <c r="W216" s="418"/>
      <c r="X216" s="418"/>
      <c r="Y216" s="418"/>
      <c r="Z216" s="418"/>
      <c r="AA216" s="418"/>
      <c r="AB216" s="418"/>
      <c r="AC216" s="418"/>
      <c r="AD216" s="418"/>
      <c r="AE216" s="418"/>
      <c r="AF216" s="418"/>
      <c r="AG216" s="418"/>
      <c r="AH216" s="418"/>
      <c r="AI216" s="418"/>
      <c r="AJ216" s="418"/>
      <c r="AK216" s="339"/>
      <c r="AL216" s="339">
        <v>95372.38</v>
      </c>
      <c r="AM216" s="339">
        <v>88373.64</v>
      </c>
      <c r="AN216" s="339">
        <v>88838.78</v>
      </c>
      <c r="AO216" s="339">
        <v>95949.07</v>
      </c>
      <c r="AP216" s="339">
        <v>97177.03</v>
      </c>
      <c r="AQ216" s="339">
        <v>96138.36</v>
      </c>
      <c r="AR216" s="339">
        <v>101680.08</v>
      </c>
      <c r="AS216" s="339">
        <v>99320.92</v>
      </c>
      <c r="AT216" s="339">
        <v>94029.759999999995</v>
      </c>
      <c r="AU216" s="339">
        <v>92038.67</v>
      </c>
      <c r="AV216" s="339">
        <v>86616.21</v>
      </c>
      <c r="AW216" s="339">
        <v>80164.3</v>
      </c>
      <c r="AX216" s="339">
        <v>79319.78</v>
      </c>
      <c r="AY216" s="339">
        <v>80547</v>
      </c>
      <c r="AZ216" s="339">
        <v>86373.78</v>
      </c>
      <c r="BA216" s="339">
        <v>87136.2</v>
      </c>
      <c r="BB216" s="339">
        <v>92766.93</v>
      </c>
      <c r="BC216" s="339">
        <v>888283.64</v>
      </c>
      <c r="BD216" s="339">
        <v>87330.14</v>
      </c>
      <c r="BE216" s="339">
        <v>83397.19</v>
      </c>
      <c r="BF216" s="339">
        <v>87953.53</v>
      </c>
      <c r="BG216" s="339">
        <v>0</v>
      </c>
      <c r="BH216" s="339">
        <v>0</v>
      </c>
      <c r="BI216" s="339">
        <v>0</v>
      </c>
      <c r="BJ216" s="339">
        <v>0</v>
      </c>
      <c r="BK216" s="339">
        <v>0</v>
      </c>
      <c r="BL216" s="339">
        <v>0</v>
      </c>
      <c r="BM216" s="339">
        <v>0</v>
      </c>
      <c r="BN216" s="339">
        <v>0</v>
      </c>
      <c r="BO216" s="339">
        <v>0</v>
      </c>
      <c r="BP216" s="339">
        <v>0</v>
      </c>
      <c r="BQ216" s="339">
        <v>0</v>
      </c>
      <c r="BR216" s="339">
        <v>0</v>
      </c>
      <c r="BS216" s="110" t="e">
        <f t="array" aca="1" ref="BS216" ca="1">_xludf.XLOOKUP(D216,'PL TOTAL D0'!N:N,'PL TOTAL D0'!P:P,"")</f>
        <v>#NAME?</v>
      </c>
      <c r="BT216" s="110"/>
    </row>
    <row r="217" spans="1:72" ht="15.75" customHeight="1">
      <c r="A217" s="122" t="s">
        <v>3785</v>
      </c>
      <c r="B217" s="104" t="s">
        <v>4453</v>
      </c>
      <c r="C217" s="390" t="s">
        <v>4454</v>
      </c>
      <c r="D217" s="299">
        <v>2673476</v>
      </c>
      <c r="E217" s="293" t="s">
        <v>19</v>
      </c>
      <c r="F217" s="293" t="s">
        <v>49</v>
      </c>
      <c r="G217" s="293" t="s">
        <v>328</v>
      </c>
      <c r="H217" s="299" t="str">
        <f>IFERROR(VLOOKUP(G217,'Cadastro de assessores'!A:B,2,FALSE),"Não Cadastrado")</f>
        <v>18009</v>
      </c>
      <c r="I217" s="299"/>
      <c r="J217" s="24" t="s">
        <v>152</v>
      </c>
      <c r="K217" s="293" t="s">
        <v>152</v>
      </c>
      <c r="L217" s="415">
        <v>44405</v>
      </c>
      <c r="M217" s="415">
        <v>44405</v>
      </c>
      <c r="N217" s="299"/>
      <c r="O217" s="299" t="s">
        <v>3789</v>
      </c>
      <c r="P217" s="428">
        <v>0.02</v>
      </c>
      <c r="Q217" s="167"/>
      <c r="R217" s="417"/>
      <c r="S217" s="292" t="str">
        <f t="shared" si="21"/>
        <v/>
      </c>
      <c r="T217" s="292" t="s">
        <v>145</v>
      </c>
      <c r="U217" s="299" t="s">
        <v>3846</v>
      </c>
      <c r="V217" s="299" t="s">
        <v>46</v>
      </c>
      <c r="W217" s="350"/>
      <c r="X217" s="350"/>
      <c r="Y217" s="350"/>
      <c r="Z217" s="350"/>
      <c r="AA217" s="350"/>
      <c r="AB217" s="350"/>
      <c r="AC217" s="350"/>
      <c r="AD217" s="350"/>
      <c r="AE217" s="350"/>
      <c r="AF217" s="350"/>
      <c r="AG217" s="350"/>
      <c r="AH217" s="418"/>
      <c r="AI217" s="418"/>
      <c r="AJ217" s="339"/>
      <c r="AK217" s="339"/>
      <c r="AL217" s="339"/>
      <c r="AM217" s="339"/>
      <c r="AN217" s="339"/>
      <c r="AO217" s="339"/>
      <c r="AP217" s="339"/>
      <c r="AQ217" s="339"/>
      <c r="AR217" s="339"/>
      <c r="AS217" s="350"/>
      <c r="AT217" s="340">
        <v>68843.72</v>
      </c>
      <c r="AU217" s="340">
        <v>67777.63</v>
      </c>
      <c r="AV217" s="339">
        <v>65837.919999999998</v>
      </c>
      <c r="AW217" s="339">
        <v>62693.95</v>
      </c>
      <c r="AX217" s="339">
        <v>62494.99</v>
      </c>
      <c r="AY217" s="339">
        <v>63374.15</v>
      </c>
      <c r="AZ217" s="339">
        <v>46932.160000000003</v>
      </c>
      <c r="BA217" s="339">
        <v>39632.129999999997</v>
      </c>
      <c r="BB217" s="339">
        <v>42370.12</v>
      </c>
      <c r="BC217" s="339"/>
      <c r="BD217" s="339">
        <v>6383.08</v>
      </c>
      <c r="BE217" s="339">
        <v>6368.57</v>
      </c>
      <c r="BF217" s="339">
        <v>6267.46</v>
      </c>
      <c r="BG217" s="339">
        <v>6288</v>
      </c>
      <c r="BH217" s="339">
        <v>6300.8</v>
      </c>
      <c r="BI217" s="339">
        <v>6356.05</v>
      </c>
      <c r="BJ217" s="339">
        <v>6309.78</v>
      </c>
      <c r="BK217" s="339">
        <v>6353.18</v>
      </c>
      <c r="BL217" s="339">
        <v>6443.26</v>
      </c>
      <c r="BM217" s="339">
        <v>6527.81</v>
      </c>
      <c r="BN217" s="339">
        <v>6633.61</v>
      </c>
      <c r="BO217" s="339">
        <v>6704.72</v>
      </c>
      <c r="BP217" s="339">
        <v>6785.24</v>
      </c>
      <c r="BQ217" s="339">
        <v>6830.01</v>
      </c>
      <c r="BR217" s="339">
        <v>6895.4</v>
      </c>
      <c r="BS217" s="110" t="e">
        <f t="array" aca="1" ref="BS217" ca="1">_xludf.XLOOKUP(D217,'PL TOTAL D0'!N:N,'PL TOTAL D0'!P:P,"")</f>
        <v>#NAME?</v>
      </c>
      <c r="BT217" s="110"/>
    </row>
    <row r="218" spans="1:72" ht="15.75" customHeight="1">
      <c r="A218" s="122" t="s">
        <v>3785</v>
      </c>
      <c r="B218" s="104" t="s">
        <v>4455</v>
      </c>
      <c r="C218" s="122" t="s">
        <v>4456</v>
      </c>
      <c r="D218" s="292">
        <v>4398585</v>
      </c>
      <c r="E218" s="293" t="s">
        <v>64</v>
      </c>
      <c r="F218" s="293" t="s">
        <v>20</v>
      </c>
      <c r="G218" s="293" t="s">
        <v>337</v>
      </c>
      <c r="H218" s="293" t="str">
        <f>IFERROR(VLOOKUP(G218,'Cadastro de assessores'!A:B,2,FALSE),"Não Cadastrado")</f>
        <v>17896</v>
      </c>
      <c r="I218" s="293"/>
      <c r="J218" s="24" t="s">
        <v>3788</v>
      </c>
      <c r="K218" s="293" t="s">
        <v>152</v>
      </c>
      <c r="L218" s="415">
        <v>44098</v>
      </c>
      <c r="M218" s="415">
        <v>44102</v>
      </c>
      <c r="N218" s="292"/>
      <c r="O218" s="292" t="s">
        <v>4332</v>
      </c>
      <c r="P218" s="388">
        <v>2E-3</v>
      </c>
      <c r="Q218" s="420" t="s">
        <v>4457</v>
      </c>
      <c r="R218" s="417"/>
      <c r="S218" s="292" t="str">
        <f t="shared" si="21"/>
        <v/>
      </c>
      <c r="T218" s="292" t="s">
        <v>187</v>
      </c>
      <c r="U218" s="292" t="s">
        <v>3811</v>
      </c>
      <c r="V218" s="292" t="s">
        <v>20</v>
      </c>
      <c r="W218" s="418" t="s">
        <v>3798</v>
      </c>
      <c r="X218" s="418" t="s">
        <v>3798</v>
      </c>
      <c r="Y218" s="418" t="s">
        <v>3798</v>
      </c>
      <c r="Z218" s="418" t="s">
        <v>3798</v>
      </c>
      <c r="AA218" s="418" t="s">
        <v>3798</v>
      </c>
      <c r="AB218" s="418" t="s">
        <v>3798</v>
      </c>
      <c r="AC218" s="418" t="s">
        <v>3798</v>
      </c>
      <c r="AD218" s="418" t="s">
        <v>3798</v>
      </c>
      <c r="AE218" s="418" t="s">
        <v>3798</v>
      </c>
      <c r="AF218" s="418" t="s">
        <v>3798</v>
      </c>
      <c r="AG218" s="418" t="s">
        <v>3798</v>
      </c>
      <c r="AH218" s="418" t="s">
        <v>4458</v>
      </c>
      <c r="AI218" s="418" t="s">
        <v>4459</v>
      </c>
      <c r="AJ218" s="418" t="s">
        <v>4460</v>
      </c>
      <c r="AK218" s="339">
        <v>501984.78</v>
      </c>
      <c r="AL218" s="339">
        <v>502893.89</v>
      </c>
      <c r="AM218" s="339">
        <v>503159.25</v>
      </c>
      <c r="AN218" s="339">
        <v>503388.5</v>
      </c>
      <c r="AO218" s="339">
        <v>503428.76</v>
      </c>
      <c r="AP218" s="339">
        <v>504078.94</v>
      </c>
      <c r="AQ218" s="339">
        <v>504270.26</v>
      </c>
      <c r="AR218" s="339">
        <v>504274.77</v>
      </c>
      <c r="AS218" s="339">
        <v>505173.28</v>
      </c>
      <c r="AT218" s="339">
        <v>397381.14</v>
      </c>
      <c r="AU218" s="339">
        <v>399128.61</v>
      </c>
      <c r="AV218" s="339">
        <v>401084.2</v>
      </c>
      <c r="AW218" s="339">
        <v>402562.99</v>
      </c>
      <c r="AX218" s="339">
        <v>404669.49</v>
      </c>
      <c r="AY218" s="339">
        <v>405258.59</v>
      </c>
      <c r="AZ218" s="339">
        <v>407215.69</v>
      </c>
      <c r="BA218" s="339">
        <v>409275.19</v>
      </c>
      <c r="BB218" s="339">
        <v>415565.04</v>
      </c>
      <c r="BC218" s="339"/>
      <c r="BD218" s="339">
        <v>1022860.99</v>
      </c>
      <c r="BE218" s="339">
        <v>1032466.86</v>
      </c>
      <c r="BF218" s="339">
        <v>1040831.63</v>
      </c>
      <c r="BG218" s="339">
        <v>1045235.932</v>
      </c>
      <c r="BH218" s="339">
        <v>1050281.72</v>
      </c>
      <c r="BI218" s="339">
        <v>1055595.56</v>
      </c>
      <c r="BJ218" s="339">
        <v>1064766.06</v>
      </c>
      <c r="BK218" s="339">
        <v>1073785.44</v>
      </c>
      <c r="BL218" s="339">
        <v>1096168.4099999999</v>
      </c>
      <c r="BM218" s="339">
        <v>1093410.1200000001</v>
      </c>
      <c r="BN218" s="339">
        <v>1106990.71</v>
      </c>
      <c r="BO218" s="339">
        <v>1122727.18</v>
      </c>
      <c r="BP218" s="339">
        <v>1122583.56</v>
      </c>
      <c r="BQ218" s="339">
        <v>0</v>
      </c>
      <c r="BR218" s="339">
        <v>0</v>
      </c>
      <c r="BS218" s="110" t="e">
        <f t="array" aca="1" ref="BS218" ca="1">_xludf.XLOOKUP(D218,'PL TOTAL D0'!N:N,'PL TOTAL D0'!P:P,"")</f>
        <v>#NAME?</v>
      </c>
      <c r="BT218" s="110"/>
    </row>
    <row r="219" spans="1:72" ht="15.75" customHeight="1">
      <c r="A219" s="122" t="s">
        <v>3785</v>
      </c>
      <c r="B219" s="104" t="s">
        <v>4461</v>
      </c>
      <c r="C219" s="390" t="s">
        <v>4462</v>
      </c>
      <c r="D219" s="299">
        <v>5975647</v>
      </c>
      <c r="E219" s="293" t="s">
        <v>19</v>
      </c>
      <c r="F219" s="293" t="s">
        <v>49</v>
      </c>
      <c r="G219" s="293" t="s">
        <v>328</v>
      </c>
      <c r="H219" s="299" t="str">
        <f>IFERROR(VLOOKUP(G219,'Cadastro de assessores'!A:B,2,FALSE),"Não Cadastrado")</f>
        <v>18009</v>
      </c>
      <c r="I219" s="299"/>
      <c r="J219" s="24" t="s">
        <v>3788</v>
      </c>
      <c r="K219" s="292" t="s">
        <v>152</v>
      </c>
      <c r="L219" s="415">
        <v>44403</v>
      </c>
      <c r="M219" s="415">
        <v>44405</v>
      </c>
      <c r="N219" s="292"/>
      <c r="O219" s="292" t="s">
        <v>3795</v>
      </c>
      <c r="P219" s="392">
        <v>1.4999999999999999E-2</v>
      </c>
      <c r="Q219" s="167"/>
      <c r="R219" s="417"/>
      <c r="S219" s="292" t="str">
        <f t="shared" si="21"/>
        <v>Não Qualificado</v>
      </c>
      <c r="T219" s="299" t="s">
        <v>145</v>
      </c>
      <c r="U219" s="299" t="s">
        <v>3846</v>
      </c>
      <c r="V219" s="299" t="s">
        <v>46</v>
      </c>
      <c r="W219" s="350"/>
      <c r="X219" s="350"/>
      <c r="Y219" s="350"/>
      <c r="Z219" s="350"/>
      <c r="AA219" s="350"/>
      <c r="AB219" s="350"/>
      <c r="AC219" s="350"/>
      <c r="AD219" s="350"/>
      <c r="AE219" s="350"/>
      <c r="AF219" s="350"/>
      <c r="AG219" s="350"/>
      <c r="AH219" s="418"/>
      <c r="AI219" s="418"/>
      <c r="AJ219" s="339"/>
      <c r="AK219" s="339"/>
      <c r="AL219" s="339"/>
      <c r="AM219" s="339"/>
      <c r="AN219" s="339"/>
      <c r="AO219" s="339"/>
      <c r="AP219" s="339"/>
      <c r="AQ219" s="339"/>
      <c r="AR219" s="339"/>
      <c r="AS219" s="350"/>
      <c r="AT219" s="340">
        <v>10808.74</v>
      </c>
      <c r="AU219" s="340">
        <v>10709.3</v>
      </c>
      <c r="AV219" s="339">
        <v>50014.2</v>
      </c>
      <c r="AW219" s="339">
        <v>48481.75</v>
      </c>
      <c r="AX219" s="339">
        <v>48462.98</v>
      </c>
      <c r="AY219" s="339">
        <v>12717.95</v>
      </c>
      <c r="AZ219" s="339">
        <v>157.33000000000001</v>
      </c>
      <c r="BA219" s="339">
        <v>158.13</v>
      </c>
      <c r="BB219" s="339">
        <v>159.01</v>
      </c>
      <c r="BC219" s="339">
        <v>193521.19</v>
      </c>
      <c r="BD219" s="339">
        <v>173.78</v>
      </c>
      <c r="BE219" s="339">
        <v>175.7</v>
      </c>
      <c r="BF219" s="339">
        <v>176.68</v>
      </c>
      <c r="BG219" s="339">
        <v>177.87</v>
      </c>
      <c r="BH219" s="339">
        <v>178.92</v>
      </c>
      <c r="BI219" s="339">
        <v>180.04</v>
      </c>
      <c r="BJ219" s="339">
        <v>181.5</v>
      </c>
      <c r="BK219" s="339">
        <v>182.54</v>
      </c>
      <c r="BL219" s="339">
        <v>183.88</v>
      </c>
      <c r="BM219" s="339">
        <v>184.9</v>
      </c>
      <c r="BN219" s="339">
        <v>185.32</v>
      </c>
      <c r="BO219" s="339">
        <v>185.32</v>
      </c>
      <c r="BP219" s="339">
        <v>185.32</v>
      </c>
      <c r="BQ219" s="339">
        <v>185.32</v>
      </c>
      <c r="BR219" s="339">
        <v>185.32</v>
      </c>
      <c r="BS219" s="110" t="e">
        <f t="array" aca="1" ref="BS219" ca="1">_xludf.XLOOKUP(D219,'PL TOTAL D0'!N:N,'PL TOTAL D0'!P:P,"")</f>
        <v>#NAME?</v>
      </c>
      <c r="BT219" s="110"/>
    </row>
    <row r="220" spans="1:72" ht="15.75" customHeight="1">
      <c r="A220" s="122" t="s">
        <v>3785</v>
      </c>
      <c r="B220" s="104" t="s">
        <v>4463</v>
      </c>
      <c r="C220" s="88" t="s">
        <v>4464</v>
      </c>
      <c r="D220" s="7">
        <v>7000733</v>
      </c>
      <c r="E220" s="9" t="s">
        <v>19</v>
      </c>
      <c r="F220" s="9" t="s">
        <v>49</v>
      </c>
      <c r="G220" s="9" t="s">
        <v>328</v>
      </c>
      <c r="H220" s="7" t="str">
        <f>IFERROR(VLOOKUP(G220,'Cadastro de assessores'!A:B,2,FALSE),"Não Cadastrado")</f>
        <v>18009</v>
      </c>
      <c r="I220" s="7"/>
      <c r="J220" s="24" t="s">
        <v>3788</v>
      </c>
      <c r="K220" s="202" t="s">
        <v>152</v>
      </c>
      <c r="L220" s="453">
        <v>44712</v>
      </c>
      <c r="M220" s="232">
        <v>44712</v>
      </c>
      <c r="N220" s="6"/>
      <c r="O220" s="6" t="s">
        <v>4465</v>
      </c>
      <c r="P220" s="26">
        <v>1.2E-2</v>
      </c>
      <c r="Q220" s="454" t="s">
        <v>4466</v>
      </c>
      <c r="R220" s="256"/>
      <c r="S220" s="6" t="str">
        <f t="shared" si="21"/>
        <v/>
      </c>
      <c r="T220" s="6" t="s">
        <v>187</v>
      </c>
      <c r="U220" s="7" t="s">
        <v>4467</v>
      </c>
      <c r="V220" s="7" t="s">
        <v>49</v>
      </c>
      <c r="W220" s="455"/>
      <c r="X220" s="455"/>
      <c r="Y220" s="455"/>
      <c r="Z220" s="455"/>
      <c r="AA220" s="455"/>
      <c r="AB220" s="455"/>
      <c r="AC220" s="455"/>
      <c r="AD220" s="455"/>
      <c r="AE220" s="455"/>
      <c r="AF220" s="455"/>
      <c r="AG220" s="455"/>
      <c r="AH220" s="456"/>
      <c r="AI220" s="456"/>
      <c r="AJ220" s="110"/>
      <c r="AK220" s="110"/>
      <c r="AL220" s="110"/>
      <c r="AM220" s="110"/>
      <c r="AN220" s="110"/>
      <c r="AO220" s="110"/>
      <c r="AP220" s="110"/>
      <c r="AQ220" s="110"/>
      <c r="AR220" s="110"/>
      <c r="AS220" s="455"/>
      <c r="AT220" s="30"/>
      <c r="AU220" s="30"/>
      <c r="AV220" s="110"/>
      <c r="AW220" s="110"/>
      <c r="AX220" s="110"/>
      <c r="AY220" s="110"/>
      <c r="AZ220" s="110"/>
      <c r="BA220" s="110"/>
      <c r="BB220" s="110"/>
      <c r="BC220" s="110"/>
      <c r="BD220" s="110">
        <v>15550567.609999999</v>
      </c>
      <c r="BE220" s="110">
        <v>15913011.09</v>
      </c>
      <c r="BF220" s="339">
        <v>16004203.449999999</v>
      </c>
      <c r="BG220" s="339">
        <v>16163854.960000001</v>
      </c>
      <c r="BH220" s="339">
        <v>16249954.039999999</v>
      </c>
      <c r="BI220" s="339">
        <v>15424877.060000001</v>
      </c>
      <c r="BJ220" s="339">
        <v>15494497.779999999</v>
      </c>
      <c r="BK220" s="339">
        <v>15631292.24</v>
      </c>
      <c r="BL220" s="339">
        <v>15806611.310000001</v>
      </c>
      <c r="BM220" s="339">
        <v>1</v>
      </c>
      <c r="BN220" s="339">
        <v>1</v>
      </c>
      <c r="BO220" s="339">
        <v>1</v>
      </c>
      <c r="BP220" s="339">
        <v>1</v>
      </c>
      <c r="BQ220" s="339">
        <v>1</v>
      </c>
      <c r="BR220" s="339">
        <v>1</v>
      </c>
      <c r="BS220" s="110" t="e">
        <f t="array" aca="1" ref="BS220" ca="1">_xludf.XLOOKUP(D220,'PL TOTAL D0'!N:N,'PL TOTAL D0'!P:P,"")</f>
        <v>#NAME?</v>
      </c>
      <c r="BT220" s="110"/>
    </row>
    <row r="221" spans="1:72" ht="15.75" customHeight="1">
      <c r="A221" s="122" t="s">
        <v>3785</v>
      </c>
      <c r="B221" s="104" t="s">
        <v>4463</v>
      </c>
      <c r="C221" s="390" t="s">
        <v>4468</v>
      </c>
      <c r="D221" s="299">
        <v>9020656</v>
      </c>
      <c r="E221" s="293" t="s">
        <v>19</v>
      </c>
      <c r="F221" s="293" t="s">
        <v>49</v>
      </c>
      <c r="G221" s="9" t="s">
        <v>328</v>
      </c>
      <c r="H221" s="293" t="str">
        <f>IFERROR(VLOOKUP(G221,'Cadastro de assessores'!A:B,2,FALSE),"Não Cadastrado")</f>
        <v>18009</v>
      </c>
      <c r="I221" s="293"/>
      <c r="J221" s="24" t="s">
        <v>3788</v>
      </c>
      <c r="K221" s="293" t="s">
        <v>161</v>
      </c>
      <c r="L221" s="457">
        <v>44845</v>
      </c>
      <c r="M221" s="457">
        <v>44858</v>
      </c>
      <c r="N221" s="426"/>
      <c r="O221" s="426" t="s">
        <v>3805</v>
      </c>
      <c r="P221" s="428">
        <v>7.0000000000000001E-3</v>
      </c>
      <c r="Q221" s="167" t="s">
        <v>4469</v>
      </c>
      <c r="R221" s="417"/>
      <c r="S221" s="292" t="str">
        <f t="shared" si="21"/>
        <v/>
      </c>
      <c r="T221" s="299" t="s">
        <v>145</v>
      </c>
      <c r="U221" s="292" t="s">
        <v>3841</v>
      </c>
      <c r="V221" s="292" t="s">
        <v>49</v>
      </c>
      <c r="W221" s="350"/>
      <c r="X221" s="350"/>
      <c r="Y221" s="350"/>
      <c r="Z221" s="350"/>
      <c r="AA221" s="350"/>
      <c r="AB221" s="350"/>
      <c r="AC221" s="350"/>
      <c r="AD221" s="350"/>
      <c r="AE221" s="350"/>
      <c r="AF221" s="350"/>
      <c r="AG221" s="350"/>
      <c r="AH221" s="350"/>
      <c r="AI221" s="418"/>
      <c r="AJ221" s="339"/>
      <c r="AK221" s="339"/>
      <c r="AL221" s="339"/>
      <c r="AM221" s="339"/>
      <c r="AN221" s="339"/>
      <c r="AO221" s="339"/>
      <c r="AP221" s="339"/>
      <c r="AQ221" s="339"/>
      <c r="AR221" s="339"/>
      <c r="AS221" s="339"/>
      <c r="AT221" s="339"/>
      <c r="AU221" s="350"/>
      <c r="AV221" s="339"/>
      <c r="AW221" s="339"/>
      <c r="AX221" s="339"/>
      <c r="AY221" s="339"/>
      <c r="AZ221" s="339"/>
      <c r="BA221" s="339"/>
      <c r="BB221" s="339"/>
      <c r="BC221" s="339"/>
      <c r="BD221" s="339">
        <v>815908.61</v>
      </c>
      <c r="BE221" s="339">
        <v>497162.95</v>
      </c>
      <c r="BF221" s="339">
        <v>0</v>
      </c>
      <c r="BG221" s="339">
        <v>0</v>
      </c>
      <c r="BH221" s="339">
        <v>0</v>
      </c>
      <c r="BI221" s="339">
        <v>1101190.97</v>
      </c>
      <c r="BJ221" s="339">
        <v>1112072.1200000001</v>
      </c>
      <c r="BK221" s="339">
        <v>1121908.51</v>
      </c>
      <c r="BL221" s="339">
        <v>1130229.72</v>
      </c>
      <c r="BM221" s="339">
        <v>787.61</v>
      </c>
      <c r="BN221" s="339">
        <v>367.75</v>
      </c>
      <c r="BO221" s="339">
        <v>367.75</v>
      </c>
      <c r="BP221" s="339">
        <v>367.75</v>
      </c>
      <c r="BQ221" s="339">
        <v>367.75</v>
      </c>
      <c r="BR221" s="339">
        <v>367.75</v>
      </c>
      <c r="BS221" s="110" t="e">
        <f t="array" aca="1" ref="BS221" ca="1">_xludf.XLOOKUP(D221,'PL TOTAL D0'!N:N,'PL TOTAL D0'!P:P,"")</f>
        <v>#NAME?</v>
      </c>
      <c r="BT221" s="110"/>
    </row>
    <row r="222" spans="1:72" ht="15.75" customHeight="1">
      <c r="A222" s="122" t="s">
        <v>3785</v>
      </c>
      <c r="B222" s="104" t="s">
        <v>4470</v>
      </c>
      <c r="C222" s="122" t="s">
        <v>4471</v>
      </c>
      <c r="D222" s="292">
        <v>4550654</v>
      </c>
      <c r="E222" s="292" t="s">
        <v>64</v>
      </c>
      <c r="F222" s="292" t="s">
        <v>20</v>
      </c>
      <c r="G222" s="292" t="s">
        <v>4472</v>
      </c>
      <c r="H222" s="292" t="str">
        <f>IFERROR(VLOOKUP(G222,'Cadastro de assessores'!A:B,2,FALSE),"Não Cadastrado")</f>
        <v>14244</v>
      </c>
      <c r="I222" s="292"/>
      <c r="J222" s="24" t="s">
        <v>143</v>
      </c>
      <c r="K222" s="292" t="s">
        <v>3794</v>
      </c>
      <c r="L222" s="419">
        <v>44160</v>
      </c>
      <c r="M222" s="419">
        <v>44160</v>
      </c>
      <c r="N222" s="387">
        <v>44270</v>
      </c>
      <c r="O222" s="292" t="s">
        <v>3789</v>
      </c>
      <c r="P222" s="388">
        <v>0.02</v>
      </c>
      <c r="Q222" s="420" t="s">
        <v>4473</v>
      </c>
      <c r="R222" s="417"/>
      <c r="S222" s="292" t="str">
        <f t="shared" si="21"/>
        <v/>
      </c>
      <c r="T222" s="299" t="s">
        <v>145</v>
      </c>
      <c r="U222" s="292" t="s">
        <v>3811</v>
      </c>
      <c r="V222" s="292" t="s">
        <v>20</v>
      </c>
      <c r="W222" s="418" t="s">
        <v>3798</v>
      </c>
      <c r="X222" s="418" t="s">
        <v>3798</v>
      </c>
      <c r="Y222" s="418" t="s">
        <v>3798</v>
      </c>
      <c r="Z222" s="418" t="s">
        <v>3798</v>
      </c>
      <c r="AA222" s="418" t="s">
        <v>3798</v>
      </c>
      <c r="AB222" s="418" t="s">
        <v>3798</v>
      </c>
      <c r="AC222" s="418" t="s">
        <v>3798</v>
      </c>
      <c r="AD222" s="418" t="s">
        <v>3798</v>
      </c>
      <c r="AE222" s="418" t="s">
        <v>3798</v>
      </c>
      <c r="AF222" s="418" t="s">
        <v>3798</v>
      </c>
      <c r="AG222" s="418" t="s">
        <v>3798</v>
      </c>
      <c r="AH222" s="418" t="s">
        <v>3798</v>
      </c>
      <c r="AI222" s="418" t="s">
        <v>3798</v>
      </c>
      <c r="AJ222" s="418" t="s">
        <v>4474</v>
      </c>
      <c r="AK222" s="339">
        <v>168358.98</v>
      </c>
      <c r="AL222" s="339">
        <v>164314.39000000001</v>
      </c>
      <c r="AM222" s="339">
        <v>154978.04</v>
      </c>
      <c r="AN222" s="339">
        <v>154914.04</v>
      </c>
      <c r="AO222" s="339"/>
      <c r="AP222" s="339"/>
      <c r="AQ222" s="339"/>
      <c r="AR222" s="339"/>
      <c r="AS222" s="339"/>
      <c r="AT222" s="339"/>
      <c r="AU222" s="339"/>
      <c r="AV222" s="339"/>
      <c r="AW222" s="339"/>
      <c r="AX222" s="339"/>
      <c r="AY222" s="339"/>
      <c r="AZ222" s="339"/>
      <c r="BA222" s="339">
        <v>0</v>
      </c>
      <c r="BB222" s="339">
        <v>0</v>
      </c>
      <c r="BC222" s="339">
        <v>-121.24</v>
      </c>
      <c r="BD222" s="339" t="s">
        <v>2932</v>
      </c>
      <c r="BE222" s="339" t="s">
        <v>2932</v>
      </c>
      <c r="BF222" s="339">
        <v>0</v>
      </c>
      <c r="BG222" s="339">
        <v>0</v>
      </c>
      <c r="BH222" s="339">
        <v>0</v>
      </c>
      <c r="BI222" s="339">
        <v>0</v>
      </c>
      <c r="BJ222" s="339">
        <v>0</v>
      </c>
      <c r="BK222" s="339">
        <v>0</v>
      </c>
      <c r="BL222" s="339">
        <v>0</v>
      </c>
      <c r="BM222" s="339">
        <v>0</v>
      </c>
      <c r="BN222" s="339">
        <v>0</v>
      </c>
      <c r="BO222" s="339">
        <v>0</v>
      </c>
      <c r="BP222" s="339">
        <v>0</v>
      </c>
      <c r="BQ222" s="339">
        <v>0</v>
      </c>
      <c r="BR222" s="339">
        <v>0</v>
      </c>
      <c r="BS222" s="110" t="e">
        <f t="array" aca="1" ref="BS222" ca="1">_xludf.XLOOKUP(D222,'PL TOTAL D0'!N:N,'PL TOTAL D0'!P:P,"")</f>
        <v>#NAME?</v>
      </c>
      <c r="BT222" s="110"/>
    </row>
    <row r="223" spans="1:72" ht="15.75" customHeight="1">
      <c r="A223" s="122" t="s">
        <v>3785</v>
      </c>
      <c r="B223" s="104" t="s">
        <v>4475</v>
      </c>
      <c r="C223" s="122" t="s">
        <v>4476</v>
      </c>
      <c r="D223" s="292">
        <v>3939462</v>
      </c>
      <c r="E223" s="292" t="s">
        <v>2923</v>
      </c>
      <c r="F223" s="292" t="s">
        <v>20</v>
      </c>
      <c r="G223" s="292" t="s">
        <v>2923</v>
      </c>
      <c r="H223" s="292" t="str">
        <f>IFERROR(VLOOKUP(G223,'Cadastro de assessores'!A:B,2,FALSE),"Não Cadastrado")</f>
        <v>18986</v>
      </c>
      <c r="I223" s="292"/>
      <c r="J223" s="24" t="s">
        <v>143</v>
      </c>
      <c r="K223" s="292" t="s">
        <v>3794</v>
      </c>
      <c r="L223" s="387">
        <v>43901</v>
      </c>
      <c r="M223" s="387">
        <v>43901</v>
      </c>
      <c r="N223" s="419">
        <v>44519</v>
      </c>
      <c r="O223" s="292" t="s">
        <v>3789</v>
      </c>
      <c r="P223" s="388">
        <v>1.4999999999999999E-2</v>
      </c>
      <c r="Q223" s="420" t="s">
        <v>4477</v>
      </c>
      <c r="R223" s="417"/>
      <c r="S223" s="292" t="str">
        <f t="shared" si="21"/>
        <v>Não Qualificado</v>
      </c>
      <c r="T223" s="299" t="s">
        <v>145</v>
      </c>
      <c r="U223" s="292" t="s">
        <v>3797</v>
      </c>
      <c r="V223" s="292" t="s">
        <v>20</v>
      </c>
      <c r="W223" s="418" t="s">
        <v>3798</v>
      </c>
      <c r="X223" s="418" t="s">
        <v>3798</v>
      </c>
      <c r="Y223" s="418" t="s">
        <v>3798</v>
      </c>
      <c r="Z223" s="418" t="s">
        <v>3798</v>
      </c>
      <c r="AA223" s="418" t="s">
        <v>4478</v>
      </c>
      <c r="AB223" s="418" t="s">
        <v>4479</v>
      </c>
      <c r="AC223" s="418" t="s">
        <v>4480</v>
      </c>
      <c r="AD223" s="418" t="s">
        <v>4481</v>
      </c>
      <c r="AE223" s="418" t="s">
        <v>4482</v>
      </c>
      <c r="AF223" s="418" t="s">
        <v>4483</v>
      </c>
      <c r="AG223" s="418" t="s">
        <v>4484</v>
      </c>
      <c r="AH223" s="418" t="s">
        <v>4485</v>
      </c>
      <c r="AI223" s="418" t="s">
        <v>4486</v>
      </c>
      <c r="AJ223" s="418" t="s">
        <v>4487</v>
      </c>
      <c r="AK223" s="339">
        <v>282443.84000000003</v>
      </c>
      <c r="AL223" s="339">
        <v>275687.09000000003</v>
      </c>
      <c r="AM223" s="339">
        <v>259964.45</v>
      </c>
      <c r="AN223" s="339">
        <v>259656.53</v>
      </c>
      <c r="AO223" s="339">
        <v>271214.34000000003</v>
      </c>
      <c r="AP223" s="339">
        <v>273522.90000000002</v>
      </c>
      <c r="AQ223" s="339">
        <v>271871.49</v>
      </c>
      <c r="AR223" s="339">
        <v>281623.45</v>
      </c>
      <c r="AS223" s="339">
        <v>277976.58</v>
      </c>
      <c r="AT223" s="339">
        <v>269629.39</v>
      </c>
      <c r="AU223" s="339">
        <v>266862.26</v>
      </c>
      <c r="AV223" s="339">
        <v>257612.57</v>
      </c>
      <c r="AW223" s="339">
        <v>245574.88</v>
      </c>
      <c r="AX223" s="339"/>
      <c r="AY223" s="339"/>
      <c r="AZ223" s="339"/>
      <c r="BA223" s="339">
        <v>0</v>
      </c>
      <c r="BB223" s="339">
        <v>0</v>
      </c>
      <c r="BC223" s="339">
        <v>175985.74</v>
      </c>
      <c r="BD223" s="339" t="s">
        <v>2932</v>
      </c>
      <c r="BE223" s="339" t="s">
        <v>2932</v>
      </c>
      <c r="BF223" s="339">
        <v>0</v>
      </c>
      <c r="BG223" s="339">
        <v>0</v>
      </c>
      <c r="BH223" s="339">
        <v>0</v>
      </c>
      <c r="BI223" s="339">
        <v>0</v>
      </c>
      <c r="BJ223" s="339">
        <v>0</v>
      </c>
      <c r="BK223" s="339">
        <v>0</v>
      </c>
      <c r="BL223" s="339">
        <v>0</v>
      </c>
      <c r="BM223" s="339">
        <v>0</v>
      </c>
      <c r="BN223" s="339">
        <v>0</v>
      </c>
      <c r="BO223" s="339">
        <v>0</v>
      </c>
      <c r="BP223" s="339">
        <v>0</v>
      </c>
      <c r="BQ223" s="339">
        <v>0</v>
      </c>
      <c r="BR223" s="339">
        <v>0</v>
      </c>
      <c r="BS223" s="110" t="e">
        <f t="array" aca="1" ref="BS223" ca="1">_xludf.XLOOKUP(D223,'PL TOTAL D0'!N:N,'PL TOTAL D0'!P:P,"")</f>
        <v>#NAME?</v>
      </c>
      <c r="BT223" s="110"/>
    </row>
    <row r="224" spans="1:72" ht="15.75" customHeight="1">
      <c r="A224" s="122" t="s">
        <v>3785</v>
      </c>
      <c r="B224" s="104" t="s">
        <v>4488</v>
      </c>
      <c r="C224" s="122" t="s">
        <v>4489</v>
      </c>
      <c r="D224" s="292">
        <v>4611223</v>
      </c>
      <c r="E224" s="292" t="s">
        <v>19</v>
      </c>
      <c r="F224" s="292" t="s">
        <v>20</v>
      </c>
      <c r="G224" s="292" t="s">
        <v>3793</v>
      </c>
      <c r="H224" s="292" t="str">
        <f>IFERROR(VLOOKUP(G224,'Cadastro de assessores'!A:B,2,FALSE),"Não Cadastrado")</f>
        <v>17679</v>
      </c>
      <c r="I224" s="292"/>
      <c r="J224" s="24" t="s">
        <v>143</v>
      </c>
      <c r="K224" s="292" t="s">
        <v>3794</v>
      </c>
      <c r="L224" s="387">
        <v>44167</v>
      </c>
      <c r="M224" s="387">
        <v>44167</v>
      </c>
      <c r="N224" s="387">
        <v>44229</v>
      </c>
      <c r="O224" s="292" t="s">
        <v>3809</v>
      </c>
      <c r="P224" s="388">
        <v>2.5000000000000001E-2</v>
      </c>
      <c r="Q224" s="420" t="s">
        <v>4490</v>
      </c>
      <c r="R224" s="417"/>
      <c r="S224" s="292" t="str">
        <f t="shared" si="21"/>
        <v>Não Qualificado</v>
      </c>
      <c r="T224" s="299" t="s">
        <v>145</v>
      </c>
      <c r="U224" s="299" t="s">
        <v>4223</v>
      </c>
      <c r="V224" s="299" t="s">
        <v>3647</v>
      </c>
      <c r="W224" s="418" t="s">
        <v>3798</v>
      </c>
      <c r="X224" s="418" t="s">
        <v>3798</v>
      </c>
      <c r="Y224" s="418" t="s">
        <v>3798</v>
      </c>
      <c r="Z224" s="418" t="s">
        <v>3798</v>
      </c>
      <c r="AA224" s="418" t="s">
        <v>3798</v>
      </c>
      <c r="AB224" s="418" t="s">
        <v>3798</v>
      </c>
      <c r="AC224" s="418" t="s">
        <v>3798</v>
      </c>
      <c r="AD224" s="418" t="s">
        <v>3798</v>
      </c>
      <c r="AE224" s="418" t="s">
        <v>3798</v>
      </c>
      <c r="AF224" s="418" t="s">
        <v>3798</v>
      </c>
      <c r="AG224" s="418" t="s">
        <v>3798</v>
      </c>
      <c r="AH224" s="418" t="s">
        <v>3798</v>
      </c>
      <c r="AI224" s="418" t="s">
        <v>3798</v>
      </c>
      <c r="AJ224" s="418" t="s">
        <v>3798</v>
      </c>
      <c r="AK224" s="339">
        <v>537697.27</v>
      </c>
      <c r="AL224" s="339">
        <v>524891.85</v>
      </c>
      <c r="AM224" s="339">
        <v>2302.75</v>
      </c>
      <c r="AN224" s="339">
        <v>2314.81</v>
      </c>
      <c r="AO224" s="339"/>
      <c r="AP224" s="339"/>
      <c r="AQ224" s="339"/>
      <c r="AR224" s="339"/>
      <c r="AS224" s="339"/>
      <c r="AT224" s="339"/>
      <c r="AU224" s="339"/>
      <c r="AV224" s="339"/>
      <c r="AW224" s="339"/>
      <c r="AX224" s="339"/>
      <c r="AY224" s="339"/>
      <c r="AZ224" s="339"/>
      <c r="BA224" s="339">
        <v>0</v>
      </c>
      <c r="BB224" s="339">
        <v>0</v>
      </c>
      <c r="BC224" s="339">
        <v>180296.32000000001</v>
      </c>
      <c r="BD224" s="339" t="s">
        <v>2932</v>
      </c>
      <c r="BE224" s="339" t="s">
        <v>2932</v>
      </c>
      <c r="BF224" s="339">
        <v>0</v>
      </c>
      <c r="BG224" s="339">
        <v>0</v>
      </c>
      <c r="BH224" s="339">
        <v>0</v>
      </c>
      <c r="BI224" s="339">
        <v>0</v>
      </c>
      <c r="BJ224" s="339">
        <v>0</v>
      </c>
      <c r="BK224" s="339">
        <v>0</v>
      </c>
      <c r="BL224" s="339">
        <v>0</v>
      </c>
      <c r="BM224" s="339">
        <v>0</v>
      </c>
      <c r="BN224" s="339">
        <v>0</v>
      </c>
      <c r="BO224" s="339">
        <v>0</v>
      </c>
      <c r="BP224" s="339">
        <v>0</v>
      </c>
      <c r="BQ224" s="339">
        <v>0</v>
      </c>
      <c r="BR224" s="339">
        <v>0</v>
      </c>
      <c r="BS224" s="110" t="e">
        <f t="array" aca="1" ref="BS224" ca="1">_xludf.XLOOKUP(D224,'PL TOTAL D0'!N:N,'PL TOTAL D0'!P:P,"")</f>
        <v>#NAME?</v>
      </c>
      <c r="BT224" s="110"/>
    </row>
    <row r="225" spans="1:72" ht="15.75" customHeight="1">
      <c r="A225" s="122" t="s">
        <v>3785</v>
      </c>
      <c r="B225" s="104" t="s">
        <v>1355</v>
      </c>
      <c r="C225" s="441" t="s">
        <v>4491</v>
      </c>
      <c r="D225" s="422">
        <v>2427806</v>
      </c>
      <c r="E225" s="293" t="s">
        <v>19</v>
      </c>
      <c r="F225" s="293" t="s">
        <v>49</v>
      </c>
      <c r="G225" s="293" t="s">
        <v>50</v>
      </c>
      <c r="H225" s="293">
        <f>IFERROR(VLOOKUP(G225,'Cadastro de assessores'!A:B,2,FALSE),"Não Cadastrado")</f>
        <v>12331</v>
      </c>
      <c r="I225" s="293"/>
      <c r="J225" s="24" t="s">
        <v>152</v>
      </c>
      <c r="K225" s="293" t="s">
        <v>152</v>
      </c>
      <c r="L225" s="423">
        <v>44615</v>
      </c>
      <c r="M225" s="423">
        <v>44615</v>
      </c>
      <c r="N225" s="299"/>
      <c r="O225" s="299" t="s">
        <v>3795</v>
      </c>
      <c r="P225" s="392">
        <v>1.4999999999999999E-2</v>
      </c>
      <c r="Q225" s="304" t="s">
        <v>4492</v>
      </c>
      <c r="R225" s="417"/>
      <c r="S225" s="292" t="str">
        <f t="shared" si="21"/>
        <v>Não Qualificado</v>
      </c>
      <c r="T225" s="299" t="s">
        <v>145</v>
      </c>
      <c r="U225" s="292" t="s">
        <v>3841</v>
      </c>
      <c r="V225" s="292" t="s">
        <v>49</v>
      </c>
      <c r="W225" s="418"/>
      <c r="X225" s="418"/>
      <c r="Y225" s="418"/>
      <c r="Z225" s="418"/>
      <c r="AA225" s="418"/>
      <c r="AB225" s="418"/>
      <c r="AC225" s="418"/>
      <c r="AD225" s="418"/>
      <c r="AE225" s="418"/>
      <c r="AF225" s="418"/>
      <c r="AG225" s="418"/>
      <c r="AH225" s="418"/>
      <c r="AI225" s="418"/>
      <c r="AJ225" s="418"/>
      <c r="AK225" s="339"/>
      <c r="AL225" s="339"/>
      <c r="AM225" s="339"/>
      <c r="AN225" s="339"/>
      <c r="AO225" s="339"/>
      <c r="AP225" s="339"/>
      <c r="AQ225" s="339"/>
      <c r="AR225" s="339"/>
      <c r="AS225" s="339"/>
      <c r="AT225" s="339"/>
      <c r="AU225" s="339"/>
      <c r="AV225" s="339"/>
      <c r="AW225" s="339"/>
      <c r="AX225" s="339"/>
      <c r="AY225" s="339"/>
      <c r="AZ225" s="339"/>
      <c r="BA225" s="339">
        <v>1368272.15</v>
      </c>
      <c r="BB225" s="339">
        <v>1309535.1100000001</v>
      </c>
      <c r="BC225" s="339">
        <v>58310.35</v>
      </c>
      <c r="BD225" s="339">
        <v>1258621.47</v>
      </c>
      <c r="BE225" s="339">
        <v>1310569.1000000001</v>
      </c>
      <c r="BF225" s="339">
        <v>1329305.78</v>
      </c>
      <c r="BG225" s="339">
        <v>1347425.611</v>
      </c>
      <c r="BH225" s="339">
        <v>1364370.24</v>
      </c>
      <c r="BI225" s="339">
        <v>1391709.54</v>
      </c>
      <c r="BJ225" s="339">
        <v>1402503.38</v>
      </c>
      <c r="BK225" s="339">
        <v>1403768.74</v>
      </c>
      <c r="BL225" s="339">
        <v>1447728.63</v>
      </c>
      <c r="BM225" s="339">
        <v>264349.13</v>
      </c>
      <c r="BN225" s="339">
        <v>161811.78</v>
      </c>
      <c r="BO225" s="339">
        <v>164961.96</v>
      </c>
      <c r="BP225" s="339">
        <v>163909.6</v>
      </c>
      <c r="BQ225" s="339">
        <v>164981.06</v>
      </c>
      <c r="BR225" s="339">
        <v>166976.73000000001</v>
      </c>
      <c r="BS225" s="110" t="e">
        <f t="array" aca="1" ref="BS225" ca="1">_xludf.XLOOKUP(D225,'PL TOTAL D0'!N:N,'PL TOTAL D0'!P:P,"")</f>
        <v>#NAME?</v>
      </c>
      <c r="BT225" s="110"/>
    </row>
    <row r="226" spans="1:72" ht="15.75" customHeight="1">
      <c r="A226" s="122" t="s">
        <v>3785</v>
      </c>
      <c r="B226" s="104" t="s">
        <v>3581</v>
      </c>
      <c r="C226" s="104" t="s">
        <v>4493</v>
      </c>
      <c r="D226" s="293">
        <v>4847953</v>
      </c>
      <c r="E226" s="293" t="s">
        <v>19</v>
      </c>
      <c r="F226" s="293" t="s">
        <v>20</v>
      </c>
      <c r="G226" s="293" t="s">
        <v>3072</v>
      </c>
      <c r="H226" s="293" t="str">
        <f>IFERROR(VLOOKUP(G226,'Cadastro de assessores'!A:B,2,FALSE),"Não Cadastrado")</f>
        <v>18236</v>
      </c>
      <c r="I226" s="293"/>
      <c r="J226" s="24" t="s">
        <v>152</v>
      </c>
      <c r="K226" s="293" t="s">
        <v>152</v>
      </c>
      <c r="L226" s="415">
        <v>44294</v>
      </c>
      <c r="M226" s="415">
        <v>44294</v>
      </c>
      <c r="N226" s="292"/>
      <c r="O226" s="292" t="s">
        <v>4494</v>
      </c>
      <c r="P226" s="388">
        <v>1.4999999999999999E-2</v>
      </c>
      <c r="Q226" s="420"/>
      <c r="R226" s="417"/>
      <c r="S226" s="292" t="str">
        <f t="shared" si="21"/>
        <v>Qualificado</v>
      </c>
      <c r="T226" s="292" t="s">
        <v>187</v>
      </c>
      <c r="U226" s="292" t="s">
        <v>3816</v>
      </c>
      <c r="V226" s="292" t="s">
        <v>20</v>
      </c>
      <c r="W226" s="418"/>
      <c r="X226" s="418"/>
      <c r="Y226" s="418"/>
      <c r="Z226" s="418"/>
      <c r="AA226" s="418"/>
      <c r="AB226" s="418"/>
      <c r="AC226" s="418"/>
      <c r="AD226" s="418"/>
      <c r="AE226" s="418"/>
      <c r="AF226" s="418"/>
      <c r="AG226" s="418"/>
      <c r="AH226" s="418"/>
      <c r="AI226" s="418"/>
      <c r="AJ226" s="418"/>
      <c r="AK226" s="339"/>
      <c r="AL226" s="339"/>
      <c r="AM226" s="339"/>
      <c r="AN226" s="339" t="s">
        <v>3147</v>
      </c>
      <c r="AO226" s="339"/>
      <c r="AP226" s="339">
        <v>489673.1</v>
      </c>
      <c r="AQ226" s="339">
        <v>484924.49</v>
      </c>
      <c r="AR226" s="339">
        <v>897104.87</v>
      </c>
      <c r="AS226" s="339">
        <v>886111.6</v>
      </c>
      <c r="AT226" s="339">
        <v>860635.19</v>
      </c>
      <c r="AU226" s="339">
        <v>821667.27</v>
      </c>
      <c r="AV226" s="339">
        <v>797412.36</v>
      </c>
      <c r="AW226" s="339">
        <v>766173.59</v>
      </c>
      <c r="AX226" s="339">
        <v>764728.31</v>
      </c>
      <c r="AY226" s="339">
        <v>732812.88</v>
      </c>
      <c r="AZ226" s="339">
        <v>759391.56</v>
      </c>
      <c r="BA226" s="339">
        <v>766723.56</v>
      </c>
      <c r="BB226" s="339">
        <v>775063.32</v>
      </c>
      <c r="BC226" s="339">
        <v>1824145.67</v>
      </c>
      <c r="BD226" s="339">
        <v>698782.5</v>
      </c>
      <c r="BE226" s="339">
        <v>693179.61</v>
      </c>
      <c r="BF226" s="339">
        <v>710009.63</v>
      </c>
      <c r="BG226" s="339">
        <v>700888.42960000003</v>
      </c>
      <c r="BH226" s="339">
        <v>690664.78</v>
      </c>
      <c r="BI226" s="339">
        <v>705486.51</v>
      </c>
      <c r="BJ226" s="339">
        <v>687229.21</v>
      </c>
      <c r="BK226" s="339">
        <v>691532.45</v>
      </c>
      <c r="BL226" s="339">
        <v>638426.04</v>
      </c>
      <c r="BM226" s="339">
        <v>333269.51</v>
      </c>
      <c r="BN226" s="339">
        <v>213184.18</v>
      </c>
      <c r="BO226" s="339">
        <v>173647</v>
      </c>
      <c r="BP226" s="339">
        <v>160303.66</v>
      </c>
      <c r="BQ226" s="339">
        <v>145963.91</v>
      </c>
      <c r="BR226" s="339">
        <v>12404.26</v>
      </c>
      <c r="BS226" s="110" t="e">
        <f t="array" aca="1" ref="BS226" ca="1">_xludf.XLOOKUP(D226,'PL TOTAL D0'!N:N,'PL TOTAL D0'!P:P,"")</f>
        <v>#NAME?</v>
      </c>
      <c r="BT226" s="110"/>
    </row>
    <row r="227" spans="1:72" ht="15.75" customHeight="1">
      <c r="A227" s="122" t="s">
        <v>3785</v>
      </c>
      <c r="B227" s="104" t="s">
        <v>4495</v>
      </c>
      <c r="C227" s="441" t="s">
        <v>4496</v>
      </c>
      <c r="D227" s="299">
        <v>3029846</v>
      </c>
      <c r="E227" s="293" t="s">
        <v>19</v>
      </c>
      <c r="F227" s="293" t="s">
        <v>49</v>
      </c>
      <c r="G227" s="293" t="s">
        <v>4134</v>
      </c>
      <c r="H227" s="293" t="str">
        <f>IFERROR(VLOOKUP(G227,'Cadastro de assessores'!A:B,2,FALSE),"Não Cadastrado")</f>
        <v>14294</v>
      </c>
      <c r="I227" s="293"/>
      <c r="J227" s="24" t="s">
        <v>161</v>
      </c>
      <c r="K227" s="292" t="s">
        <v>152</v>
      </c>
      <c r="L227" s="415">
        <v>44460</v>
      </c>
      <c r="M227" s="415">
        <v>44469</v>
      </c>
      <c r="N227" s="299"/>
      <c r="O227" s="299" t="s">
        <v>3789</v>
      </c>
      <c r="P227" s="428">
        <v>0.02</v>
      </c>
      <c r="Q227" s="167" t="s">
        <v>4497</v>
      </c>
      <c r="R227" s="417"/>
      <c r="S227" s="292" t="str">
        <f t="shared" si="21"/>
        <v>Não Qualificado</v>
      </c>
      <c r="T227" s="299" t="s">
        <v>145</v>
      </c>
      <c r="U227" s="299" t="s">
        <v>4498</v>
      </c>
      <c r="V227" s="299" t="s">
        <v>60</v>
      </c>
      <c r="W227" s="350"/>
      <c r="X227" s="350"/>
      <c r="Y227" s="350"/>
      <c r="Z227" s="350"/>
      <c r="AA227" s="350"/>
      <c r="AB227" s="350"/>
      <c r="AC227" s="350"/>
      <c r="AD227" s="350"/>
      <c r="AE227" s="350"/>
      <c r="AF227" s="350"/>
      <c r="AG227" s="418"/>
      <c r="AH227" s="418"/>
      <c r="AI227" s="418"/>
      <c r="AJ227" s="339"/>
      <c r="AK227" s="339"/>
      <c r="AL227" s="339"/>
      <c r="AM227" s="339"/>
      <c r="AN227" s="339"/>
      <c r="AO227" s="339"/>
      <c r="AP227" s="339"/>
      <c r="AQ227" s="339"/>
      <c r="AR227" s="339"/>
      <c r="AS227" s="339"/>
      <c r="AT227" s="339"/>
      <c r="AU227" s="350"/>
      <c r="AV227" s="339"/>
      <c r="AW227" s="339">
        <v>424175.54</v>
      </c>
      <c r="AX227" s="339">
        <v>422659.34</v>
      </c>
      <c r="AY227" s="339">
        <v>428866.15</v>
      </c>
      <c r="AZ227" s="339">
        <v>447627.06</v>
      </c>
      <c r="BA227" s="339">
        <v>451338.04</v>
      </c>
      <c r="BB227" s="339">
        <v>216.63</v>
      </c>
      <c r="BC227" s="339">
        <v>57553.98</v>
      </c>
      <c r="BD227" s="339">
        <v>743.59</v>
      </c>
      <c r="BE227" s="339" t="s">
        <v>2932</v>
      </c>
      <c r="BF227" s="339">
        <v>1081.03</v>
      </c>
      <c r="BG227" s="339">
        <v>1090.76</v>
      </c>
      <c r="BH227" s="339">
        <v>1099.3499999999999</v>
      </c>
      <c r="BI227" s="339">
        <v>1108.5</v>
      </c>
      <c r="BJ227" s="339">
        <v>1117.55</v>
      </c>
      <c r="BK227" s="339">
        <v>1127.67</v>
      </c>
      <c r="BL227" s="339">
        <v>1138.6400000000001</v>
      </c>
      <c r="BM227" s="339">
        <v>1147.47</v>
      </c>
      <c r="BN227" s="339">
        <v>1150.44</v>
      </c>
      <c r="BO227" s="339">
        <v>1157.06</v>
      </c>
      <c r="BP227" s="339">
        <v>1167.8499999999999</v>
      </c>
      <c r="BQ227" s="339">
        <v>1176.1500000000001</v>
      </c>
      <c r="BR227" s="339">
        <v>1188.2</v>
      </c>
      <c r="BS227" s="110" t="e">
        <f t="array" aca="1" ref="BS227" ca="1">_xludf.XLOOKUP(D227,'PL TOTAL D0'!N:N,'PL TOTAL D0'!P:P,"")</f>
        <v>#NAME?</v>
      </c>
      <c r="BT227" s="110"/>
    </row>
    <row r="228" spans="1:72" ht="15.75" customHeight="1">
      <c r="A228" s="122" t="s">
        <v>3785</v>
      </c>
      <c r="B228" s="104" t="s">
        <v>1358</v>
      </c>
      <c r="C228" s="122" t="s">
        <v>1356</v>
      </c>
      <c r="D228" s="292">
        <v>4793812</v>
      </c>
      <c r="E228" s="293" t="s">
        <v>19</v>
      </c>
      <c r="F228" s="293" t="s">
        <v>20</v>
      </c>
      <c r="G228" s="293" t="s">
        <v>21</v>
      </c>
      <c r="H228" s="293">
        <f>IFERROR(VLOOKUP(G228,'Cadastro de assessores'!A:B,2,FALSE),"Não Cadastrado")</f>
        <v>12344</v>
      </c>
      <c r="I228" s="293"/>
      <c r="J228" s="24" t="s">
        <v>3788</v>
      </c>
      <c r="K228" s="293" t="s">
        <v>152</v>
      </c>
      <c r="L228" s="415">
        <v>44217</v>
      </c>
      <c r="M228" s="415">
        <v>44217</v>
      </c>
      <c r="N228" s="292"/>
      <c r="O228" s="292" t="s">
        <v>4332</v>
      </c>
      <c r="P228" s="388">
        <v>2E-3</v>
      </c>
      <c r="Q228" s="420" t="s">
        <v>4499</v>
      </c>
      <c r="R228" s="417"/>
      <c r="S228" s="292" t="str">
        <f t="shared" si="21"/>
        <v>Não Qualificado</v>
      </c>
      <c r="T228" s="292" t="s">
        <v>187</v>
      </c>
      <c r="U228" s="292" t="s">
        <v>3816</v>
      </c>
      <c r="V228" s="292" t="s">
        <v>20</v>
      </c>
      <c r="W228" s="418"/>
      <c r="X228" s="418"/>
      <c r="Y228" s="418"/>
      <c r="Z228" s="418"/>
      <c r="AA228" s="418"/>
      <c r="AB228" s="418"/>
      <c r="AC228" s="418"/>
      <c r="AD228" s="418"/>
      <c r="AE228" s="418"/>
      <c r="AF228" s="418"/>
      <c r="AG228" s="418"/>
      <c r="AH228" s="418"/>
      <c r="AI228" s="418"/>
      <c r="AJ228" s="418"/>
      <c r="AK228" s="339"/>
      <c r="AL228" s="339">
        <v>299461.32</v>
      </c>
      <c r="AM228" s="339">
        <v>294981.82</v>
      </c>
      <c r="AN228" s="339">
        <v>295732.34999999998</v>
      </c>
      <c r="AO228" s="339">
        <v>299975.32</v>
      </c>
      <c r="AP228" s="339">
        <v>317078.7</v>
      </c>
      <c r="AQ228" s="339">
        <v>316413.89</v>
      </c>
      <c r="AR228" s="339">
        <v>320412.46000000002</v>
      </c>
      <c r="AS228" s="339">
        <v>319547.96999999997</v>
      </c>
      <c r="AT228" s="339">
        <v>316956.65999999997</v>
      </c>
      <c r="AU228" s="339">
        <v>316644.15000000002</v>
      </c>
      <c r="AV228" s="339">
        <v>314834.02</v>
      </c>
      <c r="AW228" s="339">
        <v>305898.46000000002</v>
      </c>
      <c r="AX228" s="339">
        <v>307558.07</v>
      </c>
      <c r="AY228" s="339">
        <v>155192.07</v>
      </c>
      <c r="AZ228" s="339">
        <v>159219.1</v>
      </c>
      <c r="BA228" s="339">
        <v>551845.16</v>
      </c>
      <c r="BB228" s="339">
        <v>638718.55000000005</v>
      </c>
      <c r="BC228" s="339">
        <v>28495.55</v>
      </c>
      <c r="BD228" s="339">
        <v>612387.43000000005</v>
      </c>
      <c r="BE228" s="339">
        <v>647091.09</v>
      </c>
      <c r="BF228" s="339">
        <v>651956.56999999995</v>
      </c>
      <c r="BG228" s="339">
        <v>654821.21429999999</v>
      </c>
      <c r="BH228" s="339">
        <v>661131.42000000004</v>
      </c>
      <c r="BI228" s="339">
        <v>665931.75</v>
      </c>
      <c r="BJ228" s="339">
        <v>671387.67</v>
      </c>
      <c r="BK228" s="339">
        <v>542334.02</v>
      </c>
      <c r="BL228" s="339">
        <v>347531.93</v>
      </c>
      <c r="BM228" s="339">
        <v>350382.2</v>
      </c>
      <c r="BN228" s="339">
        <v>353628.45</v>
      </c>
      <c r="BO228" s="339">
        <v>0</v>
      </c>
      <c r="BP228" s="339">
        <v>0</v>
      </c>
      <c r="BQ228" s="339">
        <v>0</v>
      </c>
      <c r="BR228" s="339">
        <v>0</v>
      </c>
      <c r="BS228" s="110" t="e">
        <f t="array" aca="1" ref="BS228" ca="1">_xludf.XLOOKUP(D228,'PL TOTAL D0'!N:N,'PL TOTAL D0'!P:P,"")</f>
        <v>#NAME?</v>
      </c>
      <c r="BT228" s="110"/>
    </row>
    <row r="229" spans="1:72" ht="15.75" customHeight="1">
      <c r="A229" s="122" t="s">
        <v>3785</v>
      </c>
      <c r="B229" s="104" t="s">
        <v>1358</v>
      </c>
      <c r="C229" s="122" t="s">
        <v>1356</v>
      </c>
      <c r="D229" s="292">
        <v>4783402</v>
      </c>
      <c r="E229" s="293" t="s">
        <v>19</v>
      </c>
      <c r="F229" s="293" t="s">
        <v>20</v>
      </c>
      <c r="G229" s="293" t="s">
        <v>21</v>
      </c>
      <c r="H229" s="293">
        <f>IFERROR(VLOOKUP(G229,'Cadastro de assessores'!A:B,2,FALSE),"Não Cadastrado")</f>
        <v>12344</v>
      </c>
      <c r="I229" s="293"/>
      <c r="J229" s="24" t="s">
        <v>3788</v>
      </c>
      <c r="K229" s="292" t="s">
        <v>152</v>
      </c>
      <c r="L229" s="415">
        <v>44218</v>
      </c>
      <c r="M229" s="415">
        <v>44218</v>
      </c>
      <c r="N229" s="292"/>
      <c r="O229" s="292" t="s">
        <v>3795</v>
      </c>
      <c r="P229" s="388">
        <v>1.4999999999999999E-2</v>
      </c>
      <c r="Q229" s="420"/>
      <c r="R229" s="417"/>
      <c r="S229" s="292" t="str">
        <f t="shared" si="21"/>
        <v/>
      </c>
      <c r="T229" s="292" t="s">
        <v>187</v>
      </c>
      <c r="U229" s="292" t="s">
        <v>3816</v>
      </c>
      <c r="V229" s="292" t="s">
        <v>20</v>
      </c>
      <c r="W229" s="418"/>
      <c r="X229" s="418"/>
      <c r="Y229" s="418"/>
      <c r="Z229" s="418"/>
      <c r="AA229" s="418"/>
      <c r="AB229" s="418"/>
      <c r="AC229" s="418"/>
      <c r="AD229" s="418"/>
      <c r="AE229" s="418"/>
      <c r="AF229" s="418"/>
      <c r="AG229" s="418"/>
      <c r="AH229" s="418"/>
      <c r="AI229" s="418"/>
      <c r="AJ229" s="418"/>
      <c r="AK229" s="339"/>
      <c r="AL229" s="339">
        <v>99631.9</v>
      </c>
      <c r="AM229" s="339">
        <v>96684.29</v>
      </c>
      <c r="AN229" s="339">
        <v>96971.63</v>
      </c>
      <c r="AO229" s="339">
        <v>99955.199999999997</v>
      </c>
      <c r="AP229" s="339">
        <v>84011.65</v>
      </c>
      <c r="AQ229" s="339">
        <v>83555.929999999993</v>
      </c>
      <c r="AR229" s="339">
        <v>85584.44</v>
      </c>
      <c r="AS229" s="339">
        <v>84981.77</v>
      </c>
      <c r="AT229" s="339">
        <v>83234.42</v>
      </c>
      <c r="AU229" s="339">
        <v>82714.850000000006</v>
      </c>
      <c r="AV229" s="339">
        <v>81255.429999999993</v>
      </c>
      <c r="AW229" s="339">
        <v>78731.539999999994</v>
      </c>
      <c r="AX229" s="339">
        <v>78901.179999999993</v>
      </c>
      <c r="AY229" s="339">
        <v>23911.74</v>
      </c>
      <c r="AZ229" s="339">
        <v>25554.34</v>
      </c>
      <c r="BA229" s="339">
        <v>25943.59</v>
      </c>
      <c r="BB229" s="339">
        <v>26117.05</v>
      </c>
      <c r="BC229" s="339"/>
      <c r="BD229" s="339">
        <v>26385.81</v>
      </c>
      <c r="BE229" s="339">
        <v>27.86</v>
      </c>
      <c r="BF229" s="339">
        <v>28.67</v>
      </c>
      <c r="BG229" s="339">
        <v>28.67</v>
      </c>
      <c r="BH229" s="339">
        <v>28.67</v>
      </c>
      <c r="BI229" s="339">
        <v>28.67</v>
      </c>
      <c r="BJ229" s="339">
        <v>28.67</v>
      </c>
      <c r="BK229" s="339">
        <v>28.67</v>
      </c>
      <c r="BL229" s="339">
        <v>0</v>
      </c>
      <c r="BM229" s="339">
        <v>0</v>
      </c>
      <c r="BN229" s="339">
        <v>0</v>
      </c>
      <c r="BO229" s="339">
        <v>0</v>
      </c>
      <c r="BP229" s="339">
        <v>0</v>
      </c>
      <c r="BQ229" s="339">
        <v>0</v>
      </c>
      <c r="BR229" s="339">
        <v>0</v>
      </c>
      <c r="BS229" s="110" t="e">
        <f t="array" aca="1" ref="BS229" ca="1">_xludf.XLOOKUP(D229,'PL TOTAL D0'!N:N,'PL TOTAL D0'!P:P,"")</f>
        <v>#NAME?</v>
      </c>
      <c r="BT229" s="110"/>
    </row>
    <row r="230" spans="1:72" ht="15.75" customHeight="1">
      <c r="A230" s="122" t="s">
        <v>3785</v>
      </c>
      <c r="B230" s="104" t="s">
        <v>1361</v>
      </c>
      <c r="C230" s="390" t="s">
        <v>4500</v>
      </c>
      <c r="D230" s="422">
        <v>8392987</v>
      </c>
      <c r="E230" s="293" t="s">
        <v>19</v>
      </c>
      <c r="F230" s="293" t="s">
        <v>20</v>
      </c>
      <c r="G230" s="293" t="s">
        <v>21</v>
      </c>
      <c r="H230" s="293">
        <f>IFERROR(VLOOKUP(G230,'Cadastro de assessores'!A:B,2,FALSE),"Não Cadastrado")</f>
        <v>12344</v>
      </c>
      <c r="I230" s="293"/>
      <c r="J230" s="24" t="s">
        <v>3788</v>
      </c>
      <c r="K230" s="293" t="s">
        <v>152</v>
      </c>
      <c r="L230" s="415">
        <v>44669</v>
      </c>
      <c r="M230" s="415">
        <v>44670</v>
      </c>
      <c r="N230" s="299"/>
      <c r="O230" s="299" t="s">
        <v>3802</v>
      </c>
      <c r="P230" s="388">
        <v>7.0000000000000001E-3</v>
      </c>
      <c r="Q230" s="311" t="s">
        <v>4501</v>
      </c>
      <c r="R230" s="417"/>
      <c r="S230" s="292" t="str">
        <f t="shared" si="21"/>
        <v/>
      </c>
      <c r="T230" s="292" t="s">
        <v>145</v>
      </c>
      <c r="U230" s="292" t="s">
        <v>3816</v>
      </c>
      <c r="V230" s="292" t="s">
        <v>20</v>
      </c>
      <c r="W230" s="350"/>
      <c r="X230" s="350"/>
      <c r="Y230" s="350"/>
      <c r="Z230" s="350"/>
      <c r="AA230" s="350"/>
      <c r="AB230" s="350"/>
      <c r="AC230" s="350"/>
      <c r="AD230" s="350"/>
      <c r="AE230" s="350"/>
      <c r="AF230" s="350"/>
      <c r="AG230" s="418"/>
      <c r="AH230" s="418"/>
      <c r="AI230" s="418"/>
      <c r="AJ230" s="339"/>
      <c r="AK230" s="339"/>
      <c r="AL230" s="339"/>
      <c r="AM230" s="339"/>
      <c r="AN230" s="339"/>
      <c r="AO230" s="339"/>
      <c r="AP230" s="339"/>
      <c r="AQ230" s="339"/>
      <c r="AR230" s="339"/>
      <c r="AS230" s="339"/>
      <c r="AT230" s="339"/>
      <c r="AU230" s="339"/>
      <c r="AV230" s="339"/>
      <c r="AW230" s="339"/>
      <c r="AX230" s="339"/>
      <c r="AY230" s="339"/>
      <c r="AZ230" s="339"/>
      <c r="BA230" s="339"/>
      <c r="BB230" s="339"/>
      <c r="BC230" s="339"/>
      <c r="BD230" s="339">
        <v>151863.19</v>
      </c>
      <c r="BE230" s="339">
        <v>152652.64000000001</v>
      </c>
      <c r="BF230" s="339">
        <v>153032.54</v>
      </c>
      <c r="BG230" s="339">
        <v>215473.14199999999</v>
      </c>
      <c r="BH230" s="339">
        <v>217116.57</v>
      </c>
      <c r="BI230" s="339">
        <v>673383.21</v>
      </c>
      <c r="BJ230" s="339">
        <v>678722.84</v>
      </c>
      <c r="BK230" s="339">
        <v>685853.93</v>
      </c>
      <c r="BL230" s="339">
        <v>686090.72</v>
      </c>
      <c r="BM230" s="339">
        <v>5784.11</v>
      </c>
      <c r="BN230" s="339">
        <v>0.16</v>
      </c>
      <c r="BO230" s="339">
        <v>0.16</v>
      </c>
      <c r="BP230" s="339">
        <v>0.16</v>
      </c>
      <c r="BQ230" s="339">
        <v>0.16</v>
      </c>
      <c r="BR230" s="339">
        <v>0.16</v>
      </c>
      <c r="BS230" s="110" t="e">
        <f t="array" aca="1" ref="BS230" ca="1">_xludf.XLOOKUP(D230,'PL TOTAL D0'!N:N,'PL TOTAL D0'!P:P,"")</f>
        <v>#NAME?</v>
      </c>
      <c r="BT230" s="110"/>
    </row>
    <row r="231" spans="1:72" ht="15.75" customHeight="1">
      <c r="A231" s="122" t="s">
        <v>3785</v>
      </c>
      <c r="B231" s="104" t="s">
        <v>4502</v>
      </c>
      <c r="C231" s="390" t="s">
        <v>4503</v>
      </c>
      <c r="D231" s="293">
        <v>4423520</v>
      </c>
      <c r="E231" s="293" t="s">
        <v>19</v>
      </c>
      <c r="F231" s="293" t="s">
        <v>20</v>
      </c>
      <c r="G231" s="293" t="s">
        <v>3159</v>
      </c>
      <c r="H231" s="293" t="str">
        <f>IFERROR(VLOOKUP(G231,'Cadastro de assessores'!A:B,2,FALSE),"Não Cadastrado")</f>
        <v>13444</v>
      </c>
      <c r="I231" s="293"/>
      <c r="J231" s="24" t="s">
        <v>152</v>
      </c>
      <c r="K231" s="293" t="s">
        <v>152</v>
      </c>
      <c r="L231" s="415">
        <v>44372</v>
      </c>
      <c r="M231" s="415">
        <v>44372</v>
      </c>
      <c r="N231" s="299"/>
      <c r="O231" s="299" t="s">
        <v>4019</v>
      </c>
      <c r="P231" s="388">
        <v>0.02</v>
      </c>
      <c r="Q231" s="311"/>
      <c r="R231" s="417"/>
      <c r="S231" s="292" t="str">
        <f t="shared" si="21"/>
        <v/>
      </c>
      <c r="T231" s="299" t="s">
        <v>187</v>
      </c>
      <c r="U231" s="299" t="s">
        <v>4020</v>
      </c>
      <c r="V231" s="299" t="s">
        <v>60</v>
      </c>
      <c r="W231" s="350"/>
      <c r="X231" s="350"/>
      <c r="Y231" s="350"/>
      <c r="Z231" s="350"/>
      <c r="AA231" s="350"/>
      <c r="AB231" s="350"/>
      <c r="AC231" s="350"/>
      <c r="AD231" s="350"/>
      <c r="AE231" s="350"/>
      <c r="AF231" s="350"/>
      <c r="AG231" s="350"/>
      <c r="AH231" s="350"/>
      <c r="AI231" s="418"/>
      <c r="AJ231" s="339"/>
      <c r="AK231" s="339"/>
      <c r="AL231" s="339"/>
      <c r="AM231" s="339"/>
      <c r="AN231" s="339"/>
      <c r="AO231" s="339"/>
      <c r="AP231" s="339"/>
      <c r="AQ231" s="339"/>
      <c r="AR231" s="350"/>
      <c r="AS231" s="339">
        <v>134497.91</v>
      </c>
      <c r="AT231" s="339">
        <v>125466.92</v>
      </c>
      <c r="AU231" s="339">
        <v>123202.98</v>
      </c>
      <c r="AV231" s="339">
        <v>114790.23</v>
      </c>
      <c r="AW231" s="339">
        <v>102272.86</v>
      </c>
      <c r="AX231" s="339">
        <v>92953.19</v>
      </c>
      <c r="AY231" s="339">
        <v>96606.35</v>
      </c>
      <c r="AZ231" s="339">
        <v>99810.25</v>
      </c>
      <c r="BA231" s="339">
        <v>102636.32</v>
      </c>
      <c r="BB231" s="339">
        <v>107472.64</v>
      </c>
      <c r="BC231" s="339">
        <v>0</v>
      </c>
      <c r="BD231" s="339">
        <v>102540.48</v>
      </c>
      <c r="BE231" s="339">
        <v>86702.67</v>
      </c>
      <c r="BF231" s="339">
        <v>71731.12</v>
      </c>
      <c r="BG231" s="339">
        <v>76435.55</v>
      </c>
      <c r="BH231" s="339">
        <v>485.56</v>
      </c>
      <c r="BI231" s="339">
        <v>1048.53</v>
      </c>
      <c r="BJ231" s="339">
        <v>1128.43</v>
      </c>
      <c r="BK231" s="339">
        <v>1196.06</v>
      </c>
      <c r="BL231" s="339">
        <v>1127.1099999999999</v>
      </c>
      <c r="BM231" s="339">
        <v>1129.8</v>
      </c>
      <c r="BN231" s="339">
        <v>1130.7</v>
      </c>
      <c r="BO231" s="339">
        <v>1137.32</v>
      </c>
      <c r="BP231" s="339">
        <v>1151.46</v>
      </c>
      <c r="BQ231" s="339">
        <v>1159.76</v>
      </c>
      <c r="BR231" s="339">
        <v>1171.81</v>
      </c>
      <c r="BS231" s="110" t="e">
        <f t="array" aca="1" ref="BS231" ca="1">_xludf.XLOOKUP(D231,'PL TOTAL D0'!N:N,'PL TOTAL D0'!P:P,"")</f>
        <v>#NAME?</v>
      </c>
      <c r="BT231" s="110"/>
    </row>
    <row r="232" spans="1:72" ht="15.75" customHeight="1">
      <c r="A232" s="122" t="s">
        <v>3785</v>
      </c>
      <c r="B232" s="104" t="s">
        <v>1364</v>
      </c>
      <c r="C232" s="122" t="s">
        <v>1362</v>
      </c>
      <c r="D232" s="292">
        <v>8765907</v>
      </c>
      <c r="E232" s="292" t="s">
        <v>19</v>
      </c>
      <c r="F232" s="292" t="s">
        <v>49</v>
      </c>
      <c r="G232" s="292" t="s">
        <v>166</v>
      </c>
      <c r="H232" s="293" t="str">
        <f>IFERROR(VLOOKUP(G232,'Cadastro de assessores'!A:B,2,FALSE),"Não Cadastrado")</f>
        <v>18890</v>
      </c>
      <c r="I232" s="293"/>
      <c r="J232" s="24" t="s">
        <v>3788</v>
      </c>
      <c r="K232" s="292" t="s">
        <v>152</v>
      </c>
      <c r="L232" s="387">
        <v>44721</v>
      </c>
      <c r="M232" s="387">
        <v>44727</v>
      </c>
      <c r="N232" s="387"/>
      <c r="O232" s="292" t="s">
        <v>3805</v>
      </c>
      <c r="P232" s="388">
        <v>1.2E-2</v>
      </c>
      <c r="Q232" s="420" t="s">
        <v>4504</v>
      </c>
      <c r="R232" s="417"/>
      <c r="S232" s="292"/>
      <c r="T232" s="292" t="s">
        <v>145</v>
      </c>
      <c r="U232" s="292" t="s">
        <v>3841</v>
      </c>
      <c r="V232" s="292" t="s">
        <v>49</v>
      </c>
      <c r="W232" s="350"/>
      <c r="X232" s="350"/>
      <c r="Y232" s="350"/>
      <c r="Z232" s="350"/>
      <c r="AA232" s="350"/>
      <c r="AB232" s="350"/>
      <c r="AC232" s="350"/>
      <c r="AD232" s="350"/>
      <c r="AE232" s="350"/>
      <c r="AF232" s="350"/>
      <c r="AG232" s="418"/>
      <c r="AH232" s="418"/>
      <c r="AI232" s="418"/>
      <c r="AJ232" s="339"/>
      <c r="AK232" s="339"/>
      <c r="AL232" s="339"/>
      <c r="AM232" s="339"/>
      <c r="AN232" s="339"/>
      <c r="AO232" s="339"/>
      <c r="AP232" s="339"/>
      <c r="AQ232" s="339"/>
      <c r="AR232" s="339"/>
      <c r="AS232" s="339"/>
      <c r="AT232" s="339"/>
      <c r="AU232" s="339"/>
      <c r="AV232" s="339"/>
      <c r="AW232" s="339"/>
      <c r="AX232" s="339"/>
      <c r="AY232" s="339"/>
      <c r="AZ232" s="339"/>
      <c r="BA232" s="339"/>
      <c r="BB232" s="339"/>
      <c r="BC232" s="339"/>
      <c r="BD232" s="339"/>
      <c r="BE232" s="339">
        <v>149797.28</v>
      </c>
      <c r="BF232" s="339">
        <v>152447.94</v>
      </c>
      <c r="BG232" s="339">
        <v>153514.2261</v>
      </c>
      <c r="BH232" s="339">
        <v>154591.41</v>
      </c>
      <c r="BI232" s="339">
        <v>173362.21</v>
      </c>
      <c r="BJ232" s="339">
        <v>192856.75</v>
      </c>
      <c r="BK232" s="339">
        <v>194643.3</v>
      </c>
      <c r="BL232" s="339">
        <v>196844.83</v>
      </c>
      <c r="BM232" s="339">
        <v>0</v>
      </c>
      <c r="BN232" s="339">
        <v>1.73</v>
      </c>
      <c r="BO232" s="339">
        <v>1.73</v>
      </c>
      <c r="BP232" s="339">
        <v>1.73</v>
      </c>
      <c r="BQ232" s="339">
        <v>1.73</v>
      </c>
      <c r="BR232" s="339">
        <v>1.73</v>
      </c>
      <c r="BS232" s="110" t="e">
        <f t="array" aca="1" ref="BS232" ca="1">_xludf.XLOOKUP(D232,'PL TOTAL D0'!N:N,'PL TOTAL D0'!P:P,"")</f>
        <v>#NAME?</v>
      </c>
      <c r="BT232" s="110"/>
    </row>
    <row r="233" spans="1:72" ht="15.75" customHeight="1">
      <c r="A233" s="122" t="s">
        <v>3785</v>
      </c>
      <c r="B233" s="104" t="s">
        <v>4505</v>
      </c>
      <c r="C233" s="441" t="s">
        <v>4506</v>
      </c>
      <c r="D233" s="293">
        <v>6519491</v>
      </c>
      <c r="E233" s="293" t="s">
        <v>19</v>
      </c>
      <c r="F233" s="293" t="s">
        <v>49</v>
      </c>
      <c r="G233" s="293" t="s">
        <v>328</v>
      </c>
      <c r="H233" s="293" t="str">
        <f>IFERROR(VLOOKUP(G233,'Cadastro de assessores'!A:B,2,FALSE),"Não Cadastrado")</f>
        <v>18009</v>
      </c>
      <c r="I233" s="293"/>
      <c r="J233" s="24" t="s">
        <v>3788</v>
      </c>
      <c r="K233" s="292" t="s">
        <v>3147</v>
      </c>
      <c r="L233" s="292" t="s">
        <v>3147</v>
      </c>
      <c r="M233" s="436" t="s">
        <v>3638</v>
      </c>
      <c r="N233" s="299"/>
      <c r="O233" s="299" t="s">
        <v>3805</v>
      </c>
      <c r="P233" s="388">
        <v>1.2E-2</v>
      </c>
      <c r="Q233" s="167"/>
      <c r="R233" s="417"/>
      <c r="S233" s="292" t="str">
        <f t="shared" ref="S233:S236" si="22">IF(BC233&lt;=0,"",IF(BC233&lt;=1000000,"Não Qualificado",IF(AND(BC233&gt;1000000,BC233&lt;=10000000),"Qualificado","Profissional")))</f>
        <v/>
      </c>
      <c r="T233" s="292" t="s">
        <v>145</v>
      </c>
      <c r="U233" s="292" t="s">
        <v>3967</v>
      </c>
      <c r="V233" s="292" t="s">
        <v>49</v>
      </c>
      <c r="W233" s="350"/>
      <c r="X233" s="350"/>
      <c r="Y233" s="350"/>
      <c r="Z233" s="350"/>
      <c r="AA233" s="350"/>
      <c r="AB233" s="350"/>
      <c r="AC233" s="350"/>
      <c r="AD233" s="350"/>
      <c r="AE233" s="350"/>
      <c r="AF233" s="350"/>
      <c r="AG233" s="418"/>
      <c r="AH233" s="418"/>
      <c r="AI233" s="418"/>
      <c r="AJ233" s="339"/>
      <c r="AK233" s="339"/>
      <c r="AL233" s="339"/>
      <c r="AM233" s="339"/>
      <c r="AN233" s="339"/>
      <c r="AO233" s="339"/>
      <c r="AP233" s="339"/>
      <c r="AQ233" s="339"/>
      <c r="AR233" s="339"/>
      <c r="AS233" s="339"/>
      <c r="AT233" s="339"/>
      <c r="AU233" s="339"/>
      <c r="AV233" s="339"/>
      <c r="AW233" s="339">
        <v>100</v>
      </c>
      <c r="AX233" s="339">
        <v>100</v>
      </c>
      <c r="AY233" s="339">
        <v>100</v>
      </c>
      <c r="AZ233" s="339">
        <v>100</v>
      </c>
      <c r="BA233" s="339">
        <v>100</v>
      </c>
      <c r="BB233" s="339">
        <v>100</v>
      </c>
      <c r="BC233" s="339">
        <v>0</v>
      </c>
      <c r="BD233" s="339">
        <v>100.11</v>
      </c>
      <c r="BE233" s="339" t="s">
        <v>2932</v>
      </c>
      <c r="BF233" s="339">
        <v>101.71</v>
      </c>
      <c r="BG233" s="339">
        <v>102.64</v>
      </c>
      <c r="BH233" s="339">
        <v>103.47</v>
      </c>
      <c r="BI233" s="339">
        <v>104.38</v>
      </c>
      <c r="BJ233" s="339">
        <v>105.39</v>
      </c>
      <c r="BK233" s="339">
        <v>106.26</v>
      </c>
      <c r="BL233" s="339">
        <v>107.26</v>
      </c>
      <c r="BM233" s="339">
        <v>108.07</v>
      </c>
      <c r="BN233" s="339">
        <v>108.4</v>
      </c>
      <c r="BO233" s="339">
        <v>108.4</v>
      </c>
      <c r="BP233" s="339">
        <v>108.4</v>
      </c>
      <c r="BQ233" s="339">
        <v>108.4</v>
      </c>
      <c r="BR233" s="339">
        <v>108.4</v>
      </c>
      <c r="BS233" s="110" t="e">
        <f t="array" aca="1" ref="BS233" ca="1">_xludf.XLOOKUP(D233,'PL TOTAL D0'!N:N,'PL TOTAL D0'!P:P,"")</f>
        <v>#NAME?</v>
      </c>
      <c r="BT233" s="110"/>
    </row>
    <row r="234" spans="1:72" ht="15.75" customHeight="1">
      <c r="A234" s="122" t="s">
        <v>3785</v>
      </c>
      <c r="B234" s="104" t="s">
        <v>4507</v>
      </c>
      <c r="C234" s="390" t="s">
        <v>4508</v>
      </c>
      <c r="D234" s="299">
        <v>3452038</v>
      </c>
      <c r="E234" s="293" t="s">
        <v>19</v>
      </c>
      <c r="F234" s="293" t="s">
        <v>49</v>
      </c>
      <c r="G234" s="299" t="s">
        <v>277</v>
      </c>
      <c r="H234" s="293" t="str">
        <f>IFERROR(VLOOKUP(G234,'Cadastro de assessores'!A:B,2,FALSE),"Não Cadastrado")</f>
        <v>17831</v>
      </c>
      <c r="I234" s="293"/>
      <c r="J234" s="24" t="s">
        <v>143</v>
      </c>
      <c r="K234" s="293" t="s">
        <v>152</v>
      </c>
      <c r="L234" s="415">
        <v>44698</v>
      </c>
      <c r="M234" s="415">
        <v>44698</v>
      </c>
      <c r="N234" s="391">
        <v>44834</v>
      </c>
      <c r="O234" s="299" t="s">
        <v>3805</v>
      </c>
      <c r="P234" s="388">
        <v>1.2E-2</v>
      </c>
      <c r="Q234" s="445" t="s">
        <v>4509</v>
      </c>
      <c r="R234" s="417"/>
      <c r="S234" s="292" t="str">
        <f t="shared" si="22"/>
        <v/>
      </c>
      <c r="T234" s="292" t="s">
        <v>145</v>
      </c>
      <c r="U234" s="292" t="s">
        <v>3841</v>
      </c>
      <c r="V234" s="292" t="s">
        <v>49</v>
      </c>
      <c r="W234" s="418"/>
      <c r="X234" s="418"/>
      <c r="Y234" s="418"/>
      <c r="Z234" s="418"/>
      <c r="AA234" s="418"/>
      <c r="AB234" s="418"/>
      <c r="AC234" s="418"/>
      <c r="AD234" s="418"/>
      <c r="AE234" s="418"/>
      <c r="AF234" s="418"/>
      <c r="AG234" s="418"/>
      <c r="AH234" s="418"/>
      <c r="AI234" s="418"/>
      <c r="AJ234" s="418"/>
      <c r="AK234" s="339"/>
      <c r="AL234" s="339"/>
      <c r="AM234" s="339"/>
      <c r="AN234" s="339"/>
      <c r="AO234" s="339"/>
      <c r="AP234" s="339"/>
      <c r="AQ234" s="339"/>
      <c r="AR234" s="339"/>
      <c r="AS234" s="339"/>
      <c r="AT234" s="339"/>
      <c r="AU234" s="339"/>
      <c r="AV234" s="339"/>
      <c r="AW234" s="339"/>
      <c r="AX234" s="339"/>
      <c r="AY234" s="339"/>
      <c r="AZ234" s="339"/>
      <c r="BA234" s="339"/>
      <c r="BB234" s="339"/>
      <c r="BC234" s="339">
        <v>0</v>
      </c>
      <c r="BD234" s="339">
        <v>265360.18</v>
      </c>
      <c r="BE234" s="339">
        <v>254108.15</v>
      </c>
      <c r="BF234" s="339">
        <v>256736.54</v>
      </c>
      <c r="BG234" s="339">
        <v>259434.0839</v>
      </c>
      <c r="BH234" s="339">
        <v>53880.75</v>
      </c>
      <c r="BI234" s="339">
        <v>0</v>
      </c>
      <c r="BJ234" s="339">
        <v>0</v>
      </c>
      <c r="BK234" s="339">
        <v>0</v>
      </c>
      <c r="BL234" s="339">
        <v>0</v>
      </c>
      <c r="BM234" s="339">
        <v>0</v>
      </c>
      <c r="BN234" s="339">
        <v>0</v>
      </c>
      <c r="BO234" s="339">
        <v>0</v>
      </c>
      <c r="BP234" s="339">
        <v>0</v>
      </c>
      <c r="BQ234" s="339">
        <v>0</v>
      </c>
      <c r="BR234" s="339">
        <v>0</v>
      </c>
      <c r="BS234" s="110" t="e">
        <f t="array" aca="1" ref="BS234" ca="1">_xludf.XLOOKUP(D234,'PL TOTAL D0'!N:N,'PL TOTAL D0'!P:P,"")</f>
        <v>#NAME?</v>
      </c>
      <c r="BT234" s="110"/>
    </row>
    <row r="235" spans="1:72" ht="15.75" customHeight="1">
      <c r="A235" s="122" t="s">
        <v>3785</v>
      </c>
      <c r="B235" s="104" t="s">
        <v>1370</v>
      </c>
      <c r="C235" s="122" t="s">
        <v>1368</v>
      </c>
      <c r="D235" s="292">
        <v>4750693</v>
      </c>
      <c r="E235" s="293" t="s">
        <v>19</v>
      </c>
      <c r="F235" s="293" t="s">
        <v>20</v>
      </c>
      <c r="G235" s="293" t="s">
        <v>2512</v>
      </c>
      <c r="H235" s="293" t="str">
        <f>IFERROR(VLOOKUP(G235,'Cadastro de assessores'!A:B,2,FALSE),"Não Cadastrado")</f>
        <v>18256</v>
      </c>
      <c r="I235" s="293"/>
      <c r="J235" s="24" t="s">
        <v>3788</v>
      </c>
      <c r="K235" s="293" t="s">
        <v>152</v>
      </c>
      <c r="L235" s="415">
        <v>44228</v>
      </c>
      <c r="M235" s="415">
        <v>44166</v>
      </c>
      <c r="N235" s="292"/>
      <c r="O235" s="292" t="s">
        <v>4510</v>
      </c>
      <c r="P235" s="388">
        <v>1.2E-2</v>
      </c>
      <c r="Q235" s="420"/>
      <c r="R235" s="417"/>
      <c r="S235" s="292" t="str">
        <f t="shared" si="22"/>
        <v/>
      </c>
      <c r="T235" s="292" t="s">
        <v>145</v>
      </c>
      <c r="U235" s="292" t="s">
        <v>4209</v>
      </c>
      <c r="V235" s="292" t="s">
        <v>20</v>
      </c>
      <c r="W235" s="418"/>
      <c r="X235" s="418"/>
      <c r="Y235" s="418"/>
      <c r="Z235" s="418"/>
      <c r="AA235" s="418"/>
      <c r="AB235" s="418"/>
      <c r="AC235" s="418"/>
      <c r="AD235" s="418"/>
      <c r="AE235" s="418"/>
      <c r="AF235" s="418"/>
      <c r="AG235" s="418"/>
      <c r="AH235" s="418"/>
      <c r="AI235" s="418"/>
      <c r="AJ235" s="418"/>
      <c r="AK235" s="339"/>
      <c r="AL235" s="339"/>
      <c r="AM235" s="339">
        <v>242866.89</v>
      </c>
      <c r="AN235" s="339">
        <v>243368.24</v>
      </c>
      <c r="AO235" s="339">
        <v>249847.3</v>
      </c>
      <c r="AP235" s="339">
        <v>251165.88</v>
      </c>
      <c r="AQ235" s="339">
        <v>250380.19</v>
      </c>
      <c r="AR235" s="339">
        <v>255441.24</v>
      </c>
      <c r="AS235" s="339">
        <v>254000.15</v>
      </c>
      <c r="AT235" s="339">
        <v>249898.5</v>
      </c>
      <c r="AU235" s="339">
        <v>248668.36</v>
      </c>
      <c r="AV235" s="339">
        <v>246150.04</v>
      </c>
      <c r="AW235" s="339">
        <v>238329.61</v>
      </c>
      <c r="AX235" s="339">
        <v>222289.89</v>
      </c>
      <c r="AY235" s="339">
        <v>225324.35</v>
      </c>
      <c r="AZ235" s="339">
        <v>229664.99</v>
      </c>
      <c r="BA235" s="339">
        <v>229409.43</v>
      </c>
      <c r="BB235" s="339">
        <v>235802.84</v>
      </c>
      <c r="BC235" s="339">
        <v>0</v>
      </c>
      <c r="BD235" s="339">
        <v>217926.47</v>
      </c>
      <c r="BE235" s="339">
        <v>217584.65</v>
      </c>
      <c r="BF235" s="339">
        <v>221594.55</v>
      </c>
      <c r="BG235" s="339">
        <v>223829.8285</v>
      </c>
      <c r="BH235" s="339">
        <v>224859.66</v>
      </c>
      <c r="BI235" s="339">
        <v>231386.92</v>
      </c>
      <c r="BJ235" s="339">
        <v>230482.05</v>
      </c>
      <c r="BK235" s="339">
        <v>232316.84</v>
      </c>
      <c r="BL235" s="339">
        <v>235037.13</v>
      </c>
      <c r="BM235" s="339">
        <v>236618.28</v>
      </c>
      <c r="BN235" s="339">
        <v>239241.92</v>
      </c>
      <c r="BO235" s="339">
        <v>118915.18</v>
      </c>
      <c r="BP235" s="339">
        <v>120267.53</v>
      </c>
      <c r="BQ235" s="339">
        <v>121266.95</v>
      </c>
      <c r="BR235" s="339">
        <v>146.30000000000001</v>
      </c>
      <c r="BS235" s="110" t="e">
        <f t="array" aca="1" ref="BS235" ca="1">_xludf.XLOOKUP(D235,'PL TOTAL D0'!N:N,'PL TOTAL D0'!P:P,"")</f>
        <v>#NAME?</v>
      </c>
      <c r="BT235" s="110"/>
    </row>
    <row r="236" spans="1:72" ht="15.75" customHeight="1">
      <c r="A236" s="122" t="s">
        <v>3785</v>
      </c>
      <c r="B236" s="104" t="s">
        <v>4511</v>
      </c>
      <c r="C236" s="122" t="s">
        <v>4512</v>
      </c>
      <c r="D236" s="292">
        <v>4744608</v>
      </c>
      <c r="E236" s="293" t="s">
        <v>19</v>
      </c>
      <c r="F236" s="293" t="s">
        <v>20</v>
      </c>
      <c r="G236" s="293" t="s">
        <v>372</v>
      </c>
      <c r="H236" s="293">
        <f>IFERROR(VLOOKUP(G236,'Cadastro de assessores'!A:B,2,FALSE),"Não Cadastrado")</f>
        <v>12359</v>
      </c>
      <c r="I236" s="293"/>
      <c r="J236" s="24" t="s">
        <v>143</v>
      </c>
      <c r="K236" s="293" t="s">
        <v>152</v>
      </c>
      <c r="L236" s="415">
        <v>44218</v>
      </c>
      <c r="M236" s="415">
        <v>44218</v>
      </c>
      <c r="N236" s="419">
        <v>44887</v>
      </c>
      <c r="O236" s="292" t="s">
        <v>3789</v>
      </c>
      <c r="P236" s="388">
        <v>0.02</v>
      </c>
      <c r="Q236" s="420" t="s">
        <v>4513</v>
      </c>
      <c r="R236" s="417"/>
      <c r="S236" s="292" t="str">
        <f t="shared" si="22"/>
        <v/>
      </c>
      <c r="T236" s="292" t="s">
        <v>145</v>
      </c>
      <c r="U236" s="292" t="s">
        <v>3816</v>
      </c>
      <c r="V236" s="292" t="s">
        <v>20</v>
      </c>
      <c r="W236" s="418"/>
      <c r="X236" s="418"/>
      <c r="Y236" s="418"/>
      <c r="Z236" s="418"/>
      <c r="AA236" s="418"/>
      <c r="AB236" s="418"/>
      <c r="AC236" s="418"/>
      <c r="AD236" s="418"/>
      <c r="AE236" s="418"/>
      <c r="AF236" s="418"/>
      <c r="AG236" s="418"/>
      <c r="AH236" s="418"/>
      <c r="AI236" s="418"/>
      <c r="AJ236" s="418"/>
      <c r="AK236" s="339"/>
      <c r="AL236" s="339">
        <v>787069.85</v>
      </c>
      <c r="AM236" s="339">
        <v>735410.8</v>
      </c>
      <c r="AN236" s="339">
        <v>733323.65</v>
      </c>
      <c r="AO236" s="339">
        <v>790973.52</v>
      </c>
      <c r="AP236" s="339">
        <v>1003039.96</v>
      </c>
      <c r="AQ236" s="339">
        <v>991901.78</v>
      </c>
      <c r="AR236" s="339">
        <v>1050056.3500000001</v>
      </c>
      <c r="AS236" s="339">
        <v>1025552.12</v>
      </c>
      <c r="AT236" s="339">
        <v>970839.75</v>
      </c>
      <c r="AU236" s="339">
        <v>950596.34</v>
      </c>
      <c r="AV236" s="339">
        <v>899837.95</v>
      </c>
      <c r="AW236" s="339">
        <v>828478.31</v>
      </c>
      <c r="AX236" s="339">
        <v>821044.17</v>
      </c>
      <c r="AY236" s="339">
        <v>835554.63</v>
      </c>
      <c r="AZ236" s="339">
        <v>894531.87</v>
      </c>
      <c r="BA236" s="339">
        <v>901294.41</v>
      </c>
      <c r="BB236" s="339">
        <v>946104.25</v>
      </c>
      <c r="BC236" s="339">
        <v>0</v>
      </c>
      <c r="BD236" s="339">
        <v>915534.46</v>
      </c>
      <c r="BE236" s="339">
        <v>893273.88</v>
      </c>
      <c r="BF236" s="339">
        <v>925740.34</v>
      </c>
      <c r="BG236" s="339">
        <v>938957.48510000005</v>
      </c>
      <c r="BH236" s="339">
        <v>833062.54</v>
      </c>
      <c r="BI236" s="339">
        <v>886930.78</v>
      </c>
      <c r="BJ236" s="339">
        <v>0</v>
      </c>
      <c r="BK236" s="339">
        <v>0</v>
      </c>
      <c r="BL236" s="339">
        <v>0</v>
      </c>
      <c r="BM236" s="339">
        <v>0</v>
      </c>
      <c r="BN236" s="339">
        <v>0</v>
      </c>
      <c r="BO236" s="339">
        <v>0</v>
      </c>
      <c r="BP236" s="339">
        <v>0</v>
      </c>
      <c r="BQ236" s="339">
        <v>0</v>
      </c>
      <c r="BR236" s="339">
        <v>0</v>
      </c>
      <c r="BS236" s="110" t="e">
        <f t="array" aca="1" ref="BS236" ca="1">_xludf.XLOOKUP(D236,'PL TOTAL D0'!N:N,'PL TOTAL D0'!P:P,"")</f>
        <v>#NAME?</v>
      </c>
      <c r="BT236" s="110"/>
    </row>
    <row r="237" spans="1:72" ht="15.75" customHeight="1">
      <c r="A237" s="122" t="s">
        <v>3785</v>
      </c>
      <c r="B237" s="104" t="s">
        <v>1378</v>
      </c>
      <c r="C237" s="122" t="s">
        <v>4514</v>
      </c>
      <c r="D237" s="292">
        <v>6164897</v>
      </c>
      <c r="E237" s="293" t="s">
        <v>19</v>
      </c>
      <c r="F237" s="293" t="s">
        <v>20</v>
      </c>
      <c r="G237" s="293" t="s">
        <v>372</v>
      </c>
      <c r="H237" s="293">
        <f>IFERROR(VLOOKUP(G237,'Cadastro de assessores'!A:B,2,FALSE),"Não Cadastrado")</f>
        <v>12359</v>
      </c>
      <c r="I237" s="293"/>
      <c r="J237" s="24" t="s">
        <v>3788</v>
      </c>
      <c r="K237" s="293"/>
      <c r="L237" s="415"/>
      <c r="M237" s="415">
        <v>44845</v>
      </c>
      <c r="N237" s="292"/>
      <c r="O237" s="292" t="s">
        <v>3802</v>
      </c>
      <c r="P237" s="388">
        <v>0.01</v>
      </c>
      <c r="Q237" s="420"/>
      <c r="R237" s="417"/>
      <c r="S237" s="292"/>
      <c r="T237" s="292"/>
      <c r="U237" s="292"/>
      <c r="V237" s="292" t="s">
        <v>20</v>
      </c>
      <c r="W237" s="418"/>
      <c r="X237" s="418"/>
      <c r="Y237" s="418"/>
      <c r="Z237" s="418"/>
      <c r="AA237" s="418"/>
      <c r="AB237" s="418"/>
      <c r="AC237" s="418"/>
      <c r="AD237" s="418"/>
      <c r="AE237" s="418"/>
      <c r="AF237" s="418"/>
      <c r="AG237" s="418"/>
      <c r="AH237" s="418"/>
      <c r="AI237" s="418"/>
      <c r="AJ237" s="418"/>
      <c r="AK237" s="339"/>
      <c r="AL237" s="339"/>
      <c r="AM237" s="339"/>
      <c r="AN237" s="339"/>
      <c r="AO237" s="339"/>
      <c r="AP237" s="339"/>
      <c r="AQ237" s="339"/>
      <c r="AR237" s="339"/>
      <c r="AS237" s="339"/>
      <c r="AT237" s="339"/>
      <c r="AU237" s="339"/>
      <c r="AV237" s="339"/>
      <c r="AW237" s="339"/>
      <c r="AX237" s="339"/>
      <c r="AY237" s="339"/>
      <c r="AZ237" s="339"/>
      <c r="BA237" s="339"/>
      <c r="BB237" s="339"/>
      <c r="BC237" s="339"/>
      <c r="BD237" s="339"/>
      <c r="BE237" s="339"/>
      <c r="BF237" s="339"/>
      <c r="BG237" s="339"/>
      <c r="BH237" s="339"/>
      <c r="BI237" s="339">
        <v>8549.48</v>
      </c>
      <c r="BJ237" s="339">
        <v>13673.7</v>
      </c>
      <c r="BK237" s="339">
        <v>14327.93</v>
      </c>
      <c r="BL237" s="339">
        <v>14509.69</v>
      </c>
      <c r="BM237" s="339">
        <v>13473.67</v>
      </c>
      <c r="BN237" s="339">
        <v>12952.61</v>
      </c>
      <c r="BO237" s="339">
        <v>2003.05</v>
      </c>
      <c r="BP237" s="339">
        <v>0</v>
      </c>
      <c r="BQ237" s="339">
        <v>0</v>
      </c>
      <c r="BR237" s="339">
        <v>0</v>
      </c>
      <c r="BS237" s="110" t="e">
        <f t="array" aca="1" ref="BS237" ca="1">_xludf.XLOOKUP(D237,'PL TOTAL D0'!N:N,'PL TOTAL D0'!P:P,"")</f>
        <v>#NAME?</v>
      </c>
      <c r="BT237" s="110"/>
    </row>
    <row r="238" spans="1:72" ht="15.75" customHeight="1">
      <c r="A238" s="122" t="s">
        <v>3785</v>
      </c>
      <c r="B238" s="104" t="s">
        <v>4515</v>
      </c>
      <c r="C238" s="122" t="s">
        <v>4516</v>
      </c>
      <c r="D238" s="292">
        <v>8424056</v>
      </c>
      <c r="E238" s="293" t="s">
        <v>64</v>
      </c>
      <c r="F238" s="293" t="s">
        <v>20</v>
      </c>
      <c r="G238" s="293" t="s">
        <v>4152</v>
      </c>
      <c r="H238" s="293">
        <f>IFERROR(VLOOKUP(G238,'Cadastro de assessores'!A:B,2,FALSE),"Não Cadastrado")</f>
        <v>12352</v>
      </c>
      <c r="I238" s="293"/>
      <c r="J238" s="24" t="s">
        <v>3788</v>
      </c>
      <c r="K238" s="293" t="s">
        <v>152</v>
      </c>
      <c r="L238" s="423">
        <v>44665</v>
      </c>
      <c r="M238" s="423">
        <v>44673</v>
      </c>
      <c r="N238" s="292"/>
      <c r="O238" s="292" t="s">
        <v>3805</v>
      </c>
      <c r="P238" s="388">
        <v>7.0000000000000001E-3</v>
      </c>
      <c r="Q238" s="167" t="s">
        <v>4517</v>
      </c>
      <c r="R238" s="417"/>
      <c r="S238" s="292" t="str">
        <f t="shared" ref="S238:S240" si="23">IF(BC238&lt;=0,"",IF(BC238&lt;=1000000,"Não Qualificado",IF(AND(BC238&gt;1000000,BC238&lt;=10000000),"Qualificado","Profissional")))</f>
        <v>Qualificado</v>
      </c>
      <c r="T238" s="292" t="s">
        <v>145</v>
      </c>
      <c r="U238" s="292" t="s">
        <v>4178</v>
      </c>
      <c r="V238" s="292" t="s">
        <v>20</v>
      </c>
      <c r="W238" s="418"/>
      <c r="X238" s="418"/>
      <c r="Y238" s="418"/>
      <c r="Z238" s="418"/>
      <c r="AA238" s="418"/>
      <c r="AB238" s="418"/>
      <c r="AC238" s="418"/>
      <c r="AD238" s="418"/>
      <c r="AE238" s="418"/>
      <c r="AF238" s="418"/>
      <c r="AG238" s="418"/>
      <c r="AH238" s="418"/>
      <c r="AI238" s="418"/>
      <c r="AJ238" s="418"/>
      <c r="AK238" s="339"/>
      <c r="AL238" s="339"/>
      <c r="AM238" s="339"/>
      <c r="AN238" s="339"/>
      <c r="AO238" s="339"/>
      <c r="AP238" s="339"/>
      <c r="AQ238" s="339"/>
      <c r="AR238" s="339"/>
      <c r="AS238" s="339"/>
      <c r="AT238" s="339"/>
      <c r="AU238" s="339"/>
      <c r="AV238" s="339"/>
      <c r="AW238" s="339"/>
      <c r="AX238" s="339"/>
      <c r="AY238" s="339"/>
      <c r="AZ238" s="339"/>
      <c r="BA238" s="339"/>
      <c r="BB238" s="339"/>
      <c r="BC238" s="339">
        <v>3683174.27</v>
      </c>
      <c r="BD238" s="339">
        <v>609296.32999999996</v>
      </c>
      <c r="BE238" s="339">
        <v>615456.74</v>
      </c>
      <c r="BF238" s="339">
        <v>620609.48</v>
      </c>
      <c r="BG238" s="339">
        <v>621916.82330000005</v>
      </c>
      <c r="BH238" s="339">
        <v>626432.42000000004</v>
      </c>
      <c r="BI238" s="339">
        <v>635629.49</v>
      </c>
      <c r="BJ238" s="339">
        <v>639880.36</v>
      </c>
      <c r="BK238" s="339">
        <v>8556.89</v>
      </c>
      <c r="BL238" s="339">
        <v>8505.43</v>
      </c>
      <c r="BM238" s="339">
        <v>-5.2</v>
      </c>
      <c r="BN238" s="339">
        <v>-5.2</v>
      </c>
      <c r="BO238" s="339">
        <v>-5.2</v>
      </c>
      <c r="BP238" s="339">
        <v>-5.2</v>
      </c>
      <c r="BQ238" s="339">
        <v>-5.2</v>
      </c>
      <c r="BR238" s="339">
        <v>-5.2</v>
      </c>
      <c r="BS238" s="110" t="e">
        <f t="array" aca="1" ref="BS238" ca="1">_xludf.XLOOKUP(D238,'PL TOTAL D0'!N:N,'PL TOTAL D0'!P:P,"")</f>
        <v>#NAME?</v>
      </c>
      <c r="BT238" s="110"/>
    </row>
    <row r="239" spans="1:72" ht="15.75" customHeight="1">
      <c r="A239" s="122" t="s">
        <v>3785</v>
      </c>
      <c r="B239" s="104" t="s">
        <v>4518</v>
      </c>
      <c r="C239" s="122" t="s">
        <v>4519</v>
      </c>
      <c r="D239" s="292">
        <v>2009210</v>
      </c>
      <c r="E239" s="293" t="s">
        <v>19</v>
      </c>
      <c r="F239" s="293" t="s">
        <v>20</v>
      </c>
      <c r="G239" s="293" t="s">
        <v>3678</v>
      </c>
      <c r="H239" s="293" t="str">
        <f>IFERROR(VLOOKUP(G239,'Cadastro de assessores'!A:B,2,FALSE),"Não Cadastrado")</f>
        <v>19352</v>
      </c>
      <c r="I239" s="293"/>
      <c r="J239" s="24" t="s">
        <v>152</v>
      </c>
      <c r="K239" s="293" t="s">
        <v>152</v>
      </c>
      <c r="L239" s="415">
        <v>43775</v>
      </c>
      <c r="M239" s="415">
        <v>43775</v>
      </c>
      <c r="N239" s="292"/>
      <c r="O239" s="292" t="s">
        <v>3809</v>
      </c>
      <c r="P239" s="388">
        <v>2.5000000000000001E-2</v>
      </c>
      <c r="Q239" s="445"/>
      <c r="R239" s="417"/>
      <c r="S239" s="292" t="str">
        <f t="shared" si="23"/>
        <v>Não Qualificado</v>
      </c>
      <c r="T239" s="292" t="s">
        <v>145</v>
      </c>
      <c r="U239" s="292" t="s">
        <v>3797</v>
      </c>
      <c r="V239" s="292" t="s">
        <v>20</v>
      </c>
      <c r="W239" s="418" t="s">
        <v>4520</v>
      </c>
      <c r="X239" s="418"/>
      <c r="Y239" s="418" t="s">
        <v>4521</v>
      </c>
      <c r="Z239" s="418" t="s">
        <v>4522</v>
      </c>
      <c r="AA239" s="418" t="s">
        <v>4523</v>
      </c>
      <c r="AB239" s="418" t="s">
        <v>4524</v>
      </c>
      <c r="AC239" s="418" t="s">
        <v>4525</v>
      </c>
      <c r="AD239" s="418" t="s">
        <v>4526</v>
      </c>
      <c r="AE239" s="418" t="s">
        <v>4527</v>
      </c>
      <c r="AF239" s="418" t="s">
        <v>4528</v>
      </c>
      <c r="AG239" s="418" t="s">
        <v>4529</v>
      </c>
      <c r="AH239" s="418" t="s">
        <v>4530</v>
      </c>
      <c r="AI239" s="418" t="s">
        <v>4531</v>
      </c>
      <c r="AJ239" s="418" t="s">
        <v>4532</v>
      </c>
      <c r="AK239" s="339">
        <v>91900.46</v>
      </c>
      <c r="AL239" s="339">
        <v>88023.76</v>
      </c>
      <c r="AM239" s="339">
        <v>82521.06</v>
      </c>
      <c r="AN239" s="339">
        <v>82688.710000000006</v>
      </c>
      <c r="AO239" s="339">
        <v>87559.55</v>
      </c>
      <c r="AP239" s="339">
        <v>88687.03</v>
      </c>
      <c r="AQ239" s="339">
        <v>87800.52</v>
      </c>
      <c r="AR239" s="339">
        <v>92625.1</v>
      </c>
      <c r="AS239" s="339">
        <v>90512.86</v>
      </c>
      <c r="AT239" s="339">
        <v>85537.23</v>
      </c>
      <c r="AU239" s="339">
        <v>83576.850000000006</v>
      </c>
      <c r="AV239" s="339">
        <v>78475.850000000006</v>
      </c>
      <c r="AW239" s="339">
        <v>72661.86</v>
      </c>
      <c r="AX239" s="339">
        <v>71908.960000000006</v>
      </c>
      <c r="AY239" s="339">
        <v>73230.320000000007</v>
      </c>
      <c r="AZ239" s="339">
        <v>77669.08</v>
      </c>
      <c r="BA239" s="339">
        <v>78805.570000000007</v>
      </c>
      <c r="BB239" s="339">
        <v>83784.22</v>
      </c>
      <c r="BC239" s="339">
        <v>130421.02</v>
      </c>
      <c r="BD239" s="339">
        <v>79037.83</v>
      </c>
      <c r="BE239" s="339">
        <v>75667.320000000007</v>
      </c>
      <c r="BF239" s="339">
        <v>79662.320000000007</v>
      </c>
      <c r="BG239" s="339">
        <v>80651.77</v>
      </c>
      <c r="BH239" s="339">
        <v>79200.09</v>
      </c>
      <c r="BI239" s="339">
        <v>85810.15</v>
      </c>
      <c r="BJ239" s="339">
        <v>82768.62</v>
      </c>
      <c r="BK239" s="339">
        <v>82384.929999999993</v>
      </c>
      <c r="BL239" s="339">
        <v>84486.07</v>
      </c>
      <c r="BM239" s="339">
        <v>81179.06</v>
      </c>
      <c r="BN239" s="339">
        <v>80354.149999999994</v>
      </c>
      <c r="BO239" s="339">
        <v>79614.289999999994</v>
      </c>
      <c r="BP239" s="339">
        <v>81408.539999999994</v>
      </c>
      <c r="BQ239" s="339">
        <v>86078.44</v>
      </c>
      <c r="BR239" s="339">
        <v>88694.49</v>
      </c>
      <c r="BS239" s="110" t="e">
        <f t="array" aca="1" ref="BS239" ca="1">_xludf.XLOOKUP(D239,'PL TOTAL D0'!N:N,'PL TOTAL D0'!P:P,"")</f>
        <v>#NAME?</v>
      </c>
      <c r="BT239" s="110"/>
    </row>
    <row r="240" spans="1:72" ht="15.75" customHeight="1">
      <c r="A240" s="122" t="s">
        <v>3785</v>
      </c>
      <c r="B240" s="104" t="s">
        <v>4533</v>
      </c>
      <c r="C240" s="122" t="s">
        <v>4534</v>
      </c>
      <c r="D240" s="292">
        <v>480281</v>
      </c>
      <c r="E240" s="292" t="s">
        <v>19</v>
      </c>
      <c r="F240" s="292" t="s">
        <v>20</v>
      </c>
      <c r="G240" s="292" t="s">
        <v>4301</v>
      </c>
      <c r="H240" s="292" t="str">
        <f>IFERROR(VLOOKUP(G240,'Cadastro de assessores'!A:B,2,FALSE),"Não Cadastrado")</f>
        <v>12846</v>
      </c>
      <c r="I240" s="292"/>
      <c r="J240" s="24" t="s">
        <v>143</v>
      </c>
      <c r="K240" s="292" t="s">
        <v>3794</v>
      </c>
      <c r="L240" s="387">
        <v>44166</v>
      </c>
      <c r="M240" s="387">
        <v>44166</v>
      </c>
      <c r="N240" s="387">
        <v>44378</v>
      </c>
      <c r="O240" s="292" t="s">
        <v>3795</v>
      </c>
      <c r="P240" s="388">
        <v>5.0000000000000001E-3</v>
      </c>
      <c r="Q240" s="420" t="s">
        <v>4302</v>
      </c>
      <c r="R240" s="417"/>
      <c r="S240" s="292" t="str">
        <f t="shared" si="23"/>
        <v/>
      </c>
      <c r="T240" s="292" t="s">
        <v>145</v>
      </c>
      <c r="U240" s="292" t="s">
        <v>3832</v>
      </c>
      <c r="V240" s="292" t="s">
        <v>20</v>
      </c>
      <c r="W240" s="418" t="s">
        <v>3798</v>
      </c>
      <c r="X240" s="418" t="s">
        <v>3798</v>
      </c>
      <c r="Y240" s="418" t="s">
        <v>3798</v>
      </c>
      <c r="Z240" s="418" t="s">
        <v>3798</v>
      </c>
      <c r="AA240" s="418" t="s">
        <v>3798</v>
      </c>
      <c r="AB240" s="418" t="s">
        <v>3798</v>
      </c>
      <c r="AC240" s="418" t="s">
        <v>3798</v>
      </c>
      <c r="AD240" s="418" t="s">
        <v>3798</v>
      </c>
      <c r="AE240" s="418" t="s">
        <v>3798</v>
      </c>
      <c r="AF240" s="418" t="s">
        <v>3798</v>
      </c>
      <c r="AG240" s="418" t="s">
        <v>3798</v>
      </c>
      <c r="AH240" s="418" t="s">
        <v>3798</v>
      </c>
      <c r="AI240" s="418" t="s">
        <v>3798</v>
      </c>
      <c r="AJ240" s="418" t="s">
        <v>3798</v>
      </c>
      <c r="AK240" s="339">
        <v>1261957.93</v>
      </c>
      <c r="AL240" s="339">
        <v>1384715.19</v>
      </c>
      <c r="AM240" s="339">
        <v>1370263.97</v>
      </c>
      <c r="AN240" s="339">
        <v>1365203.55</v>
      </c>
      <c r="AO240" s="339">
        <v>1380040.74</v>
      </c>
      <c r="AP240" s="339">
        <v>1389078.67</v>
      </c>
      <c r="AQ240" s="339">
        <v>1390915.55</v>
      </c>
      <c r="AR240" s="339">
        <v>1444333.17</v>
      </c>
      <c r="AS240" s="339">
        <v>1437067.63</v>
      </c>
      <c r="AT240" s="339"/>
      <c r="AU240" s="339"/>
      <c r="AV240" s="339"/>
      <c r="AW240" s="339"/>
      <c r="AX240" s="339"/>
      <c r="AY240" s="339"/>
      <c r="AZ240" s="339"/>
      <c r="BA240" s="339">
        <v>0</v>
      </c>
      <c r="BB240" s="339">
        <v>0</v>
      </c>
      <c r="BC240" s="339">
        <v>0</v>
      </c>
      <c r="BD240" s="339" t="s">
        <v>2932</v>
      </c>
      <c r="BE240" s="339" t="s">
        <v>2932</v>
      </c>
      <c r="BF240" s="339">
        <v>0</v>
      </c>
      <c r="BG240" s="339">
        <v>0</v>
      </c>
      <c r="BH240" s="339">
        <v>0</v>
      </c>
      <c r="BI240" s="339">
        <v>0</v>
      </c>
      <c r="BJ240" s="339">
        <v>0</v>
      </c>
      <c r="BK240" s="339">
        <v>0</v>
      </c>
      <c r="BL240" s="339">
        <v>0</v>
      </c>
      <c r="BM240" s="339">
        <v>0</v>
      </c>
      <c r="BN240" s="339">
        <v>0</v>
      </c>
      <c r="BO240" s="339">
        <v>0</v>
      </c>
      <c r="BP240" s="339">
        <v>0</v>
      </c>
      <c r="BQ240" s="339">
        <v>0</v>
      </c>
      <c r="BR240" s="339">
        <v>0</v>
      </c>
      <c r="BS240" s="110" t="e">
        <f t="array" aca="1" ref="BS240" ca="1">_xludf.XLOOKUP(D240,'PL TOTAL D0'!N:N,'PL TOTAL D0'!P:P,"")</f>
        <v>#NAME?</v>
      </c>
      <c r="BT240" s="110"/>
    </row>
    <row r="241" spans="1:72" ht="15.75" customHeight="1">
      <c r="A241" s="122" t="s">
        <v>3785</v>
      </c>
      <c r="B241" s="104" t="s">
        <v>1402</v>
      </c>
      <c r="C241" s="122" t="s">
        <v>4535</v>
      </c>
      <c r="D241" s="422">
        <v>9183025</v>
      </c>
      <c r="E241" s="293" t="s">
        <v>19</v>
      </c>
      <c r="F241" s="293" t="s">
        <v>49</v>
      </c>
      <c r="G241" s="293" t="s">
        <v>166</v>
      </c>
      <c r="H241" s="292" t="str">
        <f>IFERROR(VLOOKUP(G241,'Cadastro de assessores'!A:B,2,FALSE),"Não Cadastrado")</f>
        <v>18890</v>
      </c>
      <c r="I241" s="292"/>
      <c r="J241" s="24" t="s">
        <v>3788</v>
      </c>
      <c r="K241" s="426" t="s">
        <v>161</v>
      </c>
      <c r="L241" s="426" t="s">
        <v>3147</v>
      </c>
      <c r="M241" s="429">
        <v>44806</v>
      </c>
      <c r="N241" s="292"/>
      <c r="O241" s="292" t="s">
        <v>3805</v>
      </c>
      <c r="P241" s="388">
        <v>1.2E-2</v>
      </c>
      <c r="Q241" s="420" t="s">
        <v>3908</v>
      </c>
      <c r="R241" s="417"/>
      <c r="S241" s="292"/>
      <c r="T241" s="292"/>
      <c r="U241" s="292"/>
      <c r="V241" s="292" t="s">
        <v>49</v>
      </c>
      <c r="W241" s="418"/>
      <c r="X241" s="418"/>
      <c r="Y241" s="418"/>
      <c r="Z241" s="418"/>
      <c r="AA241" s="418"/>
      <c r="AB241" s="418"/>
      <c r="AC241" s="418"/>
      <c r="AD241" s="418"/>
      <c r="AE241" s="418"/>
      <c r="AF241" s="418"/>
      <c r="AG241" s="418"/>
      <c r="AH241" s="418"/>
      <c r="AI241" s="418"/>
      <c r="AJ241" s="418"/>
      <c r="AK241" s="339"/>
      <c r="AL241" s="339"/>
      <c r="AM241" s="339"/>
      <c r="AN241" s="339"/>
      <c r="AO241" s="339"/>
      <c r="AP241" s="339"/>
      <c r="AQ241" s="339"/>
      <c r="AR241" s="339"/>
      <c r="AS241" s="339"/>
      <c r="AT241" s="339"/>
      <c r="AU241" s="339"/>
      <c r="AV241" s="339"/>
      <c r="AW241" s="339"/>
      <c r="AX241" s="339"/>
      <c r="AY241" s="339"/>
      <c r="AZ241" s="339"/>
      <c r="BA241" s="339"/>
      <c r="BB241" s="339"/>
      <c r="BC241" s="339"/>
      <c r="BD241" s="339"/>
      <c r="BE241" s="339"/>
      <c r="BF241" s="339"/>
      <c r="BG241" s="339">
        <v>0</v>
      </c>
      <c r="BH241" s="339">
        <v>181337.75</v>
      </c>
      <c r="BI241" s="339">
        <v>184666.11</v>
      </c>
      <c r="BJ241" s="339">
        <v>185719.49</v>
      </c>
      <c r="BK241" s="339">
        <v>187173.89</v>
      </c>
      <c r="BL241" s="339">
        <v>27099.42</v>
      </c>
      <c r="BM241" s="339">
        <v>0.6</v>
      </c>
      <c r="BN241" s="339">
        <v>4.83</v>
      </c>
      <c r="BO241" s="339">
        <v>4.83</v>
      </c>
      <c r="BP241" s="339">
        <v>4.83</v>
      </c>
      <c r="BQ241" s="339">
        <v>4.83</v>
      </c>
      <c r="BR241" s="339">
        <v>4.83</v>
      </c>
      <c r="BS241" s="110" t="e">
        <f t="array" aca="1" ref="BS241" ca="1">_xludf.XLOOKUP(D241,'PL TOTAL D0'!N:N,'PL TOTAL D0'!P:P,"")</f>
        <v>#NAME?</v>
      </c>
      <c r="BT241" s="110"/>
    </row>
    <row r="242" spans="1:72" ht="15.75" customHeight="1">
      <c r="A242" s="122" t="s">
        <v>3785</v>
      </c>
      <c r="B242" s="104" t="s">
        <v>1410</v>
      </c>
      <c r="C242" s="122" t="s">
        <v>4536</v>
      </c>
      <c r="D242" s="422">
        <v>2278886</v>
      </c>
      <c r="E242" s="293" t="s">
        <v>19</v>
      </c>
      <c r="F242" s="293" t="s">
        <v>49</v>
      </c>
      <c r="G242" s="293" t="s">
        <v>2036</v>
      </c>
      <c r="H242" s="293"/>
      <c r="I242" s="293"/>
      <c r="J242" s="24" t="s">
        <v>3788</v>
      </c>
      <c r="K242" s="293"/>
      <c r="L242" s="429"/>
      <c r="M242" s="415">
        <v>44950</v>
      </c>
      <c r="N242" s="292"/>
      <c r="O242" s="292" t="s">
        <v>3789</v>
      </c>
      <c r="P242" s="388">
        <v>0.02</v>
      </c>
      <c r="Q242" s="420"/>
      <c r="R242" s="417"/>
      <c r="S242" s="292"/>
      <c r="T242" s="292"/>
      <c r="U242" s="292"/>
      <c r="V242" s="292" t="s">
        <v>1245</v>
      </c>
      <c r="W242" s="418"/>
      <c r="X242" s="418"/>
      <c r="Y242" s="418"/>
      <c r="Z242" s="418"/>
      <c r="AA242" s="418"/>
      <c r="AB242" s="418"/>
      <c r="AC242" s="418"/>
      <c r="AD242" s="418"/>
      <c r="AE242" s="418"/>
      <c r="AF242" s="418"/>
      <c r="AG242" s="418"/>
      <c r="AH242" s="418"/>
      <c r="AI242" s="418"/>
      <c r="AJ242" s="418"/>
      <c r="AK242" s="339"/>
      <c r="AL242" s="339"/>
      <c r="AM242" s="339"/>
      <c r="AN242" s="339"/>
      <c r="AO242" s="339"/>
      <c r="AP242" s="339"/>
      <c r="AQ242" s="339"/>
      <c r="AR242" s="339"/>
      <c r="AS242" s="339"/>
      <c r="AT242" s="339"/>
      <c r="AU242" s="339"/>
      <c r="AV242" s="339"/>
      <c r="AW242" s="339"/>
      <c r="AX242" s="339"/>
      <c r="AY242" s="339"/>
      <c r="AZ242" s="339"/>
      <c r="BA242" s="339"/>
      <c r="BB242" s="339"/>
      <c r="BC242" s="339"/>
      <c r="BD242" s="339"/>
      <c r="BE242" s="339"/>
      <c r="BF242" s="339"/>
      <c r="BG242" s="339"/>
      <c r="BH242" s="339"/>
      <c r="BI242" s="339"/>
      <c r="BJ242" s="339"/>
      <c r="BK242" s="339"/>
      <c r="BL242" s="339">
        <v>61317.93</v>
      </c>
      <c r="BM242" s="339">
        <v>60471.74</v>
      </c>
      <c r="BN242" s="339">
        <v>0</v>
      </c>
      <c r="BO242" s="339">
        <v>0</v>
      </c>
      <c r="BP242" s="339">
        <v>0</v>
      </c>
      <c r="BQ242" s="339">
        <v>0</v>
      </c>
      <c r="BR242" s="339">
        <v>0</v>
      </c>
      <c r="BS242" s="110" t="e">
        <f t="array" aca="1" ref="BS242" ca="1">_xludf.XLOOKUP(D242,'PL TOTAL D0'!N:N,'PL TOTAL D0'!P:P,"")</f>
        <v>#NAME?</v>
      </c>
      <c r="BT242" s="110"/>
    </row>
    <row r="243" spans="1:72" ht="15.75" customHeight="1">
      <c r="A243" s="122" t="s">
        <v>3785</v>
      </c>
      <c r="B243" s="104" t="s">
        <v>3242</v>
      </c>
      <c r="C243" s="122" t="s">
        <v>3240</v>
      </c>
      <c r="D243" s="422">
        <v>4064668</v>
      </c>
      <c r="E243" s="293" t="s">
        <v>19</v>
      </c>
      <c r="F243" s="293" t="s">
        <v>20</v>
      </c>
      <c r="G243" s="293" t="s">
        <v>2955</v>
      </c>
      <c r="H243" s="293" t="str">
        <f>IFERROR(VLOOKUP(G243,'Cadastro de assessores'!A:B,2,FALSE),"Não Cadastrado")</f>
        <v>18836</v>
      </c>
      <c r="I243" s="293"/>
      <c r="J243" s="24" t="s">
        <v>152</v>
      </c>
      <c r="K243" s="293" t="s">
        <v>152</v>
      </c>
      <c r="L243" s="429">
        <v>44277</v>
      </c>
      <c r="M243" s="429">
        <v>44285</v>
      </c>
      <c r="N243" s="292"/>
      <c r="O243" s="292" t="s">
        <v>3795</v>
      </c>
      <c r="P243" s="388">
        <v>1.4999999999999999E-2</v>
      </c>
      <c r="Q243" s="420"/>
      <c r="R243" s="417"/>
      <c r="S243" s="292" t="str">
        <f>IF(BC243&lt;=0,"",IF(BC243&lt;=1000000,"Não Qualificado",IF(AND(BC243&gt;1000000,BC243&lt;=10000000),"Qualificado","Profissional")))</f>
        <v>Não Qualificado</v>
      </c>
      <c r="T243" s="292" t="s">
        <v>145</v>
      </c>
      <c r="U243" s="292" t="s">
        <v>4049</v>
      </c>
      <c r="V243" s="292" t="s">
        <v>886</v>
      </c>
      <c r="W243" s="418"/>
      <c r="X243" s="418"/>
      <c r="Y243" s="418"/>
      <c r="Z243" s="418"/>
      <c r="AA243" s="418"/>
      <c r="AB243" s="418"/>
      <c r="AC243" s="418"/>
      <c r="AD243" s="418"/>
      <c r="AE243" s="418"/>
      <c r="AF243" s="418"/>
      <c r="AG243" s="418"/>
      <c r="AH243" s="418"/>
      <c r="AI243" s="418"/>
      <c r="AJ243" s="418"/>
      <c r="AK243" s="339"/>
      <c r="AL243" s="339"/>
      <c r="AM243" s="339"/>
      <c r="AN243" s="339"/>
      <c r="AO243" s="339">
        <v>98261.59</v>
      </c>
      <c r="AP243" s="339">
        <v>98853.96</v>
      </c>
      <c r="AQ243" s="339">
        <v>98497.4</v>
      </c>
      <c r="AR243" s="339">
        <v>100681.89</v>
      </c>
      <c r="AS243" s="339">
        <v>100033.96</v>
      </c>
      <c r="AT243" s="339">
        <v>98278.31</v>
      </c>
      <c r="AU243" s="339">
        <v>97686.09</v>
      </c>
      <c r="AV243" s="339">
        <v>95887.01</v>
      </c>
      <c r="AW243" s="339">
        <v>93266.23</v>
      </c>
      <c r="AX243" s="339">
        <v>93288.92</v>
      </c>
      <c r="AY243" s="339">
        <v>94403.31</v>
      </c>
      <c r="AZ243" s="339">
        <v>96781.47</v>
      </c>
      <c r="BA243" s="339">
        <v>97843.76</v>
      </c>
      <c r="BB243" s="339">
        <v>100853.56</v>
      </c>
      <c r="BC243" s="339">
        <v>99591.32</v>
      </c>
      <c r="BD243" s="339">
        <v>100101.95</v>
      </c>
      <c r="BE243" s="339">
        <v>99722.93</v>
      </c>
      <c r="BF243" s="339">
        <v>101485.49</v>
      </c>
      <c r="BG243" s="339">
        <v>102223.1283</v>
      </c>
      <c r="BH243" s="339">
        <v>102490.66</v>
      </c>
      <c r="BI243" s="339">
        <v>105691.27</v>
      </c>
      <c r="BJ243" s="339">
        <v>105247.78</v>
      </c>
      <c r="BK243" s="339">
        <v>105875.92</v>
      </c>
      <c r="BL243" s="339">
        <v>107066.91</v>
      </c>
      <c r="BM243" s="339">
        <v>107828.74</v>
      </c>
      <c r="BN243" s="339">
        <v>109005.98</v>
      </c>
      <c r="BO243" s="339">
        <v>84017.58</v>
      </c>
      <c r="BP243" s="339">
        <v>84650.89</v>
      </c>
      <c r="BQ243" s="339">
        <v>85155.51</v>
      </c>
      <c r="BR243" s="339">
        <v>85852.19</v>
      </c>
      <c r="BS243" s="110" t="e">
        <f t="array" aca="1" ref="BS243" ca="1">_xludf.XLOOKUP(D243,'PL TOTAL D0'!N:N,'PL TOTAL D0'!P:P,"")</f>
        <v>#NAME?</v>
      </c>
      <c r="BT243" s="110"/>
    </row>
    <row r="244" spans="1:72" ht="15.75" customHeight="1">
      <c r="A244" s="122" t="s">
        <v>3785</v>
      </c>
      <c r="B244" s="104" t="s">
        <v>4537</v>
      </c>
      <c r="C244" s="122" t="s">
        <v>4538</v>
      </c>
      <c r="D244" s="434">
        <v>6113871</v>
      </c>
      <c r="E244" s="293" t="s">
        <v>19</v>
      </c>
      <c r="F244" s="293" t="s">
        <v>49</v>
      </c>
      <c r="G244" s="293" t="s">
        <v>328</v>
      </c>
      <c r="H244" s="293"/>
      <c r="I244" s="293"/>
      <c r="J244" s="24" t="s">
        <v>3788</v>
      </c>
      <c r="K244" s="292"/>
      <c r="L244" s="416"/>
      <c r="M244" s="416">
        <v>44916</v>
      </c>
      <c r="N244" s="292"/>
      <c r="O244" s="292" t="s">
        <v>3795</v>
      </c>
      <c r="P244" s="388">
        <v>1.4999999999999999E-2</v>
      </c>
      <c r="Q244" s="440"/>
      <c r="R244" s="417"/>
      <c r="S244" s="292"/>
      <c r="T244" s="292"/>
      <c r="U244" s="292"/>
      <c r="V244" s="292" t="s">
        <v>802</v>
      </c>
      <c r="W244" s="418"/>
      <c r="X244" s="418"/>
      <c r="Y244" s="418"/>
      <c r="Z244" s="418"/>
      <c r="AA244" s="418"/>
      <c r="AB244" s="418"/>
      <c r="AC244" s="418"/>
      <c r="AD244" s="418"/>
      <c r="AE244" s="418"/>
      <c r="AF244" s="418"/>
      <c r="AG244" s="418"/>
      <c r="AH244" s="418"/>
      <c r="AI244" s="418"/>
      <c r="AJ244" s="418"/>
      <c r="AK244" s="339"/>
      <c r="AL244" s="339"/>
      <c r="AM244" s="339"/>
      <c r="AN244" s="339"/>
      <c r="AO244" s="339"/>
      <c r="AP244" s="339"/>
      <c r="AQ244" s="339"/>
      <c r="AR244" s="339"/>
      <c r="AS244" s="339"/>
      <c r="AT244" s="339"/>
      <c r="AU244" s="339"/>
      <c r="AV244" s="339"/>
      <c r="AW244" s="339"/>
      <c r="AX244" s="339"/>
      <c r="AY244" s="339"/>
      <c r="AZ244" s="339"/>
      <c r="BA244" s="339"/>
      <c r="BB244" s="339"/>
      <c r="BC244" s="339"/>
      <c r="BD244" s="339"/>
      <c r="BE244" s="339"/>
      <c r="BF244" s="339"/>
      <c r="BG244" s="339"/>
      <c r="BH244" s="339"/>
      <c r="BI244" s="339"/>
      <c r="BJ244" s="339">
        <v>0</v>
      </c>
      <c r="BK244" s="339">
        <v>124024.55</v>
      </c>
      <c r="BL244" s="339">
        <v>125520.03</v>
      </c>
      <c r="BM244" s="339">
        <v>148030.37</v>
      </c>
      <c r="BN244" s="339">
        <v>0</v>
      </c>
      <c r="BO244" s="339">
        <v>0</v>
      </c>
      <c r="BP244" s="339">
        <v>0</v>
      </c>
      <c r="BQ244" s="339">
        <v>0</v>
      </c>
      <c r="BR244" s="339">
        <v>0</v>
      </c>
      <c r="BS244" s="110" t="e">
        <f t="array" aca="1" ref="BS244" ca="1">_xludf.XLOOKUP(D244,'PL TOTAL D0'!N:N,'PL TOTAL D0'!P:P,"")</f>
        <v>#NAME?</v>
      </c>
      <c r="BT244" s="110"/>
    </row>
    <row r="245" spans="1:72" ht="15.75" customHeight="1">
      <c r="A245" s="122" t="s">
        <v>3785</v>
      </c>
      <c r="B245" s="104" t="s">
        <v>4539</v>
      </c>
      <c r="C245" s="122" t="s">
        <v>4540</v>
      </c>
      <c r="D245" s="292">
        <v>4416789</v>
      </c>
      <c r="E245" s="293" t="s">
        <v>64</v>
      </c>
      <c r="F245" s="293" t="s">
        <v>20</v>
      </c>
      <c r="G245" s="293" t="s">
        <v>73</v>
      </c>
      <c r="H245" s="293" t="str">
        <f>IFERROR(VLOOKUP(G245,'Cadastro de assessores'!A:B,2,FALSE),"Não Cadastrado")</f>
        <v>17243</v>
      </c>
      <c r="I245" s="293"/>
      <c r="J245" s="24" t="s">
        <v>3788</v>
      </c>
      <c r="K245" s="292" t="s">
        <v>161</v>
      </c>
      <c r="L245" s="416">
        <v>44127</v>
      </c>
      <c r="M245" s="416">
        <v>44130</v>
      </c>
      <c r="N245" s="292"/>
      <c r="O245" s="292" t="s">
        <v>3795</v>
      </c>
      <c r="P245" s="388">
        <v>1.4999999999999999E-2</v>
      </c>
      <c r="Q245" s="440"/>
      <c r="R245" s="417"/>
      <c r="S245" s="292" t="str">
        <f>IF(BC245&lt;=0,"",IF(BC245&lt;=1000000,"Não Qualificado",IF(AND(BC245&gt;1000000,BC245&lt;=10000000),"Qualificado","Profissional")))</f>
        <v/>
      </c>
      <c r="T245" s="292" t="s">
        <v>145</v>
      </c>
      <c r="U245" s="292" t="s">
        <v>3816</v>
      </c>
      <c r="V245" s="292" t="s">
        <v>20</v>
      </c>
      <c r="W245" s="418" t="s">
        <v>3798</v>
      </c>
      <c r="X245" s="418" t="s">
        <v>3798</v>
      </c>
      <c r="Y245" s="418" t="s">
        <v>3798</v>
      </c>
      <c r="Z245" s="418" t="s">
        <v>3798</v>
      </c>
      <c r="AA245" s="418" t="s">
        <v>3798</v>
      </c>
      <c r="AB245" s="418" t="s">
        <v>3798</v>
      </c>
      <c r="AC245" s="418" t="s">
        <v>3798</v>
      </c>
      <c r="AD245" s="418" t="s">
        <v>3798</v>
      </c>
      <c r="AE245" s="418" t="s">
        <v>3798</v>
      </c>
      <c r="AF245" s="418" t="s">
        <v>3798</v>
      </c>
      <c r="AG245" s="418" t="s">
        <v>3798</v>
      </c>
      <c r="AH245" s="418" t="s">
        <v>3798</v>
      </c>
      <c r="AI245" s="418" t="s">
        <v>4541</v>
      </c>
      <c r="AJ245" s="418" t="s">
        <v>4542</v>
      </c>
      <c r="AK245" s="339">
        <v>268091.57</v>
      </c>
      <c r="AL245" s="339">
        <v>461862.44</v>
      </c>
      <c r="AM245" s="339">
        <v>447229.44</v>
      </c>
      <c r="AN245" s="339">
        <v>446614.57</v>
      </c>
      <c r="AO245" s="339">
        <v>460100.96</v>
      </c>
      <c r="AP245" s="339">
        <v>402497.96</v>
      </c>
      <c r="AQ245" s="339">
        <v>460963.74</v>
      </c>
      <c r="AR245" s="339">
        <v>471957.66</v>
      </c>
      <c r="AS245" s="339">
        <v>468255.07</v>
      </c>
      <c r="AT245" s="339">
        <v>459138.13</v>
      </c>
      <c r="AU245" s="339">
        <v>456422.62</v>
      </c>
      <c r="AV245" s="339">
        <v>81663.16</v>
      </c>
      <c r="AW245" s="339">
        <v>456.93</v>
      </c>
      <c r="AX245" s="339">
        <v>456.33</v>
      </c>
      <c r="AY245" s="339">
        <v>455.64</v>
      </c>
      <c r="AZ245" s="339">
        <v>455.01</v>
      </c>
      <c r="BA245" s="339">
        <v>454.44</v>
      </c>
      <c r="BB245" s="339">
        <v>453.78</v>
      </c>
      <c r="BC245" s="339">
        <v>0</v>
      </c>
      <c r="BD245" s="339">
        <v>516.66999999999996</v>
      </c>
      <c r="BE245" s="339">
        <v>516.66999999999996</v>
      </c>
      <c r="BF245" s="339">
        <v>516.67999999999995</v>
      </c>
      <c r="BG245" s="339">
        <v>516.67999999999995</v>
      </c>
      <c r="BH245" s="339">
        <v>516.67999999999995</v>
      </c>
      <c r="BI245" s="339">
        <v>516.67999999999995</v>
      </c>
      <c r="BJ245" s="339">
        <v>516.67999999999995</v>
      </c>
      <c r="BK245" s="339">
        <v>516.67999999999995</v>
      </c>
      <c r="BL245" s="339">
        <v>516.67999999999995</v>
      </c>
      <c r="BM245" s="339">
        <v>516.67999999999995</v>
      </c>
      <c r="BN245" s="339">
        <v>516.67999999999995</v>
      </c>
      <c r="BO245" s="339">
        <v>516.67999999999995</v>
      </c>
      <c r="BP245" s="339">
        <v>516.67999999999995</v>
      </c>
      <c r="BQ245" s="339">
        <v>516.67999999999995</v>
      </c>
      <c r="BR245" s="339">
        <v>516.67999999999995</v>
      </c>
      <c r="BS245" s="110" t="e">
        <f t="array" aca="1" ref="BS245" ca="1">_xludf.XLOOKUP(D245,'PL TOTAL D0'!N:N,'PL TOTAL D0'!P:P,"")</f>
        <v>#NAME?</v>
      </c>
      <c r="BT245" s="110"/>
    </row>
    <row r="246" spans="1:72" ht="15.75" customHeight="1">
      <c r="A246" s="122" t="s">
        <v>3785</v>
      </c>
      <c r="B246" s="104" t="s">
        <v>4543</v>
      </c>
      <c r="C246" s="441" t="s">
        <v>4544</v>
      </c>
      <c r="D246" s="293">
        <v>522223</v>
      </c>
      <c r="E246" s="293" t="s">
        <v>19</v>
      </c>
      <c r="F246" s="293" t="s">
        <v>49</v>
      </c>
      <c r="G246" s="293" t="s">
        <v>50</v>
      </c>
      <c r="H246" s="293">
        <f>IFERROR(VLOOKUP(G246,'Cadastro de assessores'!A:B,2,FALSE),"Não Cadastrado")</f>
        <v>12331</v>
      </c>
      <c r="I246" s="293"/>
      <c r="J246" s="24" t="s">
        <v>3788</v>
      </c>
      <c r="K246" s="292" t="s">
        <v>161</v>
      </c>
      <c r="L246" s="439" t="s">
        <v>3147</v>
      </c>
      <c r="M246" s="423">
        <v>44816</v>
      </c>
      <c r="N246" s="299"/>
      <c r="O246" s="299" t="s">
        <v>3805</v>
      </c>
      <c r="P246" s="388">
        <v>1.2E-2</v>
      </c>
      <c r="Q246" s="311" t="s">
        <v>4545</v>
      </c>
      <c r="R246" s="417"/>
      <c r="S246" s="292"/>
      <c r="T246" s="292"/>
      <c r="U246" s="292"/>
      <c r="V246" s="292" t="s">
        <v>49</v>
      </c>
      <c r="W246" s="350"/>
      <c r="X246" s="350"/>
      <c r="Y246" s="350"/>
      <c r="Z246" s="350"/>
      <c r="AA246" s="350"/>
      <c r="AB246" s="350"/>
      <c r="AC246" s="350"/>
      <c r="AD246" s="350"/>
      <c r="AE246" s="350"/>
      <c r="AF246" s="350"/>
      <c r="AG246" s="418"/>
      <c r="AH246" s="418"/>
      <c r="AI246" s="418"/>
      <c r="AJ246" s="339"/>
      <c r="AK246" s="339"/>
      <c r="AL246" s="339"/>
      <c r="AM246" s="339"/>
      <c r="AN246" s="339"/>
      <c r="AO246" s="339"/>
      <c r="AP246" s="339"/>
      <c r="AQ246" s="339"/>
      <c r="AR246" s="339"/>
      <c r="AS246" s="339"/>
      <c r="AT246" s="339"/>
      <c r="AU246" s="339"/>
      <c r="AV246" s="339"/>
      <c r="AW246" s="339"/>
      <c r="AX246" s="339"/>
      <c r="AY246" s="339"/>
      <c r="AZ246" s="339"/>
      <c r="BA246" s="339"/>
      <c r="BB246" s="339"/>
      <c r="BC246" s="339"/>
      <c r="BD246" s="339"/>
      <c r="BE246" s="339"/>
      <c r="BF246" s="339"/>
      <c r="BG246" s="339">
        <v>0</v>
      </c>
      <c r="BH246" s="339">
        <v>89437.2</v>
      </c>
      <c r="BI246" s="339">
        <v>107368.84</v>
      </c>
      <c r="BJ246" s="339">
        <v>128405.29</v>
      </c>
      <c r="BK246" s="339">
        <v>129504.1</v>
      </c>
      <c r="BL246" s="339">
        <v>381871.92</v>
      </c>
      <c r="BM246" s="339">
        <v>123545.37</v>
      </c>
      <c r="BN246" s="339">
        <v>124485.73</v>
      </c>
      <c r="BO246" s="339">
        <v>125746.53</v>
      </c>
      <c r="BP246" s="339">
        <v>127234.57</v>
      </c>
      <c r="BQ246" s="339">
        <v>128248.14</v>
      </c>
      <c r="BR246" s="339">
        <v>90789.16</v>
      </c>
      <c r="BS246" s="110" t="e">
        <f t="array" aca="1" ref="BS246" ca="1">_xludf.XLOOKUP(D246,'PL TOTAL D0'!N:N,'PL TOTAL D0'!P:P,"")</f>
        <v>#NAME?</v>
      </c>
      <c r="BT246" s="110"/>
    </row>
    <row r="247" spans="1:72" ht="15.75" customHeight="1">
      <c r="A247" s="122" t="s">
        <v>3785</v>
      </c>
      <c r="B247" s="104" t="s">
        <v>1420</v>
      </c>
      <c r="C247" s="441" t="s">
        <v>4546</v>
      </c>
      <c r="D247" s="293">
        <v>6852608</v>
      </c>
      <c r="E247" s="293" t="s">
        <v>19</v>
      </c>
      <c r="F247" s="293" t="s">
        <v>49</v>
      </c>
      <c r="G247" s="293" t="s">
        <v>328</v>
      </c>
      <c r="H247" s="293" t="str">
        <f>IFERROR(VLOOKUP(G247,'Cadastro de assessores'!A:B,2,FALSE),"Não Cadastrado")</f>
        <v>18009</v>
      </c>
      <c r="I247" s="293"/>
      <c r="J247" s="24" t="s">
        <v>3788</v>
      </c>
      <c r="K247" s="293" t="s">
        <v>152</v>
      </c>
      <c r="L247" s="423">
        <v>44736</v>
      </c>
      <c r="M247" s="423">
        <v>44739</v>
      </c>
      <c r="N247" s="299"/>
      <c r="O247" s="299" t="s">
        <v>3802</v>
      </c>
      <c r="P247" s="388">
        <v>7.0000000000000001E-3</v>
      </c>
      <c r="Q247" s="167" t="s">
        <v>4547</v>
      </c>
      <c r="R247" s="417"/>
      <c r="S247" s="292" t="str">
        <f t="shared" ref="S247:S256" si="24">IF(BC247&lt;=0,"",IF(BC247&lt;=1000000,"Não Qualificado",IF(AND(BC247&gt;1000000,BC247&lt;=10000000),"Qualificado","Profissional")))</f>
        <v>Não Qualificado</v>
      </c>
      <c r="T247" s="292" t="s">
        <v>145</v>
      </c>
      <c r="U247" s="292" t="s">
        <v>3967</v>
      </c>
      <c r="V247" s="292" t="s">
        <v>49</v>
      </c>
      <c r="W247" s="350"/>
      <c r="X247" s="350"/>
      <c r="Y247" s="350"/>
      <c r="Z247" s="350"/>
      <c r="AA247" s="350"/>
      <c r="AB247" s="350"/>
      <c r="AC247" s="350"/>
      <c r="AD247" s="350"/>
      <c r="AE247" s="350"/>
      <c r="AF247" s="350"/>
      <c r="AG247" s="418"/>
      <c r="AH247" s="418"/>
      <c r="AI247" s="418"/>
      <c r="AJ247" s="339"/>
      <c r="AK247" s="339"/>
      <c r="AL247" s="339"/>
      <c r="AM247" s="339"/>
      <c r="AN247" s="339"/>
      <c r="AO247" s="339"/>
      <c r="AP247" s="339"/>
      <c r="AQ247" s="339"/>
      <c r="AR247" s="339"/>
      <c r="AS247" s="339"/>
      <c r="AT247" s="339"/>
      <c r="AU247" s="339"/>
      <c r="AV247" s="339"/>
      <c r="AW247" s="339"/>
      <c r="AX247" s="339"/>
      <c r="AY247" s="339"/>
      <c r="AZ247" s="339"/>
      <c r="BA247" s="339">
        <v>0</v>
      </c>
      <c r="BB247" s="339">
        <v>0</v>
      </c>
      <c r="BC247" s="339">
        <v>56786.33</v>
      </c>
      <c r="BD247" s="339" t="s">
        <v>2932</v>
      </c>
      <c r="BE247" s="339">
        <v>300172.43</v>
      </c>
      <c r="BF247" s="339">
        <v>403955.31</v>
      </c>
      <c r="BG247" s="339">
        <v>407641.8419</v>
      </c>
      <c r="BH247" s="339">
        <v>410925.36</v>
      </c>
      <c r="BI247" s="339">
        <v>210840.95999999999</v>
      </c>
      <c r="BJ247" s="339">
        <v>212748</v>
      </c>
      <c r="BK247" s="339">
        <v>214611.3</v>
      </c>
      <c r="BL247" s="339">
        <v>4705.76</v>
      </c>
      <c r="BM247" s="339">
        <v>105.25</v>
      </c>
      <c r="BN247" s="339">
        <v>105.25</v>
      </c>
      <c r="BO247" s="339">
        <v>0</v>
      </c>
      <c r="BP247" s="339">
        <v>0</v>
      </c>
      <c r="BQ247" s="339">
        <v>0</v>
      </c>
      <c r="BR247" s="339">
        <v>0</v>
      </c>
      <c r="BS247" s="110" t="e">
        <f t="array" aca="1" ref="BS247" ca="1">_xludf.XLOOKUP(D247,'PL TOTAL D0'!N:N,'PL TOTAL D0'!P:P,"")</f>
        <v>#NAME?</v>
      </c>
      <c r="BT247" s="110"/>
    </row>
    <row r="248" spans="1:72" ht="15.75" customHeight="1">
      <c r="A248" s="122" t="s">
        <v>3785</v>
      </c>
      <c r="B248" s="104" t="s">
        <v>3256</v>
      </c>
      <c r="C248" s="122" t="s">
        <v>3255</v>
      </c>
      <c r="D248" s="293">
        <v>4898136</v>
      </c>
      <c r="E248" s="293" t="s">
        <v>2923</v>
      </c>
      <c r="F248" s="293" t="s">
        <v>20</v>
      </c>
      <c r="G248" s="293" t="s">
        <v>2923</v>
      </c>
      <c r="H248" s="293" t="str">
        <f>IFERROR(VLOOKUP(G248,'Cadastro de assessores'!A:B,2,FALSE),"Não Cadastrado")</f>
        <v>18986</v>
      </c>
      <c r="I248" s="293"/>
      <c r="J248" s="24" t="s">
        <v>3788</v>
      </c>
      <c r="K248" s="293" t="s">
        <v>152</v>
      </c>
      <c r="L248" s="415">
        <v>44257</v>
      </c>
      <c r="M248" s="415">
        <v>44263</v>
      </c>
      <c r="N248" s="292"/>
      <c r="O248" s="292" t="s">
        <v>3805</v>
      </c>
      <c r="P248" s="388">
        <v>1.2E-2</v>
      </c>
      <c r="Q248" s="420"/>
      <c r="R248" s="417"/>
      <c r="S248" s="292" t="str">
        <f t="shared" si="24"/>
        <v>Não Qualificado</v>
      </c>
      <c r="T248" s="292" t="s">
        <v>145</v>
      </c>
      <c r="U248" s="292" t="s">
        <v>3797</v>
      </c>
      <c r="V248" s="292" t="s">
        <v>20</v>
      </c>
      <c r="W248" s="418"/>
      <c r="X248" s="418"/>
      <c r="Y248" s="418"/>
      <c r="Z248" s="418"/>
      <c r="AA248" s="418"/>
      <c r="AB248" s="418"/>
      <c r="AC248" s="418"/>
      <c r="AD248" s="418"/>
      <c r="AE248" s="418"/>
      <c r="AF248" s="418"/>
      <c r="AG248" s="418"/>
      <c r="AH248" s="418"/>
      <c r="AI248" s="418"/>
      <c r="AJ248" s="418"/>
      <c r="AK248" s="339"/>
      <c r="AL248" s="339"/>
      <c r="AM248" s="339"/>
      <c r="AN248" s="339">
        <v>213859.75</v>
      </c>
      <c r="AO248" s="339">
        <v>227891.33</v>
      </c>
      <c r="AP248" s="339">
        <v>229004.28</v>
      </c>
      <c r="AQ248" s="339">
        <v>228581.73</v>
      </c>
      <c r="AR248" s="339">
        <v>231621.53</v>
      </c>
      <c r="AS248" s="339">
        <v>251196.5</v>
      </c>
      <c r="AT248" s="339">
        <v>298612.63</v>
      </c>
      <c r="AU248" s="339">
        <v>298243.32</v>
      </c>
      <c r="AV248" s="339">
        <v>296661.82</v>
      </c>
      <c r="AW248" s="339">
        <v>192188.11</v>
      </c>
      <c r="AX248" s="339">
        <v>103681.55</v>
      </c>
      <c r="AY248" s="339">
        <v>105715.15</v>
      </c>
      <c r="AZ248" s="339">
        <v>108456.45</v>
      </c>
      <c r="BA248" s="339">
        <v>109216.83</v>
      </c>
      <c r="BB248" s="339">
        <v>111903.92</v>
      </c>
      <c r="BC248" s="339">
        <v>305046.32</v>
      </c>
      <c r="BD248" s="339">
        <v>112098.12</v>
      </c>
      <c r="BE248" s="339">
        <v>112245.85</v>
      </c>
      <c r="BF248" s="339">
        <v>254771.79</v>
      </c>
      <c r="BG248" s="339">
        <v>256606.20129999999</v>
      </c>
      <c r="BH248" s="339">
        <v>258293.55</v>
      </c>
      <c r="BI248" s="339">
        <v>262919.7</v>
      </c>
      <c r="BJ248" s="339">
        <v>263647.90000000002</v>
      </c>
      <c r="BK248" s="339">
        <v>265856.44</v>
      </c>
      <c r="BL248" s="339">
        <v>268870.87</v>
      </c>
      <c r="BM248" s="339">
        <v>270873.23</v>
      </c>
      <c r="BN248" s="339">
        <v>213723.32</v>
      </c>
      <c r="BO248" s="339">
        <v>215768.32000000001</v>
      </c>
      <c r="BP248" s="339">
        <v>216330.79</v>
      </c>
      <c r="BQ248" s="339">
        <v>0</v>
      </c>
      <c r="BR248" s="339">
        <v>0</v>
      </c>
      <c r="BS248" s="110" t="e">
        <f t="array" aca="1" ref="BS248" ca="1">_xludf.XLOOKUP(D248,'PL TOTAL D0'!N:N,'PL TOTAL D0'!P:P,"")</f>
        <v>#NAME?</v>
      </c>
      <c r="BT248" s="110"/>
    </row>
    <row r="249" spans="1:72" ht="15.75" customHeight="1">
      <c r="A249" s="122" t="s">
        <v>3785</v>
      </c>
      <c r="B249" s="104" t="s">
        <v>1441</v>
      </c>
      <c r="C249" s="441" t="s">
        <v>4548</v>
      </c>
      <c r="D249" s="422">
        <v>447631</v>
      </c>
      <c r="E249" s="293" t="s">
        <v>19</v>
      </c>
      <c r="F249" s="293" t="s">
        <v>49</v>
      </c>
      <c r="G249" s="293" t="s">
        <v>166</v>
      </c>
      <c r="H249" s="293" t="str">
        <f>IFERROR(VLOOKUP(G249,'Cadastro de assessores'!A:B,2,FALSE),"Não Cadastrado")</f>
        <v>18890</v>
      </c>
      <c r="I249" s="293"/>
      <c r="J249" s="24" t="s">
        <v>3788</v>
      </c>
      <c r="K249" s="293" t="s">
        <v>152</v>
      </c>
      <c r="L249" s="391">
        <v>44476</v>
      </c>
      <c r="M249" s="391">
        <v>44473</v>
      </c>
      <c r="N249" s="299"/>
      <c r="O249" s="299" t="s">
        <v>3795</v>
      </c>
      <c r="P249" s="388">
        <v>1.4999999999999999E-2</v>
      </c>
      <c r="Q249" s="167" t="s">
        <v>3908</v>
      </c>
      <c r="R249" s="417"/>
      <c r="S249" s="292" t="str">
        <f t="shared" si="24"/>
        <v/>
      </c>
      <c r="T249" s="292" t="s">
        <v>145</v>
      </c>
      <c r="U249" s="292" t="s">
        <v>3967</v>
      </c>
      <c r="V249" s="292" t="s">
        <v>49</v>
      </c>
      <c r="W249" s="350"/>
      <c r="X249" s="350"/>
      <c r="Y249" s="350"/>
      <c r="Z249" s="350"/>
      <c r="AA249" s="350"/>
      <c r="AB249" s="350"/>
      <c r="AC249" s="350"/>
      <c r="AD249" s="350"/>
      <c r="AE249" s="350"/>
      <c r="AF249" s="350"/>
      <c r="AG249" s="418"/>
      <c r="AH249" s="418"/>
      <c r="AI249" s="418"/>
      <c r="AJ249" s="339"/>
      <c r="AK249" s="339"/>
      <c r="AL249" s="339"/>
      <c r="AM249" s="339"/>
      <c r="AN249" s="339"/>
      <c r="AO249" s="339"/>
      <c r="AP249" s="339"/>
      <c r="AQ249" s="339"/>
      <c r="AR249" s="339"/>
      <c r="AS249" s="339"/>
      <c r="AT249" s="339"/>
      <c r="AU249" s="350"/>
      <c r="AV249" s="339"/>
      <c r="AW249" s="339">
        <v>75208.53</v>
      </c>
      <c r="AX249" s="339">
        <v>75386.11</v>
      </c>
      <c r="AY249" s="339">
        <v>76542.64</v>
      </c>
      <c r="AZ249" s="339">
        <v>80269.210000000006</v>
      </c>
      <c r="BA249" s="339">
        <v>83636.81</v>
      </c>
      <c r="BB249" s="339">
        <v>87786.67</v>
      </c>
      <c r="BC249" s="339">
        <v>0</v>
      </c>
      <c r="BD249" s="339">
        <v>95806.68</v>
      </c>
      <c r="BE249" s="339">
        <v>97821.26</v>
      </c>
      <c r="BF249" s="339">
        <v>100812.05</v>
      </c>
      <c r="BG249" s="339">
        <v>103600.32580000001</v>
      </c>
      <c r="BH249" s="339">
        <v>107991.71</v>
      </c>
      <c r="BI249" s="339">
        <v>114842.49</v>
      </c>
      <c r="BJ249" s="339">
        <v>117385.72</v>
      </c>
      <c r="BK249" s="339">
        <v>121370.72</v>
      </c>
      <c r="BL249" s="339">
        <v>24695.4</v>
      </c>
      <c r="BM249" s="339">
        <v>108.74</v>
      </c>
      <c r="BN249" s="339">
        <v>14.15</v>
      </c>
      <c r="BO249" s="339">
        <v>74.58</v>
      </c>
      <c r="BP249" s="339">
        <v>75.180000000000007</v>
      </c>
      <c r="BQ249" s="339">
        <v>75.55</v>
      </c>
      <c r="BR249" s="339">
        <v>76.13</v>
      </c>
      <c r="BS249" s="110" t="e">
        <f t="array" aca="1" ref="BS249" ca="1">_xludf.XLOOKUP(D249,'PL TOTAL D0'!N:N,'PL TOTAL D0'!P:P,"")</f>
        <v>#NAME?</v>
      </c>
      <c r="BT249" s="110"/>
    </row>
    <row r="250" spans="1:72" ht="15.75" customHeight="1">
      <c r="A250" s="122" t="s">
        <v>3785</v>
      </c>
      <c r="B250" s="104" t="s">
        <v>4549</v>
      </c>
      <c r="C250" s="122" t="s">
        <v>4550</v>
      </c>
      <c r="D250" s="292">
        <v>4396977</v>
      </c>
      <c r="E250" s="293" t="s">
        <v>19</v>
      </c>
      <c r="F250" s="293" t="s">
        <v>20</v>
      </c>
      <c r="G250" s="293" t="s">
        <v>2955</v>
      </c>
      <c r="H250" s="293" t="str">
        <f>IFERROR(VLOOKUP(G250,'Cadastro de assessores'!A:B,2,FALSE),"Não Cadastrado")</f>
        <v>18836</v>
      </c>
      <c r="I250" s="293"/>
      <c r="J250" s="24" t="s">
        <v>3788</v>
      </c>
      <c r="K250" s="292" t="s">
        <v>161</v>
      </c>
      <c r="L250" s="415">
        <v>44078</v>
      </c>
      <c r="M250" s="415">
        <v>44085</v>
      </c>
      <c r="N250" s="292"/>
      <c r="O250" s="292" t="s">
        <v>3789</v>
      </c>
      <c r="P250" s="388">
        <v>0.02</v>
      </c>
      <c r="Q250" s="420"/>
      <c r="R250" s="417"/>
      <c r="S250" s="292" t="str">
        <f t="shared" si="24"/>
        <v>Não Qualificado</v>
      </c>
      <c r="T250" s="292" t="s">
        <v>145</v>
      </c>
      <c r="U250" s="292" t="s">
        <v>4551</v>
      </c>
      <c r="V250" s="292" t="s">
        <v>60</v>
      </c>
      <c r="W250" s="418" t="s">
        <v>3798</v>
      </c>
      <c r="X250" s="418" t="s">
        <v>3798</v>
      </c>
      <c r="Y250" s="418" t="s">
        <v>3798</v>
      </c>
      <c r="Z250" s="418" t="s">
        <v>3798</v>
      </c>
      <c r="AA250" s="418" t="s">
        <v>3798</v>
      </c>
      <c r="AB250" s="418" t="s">
        <v>3798</v>
      </c>
      <c r="AC250" s="418" t="s">
        <v>3798</v>
      </c>
      <c r="AD250" s="418" t="s">
        <v>3798</v>
      </c>
      <c r="AE250" s="418" t="s">
        <v>3798</v>
      </c>
      <c r="AF250" s="418" t="s">
        <v>3798</v>
      </c>
      <c r="AG250" s="418" t="s">
        <v>3798</v>
      </c>
      <c r="AH250" s="418" t="s">
        <v>4552</v>
      </c>
      <c r="AI250" s="418" t="s">
        <v>4553</v>
      </c>
      <c r="AJ250" s="418" t="s">
        <v>4554</v>
      </c>
      <c r="AK250" s="339">
        <v>108361.82</v>
      </c>
      <c r="AL250" s="339">
        <v>106027.27</v>
      </c>
      <c r="AM250" s="339">
        <v>99507.34</v>
      </c>
      <c r="AN250" s="339">
        <v>99201.75</v>
      </c>
      <c r="AO250" s="339">
        <v>103250.27</v>
      </c>
      <c r="AP250" s="339">
        <v>103942.39</v>
      </c>
      <c r="AQ250" s="339">
        <v>103419.34</v>
      </c>
      <c r="AR250" s="339">
        <v>106481.19</v>
      </c>
      <c r="AS250" s="339">
        <v>916.79</v>
      </c>
      <c r="AT250" s="339">
        <v>915.25</v>
      </c>
      <c r="AU250" s="339">
        <v>913.71</v>
      </c>
      <c r="AV250" s="339">
        <v>331.02</v>
      </c>
      <c r="AW250" s="339">
        <v>910.84</v>
      </c>
      <c r="AX250" s="339">
        <v>909.44</v>
      </c>
      <c r="AY250" s="339">
        <v>907.83</v>
      </c>
      <c r="AZ250" s="339">
        <v>906.36</v>
      </c>
      <c r="BA250" s="339">
        <v>905.03</v>
      </c>
      <c r="BB250" s="339">
        <v>903.49</v>
      </c>
      <c r="BC250" s="339">
        <v>138438.39000000001</v>
      </c>
      <c r="BD250" s="339">
        <v>666.26</v>
      </c>
      <c r="BE250" s="339">
        <v>671.51</v>
      </c>
      <c r="BF250" s="339">
        <v>676.37</v>
      </c>
      <c r="BG250" s="339">
        <v>682.24</v>
      </c>
      <c r="BH250" s="339">
        <v>687.4</v>
      </c>
      <c r="BI250" s="339">
        <v>693.24</v>
      </c>
      <c r="BJ250" s="339">
        <v>707.94</v>
      </c>
      <c r="BK250" s="339">
        <v>713.13</v>
      </c>
      <c r="BL250" s="339">
        <v>719.79</v>
      </c>
      <c r="BM250" s="339">
        <v>724.86</v>
      </c>
      <c r="BN250" s="339">
        <v>726.96</v>
      </c>
      <c r="BO250" s="339">
        <v>726.96</v>
      </c>
      <c r="BP250" s="339">
        <v>726.96</v>
      </c>
      <c r="BQ250" s="339">
        <v>726.96</v>
      </c>
      <c r="BR250" s="339">
        <v>726.96</v>
      </c>
      <c r="BS250" s="110" t="e">
        <f t="array" aca="1" ref="BS250" ca="1">_xludf.XLOOKUP(D250,'PL TOTAL D0'!N:N,'PL TOTAL D0'!P:P,"")</f>
        <v>#NAME?</v>
      </c>
      <c r="BT250" s="110"/>
    </row>
    <row r="251" spans="1:72" ht="15.75" customHeight="1">
      <c r="A251" s="122" t="s">
        <v>3785</v>
      </c>
      <c r="B251" s="104" t="s">
        <v>1445</v>
      </c>
      <c r="C251" s="122" t="s">
        <v>1442</v>
      </c>
      <c r="D251" s="292">
        <v>4551730</v>
      </c>
      <c r="E251" s="293" t="s">
        <v>19</v>
      </c>
      <c r="F251" s="293" t="s">
        <v>20</v>
      </c>
      <c r="G251" s="293" t="s">
        <v>372</v>
      </c>
      <c r="H251" s="293">
        <f>IFERROR(VLOOKUP(G251,'Cadastro de assessores'!A:B,2,FALSE),"Não Cadastrado")</f>
        <v>12359</v>
      </c>
      <c r="I251" s="293"/>
      <c r="J251" s="24" t="s">
        <v>3788</v>
      </c>
      <c r="K251" s="293" t="s">
        <v>152</v>
      </c>
      <c r="L251" s="415">
        <v>44138</v>
      </c>
      <c r="M251" s="415">
        <v>44138</v>
      </c>
      <c r="N251" s="292"/>
      <c r="O251" s="292" t="s">
        <v>3805</v>
      </c>
      <c r="P251" s="388">
        <v>1.2E-2</v>
      </c>
      <c r="Q251" s="420" t="s">
        <v>3900</v>
      </c>
      <c r="R251" s="417"/>
      <c r="S251" s="292" t="str">
        <f t="shared" si="24"/>
        <v>Não Qualificado</v>
      </c>
      <c r="T251" s="292" t="s">
        <v>145</v>
      </c>
      <c r="U251" s="292" t="s">
        <v>3991</v>
      </c>
      <c r="V251" s="292" t="s">
        <v>20</v>
      </c>
      <c r="W251" s="418" t="s">
        <v>3798</v>
      </c>
      <c r="X251" s="418" t="s">
        <v>3798</v>
      </c>
      <c r="Y251" s="418" t="s">
        <v>3798</v>
      </c>
      <c r="Z251" s="418" t="s">
        <v>3798</v>
      </c>
      <c r="AA251" s="418" t="s">
        <v>3798</v>
      </c>
      <c r="AB251" s="418" t="s">
        <v>3798</v>
      </c>
      <c r="AC251" s="418" t="s">
        <v>3798</v>
      </c>
      <c r="AD251" s="418" t="s">
        <v>3798</v>
      </c>
      <c r="AE251" s="418" t="s">
        <v>3798</v>
      </c>
      <c r="AF251" s="418" t="s">
        <v>3798</v>
      </c>
      <c r="AG251" s="418" t="s">
        <v>3798</v>
      </c>
      <c r="AH251" s="418" t="s">
        <v>3798</v>
      </c>
      <c r="AI251" s="418" t="s">
        <v>4555</v>
      </c>
      <c r="AJ251" s="418" t="s">
        <v>4556</v>
      </c>
      <c r="AK251" s="339">
        <v>104325.2</v>
      </c>
      <c r="AL251" s="339">
        <v>103528.66</v>
      </c>
      <c r="AM251" s="339">
        <v>101829.66</v>
      </c>
      <c r="AN251" s="339">
        <v>101641.3</v>
      </c>
      <c r="AO251" s="339">
        <v>101946.93</v>
      </c>
      <c r="AP251" s="339">
        <v>103118.12</v>
      </c>
      <c r="AQ251" s="339">
        <v>102889.13</v>
      </c>
      <c r="AR251" s="339">
        <v>104117.18</v>
      </c>
      <c r="AS251" s="339">
        <v>103819.22</v>
      </c>
      <c r="AT251" s="339">
        <v>102900.17</v>
      </c>
      <c r="AU251" s="339">
        <v>102724.46</v>
      </c>
      <c r="AV251" s="339">
        <v>101911.75</v>
      </c>
      <c r="AW251" s="339">
        <v>100103.84</v>
      </c>
      <c r="AX251" s="339">
        <v>100693.53</v>
      </c>
      <c r="AY251" s="339">
        <v>101810.18</v>
      </c>
      <c r="AZ251" s="339">
        <v>102941.52</v>
      </c>
      <c r="BA251" s="339">
        <v>103727.51</v>
      </c>
      <c r="BB251" s="339">
        <v>106374.41</v>
      </c>
      <c r="BC251" s="339">
        <v>131.88</v>
      </c>
      <c r="BD251" s="339">
        <v>74690.009999999995</v>
      </c>
      <c r="BE251" s="339">
        <v>28868.39</v>
      </c>
      <c r="BF251" s="339">
        <v>29350.47</v>
      </c>
      <c r="BG251" s="339">
        <v>24467.26</v>
      </c>
      <c r="BH251" s="339">
        <v>4657.47</v>
      </c>
      <c r="BI251" s="339">
        <v>4686.49</v>
      </c>
      <c r="BJ251" s="339">
        <v>4660.13</v>
      </c>
      <c r="BK251" s="339">
        <v>4696.13</v>
      </c>
      <c r="BL251" s="339">
        <v>4846.3900000000003</v>
      </c>
      <c r="BM251" s="339">
        <v>4911.3599999999997</v>
      </c>
      <c r="BN251" s="339">
        <v>0</v>
      </c>
      <c r="BO251" s="339">
        <v>0</v>
      </c>
      <c r="BP251" s="339">
        <v>0</v>
      </c>
      <c r="BQ251" s="339">
        <v>0</v>
      </c>
      <c r="BR251" s="339">
        <v>0</v>
      </c>
      <c r="BS251" s="110" t="e">
        <f t="array" aca="1" ref="BS251" ca="1">_xludf.XLOOKUP(D251,'PL TOTAL D0'!N:N,'PL TOTAL D0'!P:P,"")</f>
        <v>#NAME?</v>
      </c>
      <c r="BT251" s="110"/>
    </row>
    <row r="252" spans="1:72" ht="15.75" customHeight="1">
      <c r="A252" s="122" t="s">
        <v>3785</v>
      </c>
      <c r="B252" s="104" t="s">
        <v>4557</v>
      </c>
      <c r="C252" s="122" t="s">
        <v>239</v>
      </c>
      <c r="D252" s="292">
        <v>4416642</v>
      </c>
      <c r="E252" s="293" t="s">
        <v>64</v>
      </c>
      <c r="F252" s="293" t="s">
        <v>20</v>
      </c>
      <c r="G252" s="293" t="s">
        <v>73</v>
      </c>
      <c r="H252" s="293" t="str">
        <f>IFERROR(VLOOKUP(G252,'Cadastro de assessores'!A:B,2,FALSE),"Não Cadastrado")</f>
        <v>17243</v>
      </c>
      <c r="I252" s="293"/>
      <c r="J252" s="24" t="s">
        <v>3788</v>
      </c>
      <c r="K252" s="292" t="s">
        <v>152</v>
      </c>
      <c r="L252" s="415">
        <v>44069</v>
      </c>
      <c r="M252" s="415">
        <v>44074</v>
      </c>
      <c r="N252" s="292"/>
      <c r="O252" s="292" t="s">
        <v>3789</v>
      </c>
      <c r="P252" s="388">
        <v>0.02</v>
      </c>
      <c r="Q252" s="420"/>
      <c r="R252" s="417"/>
      <c r="S252" s="292" t="str">
        <f t="shared" si="24"/>
        <v>Não Qualificado</v>
      </c>
      <c r="T252" s="292" t="s">
        <v>145</v>
      </c>
      <c r="U252" s="292" t="s">
        <v>3816</v>
      </c>
      <c r="V252" s="292" t="s">
        <v>20</v>
      </c>
      <c r="W252" s="418" t="s">
        <v>3798</v>
      </c>
      <c r="X252" s="418" t="s">
        <v>3798</v>
      </c>
      <c r="Y252" s="418" t="s">
        <v>3798</v>
      </c>
      <c r="Z252" s="418" t="s">
        <v>3798</v>
      </c>
      <c r="AA252" s="418" t="s">
        <v>3798</v>
      </c>
      <c r="AB252" s="418" t="s">
        <v>3798</v>
      </c>
      <c r="AC252" s="418" t="s">
        <v>3798</v>
      </c>
      <c r="AD252" s="418" t="s">
        <v>3798</v>
      </c>
      <c r="AE252" s="418" t="s">
        <v>3798</v>
      </c>
      <c r="AF252" s="418" t="s">
        <v>3798</v>
      </c>
      <c r="AG252" s="418" t="s">
        <v>4558</v>
      </c>
      <c r="AH252" s="418" t="s">
        <v>4559</v>
      </c>
      <c r="AI252" s="418" t="s">
        <v>4560</v>
      </c>
      <c r="AJ252" s="418" t="s">
        <v>4561</v>
      </c>
      <c r="AK252" s="339">
        <v>316805.15999999997</v>
      </c>
      <c r="AL252" s="339">
        <v>320204.33</v>
      </c>
      <c r="AM252" s="339">
        <v>292250.15000000002</v>
      </c>
      <c r="AN252" s="339">
        <v>290704.92</v>
      </c>
      <c r="AO252" s="339">
        <v>303938.2</v>
      </c>
      <c r="AP252" s="339">
        <v>306405.89</v>
      </c>
      <c r="AQ252" s="339">
        <v>304462.65999999997</v>
      </c>
      <c r="AR252" s="339">
        <v>315061.71000000002</v>
      </c>
      <c r="AS252" s="339">
        <v>309980.21000000002</v>
      </c>
      <c r="AT252" s="339">
        <v>300664.49</v>
      </c>
      <c r="AU252" s="339">
        <v>298597.45</v>
      </c>
      <c r="AV252" s="339">
        <v>289212.87</v>
      </c>
      <c r="AW252" s="339">
        <v>274144.36</v>
      </c>
      <c r="AX252" s="339">
        <v>273280.43</v>
      </c>
      <c r="AY252" s="339">
        <v>277827.08</v>
      </c>
      <c r="AZ252" s="339">
        <v>290302.11</v>
      </c>
      <c r="BA252" s="339">
        <v>292716.25</v>
      </c>
      <c r="BB252" s="339">
        <v>350.96</v>
      </c>
      <c r="BC252" s="339">
        <v>3815.39</v>
      </c>
      <c r="BD252" s="339">
        <v>376.99</v>
      </c>
      <c r="BE252" s="339">
        <v>376.99</v>
      </c>
      <c r="BF252" s="339">
        <v>377</v>
      </c>
      <c r="BG252" s="339">
        <v>377</v>
      </c>
      <c r="BH252" s="339">
        <v>377</v>
      </c>
      <c r="BI252" s="339">
        <v>377</v>
      </c>
      <c r="BJ252" s="339">
        <v>377</v>
      </c>
      <c r="BK252" s="339">
        <v>377</v>
      </c>
      <c r="BL252" s="339">
        <v>377</v>
      </c>
      <c r="BM252" s="339">
        <v>377</v>
      </c>
      <c r="BN252" s="339">
        <v>377</v>
      </c>
      <c r="BO252" s="339">
        <v>377</v>
      </c>
      <c r="BP252" s="339">
        <v>377</v>
      </c>
      <c r="BQ252" s="339">
        <v>377</v>
      </c>
      <c r="BR252" s="339">
        <v>377</v>
      </c>
      <c r="BS252" s="110" t="e">
        <f t="array" aca="1" ref="BS252" ca="1">_xludf.XLOOKUP(D252,'PL TOTAL D0'!N:N,'PL TOTAL D0'!P:P,"")</f>
        <v>#NAME?</v>
      </c>
      <c r="BT252" s="110"/>
    </row>
    <row r="253" spans="1:72" ht="15.75" customHeight="1">
      <c r="A253" s="122" t="s">
        <v>3785</v>
      </c>
      <c r="B253" s="104" t="s">
        <v>1451</v>
      </c>
      <c r="C253" s="122" t="s">
        <v>4562</v>
      </c>
      <c r="D253" s="292">
        <v>4413569</v>
      </c>
      <c r="E253" s="293" t="s">
        <v>64</v>
      </c>
      <c r="F253" s="293" t="s">
        <v>20</v>
      </c>
      <c r="G253" s="293" t="s">
        <v>3973</v>
      </c>
      <c r="H253" s="293" t="str">
        <f>IFERROR(VLOOKUP(G253,'Cadastro de assessores'!A:B,2,FALSE),"Não Cadastrado")</f>
        <v>16459</v>
      </c>
      <c r="I253" s="293"/>
      <c r="J253" s="24" t="s">
        <v>3788</v>
      </c>
      <c r="K253" s="293" t="s">
        <v>152</v>
      </c>
      <c r="L253" s="415">
        <v>44070</v>
      </c>
      <c r="M253" s="415">
        <v>44075</v>
      </c>
      <c r="N253" s="299"/>
      <c r="O253" s="299" t="s">
        <v>3842</v>
      </c>
      <c r="P253" s="388">
        <v>1.4999999999999999E-2</v>
      </c>
      <c r="Q253" s="420" t="s">
        <v>4563</v>
      </c>
      <c r="R253" s="417"/>
      <c r="S253" s="292" t="str">
        <f t="shared" si="24"/>
        <v/>
      </c>
      <c r="T253" s="292" t="s">
        <v>145</v>
      </c>
      <c r="U253" s="292" t="s">
        <v>3797</v>
      </c>
      <c r="V253" s="292" t="s">
        <v>20</v>
      </c>
      <c r="W253" s="418" t="s">
        <v>3798</v>
      </c>
      <c r="X253" s="418" t="s">
        <v>3798</v>
      </c>
      <c r="Y253" s="418" t="s">
        <v>3798</v>
      </c>
      <c r="Z253" s="418" t="s">
        <v>3798</v>
      </c>
      <c r="AA253" s="418" t="s">
        <v>3798</v>
      </c>
      <c r="AB253" s="418" t="s">
        <v>3798</v>
      </c>
      <c r="AC253" s="418" t="s">
        <v>3798</v>
      </c>
      <c r="AD253" s="418" t="s">
        <v>3798</v>
      </c>
      <c r="AE253" s="418" t="s">
        <v>3798</v>
      </c>
      <c r="AF253" s="418" t="s">
        <v>3798</v>
      </c>
      <c r="AG253" s="418" t="s">
        <v>4564</v>
      </c>
      <c r="AH253" s="418" t="s">
        <v>4565</v>
      </c>
      <c r="AI253" s="418" t="s">
        <v>4566</v>
      </c>
      <c r="AJ253" s="418" t="s">
        <v>4567</v>
      </c>
      <c r="AK253" s="339">
        <v>326603.8</v>
      </c>
      <c r="AL253" s="339">
        <v>320724.36</v>
      </c>
      <c r="AM253" s="339">
        <v>505636.79</v>
      </c>
      <c r="AN253" s="339">
        <v>504844.17</v>
      </c>
      <c r="AO253" s="339">
        <v>521223.31</v>
      </c>
      <c r="AP253" s="339">
        <v>522952.55</v>
      </c>
      <c r="AQ253" s="339">
        <v>524754.6</v>
      </c>
      <c r="AR253" s="339">
        <v>516944.59</v>
      </c>
      <c r="AS253" s="339">
        <v>511639.98</v>
      </c>
      <c r="AT253" s="339">
        <v>521775.51</v>
      </c>
      <c r="AU253" s="339">
        <v>508024.5</v>
      </c>
      <c r="AV253" s="339">
        <v>504018.63</v>
      </c>
      <c r="AW253" s="339">
        <v>497706.63</v>
      </c>
      <c r="AX253" s="339">
        <v>472335.95</v>
      </c>
      <c r="AY253" s="339">
        <v>503396</v>
      </c>
      <c r="AZ253" s="339">
        <v>505067.39</v>
      </c>
      <c r="BA253" s="339">
        <v>505212.17</v>
      </c>
      <c r="BB253" s="339">
        <v>510319.17</v>
      </c>
      <c r="BC253" s="339">
        <v>0</v>
      </c>
      <c r="BD253" s="339">
        <v>514937.94</v>
      </c>
      <c r="BE253" s="339">
        <v>515064.75</v>
      </c>
      <c r="BF253" s="339">
        <v>521460.78</v>
      </c>
      <c r="BG253" s="339">
        <v>535165.74</v>
      </c>
      <c r="BH253" s="339">
        <v>534559.59</v>
      </c>
      <c r="BI253" s="339">
        <v>539507.31000000006</v>
      </c>
      <c r="BJ253" s="339">
        <v>523437.45</v>
      </c>
      <c r="BK253" s="339">
        <v>521955</v>
      </c>
      <c r="BL253" s="339">
        <v>524345.02</v>
      </c>
      <c r="BM253" s="339">
        <v>521396.21</v>
      </c>
      <c r="BN253" s="339">
        <v>481968.84</v>
      </c>
      <c r="BO253" s="339">
        <v>495760.99</v>
      </c>
      <c r="BP253" s="339">
        <v>0</v>
      </c>
      <c r="BQ253" s="339">
        <v>0</v>
      </c>
      <c r="BR253" s="339">
        <v>0</v>
      </c>
      <c r="BS253" s="110" t="e">
        <f t="array" aca="1" ref="BS253" ca="1">_xludf.XLOOKUP(D253,'PL TOTAL D0'!N:N,'PL TOTAL D0'!P:P,"")</f>
        <v>#NAME?</v>
      </c>
      <c r="BT253" s="110"/>
    </row>
    <row r="254" spans="1:72" ht="15.75" customHeight="1">
      <c r="A254" s="122" t="s">
        <v>3785</v>
      </c>
      <c r="B254" s="104" t="s">
        <v>1451</v>
      </c>
      <c r="C254" s="122" t="s">
        <v>4562</v>
      </c>
      <c r="D254" s="292">
        <v>4307232</v>
      </c>
      <c r="E254" s="293" t="s">
        <v>64</v>
      </c>
      <c r="F254" s="293" t="s">
        <v>20</v>
      </c>
      <c r="G254" s="293" t="s">
        <v>3973</v>
      </c>
      <c r="H254" s="293" t="str">
        <f>IFERROR(VLOOKUP(G254,'Cadastro de assessores'!A:B,2,FALSE),"Não Cadastrado")</f>
        <v>16459</v>
      </c>
      <c r="I254" s="293"/>
      <c r="J254" s="24" t="s">
        <v>3788</v>
      </c>
      <c r="K254" s="293" t="s">
        <v>152</v>
      </c>
      <c r="L254" s="415">
        <v>44050</v>
      </c>
      <c r="M254" s="415">
        <v>44054</v>
      </c>
      <c r="N254" s="292"/>
      <c r="O254" s="292" t="s">
        <v>3809</v>
      </c>
      <c r="P254" s="388">
        <v>2.5000000000000001E-2</v>
      </c>
      <c r="Q254" s="420"/>
      <c r="R254" s="417"/>
      <c r="S254" s="292" t="str">
        <f t="shared" si="24"/>
        <v>Não Qualificado</v>
      </c>
      <c r="T254" s="292" t="s">
        <v>145</v>
      </c>
      <c r="U254" s="292" t="s">
        <v>3797</v>
      </c>
      <c r="V254" s="292" t="s">
        <v>20</v>
      </c>
      <c r="W254" s="418" t="s">
        <v>3798</v>
      </c>
      <c r="X254" s="418" t="s">
        <v>3798</v>
      </c>
      <c r="Y254" s="418" t="s">
        <v>3798</v>
      </c>
      <c r="Z254" s="418" t="s">
        <v>3798</v>
      </c>
      <c r="AA254" s="418" t="s">
        <v>3798</v>
      </c>
      <c r="AB254" s="418" t="s">
        <v>3798</v>
      </c>
      <c r="AC254" s="418" t="s">
        <v>3798</v>
      </c>
      <c r="AD254" s="418" t="s">
        <v>3798</v>
      </c>
      <c r="AE254" s="418" t="s">
        <v>3798</v>
      </c>
      <c r="AF254" s="418" t="s">
        <v>3798</v>
      </c>
      <c r="AG254" s="418" t="s">
        <v>4568</v>
      </c>
      <c r="AH254" s="418" t="s">
        <v>4569</v>
      </c>
      <c r="AI254" s="418" t="s">
        <v>4570</v>
      </c>
      <c r="AJ254" s="418" t="s">
        <v>4571</v>
      </c>
      <c r="AK254" s="339">
        <v>672695.11</v>
      </c>
      <c r="AL254" s="339">
        <v>641883.52</v>
      </c>
      <c r="AM254" s="339">
        <v>882055.87</v>
      </c>
      <c r="AN254" s="339">
        <v>879186.38</v>
      </c>
      <c r="AO254" s="339">
        <v>956056.79</v>
      </c>
      <c r="AP254" s="339">
        <v>968801.99</v>
      </c>
      <c r="AQ254" s="339">
        <v>958806.26</v>
      </c>
      <c r="AR254" s="339">
        <v>1013491.45</v>
      </c>
      <c r="AS254" s="339">
        <v>990056.97</v>
      </c>
      <c r="AT254" s="339">
        <v>937261.89</v>
      </c>
      <c r="AU254" s="339">
        <v>916777.25</v>
      </c>
      <c r="AV254" s="339">
        <v>865336.39</v>
      </c>
      <c r="AW254" s="339">
        <v>798654.95</v>
      </c>
      <c r="AX254" s="339">
        <v>791193.15</v>
      </c>
      <c r="AY254" s="339">
        <v>806349.97</v>
      </c>
      <c r="AZ254" s="339">
        <v>864281.01</v>
      </c>
      <c r="BA254" s="339">
        <v>873342.86</v>
      </c>
      <c r="BB254" s="339">
        <v>935367.44</v>
      </c>
      <c r="BC254" s="339">
        <v>6148.19</v>
      </c>
      <c r="BD254" s="339">
        <v>877408.92</v>
      </c>
      <c r="BE254" s="339">
        <v>832817.92</v>
      </c>
      <c r="BF254" s="339">
        <v>880636.02</v>
      </c>
      <c r="BG254" s="339">
        <v>889378.61439999996</v>
      </c>
      <c r="BH254" s="339">
        <v>880060.1</v>
      </c>
      <c r="BI254" s="339">
        <v>969052.79</v>
      </c>
      <c r="BJ254" s="339">
        <v>944751.47</v>
      </c>
      <c r="BK254" s="339">
        <v>941216.41</v>
      </c>
      <c r="BL254" s="339">
        <v>956968.09</v>
      </c>
      <c r="BM254" s="339">
        <v>918822.71</v>
      </c>
      <c r="BN254" s="339">
        <v>725122.22</v>
      </c>
      <c r="BO254" s="339">
        <v>0</v>
      </c>
      <c r="BP254" s="339">
        <v>0</v>
      </c>
      <c r="BQ254" s="339">
        <v>0</v>
      </c>
      <c r="BR254" s="339">
        <v>0</v>
      </c>
      <c r="BS254" s="110" t="e">
        <f t="array" aca="1" ref="BS254" ca="1">_xludf.XLOOKUP(D254,'PL TOTAL D0'!N:N,'PL TOTAL D0'!P:P,"")</f>
        <v>#NAME?</v>
      </c>
      <c r="BT254" s="110"/>
    </row>
    <row r="255" spans="1:72" ht="15.75" customHeight="1">
      <c r="A255" s="122" t="s">
        <v>3785</v>
      </c>
      <c r="B255" s="104" t="s">
        <v>4572</v>
      </c>
      <c r="C255" s="122" t="s">
        <v>4573</v>
      </c>
      <c r="D255" s="292">
        <v>4871016</v>
      </c>
      <c r="E255" s="292" t="s">
        <v>19</v>
      </c>
      <c r="F255" s="292" t="s">
        <v>49</v>
      </c>
      <c r="G255" s="292" t="s">
        <v>328</v>
      </c>
      <c r="H255" s="292" t="str">
        <f>IFERROR(VLOOKUP(G255,'Cadastro de assessores'!A:B,2,FALSE),"Não Cadastrado")</f>
        <v>18009</v>
      </c>
      <c r="I255" s="292"/>
      <c r="J255" s="24" t="s">
        <v>143</v>
      </c>
      <c r="K255" s="292" t="s">
        <v>3794</v>
      </c>
      <c r="L255" s="458" t="s">
        <v>3147</v>
      </c>
      <c r="M255" s="387">
        <v>44252</v>
      </c>
      <c r="N255" s="419">
        <v>44524</v>
      </c>
      <c r="O255" s="292" t="s">
        <v>3809</v>
      </c>
      <c r="P255" s="388">
        <v>2.5000000000000001E-2</v>
      </c>
      <c r="Q255" s="420" t="s">
        <v>4005</v>
      </c>
      <c r="R255" s="417"/>
      <c r="S255" s="292" t="str">
        <f t="shared" si="24"/>
        <v>Não Qualificado</v>
      </c>
      <c r="T255" s="292" t="s">
        <v>145</v>
      </c>
      <c r="U255" s="292" t="s">
        <v>4574</v>
      </c>
      <c r="V255" s="292" t="s">
        <v>39</v>
      </c>
      <c r="W255" s="418"/>
      <c r="X255" s="418"/>
      <c r="Y255" s="418"/>
      <c r="Z255" s="418"/>
      <c r="AA255" s="418"/>
      <c r="AB255" s="418"/>
      <c r="AC255" s="418"/>
      <c r="AD255" s="418"/>
      <c r="AE255" s="418"/>
      <c r="AF255" s="418"/>
      <c r="AG255" s="418"/>
      <c r="AH255" s="418"/>
      <c r="AI255" s="418"/>
      <c r="AJ255" s="418"/>
      <c r="AK255" s="339"/>
      <c r="AL255" s="339"/>
      <c r="AM255" s="339">
        <v>114552.61</v>
      </c>
      <c r="AN255" s="339">
        <v>114579.69</v>
      </c>
      <c r="AO255" s="339">
        <v>123286.79</v>
      </c>
      <c r="AP255" s="339">
        <v>125349.58</v>
      </c>
      <c r="AQ255" s="339">
        <v>123934.44</v>
      </c>
      <c r="AR255" s="339">
        <v>131002.6</v>
      </c>
      <c r="AS255" s="339">
        <v>150834.06</v>
      </c>
      <c r="AT255" s="339">
        <v>141603.69</v>
      </c>
      <c r="AU255" s="339">
        <v>142019.92000000001</v>
      </c>
      <c r="AV255" s="339">
        <v>133667.67000000001</v>
      </c>
      <c r="AW255" s="339">
        <v>128016.92</v>
      </c>
      <c r="AX255" s="339">
        <v>125890.55</v>
      </c>
      <c r="AY255" s="339"/>
      <c r="AZ255" s="339"/>
      <c r="BA255" s="339">
        <v>0</v>
      </c>
      <c r="BB255" s="339">
        <v>0</v>
      </c>
      <c r="BC255" s="339">
        <v>871216.64000000001</v>
      </c>
      <c r="BD255" s="339" t="s">
        <v>2932</v>
      </c>
      <c r="BE255" s="339" t="s">
        <v>2932</v>
      </c>
      <c r="BF255" s="339">
        <v>0</v>
      </c>
      <c r="BG255" s="339">
        <v>0</v>
      </c>
      <c r="BH255" s="339">
        <v>0</v>
      </c>
      <c r="BI255" s="339">
        <v>0</v>
      </c>
      <c r="BJ255" s="339">
        <v>0</v>
      </c>
      <c r="BK255" s="339">
        <v>0</v>
      </c>
      <c r="BL255" s="339">
        <v>0</v>
      </c>
      <c r="BM255" s="339">
        <v>0</v>
      </c>
      <c r="BN255" s="339">
        <v>0</v>
      </c>
      <c r="BO255" s="339">
        <v>0</v>
      </c>
      <c r="BP255" s="339">
        <v>0</v>
      </c>
      <c r="BQ255" s="339">
        <v>0</v>
      </c>
      <c r="BR255" s="339">
        <v>0</v>
      </c>
      <c r="BS255" s="110" t="e">
        <f t="array" aca="1" ref="BS255" ca="1">_xludf.XLOOKUP(D255,'PL TOTAL D0'!N:N,'PL TOTAL D0'!P:P,"")</f>
        <v>#NAME?</v>
      </c>
      <c r="BT255" s="110"/>
    </row>
    <row r="256" spans="1:72" ht="15.75" customHeight="1">
      <c r="A256" s="122" t="s">
        <v>3785</v>
      </c>
      <c r="B256" s="104" t="s">
        <v>1467</v>
      </c>
      <c r="C256" s="122" t="s">
        <v>4575</v>
      </c>
      <c r="D256" s="292">
        <v>4461684</v>
      </c>
      <c r="E256" s="293" t="s">
        <v>2923</v>
      </c>
      <c r="F256" s="293" t="s">
        <v>20</v>
      </c>
      <c r="G256" s="293" t="s">
        <v>2923</v>
      </c>
      <c r="H256" s="293" t="str">
        <f>IFERROR(VLOOKUP(G256,'Cadastro de assessores'!A:B,2,FALSE),"Não Cadastrado")</f>
        <v>18986</v>
      </c>
      <c r="I256" s="293"/>
      <c r="J256" s="24" t="s">
        <v>3788</v>
      </c>
      <c r="K256" s="293" t="s">
        <v>152</v>
      </c>
      <c r="L256" s="416">
        <v>44117</v>
      </c>
      <c r="M256" s="416">
        <v>44118</v>
      </c>
      <c r="N256" s="292"/>
      <c r="O256" s="292" t="s">
        <v>3805</v>
      </c>
      <c r="P256" s="388">
        <v>1.2E-2</v>
      </c>
      <c r="Q256" s="420"/>
      <c r="R256" s="417"/>
      <c r="S256" s="292" t="str">
        <f t="shared" si="24"/>
        <v>Não Qualificado</v>
      </c>
      <c r="T256" s="292" t="s">
        <v>145</v>
      </c>
      <c r="U256" s="292" t="s">
        <v>3816</v>
      </c>
      <c r="V256" s="292" t="s">
        <v>20</v>
      </c>
      <c r="W256" s="418" t="s">
        <v>3798</v>
      </c>
      <c r="X256" s="418" t="s">
        <v>3798</v>
      </c>
      <c r="Y256" s="418" t="s">
        <v>3798</v>
      </c>
      <c r="Z256" s="418" t="s">
        <v>3798</v>
      </c>
      <c r="AA256" s="418" t="s">
        <v>3798</v>
      </c>
      <c r="AB256" s="418" t="s">
        <v>3798</v>
      </c>
      <c r="AC256" s="418" t="s">
        <v>3798</v>
      </c>
      <c r="AD256" s="418" t="s">
        <v>3798</v>
      </c>
      <c r="AE256" s="418" t="s">
        <v>3798</v>
      </c>
      <c r="AF256" s="418" t="s">
        <v>3798</v>
      </c>
      <c r="AG256" s="418" t="s">
        <v>3798</v>
      </c>
      <c r="AH256" s="418" t="s">
        <v>3798</v>
      </c>
      <c r="AI256" s="418" t="s">
        <v>4576</v>
      </c>
      <c r="AJ256" s="418" t="s">
        <v>4577</v>
      </c>
      <c r="AK256" s="339">
        <v>932457.92</v>
      </c>
      <c r="AL256" s="339">
        <v>925867.44</v>
      </c>
      <c r="AM256" s="339">
        <v>911967.73</v>
      </c>
      <c r="AN256" s="339">
        <v>911515.4</v>
      </c>
      <c r="AO256" s="339">
        <v>923584.84</v>
      </c>
      <c r="AP256" s="339">
        <v>925710.06</v>
      </c>
      <c r="AQ256" s="339">
        <v>923681.81</v>
      </c>
      <c r="AR256" s="339">
        <v>936335.73</v>
      </c>
      <c r="AS256" s="339">
        <v>934276.86</v>
      </c>
      <c r="AT256" s="339">
        <v>926058.1</v>
      </c>
      <c r="AU256" s="339">
        <v>925111.7</v>
      </c>
      <c r="AV256" s="339">
        <v>918846.99</v>
      </c>
      <c r="AW256" s="339">
        <v>748926.57</v>
      </c>
      <c r="AX256" s="339">
        <v>754316.87</v>
      </c>
      <c r="AY256" s="339">
        <v>762607.93</v>
      </c>
      <c r="AZ256" s="339">
        <v>773557.48</v>
      </c>
      <c r="BA256" s="339">
        <v>666735.94999999995</v>
      </c>
      <c r="BB256" s="339">
        <v>668014.62</v>
      </c>
      <c r="BC256" s="339">
        <v>105802.79</v>
      </c>
      <c r="BD256" s="339">
        <v>748508.83</v>
      </c>
      <c r="BE256" s="339">
        <v>749998.83</v>
      </c>
      <c r="BF256" s="339">
        <v>760048.14</v>
      </c>
      <c r="BG256" s="339">
        <v>763887.0379</v>
      </c>
      <c r="BH256" s="339">
        <v>767335.53</v>
      </c>
      <c r="BI256" s="339">
        <v>781762.92</v>
      </c>
      <c r="BJ256" s="339">
        <v>783957.48</v>
      </c>
      <c r="BK256" s="339">
        <v>789228.26</v>
      </c>
      <c r="BL256" s="339">
        <v>757313.25</v>
      </c>
      <c r="BM256" s="339">
        <v>762212.46</v>
      </c>
      <c r="BN256" s="339">
        <v>768315.94</v>
      </c>
      <c r="BO256" s="339">
        <v>775224.66</v>
      </c>
      <c r="BP256" s="339">
        <v>782689.52</v>
      </c>
      <c r="BQ256" s="339">
        <v>787562.2</v>
      </c>
      <c r="BR256" s="339">
        <v>791955.58</v>
      </c>
      <c r="BS256" s="110" t="e">
        <f t="array" aca="1" ref="BS256" ca="1">_xludf.XLOOKUP(D256,'PL TOTAL D0'!N:N,'PL TOTAL D0'!P:P,"")</f>
        <v>#NAME?</v>
      </c>
      <c r="BT256" s="110"/>
    </row>
    <row r="257" spans="1:72" ht="15.75" customHeight="1">
      <c r="A257" s="122" t="s">
        <v>3785</v>
      </c>
      <c r="B257" s="104" t="s">
        <v>4578</v>
      </c>
      <c r="C257" s="390" t="s">
        <v>4579</v>
      </c>
      <c r="D257" s="459">
        <v>8685427</v>
      </c>
      <c r="E257" s="293" t="s">
        <v>19</v>
      </c>
      <c r="F257" s="293" t="s">
        <v>20</v>
      </c>
      <c r="G257" s="293" t="s">
        <v>21</v>
      </c>
      <c r="H257" s="293">
        <f>IFERROR(VLOOKUP(G257,'Cadastro de assessores'!A:B,2,FALSE),"Não Cadastrado")</f>
        <v>12344</v>
      </c>
      <c r="I257" s="293"/>
      <c r="J257" s="24" t="s">
        <v>3788</v>
      </c>
      <c r="K257" s="293" t="s">
        <v>152</v>
      </c>
      <c r="L257" s="415">
        <v>44742</v>
      </c>
      <c r="M257" s="415">
        <v>44743</v>
      </c>
      <c r="N257" s="299"/>
      <c r="O257" s="299" t="s">
        <v>3802</v>
      </c>
      <c r="P257" s="388">
        <v>7.0000000000000001E-3</v>
      </c>
      <c r="Q257" s="167" t="s">
        <v>4580</v>
      </c>
      <c r="R257" s="417"/>
      <c r="S257" s="292"/>
      <c r="T257" s="292" t="s">
        <v>145</v>
      </c>
      <c r="U257" s="292" t="s">
        <v>4581</v>
      </c>
      <c r="V257" s="292" t="s">
        <v>294</v>
      </c>
      <c r="W257" s="418"/>
      <c r="X257" s="418"/>
      <c r="Y257" s="418"/>
      <c r="Z257" s="418"/>
      <c r="AA257" s="418"/>
      <c r="AB257" s="418"/>
      <c r="AC257" s="418"/>
      <c r="AD257" s="418"/>
      <c r="AE257" s="418"/>
      <c r="AF257" s="418"/>
      <c r="AG257" s="418"/>
      <c r="AH257" s="418"/>
      <c r="AI257" s="418"/>
      <c r="AJ257" s="418"/>
      <c r="AK257" s="339"/>
      <c r="AL257" s="339"/>
      <c r="AM257" s="339"/>
      <c r="AN257" s="339"/>
      <c r="AO257" s="339"/>
      <c r="AP257" s="339"/>
      <c r="AQ257" s="339"/>
      <c r="AR257" s="339"/>
      <c r="AS257" s="339"/>
      <c r="AT257" s="339"/>
      <c r="AU257" s="339"/>
      <c r="AV257" s="339"/>
      <c r="AW257" s="339"/>
      <c r="AX257" s="339"/>
      <c r="AY257" s="339"/>
      <c r="AZ257" s="339"/>
      <c r="BA257" s="339"/>
      <c r="BB257" s="339"/>
      <c r="BC257" s="339"/>
      <c r="BD257" s="339"/>
      <c r="BE257" s="339">
        <v>100000</v>
      </c>
      <c r="BF257" s="339">
        <v>100836.49</v>
      </c>
      <c r="BG257" s="339">
        <v>201829.5675</v>
      </c>
      <c r="BH257" s="339">
        <v>203463.64</v>
      </c>
      <c r="BI257" s="339">
        <v>205255.13</v>
      </c>
      <c r="BJ257" s="339">
        <v>207088.54</v>
      </c>
      <c r="BK257" s="339">
        <v>208891</v>
      </c>
      <c r="BL257" s="339">
        <v>211215.75</v>
      </c>
      <c r="BM257" s="339">
        <v>212833.71</v>
      </c>
      <c r="BN257" s="339">
        <v>0</v>
      </c>
      <c r="BO257" s="339">
        <v>0</v>
      </c>
      <c r="BP257" s="339">
        <v>0</v>
      </c>
      <c r="BQ257" s="339">
        <v>0</v>
      </c>
      <c r="BR257" s="339">
        <v>0</v>
      </c>
      <c r="BS257" s="110" t="e">
        <f t="array" aca="1" ref="BS257" ca="1">_xludf.XLOOKUP(D257,'PL TOTAL D0'!N:N,'PL TOTAL D0'!P:P,"")</f>
        <v>#NAME?</v>
      </c>
      <c r="BT257" s="110"/>
    </row>
    <row r="258" spans="1:72" ht="15.75" customHeight="1">
      <c r="A258" s="122" t="s">
        <v>3785</v>
      </c>
      <c r="B258" s="104" t="s">
        <v>4582</v>
      </c>
      <c r="C258" s="390" t="s">
        <v>4583</v>
      </c>
      <c r="D258" s="299">
        <v>5660556</v>
      </c>
      <c r="E258" s="293" t="s">
        <v>19</v>
      </c>
      <c r="F258" s="293" t="s">
        <v>20</v>
      </c>
      <c r="G258" s="293" t="s">
        <v>199</v>
      </c>
      <c r="H258" s="293">
        <f>IFERROR(VLOOKUP(G258,'Cadastro de assessores'!A:B,2,FALSE),"Não Cadastrado")</f>
        <v>12332</v>
      </c>
      <c r="I258" s="293"/>
      <c r="J258" s="24" t="s">
        <v>3788</v>
      </c>
      <c r="K258" s="293" t="s">
        <v>152</v>
      </c>
      <c r="L258" s="415">
        <v>44357</v>
      </c>
      <c r="M258" s="415">
        <v>44361</v>
      </c>
      <c r="N258" s="299"/>
      <c r="O258" s="299" t="s">
        <v>3802</v>
      </c>
      <c r="P258" s="388">
        <v>7.0000000000000001E-3</v>
      </c>
      <c r="Q258" s="92" t="s">
        <v>4584</v>
      </c>
      <c r="R258" s="417"/>
      <c r="S258" s="292" t="str">
        <f t="shared" ref="S258:S263" si="25">IF(BC258&lt;=0,"",IF(BC258&lt;=1000000,"Não Qualificado",IF(AND(BC258&gt;1000000,BC258&lt;=10000000),"Qualificado","Profissional")))</f>
        <v/>
      </c>
      <c r="T258" s="292" t="s">
        <v>145</v>
      </c>
      <c r="U258" s="292" t="s">
        <v>3816</v>
      </c>
      <c r="V258" s="292" t="s">
        <v>20</v>
      </c>
      <c r="W258" s="418"/>
      <c r="X258" s="418"/>
      <c r="Y258" s="418"/>
      <c r="Z258" s="418"/>
      <c r="AA258" s="418"/>
      <c r="AB258" s="418"/>
      <c r="AC258" s="418"/>
      <c r="AD258" s="418"/>
      <c r="AE258" s="418"/>
      <c r="AF258" s="418"/>
      <c r="AG258" s="418"/>
      <c r="AH258" s="418"/>
      <c r="AI258" s="418"/>
      <c r="AJ258" s="418"/>
      <c r="AK258" s="339"/>
      <c r="AL258" s="339"/>
      <c r="AM258" s="339"/>
      <c r="AN258" s="339"/>
      <c r="AO258" s="339"/>
      <c r="AP258" s="339"/>
      <c r="AQ258" s="339"/>
      <c r="AR258" s="339"/>
      <c r="AS258" s="339">
        <v>100145.8</v>
      </c>
      <c r="AT258" s="339">
        <v>100537.29</v>
      </c>
      <c r="AU258" s="339">
        <v>100957.7</v>
      </c>
      <c r="AV258" s="339">
        <v>101446.77</v>
      </c>
      <c r="AW258" s="339">
        <v>102036.66</v>
      </c>
      <c r="AX258" s="339">
        <v>102795.46</v>
      </c>
      <c r="AY258" s="339">
        <v>103613.01</v>
      </c>
      <c r="AZ258" s="339">
        <v>104478.59</v>
      </c>
      <c r="BA258" s="339">
        <v>140347.51</v>
      </c>
      <c r="BB258" s="339">
        <v>141882</v>
      </c>
      <c r="BC258" s="339">
        <v>0</v>
      </c>
      <c r="BD258" s="339">
        <v>144874.54999999999</v>
      </c>
      <c r="BE258" s="339">
        <v>146173.60999999999</v>
      </c>
      <c r="BF258" s="339">
        <v>147275.03</v>
      </c>
      <c r="BG258" s="339">
        <v>147953.46429999999</v>
      </c>
      <c r="BH258" s="339">
        <v>148758.89000000001</v>
      </c>
      <c r="BI258" s="339">
        <v>149677.74</v>
      </c>
      <c r="BJ258" s="339">
        <v>151014.14000000001</v>
      </c>
      <c r="BK258" s="339">
        <v>152237.32999999999</v>
      </c>
      <c r="BL258" s="339">
        <v>153889.12</v>
      </c>
      <c r="BM258" s="339">
        <v>154289.41</v>
      </c>
      <c r="BN258" s="339">
        <v>155273.38</v>
      </c>
      <c r="BO258" s="339">
        <v>0</v>
      </c>
      <c r="BP258" s="339">
        <v>0</v>
      </c>
      <c r="BQ258" s="339">
        <v>0</v>
      </c>
      <c r="BR258" s="339">
        <v>0</v>
      </c>
      <c r="BS258" s="110" t="e">
        <f t="array" aca="1" ref="BS258" ca="1">_xludf.XLOOKUP(D258,'PL TOTAL D0'!N:N,'PL TOTAL D0'!P:P,"")</f>
        <v>#NAME?</v>
      </c>
      <c r="BT258" s="110"/>
    </row>
    <row r="259" spans="1:72" ht="15.75" customHeight="1">
      <c r="A259" s="122" t="s">
        <v>3785</v>
      </c>
      <c r="B259" s="104" t="s">
        <v>1478</v>
      </c>
      <c r="C259" s="390" t="s">
        <v>1476</v>
      </c>
      <c r="D259" s="299">
        <v>8479778</v>
      </c>
      <c r="E259" s="293" t="s">
        <v>64</v>
      </c>
      <c r="F259" s="293" t="s">
        <v>20</v>
      </c>
      <c r="G259" s="299" t="s">
        <v>4585</v>
      </c>
      <c r="H259" s="293">
        <f>IFERROR(VLOOKUP(G259,'Cadastro de assessores'!A:B,2,FALSE),"Não Cadastrado")</f>
        <v>12357</v>
      </c>
      <c r="I259" s="293"/>
      <c r="J259" s="24" t="s">
        <v>143</v>
      </c>
      <c r="K259" s="293" t="s">
        <v>152</v>
      </c>
      <c r="L259" s="416">
        <v>44684</v>
      </c>
      <c r="M259" s="416">
        <v>44683</v>
      </c>
      <c r="N259" s="391">
        <v>44936</v>
      </c>
      <c r="O259" s="299" t="s">
        <v>3805</v>
      </c>
      <c r="P259" s="388">
        <v>1.2E-2</v>
      </c>
      <c r="Q259" s="440" t="s">
        <v>4586</v>
      </c>
      <c r="R259" s="417"/>
      <c r="S259" s="292" t="str">
        <f t="shared" si="25"/>
        <v/>
      </c>
      <c r="T259" s="292" t="s">
        <v>145</v>
      </c>
      <c r="U259" s="292" t="s">
        <v>3816</v>
      </c>
      <c r="V259" s="292" t="s">
        <v>20</v>
      </c>
      <c r="W259" s="418"/>
      <c r="X259" s="418"/>
      <c r="Y259" s="418"/>
      <c r="Z259" s="418"/>
      <c r="AA259" s="418"/>
      <c r="AB259" s="418"/>
      <c r="AC259" s="418"/>
      <c r="AD259" s="418"/>
      <c r="AE259" s="418"/>
      <c r="AF259" s="418"/>
      <c r="AG259" s="418"/>
      <c r="AH259" s="418"/>
      <c r="AI259" s="418"/>
      <c r="AJ259" s="418"/>
      <c r="AK259" s="339"/>
      <c r="AL259" s="339"/>
      <c r="AM259" s="339"/>
      <c r="AN259" s="339"/>
      <c r="AO259" s="339"/>
      <c r="AP259" s="339"/>
      <c r="AQ259" s="339"/>
      <c r="AR259" s="339"/>
      <c r="AS259" s="339"/>
      <c r="AT259" s="339"/>
      <c r="AU259" s="339"/>
      <c r="AV259" s="339"/>
      <c r="AW259" s="339"/>
      <c r="AX259" s="339"/>
      <c r="AY259" s="339"/>
      <c r="AZ259" s="339"/>
      <c r="BA259" s="339"/>
      <c r="BB259" s="339"/>
      <c r="BC259" s="339"/>
      <c r="BD259" s="339">
        <v>274745.21999999997</v>
      </c>
      <c r="BE259" s="339">
        <v>296731.17</v>
      </c>
      <c r="BF259" s="339">
        <v>322827.49</v>
      </c>
      <c r="BG259" s="339">
        <v>329216.1434</v>
      </c>
      <c r="BH259" s="339">
        <v>331282.84000000003</v>
      </c>
      <c r="BI259" s="339">
        <v>346859.17</v>
      </c>
      <c r="BJ259" s="339">
        <v>289272.67</v>
      </c>
      <c r="BK259" s="339">
        <v>0</v>
      </c>
      <c r="BL259" s="339">
        <v>0</v>
      </c>
      <c r="BM259" s="339">
        <v>0</v>
      </c>
      <c r="BN259" s="339">
        <v>0</v>
      </c>
      <c r="BO259" s="339">
        <v>0</v>
      </c>
      <c r="BP259" s="339">
        <v>0</v>
      </c>
      <c r="BQ259" s="339">
        <v>0</v>
      </c>
      <c r="BR259" s="339">
        <v>0</v>
      </c>
      <c r="BS259" s="110" t="e">
        <f t="array" aca="1" ref="BS259" ca="1">_xludf.XLOOKUP(D259,'PL TOTAL D0'!N:N,'PL TOTAL D0'!P:P,"")</f>
        <v>#NAME?</v>
      </c>
      <c r="BT259" s="110"/>
    </row>
    <row r="260" spans="1:72" ht="15" customHeight="1">
      <c r="A260" s="122" t="s">
        <v>3785</v>
      </c>
      <c r="B260" s="104" t="s">
        <v>1481</v>
      </c>
      <c r="C260" s="390" t="s">
        <v>1479</v>
      </c>
      <c r="D260" s="422">
        <v>8155858</v>
      </c>
      <c r="E260" s="293" t="s">
        <v>19</v>
      </c>
      <c r="F260" s="293" t="s">
        <v>49</v>
      </c>
      <c r="G260" s="293" t="s">
        <v>328</v>
      </c>
      <c r="H260" s="293" t="str">
        <f>IFERROR(VLOOKUP(G260,'Cadastro de assessores'!A:B,2,FALSE),"Não Cadastrado")</f>
        <v>18009</v>
      </c>
      <c r="I260" s="293"/>
      <c r="J260" s="24" t="s">
        <v>3788</v>
      </c>
      <c r="K260" s="426" t="s">
        <v>152</v>
      </c>
      <c r="L260" s="423">
        <v>44683</v>
      </c>
      <c r="M260" s="423">
        <v>44644</v>
      </c>
      <c r="N260" s="292"/>
      <c r="O260" s="292" t="s">
        <v>3802</v>
      </c>
      <c r="P260" s="388">
        <v>7.0000000000000001E-3</v>
      </c>
      <c r="Q260" s="420" t="s">
        <v>4587</v>
      </c>
      <c r="R260" s="417"/>
      <c r="S260" s="292" t="str">
        <f t="shared" si="25"/>
        <v>Não Qualificado</v>
      </c>
      <c r="T260" s="292" t="s">
        <v>145</v>
      </c>
      <c r="U260" s="292" t="s">
        <v>4178</v>
      </c>
      <c r="V260" s="292" t="s">
        <v>20</v>
      </c>
      <c r="W260" s="418"/>
      <c r="X260" s="418"/>
      <c r="Y260" s="418"/>
      <c r="Z260" s="418"/>
      <c r="AA260" s="418"/>
      <c r="AB260" s="418"/>
      <c r="AC260" s="418"/>
      <c r="AD260" s="418"/>
      <c r="AE260" s="418"/>
      <c r="AF260" s="418"/>
      <c r="AG260" s="418"/>
      <c r="AH260" s="418"/>
      <c r="AI260" s="418"/>
      <c r="AJ260" s="418"/>
      <c r="AK260" s="339"/>
      <c r="AL260" s="339"/>
      <c r="AM260" s="339"/>
      <c r="AN260" s="339"/>
      <c r="AO260" s="339"/>
      <c r="AP260" s="339"/>
      <c r="AQ260" s="339"/>
      <c r="AR260" s="339"/>
      <c r="AS260" s="339"/>
      <c r="AT260" s="339"/>
      <c r="AU260" s="339"/>
      <c r="AV260" s="339"/>
      <c r="AW260" s="339"/>
      <c r="AX260" s="339"/>
      <c r="AY260" s="339"/>
      <c r="AZ260" s="339"/>
      <c r="BA260" s="339"/>
      <c r="BB260" s="339">
        <v>100305.97</v>
      </c>
      <c r="BC260" s="339">
        <v>575681.78</v>
      </c>
      <c r="BD260" s="339">
        <v>117863.58</v>
      </c>
      <c r="BE260" s="339">
        <v>440145.16</v>
      </c>
      <c r="BF260" s="339">
        <v>498148.46</v>
      </c>
      <c r="BG260" s="339">
        <v>585793.35840000003</v>
      </c>
      <c r="BH260" s="339">
        <v>655167.13</v>
      </c>
      <c r="BI260" s="339">
        <v>701179.91</v>
      </c>
      <c r="BJ260" s="339">
        <v>707938.38</v>
      </c>
      <c r="BK260" s="339">
        <v>714263.01</v>
      </c>
      <c r="BL260" s="339">
        <v>722786.98</v>
      </c>
      <c r="BM260" s="339">
        <v>729102.64</v>
      </c>
      <c r="BN260" s="339">
        <v>737520.66</v>
      </c>
      <c r="BO260" s="339">
        <v>0</v>
      </c>
      <c r="BP260" s="339">
        <v>0</v>
      </c>
      <c r="BQ260" s="339">
        <v>0</v>
      </c>
      <c r="BR260" s="339">
        <v>0</v>
      </c>
      <c r="BS260" s="110" t="e">
        <f t="array" aca="1" ref="BS260" ca="1">_xludf.XLOOKUP(D260,'PL TOTAL D0'!N:N,'PL TOTAL D0'!P:P,"")</f>
        <v>#NAME?</v>
      </c>
      <c r="BT260" s="110"/>
    </row>
    <row r="261" spans="1:72" ht="15.75" customHeight="1">
      <c r="A261" s="122" t="s">
        <v>3785</v>
      </c>
      <c r="B261" s="104" t="s">
        <v>4588</v>
      </c>
      <c r="C261" s="122" t="s">
        <v>4589</v>
      </c>
      <c r="D261" s="292">
        <v>250289</v>
      </c>
      <c r="E261" s="292" t="s">
        <v>19</v>
      </c>
      <c r="F261" s="292" t="s">
        <v>20</v>
      </c>
      <c r="G261" s="292" t="s">
        <v>449</v>
      </c>
      <c r="H261" s="292" t="str">
        <f>IFERROR(VLOOKUP(G261,'Cadastro de assessores'!A:B,2,FALSE),"Não Cadastrado")</f>
        <v>18993</v>
      </c>
      <c r="I261" s="292"/>
      <c r="J261" s="24" t="s">
        <v>143</v>
      </c>
      <c r="K261" s="292" t="s">
        <v>3794</v>
      </c>
      <c r="L261" s="387">
        <v>43880</v>
      </c>
      <c r="M261" s="387">
        <v>43880</v>
      </c>
      <c r="N261" s="387">
        <v>44335</v>
      </c>
      <c r="O261" s="292" t="s">
        <v>3809</v>
      </c>
      <c r="P261" s="388">
        <v>0.01</v>
      </c>
      <c r="Q261" s="420" t="s">
        <v>4590</v>
      </c>
      <c r="R261" s="417"/>
      <c r="S261" s="292" t="str">
        <f t="shared" si="25"/>
        <v>Não Qualificado</v>
      </c>
      <c r="T261" s="292" t="s">
        <v>145</v>
      </c>
      <c r="U261" s="292" t="s">
        <v>3816</v>
      </c>
      <c r="V261" s="292" t="s">
        <v>20</v>
      </c>
      <c r="W261" s="418" t="s">
        <v>3798</v>
      </c>
      <c r="X261" s="418" t="s">
        <v>3798</v>
      </c>
      <c r="Y261" s="418" t="s">
        <v>3798</v>
      </c>
      <c r="Z261" s="418" t="s">
        <v>4591</v>
      </c>
      <c r="AA261" s="418" t="s">
        <v>4592</v>
      </c>
      <c r="AB261" s="418" t="s">
        <v>4593</v>
      </c>
      <c r="AC261" s="418" t="s">
        <v>4594</v>
      </c>
      <c r="AD261" s="418" t="s">
        <v>4595</v>
      </c>
      <c r="AE261" s="418" t="s">
        <v>4596</v>
      </c>
      <c r="AF261" s="418" t="s">
        <v>4597</v>
      </c>
      <c r="AG261" s="418" t="s">
        <v>4598</v>
      </c>
      <c r="AH261" s="418" t="s">
        <v>4599</v>
      </c>
      <c r="AI261" s="418" t="s">
        <v>4600</v>
      </c>
      <c r="AJ261" s="418" t="s">
        <v>4601</v>
      </c>
      <c r="AK261" s="339">
        <v>433999.74</v>
      </c>
      <c r="AL261" s="339">
        <v>237489.53</v>
      </c>
      <c r="AM261" s="339">
        <v>227626.27</v>
      </c>
      <c r="AN261" s="339">
        <v>221735.57</v>
      </c>
      <c r="AO261" s="339">
        <v>214170.7</v>
      </c>
      <c r="AP261" s="339">
        <v>4824.63</v>
      </c>
      <c r="AQ261" s="339">
        <v>4823.6499999999996</v>
      </c>
      <c r="AR261" s="339"/>
      <c r="AS261" s="339"/>
      <c r="AT261" s="339"/>
      <c r="AU261" s="339"/>
      <c r="AV261" s="339"/>
      <c r="AW261" s="339"/>
      <c r="AX261" s="339"/>
      <c r="AY261" s="339"/>
      <c r="AZ261" s="339"/>
      <c r="BA261" s="339">
        <v>0</v>
      </c>
      <c r="BB261" s="339">
        <v>0</v>
      </c>
      <c r="BC261" s="339">
        <v>117852.28</v>
      </c>
      <c r="BD261" s="339" t="s">
        <v>2932</v>
      </c>
      <c r="BE261" s="339" t="s">
        <v>2932</v>
      </c>
      <c r="BF261" s="339">
        <v>0</v>
      </c>
      <c r="BG261" s="339">
        <v>0</v>
      </c>
      <c r="BH261" s="339">
        <v>0</v>
      </c>
      <c r="BI261" s="339">
        <v>0</v>
      </c>
      <c r="BJ261" s="339">
        <v>0</v>
      </c>
      <c r="BK261" s="339">
        <v>0</v>
      </c>
      <c r="BL261" s="339">
        <v>0</v>
      </c>
      <c r="BM261" s="339">
        <v>0</v>
      </c>
      <c r="BN261" s="339">
        <v>0</v>
      </c>
      <c r="BO261" s="339">
        <v>0</v>
      </c>
      <c r="BP261" s="339">
        <v>0</v>
      </c>
      <c r="BQ261" s="339">
        <v>0</v>
      </c>
      <c r="BR261" s="339">
        <v>0</v>
      </c>
      <c r="BS261" s="110" t="e">
        <f t="array" aca="1" ref="BS261" ca="1">_xludf.XLOOKUP(D261,'PL TOTAL D0'!N:N,'PL TOTAL D0'!P:P,"")</f>
        <v>#NAME?</v>
      </c>
      <c r="BT261" s="110"/>
    </row>
    <row r="262" spans="1:72" ht="15.75" customHeight="1">
      <c r="A262" s="122" t="s">
        <v>3785</v>
      </c>
      <c r="B262" s="104" t="s">
        <v>4602</v>
      </c>
      <c r="C262" s="122" t="s">
        <v>4603</v>
      </c>
      <c r="D262" s="292">
        <v>4847801</v>
      </c>
      <c r="E262" s="293" t="s">
        <v>64</v>
      </c>
      <c r="F262" s="293" t="s">
        <v>20</v>
      </c>
      <c r="G262" s="293" t="s">
        <v>3634</v>
      </c>
      <c r="H262" s="293" t="str">
        <f>IFERROR(VLOOKUP(G262,'Cadastro de assessores'!A:B,2,FALSE),"Não Cadastrado")</f>
        <v>14574</v>
      </c>
      <c r="I262" s="293"/>
      <c r="J262" s="24" t="s">
        <v>3788</v>
      </c>
      <c r="K262" s="292" t="s">
        <v>152</v>
      </c>
      <c r="L262" s="415">
        <v>44236</v>
      </c>
      <c r="M262" s="415">
        <v>44236</v>
      </c>
      <c r="N262" s="292"/>
      <c r="O262" s="292" t="s">
        <v>3789</v>
      </c>
      <c r="P262" s="428">
        <v>0.02</v>
      </c>
      <c r="Q262" s="445"/>
      <c r="R262" s="417"/>
      <c r="S262" s="292" t="str">
        <f t="shared" si="25"/>
        <v>Não Qualificado</v>
      </c>
      <c r="T262" s="292" t="s">
        <v>145</v>
      </c>
      <c r="U262" s="292" t="s">
        <v>3929</v>
      </c>
      <c r="V262" s="292" t="s">
        <v>20</v>
      </c>
      <c r="W262" s="418"/>
      <c r="X262" s="418"/>
      <c r="Y262" s="418"/>
      <c r="Z262" s="418"/>
      <c r="AA262" s="418"/>
      <c r="AB262" s="418"/>
      <c r="AC262" s="418"/>
      <c r="AD262" s="418"/>
      <c r="AE262" s="418"/>
      <c r="AF262" s="418"/>
      <c r="AG262" s="418"/>
      <c r="AH262" s="418"/>
      <c r="AI262" s="418"/>
      <c r="AJ262" s="418"/>
      <c r="AK262" s="339"/>
      <c r="AL262" s="339"/>
      <c r="AM262" s="339">
        <v>45734.2</v>
      </c>
      <c r="AN262" s="339">
        <v>45802.37</v>
      </c>
      <c r="AO262" s="339">
        <v>48042.62</v>
      </c>
      <c r="AP262" s="339">
        <v>48455.33</v>
      </c>
      <c r="AQ262" s="339">
        <v>48175.09</v>
      </c>
      <c r="AR262" s="339">
        <v>49633.7</v>
      </c>
      <c r="AS262" s="339">
        <v>49152.63</v>
      </c>
      <c r="AT262" s="339">
        <v>47647.85</v>
      </c>
      <c r="AU262" s="339">
        <v>47120.74</v>
      </c>
      <c r="AV262" s="339">
        <v>45616.4</v>
      </c>
      <c r="AW262" s="339">
        <v>43414.9</v>
      </c>
      <c r="AX262" s="339">
        <v>43207.91</v>
      </c>
      <c r="AY262" s="339">
        <v>43880.62</v>
      </c>
      <c r="AZ262" s="339">
        <v>45462.87</v>
      </c>
      <c r="BA262" s="339">
        <v>45996.9</v>
      </c>
      <c r="BB262" s="339">
        <v>47967.4</v>
      </c>
      <c r="BC262" s="339">
        <v>142559.01</v>
      </c>
      <c r="BD262" s="339">
        <v>181.02</v>
      </c>
      <c r="BE262" s="339">
        <v>129</v>
      </c>
      <c r="BF262" s="339">
        <v>129.02000000000001</v>
      </c>
      <c r="BG262" s="339">
        <v>163.91</v>
      </c>
      <c r="BH262" s="339">
        <v>163.91</v>
      </c>
      <c r="BI262" s="339">
        <v>163.91</v>
      </c>
      <c r="BJ262" s="339">
        <v>163.91</v>
      </c>
      <c r="BK262" s="339">
        <v>163.91</v>
      </c>
      <c r="BL262" s="339">
        <v>260.69</v>
      </c>
      <c r="BM262" s="339">
        <v>260.69</v>
      </c>
      <c r="BN262" s="339">
        <v>260.69</v>
      </c>
      <c r="BO262" s="339">
        <v>260.69</v>
      </c>
      <c r="BP262" s="339">
        <v>260.69</v>
      </c>
      <c r="BQ262" s="339">
        <v>260.69</v>
      </c>
      <c r="BR262" s="339">
        <v>260.69</v>
      </c>
      <c r="BS262" s="110" t="e">
        <f t="array" aca="1" ref="BS262" ca="1">_xludf.XLOOKUP(D262,'PL TOTAL D0'!N:N,'PL TOTAL D0'!P:P,"")</f>
        <v>#NAME?</v>
      </c>
      <c r="BT262" s="110"/>
    </row>
    <row r="263" spans="1:72" ht="15.75" customHeight="1">
      <c r="A263" s="122" t="s">
        <v>3785</v>
      </c>
      <c r="B263" s="104" t="s">
        <v>4604</v>
      </c>
      <c r="C263" s="86" t="s">
        <v>4605</v>
      </c>
      <c r="D263" s="299">
        <v>6666003</v>
      </c>
      <c r="E263" s="293" t="s">
        <v>2923</v>
      </c>
      <c r="F263" s="293" t="s">
        <v>20</v>
      </c>
      <c r="G263" s="293" t="s">
        <v>2923</v>
      </c>
      <c r="H263" s="293" t="str">
        <f>IFERROR(VLOOKUP(G263,'Cadastro de assessores'!A:B,2,FALSE),"Não Cadastrado")</f>
        <v>18986</v>
      </c>
      <c r="I263" s="293"/>
      <c r="J263" s="24" t="s">
        <v>3788</v>
      </c>
      <c r="K263" s="292" t="s">
        <v>3147</v>
      </c>
      <c r="L263" s="460"/>
      <c r="M263" s="461" t="s">
        <v>4606</v>
      </c>
      <c r="N263" s="462"/>
      <c r="O263" s="293" t="s">
        <v>4607</v>
      </c>
      <c r="P263" s="428">
        <v>7.0000000000000001E-3</v>
      </c>
      <c r="Q263" s="421"/>
      <c r="R263" s="417"/>
      <c r="S263" s="292" t="str">
        <f t="shared" si="25"/>
        <v/>
      </c>
      <c r="T263" s="292" t="s">
        <v>145</v>
      </c>
      <c r="U263" s="86"/>
      <c r="V263" s="299" t="s">
        <v>3147</v>
      </c>
      <c r="W263" s="350"/>
      <c r="X263" s="463"/>
      <c r="Y263" s="463"/>
      <c r="Z263" s="463"/>
      <c r="AA263" s="350"/>
      <c r="AB263" s="350"/>
      <c r="AC263" s="464"/>
      <c r="AD263" s="463"/>
      <c r="AE263" s="463"/>
      <c r="AF263" s="463"/>
      <c r="AG263" s="350"/>
      <c r="AH263" s="350"/>
      <c r="AI263" s="464"/>
      <c r="AJ263" s="463"/>
      <c r="AK263" s="463"/>
      <c r="AL263" s="463"/>
      <c r="AM263" s="350"/>
      <c r="AN263" s="350"/>
      <c r="AO263" s="464"/>
      <c r="AP263" s="463"/>
      <c r="AQ263" s="463"/>
      <c r="AR263" s="463"/>
      <c r="AS263" s="350"/>
      <c r="AT263" s="463"/>
      <c r="AU263" s="463"/>
      <c r="AV263" s="463"/>
      <c r="AW263" s="463"/>
      <c r="AX263" s="463"/>
      <c r="AY263" s="339"/>
      <c r="AZ263" s="339"/>
      <c r="BA263" s="339">
        <v>0</v>
      </c>
      <c r="BB263" s="339">
        <v>0</v>
      </c>
      <c r="BC263" s="339"/>
      <c r="BD263" s="339" t="s">
        <v>2932</v>
      </c>
      <c r="BE263" s="339" t="s">
        <v>2932</v>
      </c>
      <c r="BF263" s="339">
        <v>0</v>
      </c>
      <c r="BG263" s="339">
        <v>0</v>
      </c>
      <c r="BH263" s="339">
        <v>0</v>
      </c>
      <c r="BI263" s="339">
        <v>0</v>
      </c>
      <c r="BJ263" s="339">
        <v>0</v>
      </c>
      <c r="BK263" s="339">
        <v>0</v>
      </c>
      <c r="BL263" s="339">
        <v>0</v>
      </c>
      <c r="BM263" s="339">
        <v>0</v>
      </c>
      <c r="BN263" s="339">
        <v>0</v>
      </c>
      <c r="BO263" s="339">
        <v>0</v>
      </c>
      <c r="BP263" s="339">
        <v>0</v>
      </c>
      <c r="BQ263" s="339">
        <v>0</v>
      </c>
      <c r="BR263" s="339">
        <v>0</v>
      </c>
      <c r="BS263" s="110" t="e">
        <f t="array" aca="1" ref="BS263" ca="1">_xludf.XLOOKUP(D263,'PL TOTAL D0'!N:N,'PL TOTAL D0'!P:P,"")</f>
        <v>#NAME?</v>
      </c>
      <c r="BT263" s="110"/>
    </row>
    <row r="264" spans="1:72" ht="15.75" customHeight="1">
      <c r="A264" s="122" t="s">
        <v>3785</v>
      </c>
      <c r="B264" s="104" t="s">
        <v>4608</v>
      </c>
      <c r="C264" s="390" t="s">
        <v>4609</v>
      </c>
      <c r="D264" s="299">
        <v>58954</v>
      </c>
      <c r="E264" s="293" t="s">
        <v>19</v>
      </c>
      <c r="F264" s="293" t="s">
        <v>49</v>
      </c>
      <c r="G264" s="293" t="s">
        <v>2036</v>
      </c>
      <c r="H264" s="293">
        <f>IFERROR(VLOOKUP(G264,'Cadastro de assessores'!A:B,2,FALSE),"Não Cadastrado")</f>
        <v>12350</v>
      </c>
      <c r="I264" s="293"/>
      <c r="J264" s="24" t="s">
        <v>152</v>
      </c>
      <c r="K264" s="292" t="s">
        <v>161</v>
      </c>
      <c r="L264" s="293" t="s">
        <v>3147</v>
      </c>
      <c r="M264" s="415">
        <v>44866</v>
      </c>
      <c r="N264" s="299"/>
      <c r="O264" s="299" t="s">
        <v>3802</v>
      </c>
      <c r="P264" s="388">
        <v>5.0000000000000001E-3</v>
      </c>
      <c r="Q264" s="167" t="s">
        <v>4610</v>
      </c>
      <c r="R264" s="417"/>
      <c r="S264" s="292"/>
      <c r="T264" s="292" t="s">
        <v>145</v>
      </c>
      <c r="U264" s="292" t="s">
        <v>3841</v>
      </c>
      <c r="V264" s="292" t="s">
        <v>49</v>
      </c>
      <c r="W264" s="418"/>
      <c r="X264" s="418"/>
      <c r="Y264" s="418"/>
      <c r="Z264" s="418"/>
      <c r="AA264" s="418"/>
      <c r="AB264" s="418"/>
      <c r="AC264" s="418"/>
      <c r="AD264" s="418"/>
      <c r="AE264" s="418"/>
      <c r="AF264" s="418"/>
      <c r="AG264" s="418"/>
      <c r="AH264" s="418"/>
      <c r="AI264" s="418"/>
      <c r="AJ264" s="418"/>
      <c r="AK264" s="339"/>
      <c r="AL264" s="339"/>
      <c r="AM264" s="339"/>
      <c r="AN264" s="339"/>
      <c r="AO264" s="339"/>
      <c r="AP264" s="339"/>
      <c r="AQ264" s="339"/>
      <c r="AR264" s="339"/>
      <c r="AS264" s="339"/>
      <c r="AT264" s="339"/>
      <c r="AU264" s="339"/>
      <c r="AV264" s="339"/>
      <c r="AW264" s="339"/>
      <c r="AX264" s="339"/>
      <c r="AY264" s="339"/>
      <c r="AZ264" s="339"/>
      <c r="BA264" s="339"/>
      <c r="BB264" s="339"/>
      <c r="BC264" s="339"/>
      <c r="BD264" s="339"/>
      <c r="BE264" s="339"/>
      <c r="BF264" s="339">
        <v>0</v>
      </c>
      <c r="BG264" s="339">
        <v>341347.55599999998</v>
      </c>
      <c r="BH264" s="339">
        <v>343067.54</v>
      </c>
      <c r="BI264" s="339">
        <v>345055.35</v>
      </c>
      <c r="BJ264" s="339">
        <v>329203.95</v>
      </c>
      <c r="BK264" s="339">
        <v>331397.67</v>
      </c>
      <c r="BL264" s="339">
        <v>333979.46000000002</v>
      </c>
      <c r="BM264" s="339">
        <v>335097.49</v>
      </c>
      <c r="BN264" s="339">
        <v>338167.55</v>
      </c>
      <c r="BO264" s="339">
        <v>363330.77</v>
      </c>
      <c r="BP264" s="339">
        <v>319752.31</v>
      </c>
      <c r="BQ264" s="339">
        <v>321713.28999999998</v>
      </c>
      <c r="BR264" s="339">
        <v>323943.53000000003</v>
      </c>
      <c r="BS264" s="110" t="e">
        <f t="array" aca="1" ref="BS264" ca="1">_xludf.XLOOKUP(D264,'PL TOTAL D0'!N:N,'PL TOTAL D0'!P:P,"")</f>
        <v>#NAME?</v>
      </c>
      <c r="BT264" s="110"/>
    </row>
    <row r="265" spans="1:72" ht="15.75" customHeight="1">
      <c r="A265" s="122" t="s">
        <v>3785</v>
      </c>
      <c r="B265" s="104" t="s">
        <v>4611</v>
      </c>
      <c r="C265" s="122" t="s">
        <v>4612</v>
      </c>
      <c r="D265" s="292">
        <v>4920389</v>
      </c>
      <c r="E265" s="292" t="s">
        <v>19</v>
      </c>
      <c r="F265" s="292" t="s">
        <v>20</v>
      </c>
      <c r="G265" s="292" t="s">
        <v>3793</v>
      </c>
      <c r="H265" s="292" t="str">
        <f>IFERROR(VLOOKUP(G265,'Cadastro de assessores'!A:B,2,FALSE),"Não Cadastrado")</f>
        <v>17679</v>
      </c>
      <c r="I265" s="292"/>
      <c r="J265" s="24" t="s">
        <v>143</v>
      </c>
      <c r="K265" s="292" t="s">
        <v>3794</v>
      </c>
      <c r="L265" s="387">
        <v>44263</v>
      </c>
      <c r="M265" s="387">
        <v>44263</v>
      </c>
      <c r="N265" s="391">
        <v>44456</v>
      </c>
      <c r="O265" s="299" t="s">
        <v>3842</v>
      </c>
      <c r="P265" s="388">
        <v>8.0000000000000002E-3</v>
      </c>
      <c r="Q265" s="420" t="s">
        <v>3796</v>
      </c>
      <c r="R265" s="417"/>
      <c r="S265" s="292" t="str">
        <f t="shared" ref="S265:S269" si="26">IF(BC265&lt;=0,"",IF(BC265&lt;=1000000,"Não Qualificado",IF(AND(BC265&gt;1000000,BC265&lt;=10000000),"Qualificado","Profissional")))</f>
        <v>Não Qualificado</v>
      </c>
      <c r="T265" s="292" t="s">
        <v>145</v>
      </c>
      <c r="U265" s="292" t="s">
        <v>4613</v>
      </c>
      <c r="V265" s="292" t="s">
        <v>1656</v>
      </c>
      <c r="W265" s="418"/>
      <c r="X265" s="418"/>
      <c r="Y265" s="418"/>
      <c r="Z265" s="418"/>
      <c r="AA265" s="418"/>
      <c r="AB265" s="418"/>
      <c r="AC265" s="418"/>
      <c r="AD265" s="418"/>
      <c r="AE265" s="418"/>
      <c r="AF265" s="418"/>
      <c r="AG265" s="418"/>
      <c r="AH265" s="418"/>
      <c r="AI265" s="418"/>
      <c r="AJ265" s="418"/>
      <c r="AK265" s="339"/>
      <c r="AL265" s="339"/>
      <c r="AM265" s="339"/>
      <c r="AN265" s="339">
        <v>194389.88</v>
      </c>
      <c r="AO265" s="339">
        <v>197420.05</v>
      </c>
      <c r="AP265" s="339">
        <v>297479.58</v>
      </c>
      <c r="AQ265" s="339">
        <v>298955.34999999998</v>
      </c>
      <c r="AR265" s="339">
        <v>392220.84</v>
      </c>
      <c r="AS265" s="339">
        <v>486530.46</v>
      </c>
      <c r="AT265" s="339">
        <v>546861.28</v>
      </c>
      <c r="AU265" s="339">
        <v>530522.22</v>
      </c>
      <c r="AV265" s="339"/>
      <c r="AW265" s="339"/>
      <c r="AX265" s="339"/>
      <c r="AY265" s="339"/>
      <c r="AZ265" s="339"/>
      <c r="BA265" s="339">
        <v>0</v>
      </c>
      <c r="BB265" s="339">
        <v>0</v>
      </c>
      <c r="BC265" s="339">
        <v>264992.65999999997</v>
      </c>
      <c r="BD265" s="339" t="s">
        <v>2932</v>
      </c>
      <c r="BE265" s="339" t="s">
        <v>2932</v>
      </c>
      <c r="BF265" s="339">
        <v>0</v>
      </c>
      <c r="BG265" s="339">
        <v>0</v>
      </c>
      <c r="BH265" s="339">
        <v>0</v>
      </c>
      <c r="BI265" s="339">
        <v>0</v>
      </c>
      <c r="BJ265" s="339">
        <v>0</v>
      </c>
      <c r="BK265" s="339">
        <v>0</v>
      </c>
      <c r="BL265" s="339">
        <v>0</v>
      </c>
      <c r="BM265" s="339">
        <v>0</v>
      </c>
      <c r="BN265" s="339">
        <v>0</v>
      </c>
      <c r="BO265" s="339">
        <v>0</v>
      </c>
      <c r="BP265" s="339">
        <v>0</v>
      </c>
      <c r="BQ265" s="339">
        <v>0</v>
      </c>
      <c r="BR265" s="339">
        <v>0</v>
      </c>
      <c r="BS265" s="110" t="e">
        <f t="array" aca="1" ref="BS265" ca="1">_xludf.XLOOKUP(D265,'PL TOTAL D0'!N:N,'PL TOTAL D0'!P:P,"")</f>
        <v>#NAME?</v>
      </c>
      <c r="BT265" s="110"/>
    </row>
    <row r="266" spans="1:72" ht="15.75" customHeight="1">
      <c r="A266" s="122" t="s">
        <v>3785</v>
      </c>
      <c r="B266" s="104" t="s">
        <v>3267</v>
      </c>
      <c r="C266" s="122" t="s">
        <v>4614</v>
      </c>
      <c r="D266" s="292">
        <v>3518710</v>
      </c>
      <c r="E266" s="292" t="s">
        <v>2923</v>
      </c>
      <c r="F266" s="292" t="s">
        <v>20</v>
      </c>
      <c r="G266" s="292" t="s">
        <v>2923</v>
      </c>
      <c r="H266" s="292" t="str">
        <f>IFERROR(VLOOKUP(G266,'Cadastro de assessores'!A:B,2,FALSE),"Não Cadastrado")</f>
        <v>18986</v>
      </c>
      <c r="I266" s="292"/>
      <c r="J266" s="24" t="s">
        <v>143</v>
      </c>
      <c r="K266" s="292" t="s">
        <v>3794</v>
      </c>
      <c r="L266" s="387">
        <v>43717</v>
      </c>
      <c r="M266" s="387">
        <v>43717</v>
      </c>
      <c r="N266" s="387">
        <v>44705</v>
      </c>
      <c r="O266" s="292" t="s">
        <v>4188</v>
      </c>
      <c r="P266" s="388">
        <v>0.01</v>
      </c>
      <c r="Q266" s="167" t="s">
        <v>4615</v>
      </c>
      <c r="R266" s="417"/>
      <c r="S266" s="292" t="str">
        <f t="shared" si="26"/>
        <v>Não Qualificado</v>
      </c>
      <c r="T266" s="292" t="s">
        <v>145</v>
      </c>
      <c r="U266" s="292" t="s">
        <v>3797</v>
      </c>
      <c r="V266" s="292" t="s">
        <v>20</v>
      </c>
      <c r="W266" s="418" t="s">
        <v>4616</v>
      </c>
      <c r="X266" s="418"/>
      <c r="Y266" s="418" t="s">
        <v>4617</v>
      </c>
      <c r="Z266" s="418" t="s">
        <v>4618</v>
      </c>
      <c r="AA266" s="418" t="s">
        <v>4619</v>
      </c>
      <c r="AB266" s="418" t="s">
        <v>4620</v>
      </c>
      <c r="AC266" s="418" t="s">
        <v>4621</v>
      </c>
      <c r="AD266" s="418" t="s">
        <v>4622</v>
      </c>
      <c r="AE266" s="418" t="s">
        <v>4623</v>
      </c>
      <c r="AF266" s="418" t="s">
        <v>4624</v>
      </c>
      <c r="AG266" s="418" t="s">
        <v>4625</v>
      </c>
      <c r="AH266" s="418" t="s">
        <v>4626</v>
      </c>
      <c r="AI266" s="418" t="s">
        <v>4627</v>
      </c>
      <c r="AJ266" s="418" t="s">
        <v>4628</v>
      </c>
      <c r="AK266" s="339">
        <v>141556.48000000001</v>
      </c>
      <c r="AL266" s="339">
        <v>140414.97</v>
      </c>
      <c r="AM266" s="339">
        <v>137414.22</v>
      </c>
      <c r="AN266" s="339">
        <v>137210.63</v>
      </c>
      <c r="AO266" s="339">
        <v>139766.79999999999</v>
      </c>
      <c r="AP266" s="339">
        <v>140282.1</v>
      </c>
      <c r="AQ266" s="339">
        <v>140003.78</v>
      </c>
      <c r="AR266" s="339">
        <v>485.69</v>
      </c>
      <c r="AS266" s="339">
        <v>508.53</v>
      </c>
      <c r="AT266" s="339">
        <v>508.09</v>
      </c>
      <c r="AU266" s="339">
        <v>508.09</v>
      </c>
      <c r="AV266" s="339">
        <v>300.73</v>
      </c>
      <c r="AW266" s="339">
        <v>507.27</v>
      </c>
      <c r="AX266" s="339">
        <v>506.87</v>
      </c>
      <c r="AY266" s="339">
        <v>124.19</v>
      </c>
      <c r="AZ266" s="339">
        <v>124.19</v>
      </c>
      <c r="BA266" s="339">
        <v>124.19</v>
      </c>
      <c r="BB266" s="339">
        <v>124.19</v>
      </c>
      <c r="BC266" s="339">
        <v>91972.77</v>
      </c>
      <c r="BD266" s="339" t="s">
        <v>2932</v>
      </c>
      <c r="BE266" s="339" t="s">
        <v>2932</v>
      </c>
      <c r="BF266" s="339">
        <v>0</v>
      </c>
      <c r="BG266" s="339">
        <v>0</v>
      </c>
      <c r="BH266" s="339">
        <v>0</v>
      </c>
      <c r="BI266" s="339">
        <v>0</v>
      </c>
      <c r="BJ266" s="339">
        <v>0</v>
      </c>
      <c r="BK266" s="339">
        <v>0</v>
      </c>
      <c r="BL266" s="339">
        <v>0</v>
      </c>
      <c r="BM266" s="339">
        <v>0</v>
      </c>
      <c r="BN266" s="339">
        <v>0</v>
      </c>
      <c r="BO266" s="339">
        <v>0</v>
      </c>
      <c r="BP266" s="339">
        <v>0</v>
      </c>
      <c r="BQ266" s="339">
        <v>0</v>
      </c>
      <c r="BR266" s="339">
        <v>0</v>
      </c>
      <c r="BS266" s="110" t="e">
        <f t="array" aca="1" ref="BS266" ca="1">_xludf.XLOOKUP(D266,'PL TOTAL D0'!N:N,'PL TOTAL D0'!P:P,"")</f>
        <v>#NAME?</v>
      </c>
      <c r="BT266" s="110"/>
    </row>
    <row r="267" spans="1:72" ht="15.75" customHeight="1">
      <c r="A267" s="122" t="s">
        <v>3785</v>
      </c>
      <c r="B267" s="104" t="s">
        <v>4629</v>
      </c>
      <c r="C267" s="122" t="s">
        <v>4630</v>
      </c>
      <c r="D267" s="292">
        <v>2746879</v>
      </c>
      <c r="E267" s="293" t="s">
        <v>64</v>
      </c>
      <c r="F267" s="293" t="s">
        <v>20</v>
      </c>
      <c r="G267" s="293" t="s">
        <v>4104</v>
      </c>
      <c r="H267" s="293" t="str">
        <f>IFERROR(VLOOKUP(G267,'Cadastro de assessores'!A:B,2,FALSE),"Não Cadastrado")</f>
        <v>19157</v>
      </c>
      <c r="I267" s="293"/>
      <c r="J267" s="24" t="s">
        <v>3788</v>
      </c>
      <c r="K267" s="293" t="s">
        <v>152</v>
      </c>
      <c r="L267" s="415">
        <v>44218</v>
      </c>
      <c r="M267" s="415">
        <v>44249</v>
      </c>
      <c r="N267" s="292"/>
      <c r="O267" s="292" t="s">
        <v>3809</v>
      </c>
      <c r="P267" s="388">
        <v>2.5000000000000001E-2</v>
      </c>
      <c r="Q267" s="420"/>
      <c r="R267" s="417"/>
      <c r="S267" s="292" t="str">
        <f t="shared" si="26"/>
        <v/>
      </c>
      <c r="T267" s="292" t="s">
        <v>145</v>
      </c>
      <c r="U267" s="292" t="s">
        <v>3929</v>
      </c>
      <c r="V267" s="292" t="s">
        <v>20</v>
      </c>
      <c r="W267" s="418"/>
      <c r="X267" s="418"/>
      <c r="Y267" s="418"/>
      <c r="Z267" s="418"/>
      <c r="AA267" s="418"/>
      <c r="AB267" s="418"/>
      <c r="AC267" s="418"/>
      <c r="AD267" s="418"/>
      <c r="AE267" s="418"/>
      <c r="AF267" s="418"/>
      <c r="AG267" s="418"/>
      <c r="AH267" s="418"/>
      <c r="AI267" s="418"/>
      <c r="AJ267" s="418"/>
      <c r="AK267" s="339"/>
      <c r="AL267" s="339"/>
      <c r="AM267" s="339">
        <v>194059.41</v>
      </c>
      <c r="AN267" s="339">
        <v>192367.38</v>
      </c>
      <c r="AO267" s="339">
        <v>200235.45</v>
      </c>
      <c r="AP267" s="339">
        <v>204842.85</v>
      </c>
      <c r="AQ267" s="339">
        <v>202745.1</v>
      </c>
      <c r="AR267" s="339">
        <v>214690.35</v>
      </c>
      <c r="AS267" s="339">
        <v>219243.11</v>
      </c>
      <c r="AT267" s="339">
        <v>207559.63</v>
      </c>
      <c r="AU267" s="339">
        <v>202478.02</v>
      </c>
      <c r="AV267" s="339">
        <v>183570.34</v>
      </c>
      <c r="AW267" s="339">
        <v>175613.97</v>
      </c>
      <c r="AX267" s="339">
        <v>173446.95</v>
      </c>
      <c r="AY267" s="339">
        <v>177384.12</v>
      </c>
      <c r="AZ267" s="339">
        <v>189647.14</v>
      </c>
      <c r="BA267" s="339">
        <v>191065.83</v>
      </c>
      <c r="BB267" s="339">
        <v>204244.13</v>
      </c>
      <c r="BC267" s="339"/>
      <c r="BD267" s="339">
        <v>185838.47</v>
      </c>
      <c r="BE267" s="339">
        <v>1042.19</v>
      </c>
      <c r="BF267" s="339">
        <v>499.36</v>
      </c>
      <c r="BG267" s="339">
        <v>257.07</v>
      </c>
      <c r="BH267" s="339">
        <v>257.07</v>
      </c>
      <c r="BI267" s="339">
        <v>257.07</v>
      </c>
      <c r="BJ267" s="339">
        <v>257.07</v>
      </c>
      <c r="BK267" s="339">
        <v>257.07</v>
      </c>
      <c r="BL267" s="339">
        <v>940.22</v>
      </c>
      <c r="BM267" s="339">
        <v>940.23</v>
      </c>
      <c r="BN267" s="339">
        <v>940.99</v>
      </c>
      <c r="BO267" s="339">
        <v>41.9</v>
      </c>
      <c r="BP267" s="339">
        <v>42.85</v>
      </c>
      <c r="BQ267" s="339">
        <v>46.77</v>
      </c>
      <c r="BR267" s="339">
        <v>45.09</v>
      </c>
      <c r="BS267" s="110" t="e">
        <f t="array" aca="1" ref="BS267" ca="1">_xludf.XLOOKUP(D267,'PL TOTAL D0'!N:N,'PL TOTAL D0'!P:P,"")</f>
        <v>#NAME?</v>
      </c>
      <c r="BT267" s="110"/>
    </row>
    <row r="268" spans="1:72" ht="15.75" customHeight="1">
      <c r="A268" s="122" t="s">
        <v>3785</v>
      </c>
      <c r="B268" s="104" t="s">
        <v>4631</v>
      </c>
      <c r="C268" s="390" t="s">
        <v>4632</v>
      </c>
      <c r="D268" s="422">
        <v>8392629</v>
      </c>
      <c r="E268" s="293" t="s">
        <v>19</v>
      </c>
      <c r="F268" s="293" t="s">
        <v>20</v>
      </c>
      <c r="G268" s="293" t="s">
        <v>942</v>
      </c>
      <c r="H268" s="293">
        <f>IFERROR(VLOOKUP(G268,'Cadastro de assessores'!A:B,2,FALSE),"Não Cadastrado")</f>
        <v>12342</v>
      </c>
      <c r="I268" s="293"/>
      <c r="J268" s="24" t="s">
        <v>3788</v>
      </c>
      <c r="K268" s="293" t="s">
        <v>152</v>
      </c>
      <c r="L268" s="415">
        <v>44662</v>
      </c>
      <c r="M268" s="415">
        <v>44670</v>
      </c>
      <c r="N268" s="299"/>
      <c r="O268" s="299" t="s">
        <v>3802</v>
      </c>
      <c r="P268" s="388">
        <v>7.0000000000000001E-3</v>
      </c>
      <c r="Q268" s="167"/>
      <c r="R268" s="417"/>
      <c r="S268" s="292" t="str">
        <f t="shared" si="26"/>
        <v>Não Qualificado</v>
      </c>
      <c r="T268" s="292" t="s">
        <v>145</v>
      </c>
      <c r="U268" s="292" t="s">
        <v>4633</v>
      </c>
      <c r="V268" s="292" t="s">
        <v>4634</v>
      </c>
      <c r="W268" s="350"/>
      <c r="X268" s="350"/>
      <c r="Y268" s="350"/>
      <c r="Z268" s="350"/>
      <c r="AA268" s="350"/>
      <c r="AB268" s="350"/>
      <c r="AC268" s="350"/>
      <c r="AD268" s="350"/>
      <c r="AE268" s="350"/>
      <c r="AF268" s="350"/>
      <c r="AG268" s="350"/>
      <c r="AH268" s="418"/>
      <c r="AI268" s="418"/>
      <c r="AJ268" s="339"/>
      <c r="AK268" s="339"/>
      <c r="AL268" s="339"/>
      <c r="AM268" s="339"/>
      <c r="AN268" s="339"/>
      <c r="AO268" s="339"/>
      <c r="AP268" s="339"/>
      <c r="AQ268" s="339"/>
      <c r="AR268" s="339"/>
      <c r="AS268" s="339"/>
      <c r="AT268" s="339"/>
      <c r="AU268" s="339"/>
      <c r="AV268" s="339"/>
      <c r="AW268" s="339"/>
      <c r="AX268" s="350"/>
      <c r="AY268" s="350"/>
      <c r="AZ268" s="418"/>
      <c r="BA268" s="418"/>
      <c r="BB268" s="418"/>
      <c r="BC268" s="418">
        <v>509389.84</v>
      </c>
      <c r="BD268" s="339">
        <v>455359.81</v>
      </c>
      <c r="BE268" s="339">
        <v>490445.16</v>
      </c>
      <c r="BF268" s="339">
        <v>504637.56</v>
      </c>
      <c r="BG268" s="339">
        <v>507087.29019999999</v>
      </c>
      <c r="BH268" s="339">
        <v>510217.5</v>
      </c>
      <c r="BI268" s="339">
        <v>514147.22</v>
      </c>
      <c r="BJ268" s="339">
        <v>519121.9</v>
      </c>
      <c r="BK268" s="339">
        <v>523653.51</v>
      </c>
      <c r="BL268" s="339">
        <v>529079.07999999996</v>
      </c>
      <c r="BM268" s="339">
        <v>533179.57999999996</v>
      </c>
      <c r="BN268" s="339">
        <v>619889.06000000006</v>
      </c>
      <c r="BO268" s="339">
        <v>623589.27</v>
      </c>
      <c r="BP268" s="339">
        <v>628239.97</v>
      </c>
      <c r="BQ268" s="339">
        <v>712200.02</v>
      </c>
      <c r="BR268" s="339">
        <v>717003.78</v>
      </c>
      <c r="BS268" s="110" t="e">
        <f t="array" aca="1" ref="BS268" ca="1">_xludf.XLOOKUP(D268,'PL TOTAL D0'!N:N,'PL TOTAL D0'!P:P,"")</f>
        <v>#NAME?</v>
      </c>
      <c r="BT268" s="110"/>
    </row>
    <row r="269" spans="1:72" ht="15.75" customHeight="1">
      <c r="A269" s="122" t="s">
        <v>3785</v>
      </c>
      <c r="B269" s="104" t="s">
        <v>1514</v>
      </c>
      <c r="C269" s="122" t="s">
        <v>4635</v>
      </c>
      <c r="D269" s="292">
        <v>3848682</v>
      </c>
      <c r="E269" s="293" t="s">
        <v>19</v>
      </c>
      <c r="F269" s="293" t="s">
        <v>20</v>
      </c>
      <c r="G269" s="293" t="s">
        <v>21</v>
      </c>
      <c r="H269" s="293">
        <f>IFERROR(VLOOKUP(G269,'Cadastro de assessores'!A:B,2,FALSE),"Não Cadastrado")</f>
        <v>12344</v>
      </c>
      <c r="I269" s="293"/>
      <c r="J269" s="24" t="s">
        <v>3788</v>
      </c>
      <c r="K269" s="293" t="s">
        <v>152</v>
      </c>
      <c r="L269" s="415">
        <v>44586</v>
      </c>
      <c r="M269" s="415">
        <v>44586</v>
      </c>
      <c r="N269" s="307"/>
      <c r="O269" s="299" t="s">
        <v>3802</v>
      </c>
      <c r="P269" s="388">
        <v>7.0000000000000001E-3</v>
      </c>
      <c r="Q269" s="167" t="s">
        <v>4636</v>
      </c>
      <c r="R269" s="417"/>
      <c r="S269" s="292" t="str">
        <f t="shared" si="26"/>
        <v/>
      </c>
      <c r="T269" s="292" t="s">
        <v>145</v>
      </c>
      <c r="U269" s="292" t="s">
        <v>3816</v>
      </c>
      <c r="V269" s="292" t="s">
        <v>20</v>
      </c>
      <c r="W269" s="350"/>
      <c r="X269" s="350"/>
      <c r="Y269" s="350"/>
      <c r="Z269" s="350"/>
      <c r="AA269" s="350"/>
      <c r="AB269" s="350"/>
      <c r="AC269" s="350"/>
      <c r="AD269" s="350"/>
      <c r="AE269" s="350"/>
      <c r="AF269" s="350"/>
      <c r="AG269" s="350"/>
      <c r="AH269" s="418"/>
      <c r="AI269" s="418"/>
      <c r="AJ269" s="339"/>
      <c r="AK269" s="339"/>
      <c r="AL269" s="339"/>
      <c r="AM269" s="339"/>
      <c r="AN269" s="339"/>
      <c r="AO269" s="339"/>
      <c r="AP269" s="339"/>
      <c r="AQ269" s="339"/>
      <c r="AR269" s="339"/>
      <c r="AS269" s="339"/>
      <c r="AT269" s="339"/>
      <c r="AU269" s="339"/>
      <c r="AV269" s="339"/>
      <c r="AW269" s="339"/>
      <c r="AX269" s="350"/>
      <c r="AY269" s="350"/>
      <c r="AZ269" s="418"/>
      <c r="BA269" s="418">
        <v>423023.2</v>
      </c>
      <c r="BB269" s="418">
        <v>736913.14</v>
      </c>
      <c r="BC269" s="418"/>
      <c r="BD269" s="339">
        <v>1323656.75</v>
      </c>
      <c r="BE269" s="339">
        <v>1309995.49</v>
      </c>
      <c r="BF269" s="339">
        <v>1332952.43</v>
      </c>
      <c r="BG269" s="339">
        <v>1343771.196</v>
      </c>
      <c r="BH269" s="339">
        <v>1335848.06</v>
      </c>
      <c r="BI269" s="339">
        <v>2080314.25</v>
      </c>
      <c r="BJ269" s="339">
        <v>2094409.57</v>
      </c>
      <c r="BK269" s="339">
        <v>1979374.85</v>
      </c>
      <c r="BL269" s="339">
        <v>2004960.27</v>
      </c>
      <c r="BM269" s="339">
        <v>1005076.66</v>
      </c>
      <c r="BN269" s="339">
        <v>27695.439999999999</v>
      </c>
      <c r="BO269" s="339">
        <v>27552</v>
      </c>
      <c r="BP269" s="339">
        <v>27990</v>
      </c>
      <c r="BQ269" s="339">
        <v>28161.98</v>
      </c>
      <c r="BR269" s="339">
        <v>28161.98</v>
      </c>
      <c r="BS269" s="110" t="e">
        <f t="array" aca="1" ref="BS269" ca="1">_xludf.XLOOKUP(D269,'PL TOTAL D0'!N:N,'PL TOTAL D0'!P:P,"")</f>
        <v>#NAME?</v>
      </c>
      <c r="BT269" s="110"/>
    </row>
    <row r="270" spans="1:72" ht="15.75" customHeight="1">
      <c r="A270" s="122" t="s">
        <v>3785</v>
      </c>
      <c r="B270" s="104" t="s">
        <v>1514</v>
      </c>
      <c r="C270" s="122" t="s">
        <v>4635</v>
      </c>
      <c r="D270" s="299">
        <v>7975707</v>
      </c>
      <c r="E270" s="293" t="s">
        <v>19</v>
      </c>
      <c r="F270" s="293" t="s">
        <v>20</v>
      </c>
      <c r="G270" s="293" t="s">
        <v>21</v>
      </c>
      <c r="H270" s="293">
        <f>IFERROR(VLOOKUP(G270,'Cadastro de assessores'!A:B,2,FALSE),"Não Cadastrado")</f>
        <v>12344</v>
      </c>
      <c r="I270" s="293"/>
      <c r="J270" s="24" t="s">
        <v>152</v>
      </c>
      <c r="K270" s="293"/>
      <c r="L270" s="415"/>
      <c r="M270" s="415"/>
      <c r="N270" s="458"/>
      <c r="O270" s="292" t="s">
        <v>3809</v>
      </c>
      <c r="P270" s="388">
        <v>2.5000000000000001E-2</v>
      </c>
      <c r="Q270" s="167"/>
      <c r="R270" s="417"/>
      <c r="S270" s="292"/>
      <c r="T270" s="292"/>
      <c r="U270" s="292"/>
      <c r="V270" s="292" t="s">
        <v>1656</v>
      </c>
      <c r="W270" s="418"/>
      <c r="X270" s="418"/>
      <c r="Y270" s="418"/>
      <c r="Z270" s="418"/>
      <c r="AA270" s="418"/>
      <c r="AB270" s="418"/>
      <c r="AC270" s="418"/>
      <c r="AD270" s="418"/>
      <c r="AE270" s="418"/>
      <c r="AF270" s="418"/>
      <c r="AG270" s="418"/>
      <c r="AH270" s="418"/>
      <c r="AI270" s="418"/>
      <c r="AJ270" s="418"/>
      <c r="AK270" s="339"/>
      <c r="AL270" s="339"/>
      <c r="AM270" s="339"/>
      <c r="AN270" s="339"/>
      <c r="AO270" s="339"/>
      <c r="AP270" s="339"/>
      <c r="AQ270" s="339"/>
      <c r="AR270" s="339"/>
      <c r="AS270" s="339"/>
      <c r="AT270" s="339"/>
      <c r="AU270" s="339"/>
      <c r="AV270" s="339"/>
      <c r="AW270" s="339"/>
      <c r="AX270" s="339"/>
      <c r="AY270" s="339"/>
      <c r="AZ270" s="339"/>
      <c r="BA270" s="339"/>
      <c r="BB270" s="339"/>
      <c r="BC270" s="339"/>
      <c r="BD270" s="339"/>
      <c r="BE270" s="339"/>
      <c r="BF270" s="339"/>
      <c r="BG270" s="339"/>
      <c r="BH270" s="339"/>
      <c r="BI270" s="339">
        <v>33327.01</v>
      </c>
      <c r="BJ270" s="339">
        <v>37978.97</v>
      </c>
      <c r="BK270" s="339">
        <v>37582.49</v>
      </c>
      <c r="BL270" s="339">
        <v>38230.21</v>
      </c>
      <c r="BM270" s="339">
        <v>36658.559999999998</v>
      </c>
      <c r="BN270" s="339">
        <v>35716.629999999997</v>
      </c>
      <c r="BO270" s="339">
        <v>35906.660000000003</v>
      </c>
      <c r="BP270" s="339">
        <v>36279.06</v>
      </c>
      <c r="BQ270" s="339">
        <v>21787.759999999998</v>
      </c>
      <c r="BR270" s="339">
        <v>22495.22</v>
      </c>
      <c r="BS270" s="110" t="e">
        <f t="array" aca="1" ref="BS270" ca="1">_xludf.XLOOKUP(D270,'PL TOTAL D0'!N:N,'PL TOTAL D0'!P:P,"")</f>
        <v>#NAME?</v>
      </c>
      <c r="BT270" s="110"/>
    </row>
    <row r="271" spans="1:72" ht="15.75" customHeight="1">
      <c r="A271" s="122" t="s">
        <v>3785</v>
      </c>
      <c r="B271" s="104" t="s">
        <v>1514</v>
      </c>
      <c r="C271" s="122" t="s">
        <v>4635</v>
      </c>
      <c r="D271" s="292">
        <v>4652696</v>
      </c>
      <c r="E271" s="293" t="s">
        <v>19</v>
      </c>
      <c r="F271" s="293" t="s">
        <v>20</v>
      </c>
      <c r="G271" s="293" t="s">
        <v>21</v>
      </c>
      <c r="H271" s="293">
        <f>IFERROR(VLOOKUP(G271,'Cadastro de assessores'!A:B,2,FALSE),"Não Cadastrado")</f>
        <v>12344</v>
      </c>
      <c r="I271" s="293"/>
      <c r="J271" s="24" t="s">
        <v>152</v>
      </c>
      <c r="K271" s="293" t="s">
        <v>152</v>
      </c>
      <c r="L271" s="415">
        <v>44188</v>
      </c>
      <c r="M271" s="415">
        <v>44194</v>
      </c>
      <c r="N271" s="458"/>
      <c r="O271" s="292" t="s">
        <v>4150</v>
      </c>
      <c r="P271" s="388">
        <v>0.01</v>
      </c>
      <c r="Q271" s="167" t="s">
        <v>4637</v>
      </c>
      <c r="R271" s="417"/>
      <c r="S271" s="292" t="str">
        <f t="shared" ref="S271:S272" si="27">IF(BC271&lt;=0,"",IF(BC271&lt;=1000000,"Não Qualificado",IF(AND(BC271&gt;1000000,BC271&lt;=10000000),"Qualificado","Profissional")))</f>
        <v/>
      </c>
      <c r="T271" s="292" t="s">
        <v>145</v>
      </c>
      <c r="U271" s="292" t="s">
        <v>3816</v>
      </c>
      <c r="V271" s="292" t="s">
        <v>20</v>
      </c>
      <c r="W271" s="418" t="s">
        <v>3798</v>
      </c>
      <c r="X271" s="418" t="s">
        <v>3798</v>
      </c>
      <c r="Y271" s="418" t="s">
        <v>3798</v>
      </c>
      <c r="Z271" s="418" t="s">
        <v>3798</v>
      </c>
      <c r="AA271" s="418" t="s">
        <v>3798</v>
      </c>
      <c r="AB271" s="418" t="s">
        <v>3798</v>
      </c>
      <c r="AC271" s="418" t="s">
        <v>3798</v>
      </c>
      <c r="AD271" s="418" t="s">
        <v>3798</v>
      </c>
      <c r="AE271" s="418" t="s">
        <v>3798</v>
      </c>
      <c r="AF271" s="418" t="s">
        <v>3798</v>
      </c>
      <c r="AG271" s="418" t="s">
        <v>3798</v>
      </c>
      <c r="AH271" s="418" t="s">
        <v>3798</v>
      </c>
      <c r="AI271" s="418" t="s">
        <v>3798</v>
      </c>
      <c r="AJ271" s="418" t="s">
        <v>3798</v>
      </c>
      <c r="AK271" s="339">
        <v>239578.87</v>
      </c>
      <c r="AL271" s="339">
        <v>238262.91</v>
      </c>
      <c r="AM271" s="339">
        <v>234810.92</v>
      </c>
      <c r="AN271" s="339">
        <v>234680.86</v>
      </c>
      <c r="AO271" s="339">
        <v>238069.06</v>
      </c>
      <c r="AP271" s="339">
        <v>238844.79999999999</v>
      </c>
      <c r="AQ271" s="339">
        <v>238395.1</v>
      </c>
      <c r="AR271" s="339">
        <v>241206.1</v>
      </c>
      <c r="AS271" s="339">
        <v>240757.59</v>
      </c>
      <c r="AT271" s="339">
        <v>238948.77</v>
      </c>
      <c r="AU271" s="339">
        <v>238776.43</v>
      </c>
      <c r="AV271" s="339">
        <v>236949.11</v>
      </c>
      <c r="AW271" s="339">
        <v>231351.09</v>
      </c>
      <c r="AX271" s="339">
        <v>233136.44</v>
      </c>
      <c r="AY271" s="339">
        <v>235997.43</v>
      </c>
      <c r="AZ271" s="339">
        <v>307441.78999999998</v>
      </c>
      <c r="BA271" s="339">
        <v>886901</v>
      </c>
      <c r="BB271" s="339">
        <v>891284.59</v>
      </c>
      <c r="BC271" s="339"/>
      <c r="BD271" s="339">
        <v>848009.19</v>
      </c>
      <c r="BE271" s="339">
        <v>858686.85</v>
      </c>
      <c r="BF271" s="339">
        <v>866647.3</v>
      </c>
      <c r="BG271" s="339">
        <v>872455.40449999995</v>
      </c>
      <c r="BH271" s="339">
        <v>853621.81</v>
      </c>
      <c r="BI271" s="339">
        <v>98819.3</v>
      </c>
      <c r="BJ271" s="339">
        <v>96303.98</v>
      </c>
      <c r="BK271" s="339">
        <v>96533.93</v>
      </c>
      <c r="BL271" s="339">
        <v>87049.84</v>
      </c>
      <c r="BM271" s="339">
        <v>87432.01</v>
      </c>
      <c r="BN271" s="339">
        <v>52447.32</v>
      </c>
      <c r="BO271" s="339">
        <v>53228.160000000003</v>
      </c>
      <c r="BP271" s="339">
        <v>52949.34</v>
      </c>
      <c r="BQ271" s="339">
        <v>49608.959999999999</v>
      </c>
      <c r="BR271" s="339">
        <v>49127.68</v>
      </c>
      <c r="BS271" s="110" t="e">
        <f t="array" aca="1" ref="BS271" ca="1">_xludf.XLOOKUP(D271,'PL TOTAL D0'!N:N,'PL TOTAL D0'!P:P,"")</f>
        <v>#NAME?</v>
      </c>
      <c r="BT271" s="110"/>
    </row>
    <row r="272" spans="1:72" ht="15.75" customHeight="1">
      <c r="A272" s="122" t="s">
        <v>3785</v>
      </c>
      <c r="B272" s="104" t="s">
        <v>4638</v>
      </c>
      <c r="C272" s="390" t="s">
        <v>4639</v>
      </c>
      <c r="D272" s="299">
        <v>8514028</v>
      </c>
      <c r="E272" s="293" t="s">
        <v>19</v>
      </c>
      <c r="F272" s="293" t="s">
        <v>49</v>
      </c>
      <c r="G272" s="299" t="s">
        <v>4640</v>
      </c>
      <c r="H272" s="293">
        <f>IFERROR(VLOOKUP(G272,'Cadastro de assessores'!A:B,2,FALSE),"Não Cadastrado")</f>
        <v>12358</v>
      </c>
      <c r="I272" s="293"/>
      <c r="J272" s="24" t="s">
        <v>143</v>
      </c>
      <c r="K272" s="293" t="s">
        <v>152</v>
      </c>
      <c r="L272" s="415">
        <v>44690</v>
      </c>
      <c r="M272" s="415">
        <v>44693</v>
      </c>
      <c r="N272" s="419">
        <v>44914</v>
      </c>
      <c r="O272" s="292" t="s">
        <v>3842</v>
      </c>
      <c r="P272" s="388">
        <v>8.0000000000000002E-3</v>
      </c>
      <c r="Q272" s="420"/>
      <c r="R272" s="417"/>
      <c r="S272" s="292" t="str">
        <f t="shared" si="27"/>
        <v>Não Qualificado</v>
      </c>
      <c r="T272" s="292" t="s">
        <v>145</v>
      </c>
      <c r="U272" s="292" t="s">
        <v>3832</v>
      </c>
      <c r="V272" s="292" t="s">
        <v>20</v>
      </c>
      <c r="W272" s="418"/>
      <c r="X272" s="418"/>
      <c r="Y272" s="418"/>
      <c r="Z272" s="418"/>
      <c r="AA272" s="418"/>
      <c r="AB272" s="418"/>
      <c r="AC272" s="418"/>
      <c r="AD272" s="418"/>
      <c r="AE272" s="418"/>
      <c r="AF272" s="418"/>
      <c r="AG272" s="418"/>
      <c r="AH272" s="418"/>
      <c r="AI272" s="418"/>
      <c r="AJ272" s="418"/>
      <c r="AK272" s="339"/>
      <c r="AL272" s="339"/>
      <c r="AM272" s="339"/>
      <c r="AN272" s="339"/>
      <c r="AO272" s="339"/>
      <c r="AP272" s="339"/>
      <c r="AQ272" s="339"/>
      <c r="AR272" s="339"/>
      <c r="AS272" s="339"/>
      <c r="AT272" s="339"/>
      <c r="AU272" s="339"/>
      <c r="AV272" s="339"/>
      <c r="AW272" s="339"/>
      <c r="AX272" s="339"/>
      <c r="AY272" s="339"/>
      <c r="AZ272" s="339"/>
      <c r="BA272" s="339"/>
      <c r="BB272" s="339"/>
      <c r="BC272" s="339">
        <v>96313.57</v>
      </c>
      <c r="BD272" s="339">
        <v>527755.9</v>
      </c>
      <c r="BE272" s="339">
        <v>527460.96</v>
      </c>
      <c r="BF272" s="339">
        <v>533652.18000000005</v>
      </c>
      <c r="BG272" s="339">
        <v>548840.23</v>
      </c>
      <c r="BH272" s="339">
        <v>548153.5</v>
      </c>
      <c r="BI272" s="339">
        <v>553902.69999999995</v>
      </c>
      <c r="BJ272" s="339">
        <v>536986.89</v>
      </c>
      <c r="BK272" s="339">
        <v>0</v>
      </c>
      <c r="BL272" s="339">
        <v>0</v>
      </c>
      <c r="BM272" s="339">
        <v>0</v>
      </c>
      <c r="BN272" s="339">
        <v>0</v>
      </c>
      <c r="BO272" s="339">
        <v>0</v>
      </c>
      <c r="BP272" s="339">
        <v>0</v>
      </c>
      <c r="BQ272" s="339">
        <v>0</v>
      </c>
      <c r="BR272" s="339">
        <v>0</v>
      </c>
      <c r="BS272" s="110" t="e">
        <f t="array" aca="1" ref="BS272" ca="1">_xludf.XLOOKUP(D272,'PL TOTAL D0'!N:N,'PL TOTAL D0'!P:P,"")</f>
        <v>#NAME?</v>
      </c>
      <c r="BT272" s="110"/>
    </row>
    <row r="273" spans="1:72" ht="15.75" customHeight="1">
      <c r="A273" s="122" t="s">
        <v>3785</v>
      </c>
      <c r="B273" s="104" t="s">
        <v>1555</v>
      </c>
      <c r="C273" s="122" t="s">
        <v>1553</v>
      </c>
      <c r="D273" s="292">
        <v>2358079</v>
      </c>
      <c r="E273" s="293" t="s">
        <v>19</v>
      </c>
      <c r="F273" s="293" t="s">
        <v>49</v>
      </c>
      <c r="G273" s="293" t="s">
        <v>3983</v>
      </c>
      <c r="H273" s="293">
        <f>IFERROR(VLOOKUP(G273,'Cadastro de assessores'!A:B,2,FALSE),"Não Cadastrado")</f>
        <v>12351</v>
      </c>
      <c r="I273" s="293"/>
      <c r="J273" s="24" t="s">
        <v>3788</v>
      </c>
      <c r="K273" s="293" t="s">
        <v>152</v>
      </c>
      <c r="L273" s="415">
        <v>44733</v>
      </c>
      <c r="M273" s="415">
        <v>44733</v>
      </c>
      <c r="N273" s="292"/>
      <c r="O273" s="292" t="s">
        <v>3805</v>
      </c>
      <c r="P273" s="388">
        <v>1.2E-2</v>
      </c>
      <c r="Q273" s="440" t="s">
        <v>4641</v>
      </c>
      <c r="R273" s="417"/>
      <c r="S273" s="292"/>
      <c r="T273" s="292" t="s">
        <v>145</v>
      </c>
      <c r="U273" s="306" t="s">
        <v>4049</v>
      </c>
      <c r="V273" s="292" t="s">
        <v>886</v>
      </c>
      <c r="W273" s="418"/>
      <c r="X273" s="418"/>
      <c r="Y273" s="418"/>
      <c r="Z273" s="418"/>
      <c r="AA273" s="418"/>
      <c r="AB273" s="418"/>
      <c r="AC273" s="418"/>
      <c r="AD273" s="418"/>
      <c r="AE273" s="418"/>
      <c r="AF273" s="418"/>
      <c r="AG273" s="418"/>
      <c r="AH273" s="418"/>
      <c r="AI273" s="418"/>
      <c r="AJ273" s="418"/>
      <c r="AK273" s="339"/>
      <c r="AL273" s="339"/>
      <c r="AM273" s="339"/>
      <c r="AN273" s="339"/>
      <c r="AO273" s="339"/>
      <c r="AP273" s="339"/>
      <c r="AQ273" s="339"/>
      <c r="AR273" s="339"/>
      <c r="AS273" s="339"/>
      <c r="AT273" s="339"/>
      <c r="AU273" s="339"/>
      <c r="AV273" s="339"/>
      <c r="AW273" s="339"/>
      <c r="AX273" s="339"/>
      <c r="AY273" s="339"/>
      <c r="AZ273" s="339"/>
      <c r="BA273" s="339"/>
      <c r="BB273" s="339"/>
      <c r="BC273" s="339"/>
      <c r="BD273" s="339"/>
      <c r="BE273" s="339">
        <v>310778.78999999998</v>
      </c>
      <c r="BF273" s="339">
        <v>325194.67</v>
      </c>
      <c r="BG273" s="339">
        <v>321713.39970000001</v>
      </c>
      <c r="BH273" s="339">
        <v>324036.55</v>
      </c>
      <c r="BI273" s="339">
        <v>318740.96000000002</v>
      </c>
      <c r="BJ273" s="339">
        <v>319926.98</v>
      </c>
      <c r="BK273" s="339">
        <v>322823.23</v>
      </c>
      <c r="BL273" s="339">
        <v>300.14999999999998</v>
      </c>
      <c r="BM273" s="339">
        <v>97.38</v>
      </c>
      <c r="BN273" s="339">
        <v>0</v>
      </c>
      <c r="BO273" s="339">
        <v>0</v>
      </c>
      <c r="BP273" s="339">
        <v>0</v>
      </c>
      <c r="BQ273" s="339">
        <v>0</v>
      </c>
      <c r="BR273" s="339">
        <v>0</v>
      </c>
      <c r="BS273" s="110" t="e">
        <f t="array" aca="1" ref="BS273" ca="1">_xludf.XLOOKUP(D273,'PL TOTAL D0'!N:N,'PL TOTAL D0'!P:P,"")</f>
        <v>#NAME?</v>
      </c>
      <c r="BT273" s="110"/>
    </row>
    <row r="274" spans="1:72" ht="15.75" customHeight="1">
      <c r="A274" s="122" t="s">
        <v>3785</v>
      </c>
      <c r="B274" s="104" t="s">
        <v>4642</v>
      </c>
      <c r="C274" s="122" t="s">
        <v>4643</v>
      </c>
      <c r="D274" s="292">
        <v>2864258</v>
      </c>
      <c r="E274" s="292" t="s">
        <v>2923</v>
      </c>
      <c r="F274" s="292" t="s">
        <v>20</v>
      </c>
      <c r="G274" s="292" t="s">
        <v>2923</v>
      </c>
      <c r="H274" s="292" t="str">
        <f>IFERROR(VLOOKUP(G274,'Cadastro de assessores'!A:B,2,FALSE),"Não Cadastrado")</f>
        <v>18986</v>
      </c>
      <c r="I274" s="292"/>
      <c r="J274" s="24" t="s">
        <v>143</v>
      </c>
      <c r="K274" s="292" t="s">
        <v>3794</v>
      </c>
      <c r="L274" s="387">
        <v>44070</v>
      </c>
      <c r="M274" s="387">
        <v>44070</v>
      </c>
      <c r="N274" s="292"/>
      <c r="O274" s="292" t="s">
        <v>3789</v>
      </c>
      <c r="P274" s="388">
        <v>0.02</v>
      </c>
      <c r="Q274" s="440" t="s">
        <v>4644</v>
      </c>
      <c r="R274" s="417"/>
      <c r="S274" s="292" t="str">
        <f t="shared" ref="S274:S283" si="28">IF(BC274&lt;=0,"",IF(BC274&lt;=1000000,"Não Qualificado",IF(AND(BC274&gt;1000000,BC274&lt;=10000000),"Qualificado","Profissional")))</f>
        <v>Não Qualificado</v>
      </c>
      <c r="T274" s="292" t="s">
        <v>145</v>
      </c>
      <c r="U274" s="306" t="s">
        <v>3929</v>
      </c>
      <c r="V274" s="292" t="s">
        <v>20</v>
      </c>
      <c r="W274" s="418" t="s">
        <v>3798</v>
      </c>
      <c r="X274" s="418" t="s">
        <v>3798</v>
      </c>
      <c r="Y274" s="418" t="s">
        <v>3798</v>
      </c>
      <c r="Z274" s="418" t="s">
        <v>3798</v>
      </c>
      <c r="AA274" s="418" t="s">
        <v>3798</v>
      </c>
      <c r="AB274" s="418" t="s">
        <v>3798</v>
      </c>
      <c r="AC274" s="418" t="s">
        <v>3798</v>
      </c>
      <c r="AD274" s="418" t="s">
        <v>3798</v>
      </c>
      <c r="AE274" s="418" t="s">
        <v>3798</v>
      </c>
      <c r="AF274" s="418" t="s">
        <v>3798</v>
      </c>
      <c r="AG274" s="418" t="s">
        <v>4645</v>
      </c>
      <c r="AH274" s="418" t="s">
        <v>4646</v>
      </c>
      <c r="AI274" s="418" t="s">
        <v>4647</v>
      </c>
      <c r="AJ274" s="418" t="s">
        <v>4648</v>
      </c>
      <c r="AK274" s="339">
        <v>52748.91</v>
      </c>
      <c r="AL274" s="339">
        <v>51164.24</v>
      </c>
      <c r="AM274" s="339">
        <v>47591.43</v>
      </c>
      <c r="AN274" s="339">
        <v>47072.3</v>
      </c>
      <c r="AO274" s="339">
        <v>331.53</v>
      </c>
      <c r="AP274" s="339">
        <v>331.04</v>
      </c>
      <c r="AQ274" s="339">
        <v>330.89</v>
      </c>
      <c r="AR274" s="339">
        <v>330.76</v>
      </c>
      <c r="AS274" s="339">
        <v>330.56</v>
      </c>
      <c r="AT274" s="339">
        <v>330.44</v>
      </c>
      <c r="AU274" s="339">
        <v>330.29</v>
      </c>
      <c r="AV274" s="339">
        <v>235.2</v>
      </c>
      <c r="AW274" s="339">
        <v>330.33</v>
      </c>
      <c r="AX274" s="339">
        <v>330.43</v>
      </c>
      <c r="AY274" s="339">
        <v>60.39</v>
      </c>
      <c r="AZ274" s="339">
        <v>61.37</v>
      </c>
      <c r="BA274" s="339">
        <v>62.38</v>
      </c>
      <c r="BB274" s="339">
        <v>63.39</v>
      </c>
      <c r="BC274" s="339">
        <v>184842.28</v>
      </c>
      <c r="BD274" s="339">
        <v>505.26</v>
      </c>
      <c r="BE274" s="339">
        <v>509.47</v>
      </c>
      <c r="BF274" s="339">
        <v>513.38</v>
      </c>
      <c r="BG274" s="339">
        <v>0</v>
      </c>
      <c r="BH274" s="339">
        <v>0</v>
      </c>
      <c r="BI274" s="339">
        <v>0</v>
      </c>
      <c r="BJ274" s="339">
        <v>0</v>
      </c>
      <c r="BK274" s="339">
        <v>0</v>
      </c>
      <c r="BL274" s="339">
        <v>0</v>
      </c>
      <c r="BM274" s="339">
        <v>0</v>
      </c>
      <c r="BN274" s="339">
        <v>0</v>
      </c>
      <c r="BO274" s="339">
        <v>0</v>
      </c>
      <c r="BP274" s="339">
        <v>0</v>
      </c>
      <c r="BQ274" s="339">
        <v>0</v>
      </c>
      <c r="BR274" s="339">
        <v>0</v>
      </c>
      <c r="BS274" s="110" t="e">
        <f t="array" aca="1" ref="BS274" ca="1">_xludf.XLOOKUP(D274,'PL TOTAL D0'!N:N,'PL TOTAL D0'!P:P,"")</f>
        <v>#NAME?</v>
      </c>
      <c r="BT274" s="110"/>
    </row>
    <row r="275" spans="1:72" ht="15.75" customHeight="1">
      <c r="A275" s="122" t="s">
        <v>3785</v>
      </c>
      <c r="B275" s="104" t="s">
        <v>1582</v>
      </c>
      <c r="C275" s="441" t="s">
        <v>1579</v>
      </c>
      <c r="D275" s="426">
        <v>6879934</v>
      </c>
      <c r="E275" s="293" t="s">
        <v>19</v>
      </c>
      <c r="F275" s="293" t="s">
        <v>49</v>
      </c>
      <c r="G275" s="426" t="s">
        <v>166</v>
      </c>
      <c r="H275" s="293" t="str">
        <f>IFERROR(VLOOKUP(G275,'Cadastro de assessores'!A:B,2,FALSE),"Não Cadastrado")</f>
        <v>18890</v>
      </c>
      <c r="I275" s="293"/>
      <c r="J275" s="24" t="s">
        <v>3788</v>
      </c>
      <c r="K275" s="293" t="s">
        <v>152</v>
      </c>
      <c r="L275" s="415">
        <v>44567</v>
      </c>
      <c r="M275" s="415">
        <v>44568</v>
      </c>
      <c r="N275" s="426"/>
      <c r="O275" s="426" t="s">
        <v>4465</v>
      </c>
      <c r="P275" s="388">
        <v>1.0999999999999999E-2</v>
      </c>
      <c r="Q275" s="167" t="s">
        <v>4649</v>
      </c>
      <c r="R275" s="417"/>
      <c r="S275" s="292" t="str">
        <f t="shared" si="28"/>
        <v>Não Qualificado</v>
      </c>
      <c r="T275" s="292" t="s">
        <v>145</v>
      </c>
      <c r="U275" s="299" t="s">
        <v>4650</v>
      </c>
      <c r="V275" s="292" t="s">
        <v>49</v>
      </c>
      <c r="W275" s="350"/>
      <c r="X275" s="350"/>
      <c r="Y275" s="350"/>
      <c r="Z275" s="350"/>
      <c r="AA275" s="350"/>
      <c r="AB275" s="350"/>
      <c r="AC275" s="350"/>
      <c r="AD275" s="350"/>
      <c r="AE275" s="350"/>
      <c r="AF275" s="350"/>
      <c r="AG275" s="350"/>
      <c r="AH275" s="418"/>
      <c r="AI275" s="418"/>
      <c r="AJ275" s="339"/>
      <c r="AK275" s="339"/>
      <c r="AL275" s="339"/>
      <c r="AM275" s="339"/>
      <c r="AN275" s="339"/>
      <c r="AO275" s="339"/>
      <c r="AP275" s="339"/>
      <c r="AQ275" s="339"/>
      <c r="AR275" s="339"/>
      <c r="AS275" s="339"/>
      <c r="AT275" s="339"/>
      <c r="AU275" s="339"/>
      <c r="AV275" s="339"/>
      <c r="AW275" s="339"/>
      <c r="AX275" s="350"/>
      <c r="AY275" s="350"/>
      <c r="AZ275" s="431">
        <v>2025583.05</v>
      </c>
      <c r="BA275" s="431">
        <v>2040896.96</v>
      </c>
      <c r="BB275" s="431">
        <v>2071481</v>
      </c>
      <c r="BC275" s="431">
        <v>628833.01</v>
      </c>
      <c r="BD275" s="339">
        <v>3750018.87</v>
      </c>
      <c r="BE275" s="339">
        <v>3418784.31</v>
      </c>
      <c r="BF275" s="339">
        <v>3448084.58</v>
      </c>
      <c r="BG275" s="339">
        <v>3476965.17</v>
      </c>
      <c r="BH275" s="339">
        <v>3565688.65</v>
      </c>
      <c r="BI275" s="339">
        <v>3587278.34</v>
      </c>
      <c r="BJ275" s="339">
        <v>3598520.2</v>
      </c>
      <c r="BK275" s="339">
        <v>3615787.71</v>
      </c>
      <c r="BL275" s="339">
        <v>503538.88</v>
      </c>
      <c r="BM275" s="339">
        <v>708413.74</v>
      </c>
      <c r="BN275" s="339">
        <v>193.2</v>
      </c>
      <c r="BO275" s="339">
        <v>193.2</v>
      </c>
      <c r="BP275" s="339">
        <v>193.2</v>
      </c>
      <c r="BQ275" s="339">
        <v>193.2</v>
      </c>
      <c r="BR275" s="339">
        <v>193.2</v>
      </c>
      <c r="BS275" s="110" t="e">
        <f t="array" aca="1" ref="BS275" ca="1">_xludf.XLOOKUP(D275,'PL TOTAL D0'!N:N,'PL TOTAL D0'!P:P,"")</f>
        <v>#NAME?</v>
      </c>
      <c r="BT275" s="110"/>
    </row>
    <row r="276" spans="1:72" ht="15.75" customHeight="1">
      <c r="A276" s="122" t="s">
        <v>3785</v>
      </c>
      <c r="B276" s="104" t="s">
        <v>4651</v>
      </c>
      <c r="C276" s="122" t="s">
        <v>4652</v>
      </c>
      <c r="D276" s="292">
        <v>4386181</v>
      </c>
      <c r="E276" s="292" t="s">
        <v>64</v>
      </c>
      <c r="F276" s="292" t="s">
        <v>20</v>
      </c>
      <c r="G276" s="292" t="s">
        <v>73</v>
      </c>
      <c r="H276" s="292" t="str">
        <f>IFERROR(VLOOKUP(G276,'Cadastro de assessores'!A:B,2,FALSE),"Não Cadastrado")</f>
        <v>17243</v>
      </c>
      <c r="I276" s="292"/>
      <c r="J276" s="24" t="s">
        <v>143</v>
      </c>
      <c r="K276" s="292" t="s">
        <v>3794</v>
      </c>
      <c r="L276" s="387">
        <v>44067</v>
      </c>
      <c r="M276" s="387">
        <v>44067</v>
      </c>
      <c r="N276" s="292"/>
      <c r="O276" s="292" t="s">
        <v>3809</v>
      </c>
      <c r="P276" s="388">
        <v>2.5000000000000001E-2</v>
      </c>
      <c r="Q276" s="420" t="s">
        <v>4653</v>
      </c>
      <c r="R276" s="417"/>
      <c r="S276" s="292" t="str">
        <f t="shared" si="28"/>
        <v>Qualificado</v>
      </c>
      <c r="T276" s="292" t="s">
        <v>145</v>
      </c>
      <c r="U276" s="292" t="s">
        <v>3816</v>
      </c>
      <c r="V276" s="292" t="s">
        <v>20</v>
      </c>
      <c r="W276" s="418" t="s">
        <v>3798</v>
      </c>
      <c r="X276" s="418" t="s">
        <v>3798</v>
      </c>
      <c r="Y276" s="418" t="s">
        <v>3798</v>
      </c>
      <c r="Z276" s="418" t="s">
        <v>3798</v>
      </c>
      <c r="AA276" s="418" t="s">
        <v>3798</v>
      </c>
      <c r="AB276" s="418" t="s">
        <v>3798</v>
      </c>
      <c r="AC276" s="418" t="s">
        <v>3798</v>
      </c>
      <c r="AD276" s="418" t="s">
        <v>3798</v>
      </c>
      <c r="AE276" s="418" t="s">
        <v>3798</v>
      </c>
      <c r="AF276" s="418" t="s">
        <v>3798</v>
      </c>
      <c r="AG276" s="418" t="s">
        <v>4654</v>
      </c>
      <c r="AH276" s="418" t="s">
        <v>4655</v>
      </c>
      <c r="AI276" s="418" t="s">
        <v>4656</v>
      </c>
      <c r="AJ276" s="418" t="s">
        <v>4657</v>
      </c>
      <c r="AK276" s="339">
        <v>822128.93</v>
      </c>
      <c r="AL276" s="339">
        <v>816447.36</v>
      </c>
      <c r="AM276" s="339">
        <v>198544.13</v>
      </c>
      <c r="AN276" s="339">
        <v>197787.88</v>
      </c>
      <c r="AO276" s="339">
        <v>211936.86</v>
      </c>
      <c r="AP276" s="339">
        <v>214974.83</v>
      </c>
      <c r="AQ276" s="339">
        <v>212981.13</v>
      </c>
      <c r="AR276" s="339">
        <v>224810.15</v>
      </c>
      <c r="AS276" s="339">
        <v>219851.64</v>
      </c>
      <c r="AT276" s="339">
        <v>208836.23</v>
      </c>
      <c r="AU276" s="339">
        <v>204784.07</v>
      </c>
      <c r="AV276" s="339">
        <v>148952.73000000001</v>
      </c>
      <c r="AW276" s="339">
        <v>114093.84</v>
      </c>
      <c r="AX276" s="339">
        <v>70976.34</v>
      </c>
      <c r="AY276" s="339">
        <v>40927.03</v>
      </c>
      <c r="AZ276" s="339">
        <v>30970.58</v>
      </c>
      <c r="BA276" s="339">
        <v>14032.43</v>
      </c>
      <c r="BB276" s="339">
        <v>-122.89</v>
      </c>
      <c r="BC276" s="339">
        <v>1483496.27</v>
      </c>
      <c r="BD276" s="339">
        <v>365.65</v>
      </c>
      <c r="BE276" s="339" t="s">
        <v>2932</v>
      </c>
      <c r="BF276" s="339">
        <v>0</v>
      </c>
      <c r="BG276" s="339">
        <v>0</v>
      </c>
      <c r="BH276" s="339">
        <v>0</v>
      </c>
      <c r="BI276" s="339">
        <v>0</v>
      </c>
      <c r="BJ276" s="339">
        <v>0</v>
      </c>
      <c r="BK276" s="339">
        <v>0</v>
      </c>
      <c r="BL276" s="339">
        <v>0</v>
      </c>
      <c r="BM276" s="339">
        <v>0</v>
      </c>
      <c r="BN276" s="339">
        <v>0</v>
      </c>
      <c r="BO276" s="339">
        <v>0</v>
      </c>
      <c r="BP276" s="339">
        <v>0</v>
      </c>
      <c r="BQ276" s="339">
        <v>0</v>
      </c>
      <c r="BR276" s="339">
        <v>0</v>
      </c>
      <c r="BS276" s="110" t="e">
        <f t="array" aca="1" ref="BS276" ca="1">_xludf.XLOOKUP(D276,'PL TOTAL D0'!N:N,'PL TOTAL D0'!P:P,"")</f>
        <v>#NAME?</v>
      </c>
      <c r="BT276" s="110"/>
    </row>
    <row r="277" spans="1:72" ht="15.75" customHeight="1">
      <c r="A277" s="122" t="s">
        <v>3785</v>
      </c>
      <c r="B277" s="104" t="s">
        <v>4658</v>
      </c>
      <c r="C277" s="122" t="s">
        <v>4659</v>
      </c>
      <c r="D277" s="292">
        <v>4868468</v>
      </c>
      <c r="E277" s="293" t="s">
        <v>64</v>
      </c>
      <c r="F277" s="293" t="s">
        <v>20</v>
      </c>
      <c r="G277" s="293" t="s">
        <v>3634</v>
      </c>
      <c r="H277" s="293" t="str">
        <f>IFERROR(VLOOKUP(G277,'Cadastro de assessores'!A:B,2,FALSE),"Não Cadastrado")</f>
        <v>14574</v>
      </c>
      <c r="I277" s="293"/>
      <c r="J277" s="24" t="s">
        <v>143</v>
      </c>
      <c r="K277" s="293" t="s">
        <v>152</v>
      </c>
      <c r="L277" s="415">
        <v>44246</v>
      </c>
      <c r="M277" s="415">
        <v>44246</v>
      </c>
      <c r="N277" s="387">
        <v>44896</v>
      </c>
      <c r="O277" s="292" t="s">
        <v>3795</v>
      </c>
      <c r="P277" s="388">
        <v>1.4999999999999999E-2</v>
      </c>
      <c r="Q277" s="420" t="s">
        <v>4660</v>
      </c>
      <c r="R277" s="417"/>
      <c r="S277" s="292" t="str">
        <f t="shared" si="28"/>
        <v/>
      </c>
      <c r="T277" s="292" t="s">
        <v>187</v>
      </c>
      <c r="U277" s="292" t="s">
        <v>4661</v>
      </c>
      <c r="V277" s="292" t="s">
        <v>20</v>
      </c>
      <c r="W277" s="418"/>
      <c r="X277" s="418"/>
      <c r="Y277" s="418"/>
      <c r="Z277" s="418"/>
      <c r="AA277" s="418"/>
      <c r="AB277" s="418"/>
      <c r="AC277" s="418"/>
      <c r="AD277" s="418"/>
      <c r="AE277" s="418"/>
      <c r="AF277" s="418"/>
      <c r="AG277" s="418"/>
      <c r="AH277" s="418" t="s">
        <v>4662</v>
      </c>
      <c r="AI277" s="418" t="s">
        <v>4663</v>
      </c>
      <c r="AJ277" s="418" t="s">
        <v>4664</v>
      </c>
      <c r="AK277" s="339">
        <v>26256.36</v>
      </c>
      <c r="AL277" s="339">
        <v>392.11</v>
      </c>
      <c r="AM277" s="339">
        <v>54724.01</v>
      </c>
      <c r="AN277" s="339">
        <v>89776.4</v>
      </c>
      <c r="AO277" s="339">
        <v>129949.69</v>
      </c>
      <c r="AP277" s="339">
        <v>130720.75</v>
      </c>
      <c r="AQ277" s="339">
        <v>130243.36</v>
      </c>
      <c r="AR277" s="339">
        <v>133121.47</v>
      </c>
      <c r="AS277" s="339">
        <v>132083.63</v>
      </c>
      <c r="AT277" s="339">
        <v>129461.05</v>
      </c>
      <c r="AU277" s="339">
        <v>128664.15</v>
      </c>
      <c r="AV277" s="339">
        <v>126530.38</v>
      </c>
      <c r="AW277" s="339">
        <v>122891.05</v>
      </c>
      <c r="AX277" s="339">
        <v>122783.14</v>
      </c>
      <c r="AY277" s="339">
        <v>124205.78</v>
      </c>
      <c r="AZ277" s="339">
        <v>127393.51</v>
      </c>
      <c r="BA277" s="339">
        <v>168304.69</v>
      </c>
      <c r="BB277" s="339">
        <v>171696.13</v>
      </c>
      <c r="BC277" s="339">
        <v>0</v>
      </c>
      <c r="BD277" s="339">
        <v>170641.28</v>
      </c>
      <c r="BE277" s="339">
        <v>170682.8</v>
      </c>
      <c r="BF277" s="339">
        <v>173210.87</v>
      </c>
      <c r="BG277" s="339">
        <v>173936.30989999999</v>
      </c>
      <c r="BH277" s="339">
        <v>174311.44</v>
      </c>
      <c r="BI277" s="339">
        <v>179244.22</v>
      </c>
      <c r="BJ277" s="339">
        <v>179084.31</v>
      </c>
      <c r="BK277" s="339">
        <v>0</v>
      </c>
      <c r="BL277" s="339">
        <v>0</v>
      </c>
      <c r="BM277" s="339">
        <v>0</v>
      </c>
      <c r="BN277" s="339">
        <v>0</v>
      </c>
      <c r="BO277" s="339">
        <v>0</v>
      </c>
      <c r="BP277" s="339">
        <v>0</v>
      </c>
      <c r="BQ277" s="339">
        <v>0</v>
      </c>
      <c r="BR277" s="339">
        <v>0</v>
      </c>
      <c r="BS277" s="110" t="e">
        <f t="array" aca="1" ref="BS277" ca="1">_xludf.XLOOKUP(D277,'PL TOTAL D0'!N:N,'PL TOTAL D0'!P:P,"")</f>
        <v>#NAME?</v>
      </c>
      <c r="BT277" s="110"/>
    </row>
    <row r="278" spans="1:72" ht="15.75" customHeight="1">
      <c r="A278" s="122" t="s">
        <v>3785</v>
      </c>
      <c r="B278" s="104">
        <v>2696554170</v>
      </c>
      <c r="C278" s="122" t="s">
        <v>4665</v>
      </c>
      <c r="D278" s="292">
        <v>3713246</v>
      </c>
      <c r="E278" s="292" t="s">
        <v>2923</v>
      </c>
      <c r="F278" s="292" t="s">
        <v>20</v>
      </c>
      <c r="G278" s="292" t="s">
        <v>2923</v>
      </c>
      <c r="H278" s="292" t="str">
        <f>IFERROR(VLOOKUP(G278,'Cadastro de assessores'!A:B,2,FALSE),"Não Cadastrado")</f>
        <v>18986</v>
      </c>
      <c r="I278" s="292"/>
      <c r="J278" s="24" t="s">
        <v>143</v>
      </c>
      <c r="K278" s="292" t="s">
        <v>3794</v>
      </c>
      <c r="L278" s="387">
        <v>43850</v>
      </c>
      <c r="M278" s="387">
        <v>43850</v>
      </c>
      <c r="N278" s="387">
        <v>44252</v>
      </c>
      <c r="O278" s="292" t="s">
        <v>3805</v>
      </c>
      <c r="P278" s="388">
        <v>0.01</v>
      </c>
      <c r="Q278" s="420" t="s">
        <v>4666</v>
      </c>
      <c r="R278" s="417"/>
      <c r="S278" s="292" t="str">
        <f t="shared" si="28"/>
        <v>Não Qualificado</v>
      </c>
      <c r="T278" s="292" t="s">
        <v>145</v>
      </c>
      <c r="U278" s="292" t="s">
        <v>3991</v>
      </c>
      <c r="V278" s="292" t="s">
        <v>20</v>
      </c>
      <c r="W278" s="418" t="s">
        <v>3798</v>
      </c>
      <c r="X278" s="418" t="s">
        <v>3798</v>
      </c>
      <c r="Y278" s="418" t="s">
        <v>3798</v>
      </c>
      <c r="Z278" s="418" t="s">
        <v>4667</v>
      </c>
      <c r="AA278" s="418" t="s">
        <v>4668</v>
      </c>
      <c r="AB278" s="418" t="s">
        <v>4669</v>
      </c>
      <c r="AC278" s="418" t="s">
        <v>4670</v>
      </c>
      <c r="AD278" s="418" t="s">
        <v>4671</v>
      </c>
      <c r="AE278" s="418" t="s">
        <v>4672</v>
      </c>
      <c r="AF278" s="418" t="s">
        <v>4673</v>
      </c>
      <c r="AG278" s="418" t="s">
        <v>4674</v>
      </c>
      <c r="AH278" s="418" t="s">
        <v>4675</v>
      </c>
      <c r="AI278" s="418" t="s">
        <v>4676</v>
      </c>
      <c r="AJ278" s="418" t="s">
        <v>4677</v>
      </c>
      <c r="AK278" s="339">
        <v>427460.76</v>
      </c>
      <c r="AL278" s="339">
        <v>414609.03</v>
      </c>
      <c r="AM278" s="339">
        <v>367.35</v>
      </c>
      <c r="AN278" s="339">
        <v>281.32</v>
      </c>
      <c r="AO278" s="339"/>
      <c r="AP278" s="339"/>
      <c r="AQ278" s="339"/>
      <c r="AR278" s="339"/>
      <c r="AS278" s="339"/>
      <c r="AT278" s="339"/>
      <c r="AU278" s="339"/>
      <c r="AV278" s="339"/>
      <c r="AW278" s="339"/>
      <c r="AX278" s="339"/>
      <c r="AY278" s="339"/>
      <c r="AZ278" s="339"/>
      <c r="BA278" s="339">
        <v>0</v>
      </c>
      <c r="BB278" s="339">
        <v>0</v>
      </c>
      <c r="BC278" s="339">
        <v>225452.76</v>
      </c>
      <c r="BD278" s="339" t="s">
        <v>2932</v>
      </c>
      <c r="BE278" s="339" t="s">
        <v>2932</v>
      </c>
      <c r="BF278" s="339">
        <v>0</v>
      </c>
      <c r="BG278" s="339">
        <v>0</v>
      </c>
      <c r="BH278" s="339">
        <v>0</v>
      </c>
      <c r="BI278" s="339">
        <v>0</v>
      </c>
      <c r="BJ278" s="339">
        <v>0</v>
      </c>
      <c r="BK278" s="339">
        <v>0</v>
      </c>
      <c r="BL278" s="339">
        <v>0</v>
      </c>
      <c r="BM278" s="339">
        <v>0</v>
      </c>
      <c r="BN278" s="339">
        <v>0</v>
      </c>
      <c r="BO278" s="339">
        <v>0</v>
      </c>
      <c r="BP278" s="339">
        <v>0</v>
      </c>
      <c r="BQ278" s="339">
        <v>0</v>
      </c>
      <c r="BR278" s="339">
        <v>0</v>
      </c>
      <c r="BS278" s="110" t="e">
        <f t="array" aca="1" ref="BS278" ca="1">_xludf.XLOOKUP(D278,'PL TOTAL D0'!N:N,'PL TOTAL D0'!P:P,"")</f>
        <v>#NAME?</v>
      </c>
      <c r="BT278" s="110"/>
    </row>
    <row r="279" spans="1:72" ht="15.75" customHeight="1">
      <c r="A279" s="122" t="s">
        <v>3785</v>
      </c>
      <c r="B279" s="104" t="s">
        <v>4678</v>
      </c>
      <c r="C279" s="122" t="s">
        <v>4679</v>
      </c>
      <c r="D279" s="292">
        <v>2310651</v>
      </c>
      <c r="E279" s="292" t="s">
        <v>2923</v>
      </c>
      <c r="F279" s="292" t="s">
        <v>20</v>
      </c>
      <c r="G279" s="292" t="s">
        <v>2923</v>
      </c>
      <c r="H279" s="292" t="str">
        <f>IFERROR(VLOOKUP(G279,'Cadastro de assessores'!A:B,2,FALSE),"Não Cadastrado")</f>
        <v>18986</v>
      </c>
      <c r="I279" s="292"/>
      <c r="J279" s="24" t="s">
        <v>143</v>
      </c>
      <c r="K279" s="292" t="s">
        <v>3794</v>
      </c>
      <c r="L279" s="387">
        <v>43872</v>
      </c>
      <c r="M279" s="387">
        <v>43872</v>
      </c>
      <c r="N279" s="387">
        <v>44369</v>
      </c>
      <c r="O279" s="292" t="s">
        <v>3795</v>
      </c>
      <c r="P279" s="388">
        <v>1.4999999999999999E-2</v>
      </c>
      <c r="Q279" s="420" t="s">
        <v>4680</v>
      </c>
      <c r="R279" s="417"/>
      <c r="S279" s="292" t="str">
        <f t="shared" si="28"/>
        <v/>
      </c>
      <c r="T279" s="292" t="s">
        <v>145</v>
      </c>
      <c r="U279" s="292" t="s">
        <v>3991</v>
      </c>
      <c r="V279" s="292" t="s">
        <v>20</v>
      </c>
      <c r="W279" s="418" t="s">
        <v>3798</v>
      </c>
      <c r="X279" s="418" t="s">
        <v>3798</v>
      </c>
      <c r="Y279" s="418" t="s">
        <v>3798</v>
      </c>
      <c r="Z279" s="418" t="s">
        <v>4681</v>
      </c>
      <c r="AA279" s="418" t="s">
        <v>4682</v>
      </c>
      <c r="AB279" s="418" t="s">
        <v>4683</v>
      </c>
      <c r="AC279" s="418" t="s">
        <v>4684</v>
      </c>
      <c r="AD279" s="418" t="s">
        <v>4685</v>
      </c>
      <c r="AE279" s="418" t="s">
        <v>4686</v>
      </c>
      <c r="AF279" s="418" t="s">
        <v>4687</v>
      </c>
      <c r="AG279" s="418" t="s">
        <v>4688</v>
      </c>
      <c r="AH279" s="418"/>
      <c r="AI279" s="418" t="s">
        <v>4689</v>
      </c>
      <c r="AJ279" s="418"/>
      <c r="AK279" s="339"/>
      <c r="AL279" s="339"/>
      <c r="AM279" s="339">
        <v>397010.63</v>
      </c>
      <c r="AN279" s="339">
        <v>395360.96</v>
      </c>
      <c r="AO279" s="339">
        <v>404017.27</v>
      </c>
      <c r="AP279" s="339">
        <v>406808.75</v>
      </c>
      <c r="AQ279" s="339">
        <v>405278.82</v>
      </c>
      <c r="AR279" s="339">
        <v>414924.21</v>
      </c>
      <c r="AS279" s="339">
        <v>411756.24</v>
      </c>
      <c r="AT279" s="339"/>
      <c r="AU279" s="339"/>
      <c r="AV279" s="339"/>
      <c r="AW279" s="339"/>
      <c r="AX279" s="339"/>
      <c r="AY279" s="339"/>
      <c r="AZ279" s="339"/>
      <c r="BA279" s="339">
        <v>0</v>
      </c>
      <c r="BB279" s="339">
        <v>0</v>
      </c>
      <c r="BC279" s="339">
        <v>0</v>
      </c>
      <c r="BD279" s="339" t="s">
        <v>2932</v>
      </c>
      <c r="BE279" s="339" t="s">
        <v>2932</v>
      </c>
      <c r="BF279" s="339">
        <v>0</v>
      </c>
      <c r="BG279" s="339">
        <v>0</v>
      </c>
      <c r="BH279" s="339">
        <v>0</v>
      </c>
      <c r="BI279" s="339">
        <v>0</v>
      </c>
      <c r="BJ279" s="339">
        <v>0</v>
      </c>
      <c r="BK279" s="339">
        <v>0</v>
      </c>
      <c r="BL279" s="339">
        <v>0</v>
      </c>
      <c r="BM279" s="339">
        <v>0</v>
      </c>
      <c r="BN279" s="339">
        <v>0</v>
      </c>
      <c r="BO279" s="339">
        <v>0</v>
      </c>
      <c r="BP279" s="339">
        <v>0</v>
      </c>
      <c r="BQ279" s="339">
        <v>0</v>
      </c>
      <c r="BR279" s="339">
        <v>0</v>
      </c>
      <c r="BS279" s="110" t="e">
        <f t="array" aca="1" ref="BS279" ca="1">_xludf.XLOOKUP(D279,'PL TOTAL D0'!N:N,'PL TOTAL D0'!P:P,"")</f>
        <v>#NAME?</v>
      </c>
      <c r="BT279" s="110"/>
    </row>
    <row r="280" spans="1:72" ht="15.75" customHeight="1">
      <c r="A280" s="122" t="s">
        <v>3785</v>
      </c>
      <c r="B280" s="104" t="s">
        <v>4690</v>
      </c>
      <c r="C280" s="390" t="s">
        <v>4691</v>
      </c>
      <c r="D280" s="299">
        <v>2256294</v>
      </c>
      <c r="E280" s="293" t="s">
        <v>19</v>
      </c>
      <c r="F280" s="293" t="s">
        <v>49</v>
      </c>
      <c r="G280" s="293" t="s">
        <v>328</v>
      </c>
      <c r="H280" s="293" t="str">
        <f>IFERROR(VLOOKUP(G280,'Cadastro de assessores'!A:B,2,FALSE),"Não Cadastrado")</f>
        <v>18009</v>
      </c>
      <c r="I280" s="293"/>
      <c r="J280" s="24" t="s">
        <v>3788</v>
      </c>
      <c r="K280" s="293" t="s">
        <v>152</v>
      </c>
      <c r="L280" s="415">
        <v>44421</v>
      </c>
      <c r="M280" s="415">
        <v>44421</v>
      </c>
      <c r="N280" s="292"/>
      <c r="O280" s="292" t="s">
        <v>3789</v>
      </c>
      <c r="P280" s="388">
        <v>0.02</v>
      </c>
      <c r="Q280" s="311"/>
      <c r="R280" s="417"/>
      <c r="S280" s="292" t="str">
        <f t="shared" si="28"/>
        <v/>
      </c>
      <c r="T280" s="292" t="s">
        <v>145</v>
      </c>
      <c r="U280" s="299" t="s">
        <v>4181</v>
      </c>
      <c r="V280" s="299" t="s">
        <v>802</v>
      </c>
      <c r="W280" s="350"/>
      <c r="X280" s="350"/>
      <c r="Y280" s="350"/>
      <c r="Z280" s="350"/>
      <c r="AA280" s="350"/>
      <c r="AB280" s="350"/>
      <c r="AC280" s="350"/>
      <c r="AD280" s="350"/>
      <c r="AE280" s="350"/>
      <c r="AF280" s="350"/>
      <c r="AG280" s="350"/>
      <c r="AH280" s="418"/>
      <c r="AI280" s="339"/>
      <c r="AJ280" s="339"/>
      <c r="AK280" s="339"/>
      <c r="AL280" s="339"/>
      <c r="AM280" s="339"/>
      <c r="AN280" s="339"/>
      <c r="AO280" s="339"/>
      <c r="AP280" s="339"/>
      <c r="AQ280" s="339"/>
      <c r="AR280" s="350"/>
      <c r="AS280" s="350"/>
      <c r="AT280" s="340"/>
      <c r="AU280" s="340">
        <v>77428.429999999993</v>
      </c>
      <c r="AV280" s="339">
        <v>72498.289999999994</v>
      </c>
      <c r="AW280" s="339">
        <v>67234.91</v>
      </c>
      <c r="AX280" s="339">
        <v>64898.38</v>
      </c>
      <c r="AY280" s="339">
        <v>63714.92</v>
      </c>
      <c r="AZ280" s="339">
        <v>61033.9</v>
      </c>
      <c r="BA280" s="339">
        <v>54285.81</v>
      </c>
      <c r="BB280" s="339">
        <v>57252.43</v>
      </c>
      <c r="BC280" s="339">
        <v>0</v>
      </c>
      <c r="BD280" s="339">
        <v>54787.42</v>
      </c>
      <c r="BE280" s="339">
        <v>60412.98</v>
      </c>
      <c r="BF280" s="339">
        <v>62444.54</v>
      </c>
      <c r="BG280" s="339">
        <v>63768.129820000002</v>
      </c>
      <c r="BH280" s="339">
        <v>63657.8</v>
      </c>
      <c r="BI280" s="339">
        <v>71452.7</v>
      </c>
      <c r="BJ280" s="339">
        <v>104618.64</v>
      </c>
      <c r="BK280" s="339">
        <v>160325.32</v>
      </c>
      <c r="BL280" s="339">
        <v>173114.36</v>
      </c>
      <c r="BM280" s="339">
        <v>172528.31</v>
      </c>
      <c r="BN280" s="339">
        <v>0</v>
      </c>
      <c r="BO280" s="339">
        <v>0</v>
      </c>
      <c r="BP280" s="339">
        <v>0</v>
      </c>
      <c r="BQ280" s="339">
        <v>0</v>
      </c>
      <c r="BR280" s="339">
        <v>0</v>
      </c>
      <c r="BS280" s="110" t="e">
        <f t="array" aca="1" ref="BS280" ca="1">_xludf.XLOOKUP(D280,'PL TOTAL D0'!N:N,'PL TOTAL D0'!P:P,"")</f>
        <v>#NAME?</v>
      </c>
      <c r="BT280" s="110"/>
    </row>
    <row r="281" spans="1:72" ht="15.75" customHeight="1">
      <c r="A281" s="122" t="s">
        <v>3785</v>
      </c>
      <c r="B281" s="104" t="s">
        <v>1628</v>
      </c>
      <c r="C281" s="441" t="s">
        <v>1626</v>
      </c>
      <c r="D281" s="422">
        <v>3643555</v>
      </c>
      <c r="E281" s="293" t="s">
        <v>19</v>
      </c>
      <c r="F281" s="293" t="s">
        <v>49</v>
      </c>
      <c r="G281" s="293" t="s">
        <v>166</v>
      </c>
      <c r="H281" s="293" t="str">
        <f>IFERROR(VLOOKUP(G281,'Cadastro de assessores'!A:B,2,FALSE),"Não Cadastrado")</f>
        <v>18890</v>
      </c>
      <c r="I281" s="293"/>
      <c r="J281" s="24" t="s">
        <v>3788</v>
      </c>
      <c r="K281" s="293" t="s">
        <v>152</v>
      </c>
      <c r="L281" s="416">
        <v>44503</v>
      </c>
      <c r="M281" s="416">
        <v>44517</v>
      </c>
      <c r="N281" s="299"/>
      <c r="O281" s="299" t="s">
        <v>3795</v>
      </c>
      <c r="P281" s="388">
        <v>1.4999999999999999E-2</v>
      </c>
      <c r="Q281" s="167"/>
      <c r="R281" s="417"/>
      <c r="S281" s="292" t="str">
        <f t="shared" si="28"/>
        <v>Não Qualificado</v>
      </c>
      <c r="T281" s="292" t="s">
        <v>145</v>
      </c>
      <c r="U281" s="292" t="s">
        <v>3967</v>
      </c>
      <c r="V281" s="292" t="s">
        <v>49</v>
      </c>
      <c r="W281" s="350"/>
      <c r="X281" s="350"/>
      <c r="Y281" s="350"/>
      <c r="Z281" s="350"/>
      <c r="AA281" s="350"/>
      <c r="AB281" s="350"/>
      <c r="AC281" s="350"/>
      <c r="AD281" s="350"/>
      <c r="AE281" s="350"/>
      <c r="AF281" s="350"/>
      <c r="AG281" s="350"/>
      <c r="AH281" s="418"/>
      <c r="AI281" s="339"/>
      <c r="AJ281" s="339"/>
      <c r="AK281" s="339"/>
      <c r="AL281" s="339"/>
      <c r="AM281" s="339"/>
      <c r="AN281" s="339"/>
      <c r="AO281" s="339"/>
      <c r="AP281" s="339"/>
      <c r="AQ281" s="339"/>
      <c r="AR281" s="350"/>
      <c r="AS281" s="340"/>
      <c r="AT281" s="340"/>
      <c r="AU281" s="339"/>
      <c r="AV281" s="339"/>
      <c r="AW281" s="350"/>
      <c r="AX281" s="340"/>
      <c r="AY281" s="340">
        <v>221606.28</v>
      </c>
      <c r="AZ281" s="339">
        <v>229216.85</v>
      </c>
      <c r="BA281" s="339">
        <v>230806.8</v>
      </c>
      <c r="BB281" s="339">
        <v>244847.69</v>
      </c>
      <c r="BC281" s="339">
        <v>188213.62</v>
      </c>
      <c r="BD281" s="339">
        <v>316643.68</v>
      </c>
      <c r="BE281" s="339">
        <v>349539.73</v>
      </c>
      <c r="BF281" s="339">
        <v>389803.15</v>
      </c>
      <c r="BG281" s="339">
        <v>418922.3652</v>
      </c>
      <c r="BH281" s="339">
        <v>457852.48</v>
      </c>
      <c r="BI281" s="339">
        <v>518875.37</v>
      </c>
      <c r="BJ281" s="339">
        <v>555908.78</v>
      </c>
      <c r="BK281" s="339">
        <v>602426.36</v>
      </c>
      <c r="BL281" s="339">
        <v>602574.53</v>
      </c>
      <c r="BM281" s="339">
        <v>107196.22</v>
      </c>
      <c r="BN281" s="339">
        <v>56.77</v>
      </c>
      <c r="BO281" s="339">
        <v>57.28</v>
      </c>
      <c r="BP281" s="339">
        <v>57.8</v>
      </c>
      <c r="BQ281" s="339">
        <v>2070.8000000000002</v>
      </c>
      <c r="BR281" s="339">
        <v>2092.29</v>
      </c>
      <c r="BS281" s="110" t="e">
        <f t="array" aca="1" ref="BS281" ca="1">_xludf.XLOOKUP(D281,'PL TOTAL D0'!N:N,'PL TOTAL D0'!P:P,"")</f>
        <v>#NAME?</v>
      </c>
      <c r="BT281" s="110"/>
    </row>
    <row r="282" spans="1:72" ht="15.75" customHeight="1">
      <c r="A282" s="122" t="s">
        <v>3785</v>
      </c>
      <c r="B282" s="104" t="s">
        <v>4692</v>
      </c>
      <c r="C282" s="122" t="s">
        <v>4693</v>
      </c>
      <c r="D282" s="292">
        <v>2851864</v>
      </c>
      <c r="E282" s="292" t="s">
        <v>64</v>
      </c>
      <c r="F282" s="292" t="s">
        <v>20</v>
      </c>
      <c r="G282" s="292" t="s">
        <v>73</v>
      </c>
      <c r="H282" s="292" t="str">
        <f>IFERROR(VLOOKUP(G282,'Cadastro de assessores'!A:B,2,FALSE),"Não Cadastrado")</f>
        <v>17243</v>
      </c>
      <c r="I282" s="292"/>
      <c r="J282" s="24" t="s">
        <v>143</v>
      </c>
      <c r="K282" s="292" t="s">
        <v>3794</v>
      </c>
      <c r="L282" s="419">
        <v>44389</v>
      </c>
      <c r="M282" s="419">
        <v>44389</v>
      </c>
      <c r="N282" s="387">
        <v>44613</v>
      </c>
      <c r="O282" s="292" t="s">
        <v>3789</v>
      </c>
      <c r="P282" s="388">
        <v>0.02</v>
      </c>
      <c r="Q282" s="167" t="s">
        <v>4694</v>
      </c>
      <c r="R282" s="417"/>
      <c r="S282" s="292" t="str">
        <f t="shared" si="28"/>
        <v/>
      </c>
      <c r="T282" s="292" t="s">
        <v>145</v>
      </c>
      <c r="U282" s="292" t="s">
        <v>3929</v>
      </c>
      <c r="V282" s="292" t="s">
        <v>20</v>
      </c>
      <c r="W282" s="350"/>
      <c r="X282" s="350"/>
      <c r="Y282" s="350"/>
      <c r="Z282" s="350"/>
      <c r="AA282" s="350"/>
      <c r="AB282" s="350"/>
      <c r="AC282" s="350"/>
      <c r="AD282" s="350"/>
      <c r="AE282" s="350"/>
      <c r="AF282" s="350"/>
      <c r="AG282" s="350"/>
      <c r="AH282" s="350"/>
      <c r="AI282" s="418"/>
      <c r="AJ282" s="339"/>
      <c r="AK282" s="339"/>
      <c r="AL282" s="339"/>
      <c r="AM282" s="339"/>
      <c r="AN282" s="339"/>
      <c r="AO282" s="339"/>
      <c r="AP282" s="339"/>
      <c r="AQ282" s="339"/>
      <c r="AR282" s="339"/>
      <c r="AS282" s="350"/>
      <c r="AT282" s="340">
        <v>654382.54</v>
      </c>
      <c r="AU282" s="340">
        <v>646229.53</v>
      </c>
      <c r="AV282" s="339">
        <v>520420.63</v>
      </c>
      <c r="AW282" s="339">
        <v>605287.19999999995</v>
      </c>
      <c r="AX282" s="339">
        <v>599043.92000000004</v>
      </c>
      <c r="AY282" s="339">
        <v>597069</v>
      </c>
      <c r="AZ282" s="339">
        <v>620224.47</v>
      </c>
      <c r="BA282" s="339">
        <v>614050.87</v>
      </c>
      <c r="BB282" s="339">
        <v>293845.24</v>
      </c>
      <c r="BC282" s="339">
        <v>0</v>
      </c>
      <c r="BD282" s="339" t="s">
        <v>2932</v>
      </c>
      <c r="BE282" s="339" t="s">
        <v>2932</v>
      </c>
      <c r="BF282" s="339">
        <v>0</v>
      </c>
      <c r="BG282" s="339">
        <v>0</v>
      </c>
      <c r="BH282" s="339">
        <v>0</v>
      </c>
      <c r="BI282" s="339">
        <v>0</v>
      </c>
      <c r="BJ282" s="339">
        <v>0</v>
      </c>
      <c r="BK282" s="339">
        <v>0</v>
      </c>
      <c r="BL282" s="339">
        <v>0</v>
      </c>
      <c r="BM282" s="339">
        <v>0</v>
      </c>
      <c r="BN282" s="339">
        <v>0</v>
      </c>
      <c r="BO282" s="339">
        <v>0</v>
      </c>
      <c r="BP282" s="339">
        <v>0</v>
      </c>
      <c r="BQ282" s="339">
        <v>0</v>
      </c>
      <c r="BR282" s="339">
        <v>0</v>
      </c>
      <c r="BS282" s="110" t="e">
        <f t="array" aca="1" ref="BS282" ca="1">_xludf.XLOOKUP(D282,'PL TOTAL D0'!N:N,'PL TOTAL D0'!P:P,"")</f>
        <v>#NAME?</v>
      </c>
      <c r="BT282" s="110"/>
    </row>
    <row r="283" spans="1:72" ht="15.75" customHeight="1">
      <c r="A283" s="122" t="s">
        <v>3785</v>
      </c>
      <c r="B283" s="104" t="s">
        <v>4695</v>
      </c>
      <c r="C283" s="122" t="s">
        <v>4696</v>
      </c>
      <c r="D283" s="292">
        <v>4697985</v>
      </c>
      <c r="E283" s="292" t="s">
        <v>64</v>
      </c>
      <c r="F283" s="292" t="s">
        <v>20</v>
      </c>
      <c r="G283" s="292" t="s">
        <v>4472</v>
      </c>
      <c r="H283" s="292" t="str">
        <f>IFERROR(VLOOKUP(G283,'Cadastro de assessores'!A:B,2,FALSE),"Não Cadastrado")</f>
        <v>14244</v>
      </c>
      <c r="I283" s="292"/>
      <c r="J283" s="24" t="s">
        <v>143</v>
      </c>
      <c r="K283" s="292" t="s">
        <v>3794</v>
      </c>
      <c r="L283" s="419">
        <v>44187</v>
      </c>
      <c r="M283" s="419">
        <v>44187</v>
      </c>
      <c r="N283" s="387">
        <v>44467</v>
      </c>
      <c r="O283" s="292" t="s">
        <v>3789</v>
      </c>
      <c r="P283" s="388">
        <v>0.02</v>
      </c>
      <c r="Q283" s="420" t="s">
        <v>4697</v>
      </c>
      <c r="R283" s="417"/>
      <c r="S283" s="292" t="str">
        <f t="shared" si="28"/>
        <v/>
      </c>
      <c r="T283" s="292" t="s">
        <v>145</v>
      </c>
      <c r="U283" s="292" t="s">
        <v>3823</v>
      </c>
      <c r="V283" s="292" t="s">
        <v>20</v>
      </c>
      <c r="W283" s="418"/>
      <c r="X283" s="418"/>
      <c r="Y283" s="418"/>
      <c r="Z283" s="418"/>
      <c r="AA283" s="418"/>
      <c r="AB283" s="418"/>
      <c r="AC283" s="418"/>
      <c r="AD283" s="418"/>
      <c r="AE283" s="418"/>
      <c r="AF283" s="418"/>
      <c r="AG283" s="418"/>
      <c r="AH283" s="418" t="s">
        <v>4698</v>
      </c>
      <c r="AI283" s="418" t="s">
        <v>3798</v>
      </c>
      <c r="AJ283" s="418"/>
      <c r="AK283" s="339"/>
      <c r="AL283" s="339">
        <v>197101.97</v>
      </c>
      <c r="AM283" s="339">
        <v>189095.63</v>
      </c>
      <c r="AN283" s="339">
        <v>188602</v>
      </c>
      <c r="AO283" s="339">
        <v>197598.81</v>
      </c>
      <c r="AP283" s="339">
        <v>199277.51</v>
      </c>
      <c r="AQ283" s="339">
        <v>198035.29</v>
      </c>
      <c r="AR283" s="339">
        <v>204318.87</v>
      </c>
      <c r="AS283" s="339">
        <v>202292.38</v>
      </c>
      <c r="AT283" s="339">
        <v>195625.85</v>
      </c>
      <c r="AU283" s="339">
        <v>193367.24</v>
      </c>
      <c r="AV283" s="339">
        <v>14442.36</v>
      </c>
      <c r="AW283" s="339"/>
      <c r="AX283" s="339"/>
      <c r="AY283" s="339"/>
      <c r="AZ283" s="339"/>
      <c r="BA283" s="339">
        <v>0</v>
      </c>
      <c r="BB283" s="339">
        <v>0</v>
      </c>
      <c r="BC283" s="339">
        <v>0</v>
      </c>
      <c r="BD283" s="339" t="s">
        <v>2932</v>
      </c>
      <c r="BE283" s="339" t="s">
        <v>2932</v>
      </c>
      <c r="BF283" s="339">
        <v>0</v>
      </c>
      <c r="BG283" s="339">
        <v>0</v>
      </c>
      <c r="BH283" s="339">
        <v>0</v>
      </c>
      <c r="BI283" s="339">
        <v>0</v>
      </c>
      <c r="BJ283" s="339">
        <v>0</v>
      </c>
      <c r="BK283" s="339">
        <v>0</v>
      </c>
      <c r="BL283" s="339">
        <v>0</v>
      </c>
      <c r="BM283" s="339">
        <v>0</v>
      </c>
      <c r="BN283" s="339">
        <v>0</v>
      </c>
      <c r="BO283" s="339">
        <v>0</v>
      </c>
      <c r="BP283" s="339">
        <v>0</v>
      </c>
      <c r="BQ283" s="339">
        <v>0</v>
      </c>
      <c r="BR283" s="339">
        <v>0</v>
      </c>
      <c r="BS283" s="110" t="e">
        <f t="array" aca="1" ref="BS283" ca="1">_xludf.XLOOKUP(D283,'PL TOTAL D0'!N:N,'PL TOTAL D0'!P:P,"")</f>
        <v>#NAME?</v>
      </c>
      <c r="BT283" s="110"/>
    </row>
    <row r="284" spans="1:72" ht="15.75" customHeight="1">
      <c r="A284" s="122" t="s">
        <v>3785</v>
      </c>
      <c r="B284" s="104" t="s">
        <v>1639</v>
      </c>
      <c r="C284" s="390" t="s">
        <v>4699</v>
      </c>
      <c r="D284" s="422">
        <v>5927535</v>
      </c>
      <c r="E284" s="293" t="s">
        <v>19</v>
      </c>
      <c r="F284" s="293" t="s">
        <v>49</v>
      </c>
      <c r="G284" s="293" t="s">
        <v>3983</v>
      </c>
      <c r="H284" s="292">
        <f>IFERROR(VLOOKUP(G284,'Cadastro de assessores'!A:B,2,FALSE),"Não Cadastrado")</f>
        <v>12351</v>
      </c>
      <c r="I284" s="292"/>
      <c r="J284" s="24" t="s">
        <v>143</v>
      </c>
      <c r="K284" s="293" t="s">
        <v>152</v>
      </c>
      <c r="L284" s="423">
        <v>44776</v>
      </c>
      <c r="M284" s="423">
        <v>44776</v>
      </c>
      <c r="N284" s="292"/>
      <c r="O284" s="292" t="s">
        <v>3809</v>
      </c>
      <c r="P284" s="388">
        <v>2.5000000000000001E-2</v>
      </c>
      <c r="Q284" s="167" t="s">
        <v>4700</v>
      </c>
      <c r="R284" s="417"/>
      <c r="S284" s="292"/>
      <c r="T284" s="292" t="s">
        <v>145</v>
      </c>
      <c r="U284" s="292" t="s">
        <v>3841</v>
      </c>
      <c r="V284" s="292" t="s">
        <v>49</v>
      </c>
      <c r="W284" s="350"/>
      <c r="X284" s="350"/>
      <c r="Y284" s="350"/>
      <c r="Z284" s="350"/>
      <c r="AA284" s="350"/>
      <c r="AB284" s="350"/>
      <c r="AC284" s="350"/>
      <c r="AD284" s="350"/>
      <c r="AE284" s="350"/>
      <c r="AF284" s="350"/>
      <c r="AG284" s="350"/>
      <c r="AH284" s="350"/>
      <c r="AI284" s="418"/>
      <c r="AJ284" s="339"/>
      <c r="AK284" s="339"/>
      <c r="AL284" s="339"/>
      <c r="AM284" s="339"/>
      <c r="AN284" s="339"/>
      <c r="AO284" s="339"/>
      <c r="AP284" s="339"/>
      <c r="AQ284" s="339"/>
      <c r="AR284" s="339"/>
      <c r="AS284" s="350"/>
      <c r="AT284" s="340"/>
      <c r="AU284" s="340"/>
      <c r="AV284" s="339"/>
      <c r="AW284" s="339"/>
      <c r="AX284" s="339"/>
      <c r="AY284" s="339"/>
      <c r="AZ284" s="339"/>
      <c r="BA284" s="339"/>
      <c r="BB284" s="339"/>
      <c r="BC284" s="339"/>
      <c r="BD284" s="339"/>
      <c r="BE284" s="339"/>
      <c r="BF284" s="339">
        <v>0</v>
      </c>
      <c r="BG284" s="339">
        <v>133199.20000000001</v>
      </c>
      <c r="BH284" s="339">
        <v>114473.53</v>
      </c>
      <c r="BI284" s="339">
        <v>117036.22</v>
      </c>
      <c r="BJ284" s="339">
        <v>110758.34</v>
      </c>
      <c r="BK284" s="339">
        <v>105900</v>
      </c>
      <c r="BL284" s="339">
        <v>108520.22</v>
      </c>
      <c r="BM284" s="339">
        <v>80469.37</v>
      </c>
      <c r="BN284" s="339">
        <v>46536.85</v>
      </c>
      <c r="BO284" s="339">
        <v>45594.43</v>
      </c>
      <c r="BP284" s="339">
        <v>40585.58</v>
      </c>
      <c r="BQ284" s="339">
        <v>41235.94</v>
      </c>
      <c r="BR284" s="339">
        <v>38930.21</v>
      </c>
      <c r="BS284" s="110" t="e">
        <f t="array" aca="1" ref="BS284" ca="1">_xludf.XLOOKUP(D284,'PL TOTAL D0'!N:N,'PL TOTAL D0'!P:P,"")</f>
        <v>#NAME?</v>
      </c>
      <c r="BT284" s="110"/>
    </row>
    <row r="285" spans="1:72" ht="15.75" customHeight="1">
      <c r="A285" s="122" t="s">
        <v>3785</v>
      </c>
      <c r="B285" s="104" t="s">
        <v>1662</v>
      </c>
      <c r="C285" s="390" t="s">
        <v>1660</v>
      </c>
      <c r="D285" s="422">
        <v>218909</v>
      </c>
      <c r="E285" s="293" t="s">
        <v>19</v>
      </c>
      <c r="F285" s="293" t="s">
        <v>20</v>
      </c>
      <c r="G285" s="293" t="s">
        <v>800</v>
      </c>
      <c r="H285" s="299" t="str">
        <f>IFERROR(VLOOKUP(G285,'Cadastro de assessores'!A:B,2,FALSE),"Não Cadastrado")</f>
        <v>18467</v>
      </c>
      <c r="I285" s="299"/>
      <c r="J285" s="24" t="s">
        <v>3788</v>
      </c>
      <c r="K285" s="293" t="s">
        <v>152</v>
      </c>
      <c r="L285" s="423">
        <v>44658</v>
      </c>
      <c r="M285" s="423">
        <v>44659</v>
      </c>
      <c r="N285" s="292"/>
      <c r="O285" s="292" t="s">
        <v>3805</v>
      </c>
      <c r="P285" s="388">
        <v>1.2E-2</v>
      </c>
      <c r="Q285" s="167"/>
      <c r="R285" s="417"/>
      <c r="S285" s="292" t="str">
        <f t="shared" ref="S285:S286" si="29">IF(BC285&lt;=0,"",IF(BC285&lt;=1000000,"Não Qualificado",IF(AND(BC285&gt;1000000,BC285&lt;=10000000),"Qualificado","Profissional")))</f>
        <v>Não Qualificado</v>
      </c>
      <c r="T285" s="292" t="s">
        <v>145</v>
      </c>
      <c r="U285" s="292" t="s">
        <v>3816</v>
      </c>
      <c r="V285" s="292" t="s">
        <v>20</v>
      </c>
      <c r="W285" s="350"/>
      <c r="X285" s="350"/>
      <c r="Y285" s="350"/>
      <c r="Z285" s="350"/>
      <c r="AA285" s="350"/>
      <c r="AB285" s="350"/>
      <c r="AC285" s="350"/>
      <c r="AD285" s="350"/>
      <c r="AE285" s="350"/>
      <c r="AF285" s="350"/>
      <c r="AG285" s="350"/>
      <c r="AH285" s="350"/>
      <c r="AI285" s="418"/>
      <c r="AJ285" s="339"/>
      <c r="AK285" s="339"/>
      <c r="AL285" s="339"/>
      <c r="AM285" s="339"/>
      <c r="AN285" s="339"/>
      <c r="AO285" s="339"/>
      <c r="AP285" s="339"/>
      <c r="AQ285" s="339"/>
      <c r="AR285" s="339"/>
      <c r="AS285" s="350"/>
      <c r="AT285" s="340"/>
      <c r="AU285" s="340"/>
      <c r="AV285" s="339"/>
      <c r="AW285" s="339"/>
      <c r="AX285" s="339"/>
      <c r="AY285" s="339"/>
      <c r="AZ285" s="339"/>
      <c r="BA285" s="339"/>
      <c r="BB285" s="339">
        <v>0</v>
      </c>
      <c r="BC285" s="339">
        <v>217869.46</v>
      </c>
      <c r="BD285" s="339">
        <v>192143.87</v>
      </c>
      <c r="BE285" s="339">
        <v>193510.01</v>
      </c>
      <c r="BF285" s="339">
        <v>294731.12</v>
      </c>
      <c r="BG285" s="339">
        <v>298330.8273</v>
      </c>
      <c r="BH285" s="339">
        <v>300545.15000000002</v>
      </c>
      <c r="BI285" s="339">
        <v>302992.96000000002</v>
      </c>
      <c r="BJ285" s="339">
        <v>303660.15999999997</v>
      </c>
      <c r="BK285" s="339">
        <v>306660.45</v>
      </c>
      <c r="BL285" s="339">
        <v>125913.26</v>
      </c>
      <c r="BM285" s="339">
        <v>127308.38</v>
      </c>
      <c r="BN285" s="339">
        <v>129683.5</v>
      </c>
      <c r="BO285" s="339">
        <v>130999.58</v>
      </c>
      <c r="BP285" s="339">
        <v>132760.57999999999</v>
      </c>
      <c r="BQ285" s="339">
        <v>133795.76</v>
      </c>
      <c r="BR285" s="339">
        <v>134527.94</v>
      </c>
      <c r="BS285" s="110" t="e">
        <f t="array" aca="1" ref="BS285" ca="1">_xludf.XLOOKUP(D285,'PL TOTAL D0'!N:N,'PL TOTAL D0'!P:P,"")</f>
        <v>#NAME?</v>
      </c>
      <c r="BT285" s="110"/>
    </row>
    <row r="286" spans="1:72" ht="15.75" customHeight="1">
      <c r="A286" s="122" t="s">
        <v>3785</v>
      </c>
      <c r="B286" s="104" t="s">
        <v>3304</v>
      </c>
      <c r="C286" s="122" t="s">
        <v>3302</v>
      </c>
      <c r="D286" s="292">
        <v>2865175</v>
      </c>
      <c r="E286" s="292" t="s">
        <v>2923</v>
      </c>
      <c r="F286" s="292" t="s">
        <v>20</v>
      </c>
      <c r="G286" s="292" t="s">
        <v>2923</v>
      </c>
      <c r="H286" s="292" t="str">
        <f>IFERROR(VLOOKUP(G286,'Cadastro de assessores'!A:B,2,FALSE),"Não Cadastrado")</f>
        <v>18986</v>
      </c>
      <c r="I286" s="292"/>
      <c r="J286" s="24" t="s">
        <v>143</v>
      </c>
      <c r="K286" s="292" t="s">
        <v>3794</v>
      </c>
      <c r="L286" s="387">
        <v>43700</v>
      </c>
      <c r="M286" s="387">
        <v>43700</v>
      </c>
      <c r="N286" s="465">
        <v>44105</v>
      </c>
      <c r="O286" s="292" t="s">
        <v>3795</v>
      </c>
      <c r="P286" s="388">
        <v>0.01</v>
      </c>
      <c r="Q286" s="420" t="s">
        <v>4701</v>
      </c>
      <c r="R286" s="417"/>
      <c r="S286" s="292" t="str">
        <f t="shared" si="29"/>
        <v/>
      </c>
      <c r="T286" s="292" t="s">
        <v>145</v>
      </c>
      <c r="U286" s="292" t="s">
        <v>3823</v>
      </c>
      <c r="V286" s="292" t="s">
        <v>20</v>
      </c>
      <c r="W286" s="418" t="s">
        <v>4702</v>
      </c>
      <c r="X286" s="418"/>
      <c r="Y286" s="418" t="s">
        <v>4703</v>
      </c>
      <c r="Z286" s="418" t="s">
        <v>4704</v>
      </c>
      <c r="AA286" s="418" t="s">
        <v>4705</v>
      </c>
      <c r="AB286" s="418" t="s">
        <v>4706</v>
      </c>
      <c r="AC286" s="418" t="s">
        <v>4707</v>
      </c>
      <c r="AD286" s="418" t="s">
        <v>4708</v>
      </c>
      <c r="AE286" s="418" t="s">
        <v>4709</v>
      </c>
      <c r="AF286" s="418" t="s">
        <v>4710</v>
      </c>
      <c r="AG286" s="418" t="s">
        <v>4711</v>
      </c>
      <c r="AH286" s="418" t="s">
        <v>3798</v>
      </c>
      <c r="AI286" s="418" t="s">
        <v>3798</v>
      </c>
      <c r="AJ286" s="418" t="s">
        <v>3798</v>
      </c>
      <c r="AK286" s="339">
        <v>332098.88</v>
      </c>
      <c r="AL286" s="339">
        <v>324200.71000000002</v>
      </c>
      <c r="AM286" s="339" t="s">
        <v>3147</v>
      </c>
      <c r="AN286" s="339"/>
      <c r="AO286" s="339"/>
      <c r="AP286" s="339"/>
      <c r="AQ286" s="339"/>
      <c r="AR286" s="339"/>
      <c r="AS286" s="339"/>
      <c r="AT286" s="339"/>
      <c r="AU286" s="339"/>
      <c r="AV286" s="339"/>
      <c r="AW286" s="339"/>
      <c r="AX286" s="339"/>
      <c r="AY286" s="339"/>
      <c r="AZ286" s="339"/>
      <c r="BA286" s="339">
        <v>0</v>
      </c>
      <c r="BB286" s="339">
        <v>0</v>
      </c>
      <c r="BC286" s="339">
        <v>0</v>
      </c>
      <c r="BD286" s="339" t="s">
        <v>2932</v>
      </c>
      <c r="BE286" s="339" t="s">
        <v>2932</v>
      </c>
      <c r="BF286" s="339">
        <v>0</v>
      </c>
      <c r="BG286" s="339">
        <v>0</v>
      </c>
      <c r="BH286" s="339">
        <v>0</v>
      </c>
      <c r="BI286" s="339">
        <v>0</v>
      </c>
      <c r="BJ286" s="339">
        <v>0</v>
      </c>
      <c r="BK286" s="339">
        <v>0</v>
      </c>
      <c r="BL286" s="339">
        <v>0</v>
      </c>
      <c r="BM286" s="339">
        <v>0</v>
      </c>
      <c r="BN286" s="339">
        <v>0</v>
      </c>
      <c r="BO286" s="339">
        <v>0</v>
      </c>
      <c r="BP286" s="339">
        <v>0</v>
      </c>
      <c r="BQ286" s="339">
        <v>0</v>
      </c>
      <c r="BR286" s="339">
        <v>0</v>
      </c>
      <c r="BS286" s="110" t="e">
        <f t="array" aca="1" ref="BS286" ca="1">_xludf.XLOOKUP(D286,'PL TOTAL D0'!N:N,'PL TOTAL D0'!P:P,"")</f>
        <v>#NAME?</v>
      </c>
      <c r="BT286" s="110"/>
    </row>
    <row r="287" spans="1:72" ht="15.75" customHeight="1">
      <c r="A287" s="122" t="s">
        <v>3785</v>
      </c>
      <c r="B287" s="104" t="s">
        <v>1666</v>
      </c>
      <c r="C287" s="122" t="s">
        <v>1663</v>
      </c>
      <c r="D287" s="292">
        <v>4954616</v>
      </c>
      <c r="E287" s="292" t="s">
        <v>19</v>
      </c>
      <c r="F287" s="292" t="s">
        <v>49</v>
      </c>
      <c r="G287" s="292" t="s">
        <v>166</v>
      </c>
      <c r="H287" s="292"/>
      <c r="I287" s="292"/>
      <c r="J287" s="24" t="s">
        <v>3788</v>
      </c>
      <c r="K287" s="292"/>
      <c r="L287" s="387"/>
      <c r="M287" s="387"/>
      <c r="N287" s="419"/>
      <c r="O287" s="292" t="s">
        <v>3802</v>
      </c>
      <c r="P287" s="388">
        <v>0.01</v>
      </c>
      <c r="Q287" s="420"/>
      <c r="R287" s="417"/>
      <c r="S287" s="292"/>
      <c r="T287" s="292"/>
      <c r="U287" s="292"/>
      <c r="V287" s="292" t="s">
        <v>49</v>
      </c>
      <c r="W287" s="418"/>
      <c r="X287" s="418"/>
      <c r="Y287" s="418"/>
      <c r="Z287" s="418"/>
      <c r="AA287" s="418"/>
      <c r="AB287" s="418"/>
      <c r="AC287" s="418"/>
      <c r="AD287" s="418"/>
      <c r="AE287" s="418"/>
      <c r="AF287" s="418"/>
      <c r="AG287" s="418"/>
      <c r="AH287" s="418"/>
      <c r="AI287" s="418"/>
      <c r="AJ287" s="418"/>
      <c r="AK287" s="339"/>
      <c r="AL287" s="339"/>
      <c r="AM287" s="339"/>
      <c r="AN287" s="339"/>
      <c r="AO287" s="339"/>
      <c r="AP287" s="339"/>
      <c r="AQ287" s="339"/>
      <c r="AR287" s="339"/>
      <c r="AS287" s="339"/>
      <c r="AT287" s="339"/>
      <c r="AU287" s="339"/>
      <c r="AV287" s="339"/>
      <c r="AW287" s="339"/>
      <c r="AX287" s="339"/>
      <c r="AY287" s="339"/>
      <c r="AZ287" s="339"/>
      <c r="BA287" s="339"/>
      <c r="BB287" s="339"/>
      <c r="BC287" s="339"/>
      <c r="BD287" s="339"/>
      <c r="BE287" s="339"/>
      <c r="BF287" s="339"/>
      <c r="BG287" s="339"/>
      <c r="BH287" s="339"/>
      <c r="BI287" s="339">
        <v>0</v>
      </c>
      <c r="BJ287" s="339">
        <v>0</v>
      </c>
      <c r="BK287" s="339">
        <v>0</v>
      </c>
      <c r="BL287" s="339">
        <v>0</v>
      </c>
      <c r="BM287" s="339">
        <v>0</v>
      </c>
      <c r="BN287" s="339">
        <v>0</v>
      </c>
      <c r="BO287" s="339">
        <v>0</v>
      </c>
      <c r="BP287" s="339">
        <v>0</v>
      </c>
      <c r="BQ287" s="339">
        <v>0</v>
      </c>
      <c r="BR287" s="339">
        <v>0</v>
      </c>
      <c r="BS287" s="110" t="e">
        <f t="array" aca="1" ref="BS287" ca="1">_xludf.XLOOKUP(D287,'PL TOTAL D0'!N:N,'PL TOTAL D0'!P:P,"")</f>
        <v>#NAME?</v>
      </c>
      <c r="BT287" s="110"/>
    </row>
    <row r="288" spans="1:72" ht="15.75" customHeight="1">
      <c r="A288" s="122" t="s">
        <v>3785</v>
      </c>
      <c r="B288" s="398" t="s">
        <v>4712</v>
      </c>
      <c r="C288" s="122" t="s">
        <v>4713</v>
      </c>
      <c r="D288" s="292">
        <v>9398037</v>
      </c>
      <c r="E288" s="292" t="s">
        <v>19</v>
      </c>
      <c r="F288" s="292" t="s">
        <v>20</v>
      </c>
      <c r="G288" s="292" t="s">
        <v>942</v>
      </c>
      <c r="H288" s="292"/>
      <c r="I288" s="292"/>
      <c r="J288" s="24" t="s">
        <v>152</v>
      </c>
      <c r="K288" s="292"/>
      <c r="L288" s="387"/>
      <c r="M288" s="387"/>
      <c r="N288" s="419"/>
      <c r="O288" s="292" t="s">
        <v>3795</v>
      </c>
      <c r="P288" s="388">
        <v>1.4999999999999999E-2</v>
      </c>
      <c r="Q288" s="420" t="s">
        <v>4714</v>
      </c>
      <c r="R288" s="417"/>
      <c r="S288" s="292"/>
      <c r="T288" s="292"/>
      <c r="U288" s="292"/>
      <c r="V288" s="292" t="s">
        <v>20</v>
      </c>
      <c r="W288" s="418"/>
      <c r="X288" s="418"/>
      <c r="Y288" s="418"/>
      <c r="Z288" s="418"/>
      <c r="AA288" s="418"/>
      <c r="AB288" s="418"/>
      <c r="AC288" s="418"/>
      <c r="AD288" s="418"/>
      <c r="AE288" s="418"/>
      <c r="AF288" s="418"/>
      <c r="AG288" s="418"/>
      <c r="AH288" s="418"/>
      <c r="AI288" s="418"/>
      <c r="AJ288" s="418"/>
      <c r="AK288" s="339"/>
      <c r="AL288" s="339"/>
      <c r="AM288" s="339"/>
      <c r="AN288" s="339"/>
      <c r="AO288" s="339"/>
      <c r="AP288" s="339"/>
      <c r="AQ288" s="339"/>
      <c r="AR288" s="339"/>
      <c r="AS288" s="339"/>
      <c r="AT288" s="339"/>
      <c r="AU288" s="339"/>
      <c r="AV288" s="339"/>
      <c r="AW288" s="339"/>
      <c r="AX288" s="339"/>
      <c r="AY288" s="339"/>
      <c r="AZ288" s="339"/>
      <c r="BA288" s="339"/>
      <c r="BB288" s="339"/>
      <c r="BC288" s="339"/>
      <c r="BD288" s="339"/>
      <c r="BE288" s="339"/>
      <c r="BF288" s="339"/>
      <c r="BG288" s="339"/>
      <c r="BH288" s="339"/>
      <c r="BI288" s="339"/>
      <c r="BJ288" s="339">
        <v>50128.04</v>
      </c>
      <c r="BK288" s="339">
        <v>50643.08</v>
      </c>
      <c r="BL288" s="339">
        <v>51296.25</v>
      </c>
      <c r="BM288" s="339">
        <v>51809.09</v>
      </c>
      <c r="BN288" s="339">
        <v>52436.09</v>
      </c>
      <c r="BO288" s="339">
        <v>52890.05</v>
      </c>
      <c r="BP288" s="339">
        <v>53362.71</v>
      </c>
      <c r="BQ288" s="339">
        <v>53778.16</v>
      </c>
      <c r="BR288" s="339">
        <v>54360.79</v>
      </c>
      <c r="BS288" s="110" t="e">
        <f t="array" aca="1" ref="BS288" ca="1">_xludf.XLOOKUP(D288,'PL TOTAL D0'!N:N,'PL TOTAL D0'!P:P,"")</f>
        <v>#NAME?</v>
      </c>
      <c r="BT288" s="110"/>
    </row>
    <row r="289" spans="1:72" ht="15.75" customHeight="1">
      <c r="A289" s="122" t="s">
        <v>3785</v>
      </c>
      <c r="B289" s="104" t="s">
        <v>4715</v>
      </c>
      <c r="C289" s="122" t="s">
        <v>4716</v>
      </c>
      <c r="D289" s="292">
        <v>4645513</v>
      </c>
      <c r="E289" s="292" t="s">
        <v>64</v>
      </c>
      <c r="F289" s="292" t="s">
        <v>20</v>
      </c>
      <c r="G289" s="292" t="s">
        <v>4058</v>
      </c>
      <c r="H289" s="292" t="str">
        <f>IFERROR(VLOOKUP(G289,'Cadastro de assessores'!A:B,2,FALSE),"Não Cadastrado")</f>
        <v>19634</v>
      </c>
      <c r="I289" s="292"/>
      <c r="J289" s="24" t="s">
        <v>143</v>
      </c>
      <c r="K289" s="292" t="s">
        <v>3794</v>
      </c>
      <c r="L289" s="387">
        <v>44172</v>
      </c>
      <c r="M289" s="387">
        <v>44172</v>
      </c>
      <c r="N289" s="419">
        <v>44495</v>
      </c>
      <c r="O289" s="292" t="s">
        <v>3789</v>
      </c>
      <c r="P289" s="388">
        <v>0.02</v>
      </c>
      <c r="Q289" s="420" t="s">
        <v>4717</v>
      </c>
      <c r="R289" s="417"/>
      <c r="S289" s="292" t="str">
        <f>IF(BC289&lt;=0,"",IF(BC289&lt;=1000000,"Não Qualificado",IF(AND(BC289&gt;1000000,BC289&lt;=10000000),"Qualificado","Profissional")))</f>
        <v>Não Qualificado</v>
      </c>
      <c r="T289" s="292" t="s">
        <v>145</v>
      </c>
      <c r="U289" s="292" t="s">
        <v>4718</v>
      </c>
      <c r="V289" s="292" t="s">
        <v>49</v>
      </c>
      <c r="W289" s="418" t="s">
        <v>3798</v>
      </c>
      <c r="X289" s="418" t="s">
        <v>3798</v>
      </c>
      <c r="Y289" s="418" t="s">
        <v>3798</v>
      </c>
      <c r="Z289" s="418" t="s">
        <v>3798</v>
      </c>
      <c r="AA289" s="418" t="s">
        <v>3798</v>
      </c>
      <c r="AB289" s="418" t="s">
        <v>3798</v>
      </c>
      <c r="AC289" s="418" t="s">
        <v>3798</v>
      </c>
      <c r="AD289" s="418" t="s">
        <v>3798</v>
      </c>
      <c r="AE289" s="418" t="s">
        <v>3798</v>
      </c>
      <c r="AF289" s="418" t="s">
        <v>3798</v>
      </c>
      <c r="AG289" s="418" t="s">
        <v>3798</v>
      </c>
      <c r="AH289" s="418" t="s">
        <v>3798</v>
      </c>
      <c r="AI289" s="418" t="s">
        <v>4719</v>
      </c>
      <c r="AJ289" s="418" t="s">
        <v>4720</v>
      </c>
      <c r="AK289" s="339">
        <v>329546.06</v>
      </c>
      <c r="AL289" s="339">
        <v>205365.62</v>
      </c>
      <c r="AM289" s="339">
        <v>305910.28999999998</v>
      </c>
      <c r="AN289" s="339">
        <v>304267.98</v>
      </c>
      <c r="AO289" s="339">
        <v>319354.3</v>
      </c>
      <c r="AP289" s="339">
        <v>322065.12</v>
      </c>
      <c r="AQ289" s="339">
        <v>320049.40000000002</v>
      </c>
      <c r="AR289" s="339">
        <v>331508.61</v>
      </c>
      <c r="AS289" s="339">
        <v>326746.71000000002</v>
      </c>
      <c r="AT289" s="339">
        <v>316433.87</v>
      </c>
      <c r="AU289" s="339">
        <v>312831.21000000002</v>
      </c>
      <c r="AV289" s="339">
        <v>302599.64</v>
      </c>
      <c r="AW289" s="339">
        <v>286912.63</v>
      </c>
      <c r="AX289" s="339"/>
      <c r="AY289" s="339"/>
      <c r="AZ289" s="339"/>
      <c r="BA289" s="339">
        <v>0</v>
      </c>
      <c r="BB289" s="339">
        <v>0</v>
      </c>
      <c r="BC289" s="339">
        <v>171033.57</v>
      </c>
      <c r="BD289" s="339" t="s">
        <v>2932</v>
      </c>
      <c r="BE289" s="339" t="s">
        <v>2932</v>
      </c>
      <c r="BF289" s="339">
        <v>0</v>
      </c>
      <c r="BG289" s="339">
        <v>0</v>
      </c>
      <c r="BH289" s="339">
        <v>0</v>
      </c>
      <c r="BI289" s="339">
        <v>0</v>
      </c>
      <c r="BJ289" s="339">
        <v>0</v>
      </c>
      <c r="BK289" s="339">
        <v>0</v>
      </c>
      <c r="BL289" s="339">
        <v>0</v>
      </c>
      <c r="BM289" s="339">
        <v>0</v>
      </c>
      <c r="BN289" s="339">
        <v>0</v>
      </c>
      <c r="BO289" s="339">
        <v>0</v>
      </c>
      <c r="BP289" s="339">
        <v>0</v>
      </c>
      <c r="BQ289" s="339">
        <v>0</v>
      </c>
      <c r="BR289" s="339">
        <v>0</v>
      </c>
      <c r="BS289" s="110" t="e">
        <f t="array" aca="1" ref="BS289" ca="1">_xludf.XLOOKUP(D289,'PL TOTAL D0'!N:N,'PL TOTAL D0'!P:P,"")</f>
        <v>#NAME?</v>
      </c>
      <c r="BT289" s="110"/>
    </row>
    <row r="290" spans="1:72" ht="15.75" customHeight="1">
      <c r="A290" s="122" t="s">
        <v>3785</v>
      </c>
      <c r="B290" s="104" t="s">
        <v>1674</v>
      </c>
      <c r="C290" s="390" t="s">
        <v>3657</v>
      </c>
      <c r="D290" s="299">
        <v>8126020</v>
      </c>
      <c r="E290" s="293" t="s">
        <v>19</v>
      </c>
      <c r="F290" s="293" t="s">
        <v>20</v>
      </c>
      <c r="G290" s="299" t="s">
        <v>2512</v>
      </c>
      <c r="H290" s="299"/>
      <c r="I290" s="299"/>
      <c r="J290" s="24" t="s">
        <v>3788</v>
      </c>
      <c r="K290" s="293"/>
      <c r="L290" s="415"/>
      <c r="M290" s="415"/>
      <c r="N290" s="292"/>
      <c r="O290" s="292" t="s">
        <v>3795</v>
      </c>
      <c r="P290" s="388">
        <v>1.4999999999999999E-2</v>
      </c>
      <c r="Q290" s="167" t="s">
        <v>4721</v>
      </c>
      <c r="R290" s="417"/>
      <c r="S290" s="292"/>
      <c r="T290" s="292"/>
      <c r="U290" s="292"/>
      <c r="V290" s="292" t="s">
        <v>20</v>
      </c>
      <c r="W290" s="350"/>
      <c r="X290" s="350"/>
      <c r="Y290" s="350"/>
      <c r="Z290" s="350"/>
      <c r="AA290" s="350"/>
      <c r="AB290" s="350"/>
      <c r="AC290" s="350"/>
      <c r="AD290" s="350"/>
      <c r="AE290" s="350"/>
      <c r="AF290" s="350"/>
      <c r="AG290" s="350"/>
      <c r="AH290" s="350"/>
      <c r="AI290" s="418"/>
      <c r="AJ290" s="339"/>
      <c r="AK290" s="339"/>
      <c r="AL290" s="339"/>
      <c r="AM290" s="339"/>
      <c r="AN290" s="339"/>
      <c r="AO290" s="339"/>
      <c r="AP290" s="339"/>
      <c r="AQ290" s="339"/>
      <c r="AR290" s="339"/>
      <c r="AS290" s="350"/>
      <c r="AT290" s="340"/>
      <c r="AU290" s="340"/>
      <c r="AV290" s="339"/>
      <c r="AW290" s="339"/>
      <c r="AX290" s="339"/>
      <c r="AY290" s="339"/>
      <c r="AZ290" s="339"/>
      <c r="BA290" s="339"/>
      <c r="BB290" s="339"/>
      <c r="BC290" s="339"/>
      <c r="BD290" s="339"/>
      <c r="BE290" s="339"/>
      <c r="BF290" s="339"/>
      <c r="BG290" s="339"/>
      <c r="BH290" s="339"/>
      <c r="BI290" s="339"/>
      <c r="BJ290" s="339"/>
      <c r="BK290" s="339"/>
      <c r="BL290" s="339">
        <v>7000</v>
      </c>
      <c r="BM290" s="339">
        <v>1000</v>
      </c>
      <c r="BN290" s="339">
        <v>0</v>
      </c>
      <c r="BO290" s="339">
        <v>0</v>
      </c>
      <c r="BP290" s="339">
        <v>0</v>
      </c>
      <c r="BQ290" s="339">
        <v>0</v>
      </c>
      <c r="BR290" s="339">
        <v>0</v>
      </c>
      <c r="BS290" s="110" t="e">
        <f t="array" aca="1" ref="BS290" ca="1">_xludf.XLOOKUP(D290,'PL TOTAL D0'!N:N,'PL TOTAL D0'!P:P,"")</f>
        <v>#NAME?</v>
      </c>
      <c r="BT290" s="110"/>
    </row>
    <row r="291" spans="1:72" ht="15.75" customHeight="1">
      <c r="A291" s="122" t="s">
        <v>3785</v>
      </c>
      <c r="B291" s="104" t="s">
        <v>4722</v>
      </c>
      <c r="C291" s="390" t="s">
        <v>4723</v>
      </c>
      <c r="D291" s="299">
        <v>5905556</v>
      </c>
      <c r="E291" s="293" t="s">
        <v>19</v>
      </c>
      <c r="F291" s="293" t="s">
        <v>20</v>
      </c>
      <c r="G291" s="299" t="s">
        <v>3072</v>
      </c>
      <c r="H291" s="299" t="str">
        <f>IFERROR(VLOOKUP(G291,'Cadastro de assessores'!A:B,2,FALSE),"Não Cadastrado")</f>
        <v>18236</v>
      </c>
      <c r="I291" s="299"/>
      <c r="J291" s="24" t="s">
        <v>3788</v>
      </c>
      <c r="K291" s="293" t="s">
        <v>152</v>
      </c>
      <c r="L291" s="415">
        <v>44389</v>
      </c>
      <c r="M291" s="415">
        <v>44393</v>
      </c>
      <c r="N291" s="292"/>
      <c r="O291" s="292" t="s">
        <v>3789</v>
      </c>
      <c r="P291" s="388">
        <v>0.02</v>
      </c>
      <c r="Q291" s="167"/>
      <c r="R291" s="417"/>
      <c r="S291" s="292" t="str">
        <f t="shared" ref="S291:S293" si="30">IF(BC291&lt;=0,"",IF(BC291&lt;=1000000,"Não Qualificado",IF(AND(BC291&gt;1000000,BC291&lt;=10000000),"Qualificado","Profissional")))</f>
        <v/>
      </c>
      <c r="T291" s="292" t="s">
        <v>145</v>
      </c>
      <c r="U291" s="292" t="s">
        <v>3823</v>
      </c>
      <c r="V291" s="292" t="s">
        <v>20</v>
      </c>
      <c r="W291" s="350"/>
      <c r="X291" s="350"/>
      <c r="Y291" s="350"/>
      <c r="Z291" s="350"/>
      <c r="AA291" s="350"/>
      <c r="AB291" s="350"/>
      <c r="AC291" s="350"/>
      <c r="AD291" s="350"/>
      <c r="AE291" s="350"/>
      <c r="AF291" s="350"/>
      <c r="AG291" s="350"/>
      <c r="AH291" s="350"/>
      <c r="AI291" s="418"/>
      <c r="AJ291" s="339"/>
      <c r="AK291" s="339"/>
      <c r="AL291" s="339"/>
      <c r="AM291" s="339"/>
      <c r="AN291" s="339"/>
      <c r="AO291" s="339"/>
      <c r="AP291" s="339"/>
      <c r="AQ291" s="339"/>
      <c r="AR291" s="339"/>
      <c r="AS291" s="350"/>
      <c r="AT291" s="340">
        <v>96469.71</v>
      </c>
      <c r="AU291" s="340">
        <v>95332.49</v>
      </c>
      <c r="AV291" s="339">
        <v>92604.52</v>
      </c>
      <c r="AW291" s="339">
        <v>88372.160000000003</v>
      </c>
      <c r="AX291" s="339">
        <v>88172.69</v>
      </c>
      <c r="AY291" s="339">
        <v>77546.64</v>
      </c>
      <c r="AZ291" s="339">
        <v>81352.37</v>
      </c>
      <c r="BA291" s="339">
        <v>87385.99</v>
      </c>
      <c r="BB291" s="339">
        <v>96671.79</v>
      </c>
      <c r="BC291" s="339">
        <v>0</v>
      </c>
      <c r="BD291" s="339">
        <v>94547.73</v>
      </c>
      <c r="BE291" s="339">
        <v>92679.64</v>
      </c>
      <c r="BF291" s="339">
        <v>90744.48</v>
      </c>
      <c r="BG291" s="339">
        <v>75280.129079999999</v>
      </c>
      <c r="BH291" s="339">
        <v>44144.69</v>
      </c>
      <c r="BI291" s="339">
        <v>198314.39</v>
      </c>
      <c r="BJ291" s="339">
        <v>159445.04999999999</v>
      </c>
      <c r="BK291" s="339">
        <v>148951.53</v>
      </c>
      <c r="BL291" s="339">
        <v>120617.66</v>
      </c>
      <c r="BM291" s="339">
        <v>99306.6</v>
      </c>
      <c r="BN291" s="339">
        <v>91281.83</v>
      </c>
      <c r="BO291" s="339">
        <v>64272.01</v>
      </c>
      <c r="BP291" s="339">
        <v>57846.53</v>
      </c>
      <c r="BQ291" s="339">
        <v>32885.300000000003</v>
      </c>
      <c r="BR291" s="339">
        <v>17389.310000000001</v>
      </c>
      <c r="BS291" s="110" t="e">
        <f t="array" aca="1" ref="BS291" ca="1">_xludf.XLOOKUP(D291,'PL TOTAL D0'!N:N,'PL TOTAL D0'!P:P,"")</f>
        <v>#NAME?</v>
      </c>
      <c r="BT291" s="110"/>
    </row>
    <row r="292" spans="1:72" ht="15.75" customHeight="1">
      <c r="A292" s="122" t="s">
        <v>3785</v>
      </c>
      <c r="B292" s="104" t="s">
        <v>4724</v>
      </c>
      <c r="C292" s="122" t="s">
        <v>4725</v>
      </c>
      <c r="D292" s="292">
        <v>4554462</v>
      </c>
      <c r="E292" s="292" t="s">
        <v>64</v>
      </c>
      <c r="F292" s="292" t="s">
        <v>20</v>
      </c>
      <c r="G292" s="292" t="s">
        <v>4726</v>
      </c>
      <c r="H292" s="292" t="str">
        <f>IFERROR(VLOOKUP(G292,'Cadastro de assessores'!A:B,2,FALSE),"Não Cadastrado")</f>
        <v>12639</v>
      </c>
      <c r="I292" s="292"/>
      <c r="J292" s="24" t="s">
        <v>143</v>
      </c>
      <c r="K292" s="292" t="s">
        <v>3794</v>
      </c>
      <c r="L292" s="419">
        <v>44130</v>
      </c>
      <c r="M292" s="419">
        <v>44130</v>
      </c>
      <c r="N292" s="387">
        <v>44538</v>
      </c>
      <c r="O292" s="292" t="s">
        <v>3795</v>
      </c>
      <c r="P292" s="388">
        <v>1.4999999999999999E-2</v>
      </c>
      <c r="Q292" s="420" t="s">
        <v>4727</v>
      </c>
      <c r="R292" s="417"/>
      <c r="S292" s="292" t="str">
        <f t="shared" si="30"/>
        <v>Não Qualificado</v>
      </c>
      <c r="T292" s="292" t="s">
        <v>145</v>
      </c>
      <c r="U292" s="292" t="s">
        <v>3797</v>
      </c>
      <c r="V292" s="292" t="s">
        <v>20</v>
      </c>
      <c r="W292" s="418"/>
      <c r="X292" s="418"/>
      <c r="Y292" s="418"/>
      <c r="Z292" s="418"/>
      <c r="AA292" s="418"/>
      <c r="AB292" s="418"/>
      <c r="AC292" s="418"/>
      <c r="AD292" s="418"/>
      <c r="AE292" s="418"/>
      <c r="AF292" s="418"/>
      <c r="AG292" s="418"/>
      <c r="AH292" s="418"/>
      <c r="AI292" s="418" t="s">
        <v>4728</v>
      </c>
      <c r="AJ292" s="418" t="s">
        <v>4720</v>
      </c>
      <c r="AK292" s="339"/>
      <c r="AL292" s="339"/>
      <c r="AM292" s="339"/>
      <c r="AN292" s="339"/>
      <c r="AO292" s="339">
        <v>203907.82</v>
      </c>
      <c r="AP292" s="339">
        <v>205118.43</v>
      </c>
      <c r="AQ292" s="339">
        <v>204270.83</v>
      </c>
      <c r="AR292" s="339">
        <v>208846.83</v>
      </c>
      <c r="AS292" s="339">
        <v>207230.32</v>
      </c>
      <c r="AT292" s="339">
        <v>203171.67</v>
      </c>
      <c r="AU292" s="339">
        <v>171690.54</v>
      </c>
      <c r="AV292" s="339">
        <v>168189</v>
      </c>
      <c r="AW292" s="339">
        <v>162503.43</v>
      </c>
      <c r="AX292" s="339">
        <v>162642.22</v>
      </c>
      <c r="AY292" s="339"/>
      <c r="AZ292" s="339"/>
      <c r="BA292" s="339"/>
      <c r="BB292" s="339"/>
      <c r="BC292" s="339">
        <v>135652.4</v>
      </c>
      <c r="BD292" s="339" t="s">
        <v>2932</v>
      </c>
      <c r="BE292" s="339" t="s">
        <v>2932</v>
      </c>
      <c r="BF292" s="339">
        <v>0</v>
      </c>
      <c r="BG292" s="339">
        <v>0</v>
      </c>
      <c r="BH292" s="339">
        <v>0</v>
      </c>
      <c r="BI292" s="339">
        <v>0</v>
      </c>
      <c r="BJ292" s="339">
        <v>0</v>
      </c>
      <c r="BK292" s="339">
        <v>0</v>
      </c>
      <c r="BL292" s="339">
        <v>0</v>
      </c>
      <c r="BM292" s="339">
        <v>0</v>
      </c>
      <c r="BN292" s="339">
        <v>0</v>
      </c>
      <c r="BO292" s="339">
        <v>0</v>
      </c>
      <c r="BP292" s="339">
        <v>0</v>
      </c>
      <c r="BQ292" s="339">
        <v>0</v>
      </c>
      <c r="BR292" s="339">
        <v>0</v>
      </c>
      <c r="BS292" s="110" t="e">
        <f t="array" aca="1" ref="BS292" ca="1">_xludf.XLOOKUP(D292,'PL TOTAL D0'!N:N,'PL TOTAL D0'!P:P,"")</f>
        <v>#NAME?</v>
      </c>
      <c r="BT292" s="110"/>
    </row>
    <row r="293" spans="1:72" ht="15.75" customHeight="1">
      <c r="A293" s="122" t="s">
        <v>3785</v>
      </c>
      <c r="B293" s="104" t="s">
        <v>4729</v>
      </c>
      <c r="C293" s="390" t="s">
        <v>4730</v>
      </c>
      <c r="D293" s="293">
        <v>4988368</v>
      </c>
      <c r="E293" s="293" t="s">
        <v>19</v>
      </c>
      <c r="F293" s="293" t="s">
        <v>20</v>
      </c>
      <c r="G293" s="293" t="s">
        <v>3159</v>
      </c>
      <c r="H293" s="292" t="str">
        <f>IFERROR(VLOOKUP(G293,'Cadastro de assessores'!A:B,2,FALSE),"Não Cadastrado")</f>
        <v>13444</v>
      </c>
      <c r="I293" s="292"/>
      <c r="J293" s="24" t="s">
        <v>152</v>
      </c>
      <c r="K293" s="293" t="s">
        <v>152</v>
      </c>
      <c r="L293" s="415">
        <v>44293</v>
      </c>
      <c r="M293" s="415">
        <v>44293</v>
      </c>
      <c r="N293" s="299"/>
      <c r="O293" s="299" t="s">
        <v>3842</v>
      </c>
      <c r="P293" s="392">
        <v>8.0000000000000002E-3</v>
      </c>
      <c r="Q293" s="167"/>
      <c r="R293" s="417"/>
      <c r="S293" s="292" t="str">
        <f t="shared" si="30"/>
        <v>Não Qualificado</v>
      </c>
      <c r="T293" s="292" t="s">
        <v>145</v>
      </c>
      <c r="U293" s="292" t="s">
        <v>3923</v>
      </c>
      <c r="V293" s="292" t="s">
        <v>20</v>
      </c>
      <c r="W293" s="350"/>
      <c r="X293" s="350"/>
      <c r="Y293" s="350"/>
      <c r="Z293" s="350"/>
      <c r="AA293" s="350"/>
      <c r="AB293" s="350"/>
      <c r="AC293" s="350"/>
      <c r="AD293" s="350"/>
      <c r="AE293" s="350"/>
      <c r="AF293" s="350"/>
      <c r="AG293" s="350"/>
      <c r="AH293" s="350"/>
      <c r="AI293" s="350"/>
      <c r="AJ293" s="350"/>
      <c r="AK293" s="350"/>
      <c r="AL293" s="339"/>
      <c r="AM293" s="339"/>
      <c r="AN293" s="339"/>
      <c r="AO293" s="339"/>
      <c r="AP293" s="339">
        <v>99963.06</v>
      </c>
      <c r="AQ293" s="339">
        <v>100443.57</v>
      </c>
      <c r="AR293" s="339">
        <v>98241.13</v>
      </c>
      <c r="AS293" s="339">
        <v>97049.53</v>
      </c>
      <c r="AT293" s="339">
        <v>99209.56</v>
      </c>
      <c r="AU293" s="339">
        <v>96163.76</v>
      </c>
      <c r="AV293" s="339">
        <v>95085.21</v>
      </c>
      <c r="AW293" s="339">
        <v>94158.86</v>
      </c>
      <c r="AX293" s="339">
        <v>89477.18</v>
      </c>
      <c r="AY293" s="339">
        <v>95178.71</v>
      </c>
      <c r="AZ293" s="339">
        <v>95488.6</v>
      </c>
      <c r="BA293" s="339">
        <v>95495.22</v>
      </c>
      <c r="BB293" s="339">
        <v>96453.63</v>
      </c>
      <c r="BC293" s="339">
        <v>197226.95</v>
      </c>
      <c r="BD293" s="339">
        <v>97352.08</v>
      </c>
      <c r="BE293" s="339">
        <v>97349.84</v>
      </c>
      <c r="BF293" s="339">
        <v>98428.14</v>
      </c>
      <c r="BG293" s="339">
        <v>100785.74</v>
      </c>
      <c r="BH293" s="339">
        <v>100695.83</v>
      </c>
      <c r="BI293" s="339">
        <v>101678.19</v>
      </c>
      <c r="BJ293" s="339">
        <v>98640.43</v>
      </c>
      <c r="BK293" s="339">
        <v>98152.54</v>
      </c>
      <c r="BL293" s="339">
        <v>88635.97</v>
      </c>
      <c r="BM293" s="339">
        <v>87842.73</v>
      </c>
      <c r="BN293" s="339">
        <v>86492.87</v>
      </c>
      <c r="BO293" s="339">
        <v>89374.16</v>
      </c>
      <c r="BP293" s="339">
        <v>92952.14</v>
      </c>
      <c r="BQ293" s="339">
        <v>96941.440000000002</v>
      </c>
      <c r="BR293" s="339">
        <v>99749.18</v>
      </c>
      <c r="BS293" s="110" t="e">
        <f t="array" aca="1" ref="BS293" ca="1">_xludf.XLOOKUP(D293,'PL TOTAL D0'!N:N,'PL TOTAL D0'!P:P,"")</f>
        <v>#NAME?</v>
      </c>
      <c r="BT293" s="110"/>
    </row>
    <row r="294" spans="1:72" ht="15.75" customHeight="1">
      <c r="A294" s="122" t="s">
        <v>3785</v>
      </c>
      <c r="B294" s="104" t="s">
        <v>1681</v>
      </c>
      <c r="C294" s="390" t="s">
        <v>4731</v>
      </c>
      <c r="D294" s="422">
        <v>4823267</v>
      </c>
      <c r="E294" s="293" t="s">
        <v>19</v>
      </c>
      <c r="F294" s="293" t="s">
        <v>20</v>
      </c>
      <c r="G294" s="293" t="s">
        <v>21</v>
      </c>
      <c r="H294" s="293"/>
      <c r="I294" s="293"/>
      <c r="J294" s="24" t="s">
        <v>3788</v>
      </c>
      <c r="K294" s="293"/>
      <c r="L294" s="423"/>
      <c r="M294" s="423">
        <v>44945</v>
      </c>
      <c r="N294" s="292"/>
      <c r="O294" s="292" t="s">
        <v>3802</v>
      </c>
      <c r="P294" s="388">
        <v>1.2E-2</v>
      </c>
      <c r="Q294" s="420"/>
      <c r="R294" s="417"/>
      <c r="S294" s="292"/>
      <c r="T294" s="292"/>
      <c r="U294" s="292"/>
      <c r="V294" s="292" t="s">
        <v>60</v>
      </c>
      <c r="W294" s="418"/>
      <c r="X294" s="418"/>
      <c r="Y294" s="418"/>
      <c r="Z294" s="418"/>
      <c r="AA294" s="418"/>
      <c r="AB294" s="418"/>
      <c r="AC294" s="418"/>
      <c r="AD294" s="418"/>
      <c r="AE294" s="418"/>
      <c r="AF294" s="418"/>
      <c r="AG294" s="418"/>
      <c r="AH294" s="418"/>
      <c r="AI294" s="418"/>
      <c r="AJ294" s="418"/>
      <c r="AK294" s="339"/>
      <c r="AL294" s="339"/>
      <c r="AM294" s="339"/>
      <c r="AN294" s="339"/>
      <c r="AO294" s="339"/>
      <c r="AP294" s="339"/>
      <c r="AQ294" s="339"/>
      <c r="AR294" s="339"/>
      <c r="AS294" s="339"/>
      <c r="AT294" s="339"/>
      <c r="AU294" s="339"/>
      <c r="AV294" s="339"/>
      <c r="AW294" s="339"/>
      <c r="AX294" s="339"/>
      <c r="AY294" s="339"/>
      <c r="AZ294" s="339"/>
      <c r="BA294" s="339"/>
      <c r="BB294" s="339"/>
      <c r="BC294" s="339"/>
      <c r="BD294" s="339"/>
      <c r="BE294" s="339"/>
      <c r="BF294" s="339"/>
      <c r="BG294" s="339"/>
      <c r="BH294" s="339"/>
      <c r="BI294" s="339"/>
      <c r="BJ294" s="339"/>
      <c r="BK294" s="339"/>
      <c r="BL294" s="339">
        <v>86558.3</v>
      </c>
      <c r="BM294" s="339">
        <v>45116.4</v>
      </c>
      <c r="BN294" s="339">
        <v>0</v>
      </c>
      <c r="BO294" s="339">
        <v>0</v>
      </c>
      <c r="BP294" s="339">
        <v>0</v>
      </c>
      <c r="BQ294" s="339">
        <v>0</v>
      </c>
      <c r="BR294" s="339">
        <v>0</v>
      </c>
      <c r="BS294" s="110" t="e">
        <f t="array" aca="1" ref="BS294" ca="1">_xludf.XLOOKUP(D294,'PL TOTAL D0'!N:N,'PL TOTAL D0'!P:P,"")</f>
        <v>#NAME?</v>
      </c>
      <c r="BT294" s="110"/>
    </row>
    <row r="295" spans="1:72" ht="15.75" customHeight="1">
      <c r="A295" s="122" t="s">
        <v>3785</v>
      </c>
      <c r="B295" s="104" t="s">
        <v>4732</v>
      </c>
      <c r="C295" s="390" t="s">
        <v>4733</v>
      </c>
      <c r="D295" s="422">
        <v>8023410</v>
      </c>
      <c r="E295" s="293" t="s">
        <v>19</v>
      </c>
      <c r="F295" s="293" t="s">
        <v>49</v>
      </c>
      <c r="G295" s="293" t="s">
        <v>277</v>
      </c>
      <c r="H295" s="293" t="str">
        <f>IFERROR(VLOOKUP(G295,'Cadastro de assessores'!A:B,2,FALSE),"Não Cadastrado")</f>
        <v>17831</v>
      </c>
      <c r="I295" s="293"/>
      <c r="J295" s="24" t="s">
        <v>3788</v>
      </c>
      <c r="K295" s="293" t="s">
        <v>152</v>
      </c>
      <c r="L295" s="423">
        <v>44617</v>
      </c>
      <c r="M295" s="423">
        <v>44642</v>
      </c>
      <c r="N295" s="292"/>
      <c r="O295" s="292" t="s">
        <v>3805</v>
      </c>
      <c r="P295" s="388">
        <v>1.2E-2</v>
      </c>
      <c r="Q295" s="420" t="s">
        <v>4734</v>
      </c>
      <c r="R295" s="417"/>
      <c r="S295" s="292" t="str">
        <f t="shared" ref="S295:S297" si="31">IF(BC295&lt;=0,"",IF(BC295&lt;=1000000,"Não Qualificado",IF(AND(BC295&gt;1000000,BC295&lt;=10000000),"Qualificado","Profissional")))</f>
        <v>Não Qualificado</v>
      </c>
      <c r="T295" s="292" t="s">
        <v>145</v>
      </c>
      <c r="U295" s="292" t="s">
        <v>3841</v>
      </c>
      <c r="V295" s="292" t="s">
        <v>49</v>
      </c>
      <c r="W295" s="418"/>
      <c r="X295" s="418"/>
      <c r="Y295" s="418"/>
      <c r="Z295" s="418"/>
      <c r="AA295" s="418"/>
      <c r="AB295" s="418"/>
      <c r="AC295" s="418"/>
      <c r="AD295" s="418"/>
      <c r="AE295" s="418"/>
      <c r="AF295" s="418"/>
      <c r="AG295" s="418"/>
      <c r="AH295" s="418"/>
      <c r="AI295" s="418"/>
      <c r="AJ295" s="418"/>
      <c r="AK295" s="339"/>
      <c r="AL295" s="339"/>
      <c r="AM295" s="339"/>
      <c r="AN295" s="339"/>
      <c r="AO295" s="339"/>
      <c r="AP295" s="339"/>
      <c r="AQ295" s="339"/>
      <c r="AR295" s="339"/>
      <c r="AS295" s="339"/>
      <c r="AT295" s="339"/>
      <c r="AU295" s="339"/>
      <c r="AV295" s="339"/>
      <c r="AW295" s="339"/>
      <c r="AX295" s="339"/>
      <c r="AY295" s="339"/>
      <c r="AZ295" s="339"/>
      <c r="BA295" s="339"/>
      <c r="BB295" s="339">
        <v>303257.45</v>
      </c>
      <c r="BC295" s="339">
        <v>101888.22</v>
      </c>
      <c r="BD295" s="339">
        <v>306956.53000000003</v>
      </c>
      <c r="BE295" s="339">
        <v>307940.17</v>
      </c>
      <c r="BF295" s="339">
        <v>311174.01</v>
      </c>
      <c r="BG295" s="339">
        <v>313031.42259999999</v>
      </c>
      <c r="BH295" s="339">
        <v>314766.33</v>
      </c>
      <c r="BI295" s="339">
        <v>319192.21000000002</v>
      </c>
      <c r="BJ295" s="339">
        <v>321469.84000000003</v>
      </c>
      <c r="BK295" s="339">
        <v>324233.77</v>
      </c>
      <c r="BL295" s="339">
        <v>123118.27</v>
      </c>
      <c r="BM295" s="339">
        <v>93189.759999999995</v>
      </c>
      <c r="BN295" s="339">
        <v>94201.17</v>
      </c>
      <c r="BO295" s="339">
        <v>95080.43</v>
      </c>
      <c r="BP295" s="339">
        <v>96062</v>
      </c>
      <c r="BQ295" s="339">
        <v>96222.37</v>
      </c>
      <c r="BR295" s="339">
        <v>97011.92</v>
      </c>
      <c r="BS295" s="110" t="e">
        <f t="array" aca="1" ref="BS295" ca="1">_xludf.XLOOKUP(D295,'PL TOTAL D0'!N:N,'PL TOTAL D0'!P:P,"")</f>
        <v>#NAME?</v>
      </c>
      <c r="BT295" s="110"/>
    </row>
    <row r="296" spans="1:72" ht="15.75" customHeight="1">
      <c r="A296" s="122" t="s">
        <v>3785</v>
      </c>
      <c r="B296" s="104" t="s">
        <v>1695</v>
      </c>
      <c r="C296" s="122" t="s">
        <v>4735</v>
      </c>
      <c r="D296" s="306">
        <v>4680314</v>
      </c>
      <c r="E296" s="293" t="s">
        <v>19</v>
      </c>
      <c r="F296" s="293" t="s">
        <v>20</v>
      </c>
      <c r="G296" s="293" t="s">
        <v>4736</v>
      </c>
      <c r="H296" s="293">
        <f>IFERROR(VLOOKUP(G296,'Cadastro de assessores'!A:B,2,FALSE),"Não Cadastrado")</f>
        <v>12340</v>
      </c>
      <c r="I296" s="293"/>
      <c r="J296" s="24" t="s">
        <v>3788</v>
      </c>
      <c r="K296" s="293" t="s">
        <v>152</v>
      </c>
      <c r="L296" s="416">
        <v>44181</v>
      </c>
      <c r="M296" s="416">
        <v>44186</v>
      </c>
      <c r="N296" s="292"/>
      <c r="O296" s="292" t="s">
        <v>3795</v>
      </c>
      <c r="P296" s="388">
        <v>1.4999999999999999E-2</v>
      </c>
      <c r="Q296" s="420"/>
      <c r="R296" s="417"/>
      <c r="S296" s="292" t="str">
        <f t="shared" si="31"/>
        <v/>
      </c>
      <c r="T296" s="292" t="s">
        <v>145</v>
      </c>
      <c r="U296" s="292" t="s">
        <v>3832</v>
      </c>
      <c r="V296" s="292" t="s">
        <v>20</v>
      </c>
      <c r="W296" s="418" t="s">
        <v>3798</v>
      </c>
      <c r="X296" s="418" t="s">
        <v>3798</v>
      </c>
      <c r="Y296" s="418" t="s">
        <v>3798</v>
      </c>
      <c r="Z296" s="418" t="s">
        <v>3798</v>
      </c>
      <c r="AA296" s="418" t="s">
        <v>3798</v>
      </c>
      <c r="AB296" s="418" t="s">
        <v>3798</v>
      </c>
      <c r="AC296" s="418" t="s">
        <v>3798</v>
      </c>
      <c r="AD296" s="418" t="s">
        <v>3798</v>
      </c>
      <c r="AE296" s="418" t="s">
        <v>3798</v>
      </c>
      <c r="AF296" s="418" t="s">
        <v>3798</v>
      </c>
      <c r="AG296" s="418" t="s">
        <v>3798</v>
      </c>
      <c r="AH296" s="418"/>
      <c r="AI296" s="418"/>
      <c r="AJ296" s="418"/>
      <c r="AK296" s="339">
        <v>100577.3</v>
      </c>
      <c r="AL296" s="339">
        <v>148725.97</v>
      </c>
      <c r="AM296" s="339">
        <v>144618.28</v>
      </c>
      <c r="AN296" s="339">
        <v>144412.38</v>
      </c>
      <c r="AO296" s="339">
        <v>149013.5</v>
      </c>
      <c r="AP296" s="339">
        <v>150002.51999999999</v>
      </c>
      <c r="AQ296" s="339">
        <v>149416.74</v>
      </c>
      <c r="AR296" s="339">
        <v>152967.25</v>
      </c>
      <c r="AS296" s="339">
        <v>151735.84</v>
      </c>
      <c r="AT296" s="339">
        <v>148679.12</v>
      </c>
      <c r="AU296" s="339">
        <v>147757.01999999999</v>
      </c>
      <c r="AV296" s="339">
        <v>144961.65</v>
      </c>
      <c r="AW296" s="339">
        <v>139301.15</v>
      </c>
      <c r="AX296" s="339">
        <v>139573.37</v>
      </c>
      <c r="AY296" s="339">
        <v>141521.42000000001</v>
      </c>
      <c r="AZ296" s="339">
        <v>144725.21</v>
      </c>
      <c r="BA296" s="339">
        <v>145999.25</v>
      </c>
      <c r="BB296" s="339">
        <v>150946.87</v>
      </c>
      <c r="BC296" s="339"/>
      <c r="BD296" s="339">
        <v>150667.94</v>
      </c>
      <c r="BE296" s="339">
        <v>150146.29999999999</v>
      </c>
      <c r="BF296" s="339">
        <v>152483.67000000001</v>
      </c>
      <c r="BG296" s="339">
        <v>153180.12659999999</v>
      </c>
      <c r="BH296" s="339">
        <v>153671.85</v>
      </c>
      <c r="BI296" s="339">
        <v>159076.24</v>
      </c>
      <c r="BJ296" s="339">
        <v>158272.20000000001</v>
      </c>
      <c r="BK296" s="339">
        <v>182891.96</v>
      </c>
      <c r="BL296" s="339">
        <v>160998.76</v>
      </c>
      <c r="BM296" s="339">
        <v>161990.96</v>
      </c>
      <c r="BN296" s="339">
        <v>0</v>
      </c>
      <c r="BO296" s="339">
        <v>0</v>
      </c>
      <c r="BP296" s="339">
        <v>0</v>
      </c>
      <c r="BQ296" s="339">
        <v>0</v>
      </c>
      <c r="BR296" s="339">
        <v>0</v>
      </c>
      <c r="BS296" s="110" t="e">
        <f t="array" aca="1" ref="BS296" ca="1">_xludf.XLOOKUP(D296,'PL TOTAL D0'!N:N,'PL TOTAL D0'!P:P,"")</f>
        <v>#NAME?</v>
      </c>
      <c r="BT296" s="110"/>
    </row>
    <row r="297" spans="1:72" ht="15.75" customHeight="1">
      <c r="A297" s="122" t="s">
        <v>3785</v>
      </c>
      <c r="B297" s="104" t="s">
        <v>4737</v>
      </c>
      <c r="C297" s="390" t="s">
        <v>4738</v>
      </c>
      <c r="D297" s="422">
        <v>7667659</v>
      </c>
      <c r="E297" s="293" t="s">
        <v>19</v>
      </c>
      <c r="F297" s="293" t="s">
        <v>49</v>
      </c>
      <c r="G297" s="293" t="s">
        <v>166</v>
      </c>
      <c r="H297" s="293" t="str">
        <f>IFERROR(VLOOKUP(G297,'Cadastro de assessores'!A:B,2,FALSE),"Não Cadastrado")</f>
        <v>18890</v>
      </c>
      <c r="I297" s="293"/>
      <c r="J297" s="24" t="s">
        <v>152</v>
      </c>
      <c r="K297" s="293" t="s">
        <v>152</v>
      </c>
      <c r="L297" s="423">
        <v>44641</v>
      </c>
      <c r="M297" s="423">
        <v>44645</v>
      </c>
      <c r="N297" s="292"/>
      <c r="O297" s="292" t="s">
        <v>3802</v>
      </c>
      <c r="P297" s="388">
        <v>7.0000000000000001E-3</v>
      </c>
      <c r="Q297" s="420"/>
      <c r="R297" s="417"/>
      <c r="S297" s="292" t="str">
        <f t="shared" si="31"/>
        <v>Não Qualificado</v>
      </c>
      <c r="T297" s="292" t="s">
        <v>145</v>
      </c>
      <c r="U297" s="292" t="s">
        <v>4739</v>
      </c>
      <c r="V297" s="292" t="s">
        <v>49</v>
      </c>
      <c r="W297" s="418"/>
      <c r="X297" s="418"/>
      <c r="Y297" s="418"/>
      <c r="Z297" s="418"/>
      <c r="AA297" s="418"/>
      <c r="AB297" s="418"/>
      <c r="AC297" s="418"/>
      <c r="AD297" s="418"/>
      <c r="AE297" s="418"/>
      <c r="AF297" s="418"/>
      <c r="AG297" s="418"/>
      <c r="AH297" s="418"/>
      <c r="AI297" s="418"/>
      <c r="AJ297" s="418"/>
      <c r="AK297" s="339"/>
      <c r="AL297" s="339"/>
      <c r="AM297" s="339"/>
      <c r="AN297" s="339"/>
      <c r="AO297" s="339"/>
      <c r="AP297" s="339"/>
      <c r="AQ297" s="339"/>
      <c r="AR297" s="339"/>
      <c r="AS297" s="339"/>
      <c r="AT297" s="339"/>
      <c r="AU297" s="339"/>
      <c r="AV297" s="339"/>
      <c r="AW297" s="339"/>
      <c r="AX297" s="339"/>
      <c r="AY297" s="339"/>
      <c r="AZ297" s="339"/>
      <c r="BA297" s="339"/>
      <c r="BB297" s="339">
        <v>0</v>
      </c>
      <c r="BC297" s="339">
        <v>272.08</v>
      </c>
      <c r="BD297" s="339">
        <v>51093.96</v>
      </c>
      <c r="BE297" s="339">
        <v>51406.68</v>
      </c>
      <c r="BF297" s="339">
        <v>51520.959999999999</v>
      </c>
      <c r="BG297" s="339">
        <v>36542.712220000001</v>
      </c>
      <c r="BH297" s="339">
        <v>36571.839999999997</v>
      </c>
      <c r="BI297" s="339">
        <v>36792.46</v>
      </c>
      <c r="BJ297" s="339">
        <v>36809.5</v>
      </c>
      <c r="BK297" s="339">
        <v>37105.89</v>
      </c>
      <c r="BL297" s="339">
        <v>37621.99</v>
      </c>
      <c r="BM297" s="339">
        <v>16417.900000000001</v>
      </c>
      <c r="BN297" s="339">
        <v>38561.89</v>
      </c>
      <c r="BO297" s="339">
        <v>38950.61</v>
      </c>
      <c r="BP297" s="339">
        <v>39398.300000000003</v>
      </c>
      <c r="BQ297" s="339">
        <v>39411.26</v>
      </c>
      <c r="BR297" s="339">
        <v>27250.95</v>
      </c>
      <c r="BS297" s="110" t="e">
        <f t="array" aca="1" ref="BS297" ca="1">_xludf.XLOOKUP(D297,'PL TOTAL D0'!N:N,'PL TOTAL D0'!P:P,"")</f>
        <v>#NAME?</v>
      </c>
      <c r="BT297" s="110"/>
    </row>
    <row r="298" spans="1:72" ht="15.75" customHeight="1">
      <c r="A298" s="122" t="s">
        <v>3785</v>
      </c>
      <c r="B298" s="104" t="s">
        <v>4740</v>
      </c>
      <c r="C298" s="122" t="s">
        <v>4741</v>
      </c>
      <c r="D298" s="293">
        <v>2417083</v>
      </c>
      <c r="E298" s="293" t="s">
        <v>19</v>
      </c>
      <c r="F298" s="293" t="s">
        <v>49</v>
      </c>
      <c r="G298" s="293" t="s">
        <v>277</v>
      </c>
      <c r="H298" s="293" t="str">
        <f>IFERROR(VLOOKUP(G298,'Cadastro de assessores'!A:B,2,FALSE),"Não Cadastrado")</f>
        <v>17831</v>
      </c>
      <c r="I298" s="293"/>
      <c r="J298" s="24" t="s">
        <v>143</v>
      </c>
      <c r="K298" s="293" t="s">
        <v>152</v>
      </c>
      <c r="L298" s="416">
        <v>44762</v>
      </c>
      <c r="M298" s="416">
        <v>44790</v>
      </c>
      <c r="N298" s="387">
        <v>44939</v>
      </c>
      <c r="O298" s="292" t="s">
        <v>3805</v>
      </c>
      <c r="P298" s="388">
        <v>1.2E-2</v>
      </c>
      <c r="Q298" s="420" t="s">
        <v>4742</v>
      </c>
      <c r="R298" s="417"/>
      <c r="S298" s="292"/>
      <c r="T298" s="292"/>
      <c r="U298" s="292"/>
      <c r="V298" s="292" t="s">
        <v>3147</v>
      </c>
      <c r="W298" s="418"/>
      <c r="X298" s="418"/>
      <c r="Y298" s="418"/>
      <c r="Z298" s="418"/>
      <c r="AA298" s="418"/>
      <c r="AB298" s="418"/>
      <c r="AC298" s="418"/>
      <c r="AD298" s="418"/>
      <c r="AE298" s="418"/>
      <c r="AF298" s="418"/>
      <c r="AG298" s="418"/>
      <c r="AH298" s="418"/>
      <c r="AI298" s="418"/>
      <c r="AJ298" s="418"/>
      <c r="AK298" s="339"/>
      <c r="AL298" s="339"/>
      <c r="AM298" s="339"/>
      <c r="AN298" s="339"/>
      <c r="AO298" s="339"/>
      <c r="AP298" s="339"/>
      <c r="AQ298" s="339"/>
      <c r="AR298" s="339"/>
      <c r="AS298" s="339"/>
      <c r="AT298" s="339"/>
      <c r="AU298" s="339"/>
      <c r="AV298" s="339"/>
      <c r="AW298" s="339"/>
      <c r="AX298" s="339"/>
      <c r="AY298" s="339"/>
      <c r="AZ298" s="339"/>
      <c r="BA298" s="339"/>
      <c r="BB298" s="339"/>
      <c r="BC298" s="339"/>
      <c r="BD298" s="339"/>
      <c r="BE298" s="339"/>
      <c r="BF298" s="339"/>
      <c r="BG298" s="339">
        <v>663134.87639999995</v>
      </c>
      <c r="BH298" s="339">
        <v>668723</v>
      </c>
      <c r="BI298" s="339">
        <v>575232.35</v>
      </c>
      <c r="BJ298" s="339">
        <v>377849.86</v>
      </c>
      <c r="BK298" s="339">
        <v>310831.65000000002</v>
      </c>
      <c r="BL298" s="339">
        <v>0</v>
      </c>
      <c r="BM298" s="339">
        <v>0</v>
      </c>
      <c r="BN298" s="339">
        <v>0</v>
      </c>
      <c r="BO298" s="339">
        <v>0</v>
      </c>
      <c r="BP298" s="339">
        <v>0</v>
      </c>
      <c r="BQ298" s="339">
        <v>0</v>
      </c>
      <c r="BR298" s="339">
        <v>0</v>
      </c>
      <c r="BS298" s="110" t="e">
        <f t="array" aca="1" ref="BS298" ca="1">_xludf.XLOOKUP(D298,'PL TOTAL D0'!N:N,'PL TOTAL D0'!P:P,"")</f>
        <v>#NAME?</v>
      </c>
      <c r="BT298" s="110"/>
    </row>
    <row r="299" spans="1:72" ht="15.75" customHeight="1">
      <c r="A299" s="122" t="s">
        <v>3785</v>
      </c>
      <c r="B299" s="104" t="s">
        <v>1700</v>
      </c>
      <c r="C299" s="390" t="s">
        <v>4743</v>
      </c>
      <c r="D299" s="319">
        <v>2114710</v>
      </c>
      <c r="E299" s="293" t="s">
        <v>19</v>
      </c>
      <c r="F299" s="293" t="s">
        <v>49</v>
      </c>
      <c r="G299" s="466" t="s">
        <v>4744</v>
      </c>
      <c r="H299" s="293" t="str">
        <f>IFERROR(VLOOKUP(G299,'Cadastro de assessores'!A:B,2,FALSE),"Não Cadastrado")</f>
        <v>Não Cadastrado</v>
      </c>
      <c r="I299" s="293"/>
      <c r="J299" s="24" t="s">
        <v>3788</v>
      </c>
      <c r="K299" s="293" t="s">
        <v>152</v>
      </c>
      <c r="L299" s="423">
        <v>44799</v>
      </c>
      <c r="M299" s="423">
        <v>44799</v>
      </c>
      <c r="N299" s="292"/>
      <c r="O299" s="292" t="s">
        <v>3805</v>
      </c>
      <c r="P299" s="388">
        <v>1.2E-2</v>
      </c>
      <c r="Q299" s="420" t="s">
        <v>4745</v>
      </c>
      <c r="R299" s="417"/>
      <c r="S299" s="292"/>
      <c r="T299" s="292"/>
      <c r="U299" s="292"/>
      <c r="V299" s="292" t="s">
        <v>49</v>
      </c>
      <c r="W299" s="418"/>
      <c r="X299" s="418"/>
      <c r="Y299" s="418"/>
      <c r="Z299" s="418"/>
      <c r="AA299" s="418"/>
      <c r="AB299" s="418"/>
      <c r="AC299" s="418"/>
      <c r="AD299" s="418"/>
      <c r="AE299" s="418"/>
      <c r="AF299" s="418"/>
      <c r="AG299" s="418"/>
      <c r="AH299" s="418"/>
      <c r="AI299" s="418"/>
      <c r="AJ299" s="418"/>
      <c r="AK299" s="339"/>
      <c r="AL299" s="339"/>
      <c r="AM299" s="339"/>
      <c r="AN299" s="339"/>
      <c r="AO299" s="339"/>
      <c r="AP299" s="339"/>
      <c r="AQ299" s="339"/>
      <c r="AR299" s="339"/>
      <c r="AS299" s="339"/>
      <c r="AT299" s="339"/>
      <c r="AU299" s="339"/>
      <c r="AV299" s="339"/>
      <c r="AW299" s="339"/>
      <c r="AX299" s="339"/>
      <c r="AY299" s="339"/>
      <c r="AZ299" s="339"/>
      <c r="BA299" s="339"/>
      <c r="BB299" s="339"/>
      <c r="BC299" s="339"/>
      <c r="BD299" s="339"/>
      <c r="BE299" s="339"/>
      <c r="BF299" s="339"/>
      <c r="BG299" s="339">
        <v>789698.47600000002</v>
      </c>
      <c r="BH299" s="339">
        <v>1579134.65</v>
      </c>
      <c r="BI299" s="339">
        <v>1607902.23</v>
      </c>
      <c r="BJ299" s="339">
        <v>2088836.05</v>
      </c>
      <c r="BK299" s="339">
        <v>2107549.4700000002</v>
      </c>
      <c r="BL299" s="339">
        <v>2131749.16</v>
      </c>
      <c r="BM299" s="339">
        <v>111795.82</v>
      </c>
      <c r="BN299" s="339">
        <v>111758.99</v>
      </c>
      <c r="BO299" s="339">
        <v>113097.52</v>
      </c>
      <c r="BP299" s="339">
        <v>112074.57</v>
      </c>
      <c r="BQ299" s="339">
        <v>112443.37</v>
      </c>
      <c r="BR299" s="339">
        <v>113575.74</v>
      </c>
      <c r="BS299" s="110" t="e">
        <f t="array" aca="1" ref="BS299" ca="1">_xludf.XLOOKUP(D299,'PL TOTAL D0'!N:N,'PL TOTAL D0'!P:P,"")</f>
        <v>#NAME?</v>
      </c>
      <c r="BT299" s="110"/>
    </row>
    <row r="300" spans="1:72" ht="15.75" customHeight="1">
      <c r="A300" s="122" t="s">
        <v>3785</v>
      </c>
      <c r="B300" s="104" t="s">
        <v>1709</v>
      </c>
      <c r="C300" s="390" t="s">
        <v>1707</v>
      </c>
      <c r="D300" s="422">
        <v>7772568</v>
      </c>
      <c r="E300" s="293" t="s">
        <v>19</v>
      </c>
      <c r="F300" s="293" t="s">
        <v>20</v>
      </c>
      <c r="G300" s="293" t="s">
        <v>199</v>
      </c>
      <c r="H300" s="293">
        <f>IFERROR(VLOOKUP(G300,'Cadastro de assessores'!A:B,2,FALSE),"Não Cadastrado")</f>
        <v>12332</v>
      </c>
      <c r="I300" s="293"/>
      <c r="J300" s="24" t="s">
        <v>143</v>
      </c>
      <c r="K300" s="293" t="s">
        <v>152</v>
      </c>
      <c r="L300" s="423">
        <v>44636</v>
      </c>
      <c r="M300" s="423">
        <v>44637</v>
      </c>
      <c r="N300" s="292"/>
      <c r="O300" s="292" t="s">
        <v>3802</v>
      </c>
      <c r="P300" s="388">
        <v>7.0000000000000001E-3</v>
      </c>
      <c r="Q300" s="420" t="s">
        <v>4746</v>
      </c>
      <c r="R300" s="417"/>
      <c r="S300" s="292" t="str">
        <f t="shared" ref="S300:S313" si="32">IF(BC300&lt;=0,"",IF(BC300&lt;=1000000,"Não Qualificado",IF(AND(BC300&gt;1000000,BC300&lt;=10000000),"Qualificado","Profissional")))</f>
        <v>Não Qualificado</v>
      </c>
      <c r="T300" s="292" t="s">
        <v>145</v>
      </c>
      <c r="U300" s="292" t="s">
        <v>4747</v>
      </c>
      <c r="V300" s="292" t="s">
        <v>585</v>
      </c>
      <c r="W300" s="418"/>
      <c r="X300" s="418"/>
      <c r="Y300" s="418"/>
      <c r="Z300" s="418"/>
      <c r="AA300" s="418"/>
      <c r="AB300" s="418"/>
      <c r="AC300" s="418"/>
      <c r="AD300" s="418"/>
      <c r="AE300" s="418"/>
      <c r="AF300" s="418"/>
      <c r="AG300" s="418"/>
      <c r="AH300" s="418"/>
      <c r="AI300" s="418"/>
      <c r="AJ300" s="418"/>
      <c r="AK300" s="339"/>
      <c r="AL300" s="339"/>
      <c r="AM300" s="339"/>
      <c r="AN300" s="339"/>
      <c r="AO300" s="339"/>
      <c r="AP300" s="339"/>
      <c r="AQ300" s="339"/>
      <c r="AR300" s="339"/>
      <c r="AS300" s="339"/>
      <c r="AT300" s="339"/>
      <c r="AU300" s="339"/>
      <c r="AV300" s="339"/>
      <c r="AW300" s="339"/>
      <c r="AX300" s="339"/>
      <c r="AY300" s="339"/>
      <c r="AZ300" s="339"/>
      <c r="BA300" s="339"/>
      <c r="BB300" s="339">
        <v>173135.52</v>
      </c>
      <c r="BC300" s="339">
        <v>85183.01</v>
      </c>
      <c r="BD300" s="339">
        <v>227085.75</v>
      </c>
      <c r="BE300" s="339">
        <v>245364.84</v>
      </c>
      <c r="BF300" s="339">
        <v>247624.39</v>
      </c>
      <c r="BG300" s="339">
        <v>249896.46799999999</v>
      </c>
      <c r="BH300" s="339">
        <v>252013.51</v>
      </c>
      <c r="BI300" s="339">
        <v>254348.71</v>
      </c>
      <c r="BJ300" s="339">
        <v>256659.96</v>
      </c>
      <c r="BK300" s="339">
        <v>259057.35</v>
      </c>
      <c r="BL300" s="339">
        <v>261952.89</v>
      </c>
      <c r="BM300" s="339">
        <v>264187.52000000002</v>
      </c>
      <c r="BN300" s="339">
        <v>0</v>
      </c>
      <c r="BO300" s="339">
        <v>0</v>
      </c>
      <c r="BP300" s="339">
        <v>0</v>
      </c>
      <c r="BQ300" s="339">
        <v>0</v>
      </c>
      <c r="BR300" s="339">
        <v>0</v>
      </c>
      <c r="BS300" s="110" t="e">
        <f t="array" aca="1" ref="BS300" ca="1">_xludf.XLOOKUP(D300,'PL TOTAL D0'!N:N,'PL TOTAL D0'!P:P,"")</f>
        <v>#NAME?</v>
      </c>
      <c r="BT300" s="110"/>
    </row>
    <row r="301" spans="1:72" ht="15.75" customHeight="1">
      <c r="A301" s="122" t="s">
        <v>3785</v>
      </c>
      <c r="B301" s="104" t="s">
        <v>1712</v>
      </c>
      <c r="C301" s="390" t="s">
        <v>1710</v>
      </c>
      <c r="D301" s="422">
        <v>5702220</v>
      </c>
      <c r="E301" s="293" t="s">
        <v>19</v>
      </c>
      <c r="F301" s="293" t="s">
        <v>20</v>
      </c>
      <c r="G301" s="293" t="s">
        <v>372</v>
      </c>
      <c r="H301" s="293">
        <f>IFERROR(VLOOKUP(G301,'Cadastro de assessores'!A:B,2,FALSE),"Não Cadastrado")</f>
        <v>12359</v>
      </c>
      <c r="I301" s="293"/>
      <c r="J301" s="24" t="s">
        <v>152</v>
      </c>
      <c r="K301" s="293" t="s">
        <v>152</v>
      </c>
      <c r="L301" s="423">
        <v>44655</v>
      </c>
      <c r="M301" s="423">
        <v>44656</v>
      </c>
      <c r="N301" s="292"/>
      <c r="O301" s="292" t="s">
        <v>3789</v>
      </c>
      <c r="P301" s="388">
        <v>7.0000000000000001E-3</v>
      </c>
      <c r="Q301" s="420"/>
      <c r="R301" s="417"/>
      <c r="S301" s="292" t="str">
        <f t="shared" si="32"/>
        <v>Não Qualificado</v>
      </c>
      <c r="T301" s="292" t="s">
        <v>145</v>
      </c>
      <c r="U301" s="292" t="s">
        <v>3816</v>
      </c>
      <c r="V301" s="292" t="s">
        <v>20</v>
      </c>
      <c r="W301" s="418"/>
      <c r="X301" s="418"/>
      <c r="Y301" s="418"/>
      <c r="Z301" s="418"/>
      <c r="AA301" s="418"/>
      <c r="AB301" s="418"/>
      <c r="AC301" s="418"/>
      <c r="AD301" s="418"/>
      <c r="AE301" s="418"/>
      <c r="AF301" s="418"/>
      <c r="AG301" s="418"/>
      <c r="AH301" s="418"/>
      <c r="AI301" s="418"/>
      <c r="AJ301" s="418"/>
      <c r="AK301" s="339"/>
      <c r="AL301" s="339"/>
      <c r="AM301" s="339"/>
      <c r="AN301" s="339"/>
      <c r="AO301" s="339"/>
      <c r="AP301" s="339"/>
      <c r="AQ301" s="339"/>
      <c r="AR301" s="339"/>
      <c r="AS301" s="339"/>
      <c r="AT301" s="339"/>
      <c r="AU301" s="339"/>
      <c r="AV301" s="339"/>
      <c r="AW301" s="339"/>
      <c r="AX301" s="339"/>
      <c r="AY301" s="339"/>
      <c r="AZ301" s="339"/>
      <c r="BA301" s="339"/>
      <c r="BB301" s="339"/>
      <c r="BC301" s="339">
        <v>303227.44</v>
      </c>
      <c r="BD301" s="339" t="s">
        <v>2932</v>
      </c>
      <c r="BE301" s="339">
        <v>59550.3</v>
      </c>
      <c r="BF301" s="339">
        <v>60121.7</v>
      </c>
      <c r="BG301" s="339">
        <v>69062.603409999996</v>
      </c>
      <c r="BH301" s="339">
        <v>64055.88</v>
      </c>
      <c r="BI301" s="339">
        <v>67335.86</v>
      </c>
      <c r="BJ301" s="339">
        <v>67290.16</v>
      </c>
      <c r="BK301" s="339">
        <v>67728.27</v>
      </c>
      <c r="BL301" s="339">
        <v>65216.69</v>
      </c>
      <c r="BM301" s="339">
        <v>68777.16</v>
      </c>
      <c r="BN301" s="339">
        <v>16221.67</v>
      </c>
      <c r="BO301" s="339">
        <v>16405.5</v>
      </c>
      <c r="BP301" s="339">
        <v>16467.21</v>
      </c>
      <c r="BQ301" s="339">
        <v>16753.27</v>
      </c>
      <c r="BR301" s="339">
        <v>17125.53</v>
      </c>
      <c r="BS301" s="110" t="e">
        <f t="array" aca="1" ref="BS301" ca="1">_xludf.XLOOKUP(D301,'PL TOTAL D0'!N:N,'PL TOTAL D0'!P:P,"")</f>
        <v>#NAME?</v>
      </c>
      <c r="BT301" s="110"/>
    </row>
    <row r="302" spans="1:72" ht="15.75" customHeight="1">
      <c r="A302" s="122" t="s">
        <v>3785</v>
      </c>
      <c r="B302" s="104" t="s">
        <v>4748</v>
      </c>
      <c r="C302" s="390" t="s">
        <v>4749</v>
      </c>
      <c r="D302" s="422">
        <v>8450642</v>
      </c>
      <c r="E302" s="293" t="s">
        <v>19</v>
      </c>
      <c r="F302" s="293" t="s">
        <v>49</v>
      </c>
      <c r="G302" s="293" t="s">
        <v>328</v>
      </c>
      <c r="H302" s="293" t="str">
        <f>IFERROR(VLOOKUP(G302,'Cadastro de assessores'!A:B,2,FALSE),"Não Cadastrado")</f>
        <v>18009</v>
      </c>
      <c r="I302" s="293"/>
      <c r="J302" s="24" t="s">
        <v>143</v>
      </c>
      <c r="K302" s="293" t="s">
        <v>152</v>
      </c>
      <c r="L302" s="423">
        <v>44671</v>
      </c>
      <c r="M302" s="423">
        <v>44679</v>
      </c>
      <c r="N302" s="419">
        <v>44890</v>
      </c>
      <c r="O302" s="292" t="s">
        <v>3795</v>
      </c>
      <c r="P302" s="388">
        <v>1.4999999999999999E-2</v>
      </c>
      <c r="Q302" s="467" t="s">
        <v>4750</v>
      </c>
      <c r="R302" s="417"/>
      <c r="S302" s="292" t="str">
        <f t="shared" si="32"/>
        <v>Não Qualificado</v>
      </c>
      <c r="T302" s="292" t="s">
        <v>145</v>
      </c>
      <c r="U302" s="292" t="s">
        <v>3841</v>
      </c>
      <c r="V302" s="292" t="s">
        <v>20</v>
      </c>
      <c r="W302" s="418"/>
      <c r="X302" s="418"/>
      <c r="Y302" s="418"/>
      <c r="Z302" s="418"/>
      <c r="AA302" s="418"/>
      <c r="AB302" s="418"/>
      <c r="AC302" s="418"/>
      <c r="AD302" s="418"/>
      <c r="AE302" s="418"/>
      <c r="AF302" s="418"/>
      <c r="AG302" s="418"/>
      <c r="AH302" s="418"/>
      <c r="AI302" s="418"/>
      <c r="AJ302" s="418"/>
      <c r="AK302" s="339"/>
      <c r="AL302" s="339"/>
      <c r="AM302" s="339"/>
      <c r="AN302" s="339"/>
      <c r="AO302" s="339"/>
      <c r="AP302" s="339"/>
      <c r="AQ302" s="339"/>
      <c r="AR302" s="339"/>
      <c r="AS302" s="339"/>
      <c r="AT302" s="339"/>
      <c r="AU302" s="339"/>
      <c r="AV302" s="339"/>
      <c r="AW302" s="339"/>
      <c r="AX302" s="339"/>
      <c r="AY302" s="339"/>
      <c r="AZ302" s="339"/>
      <c r="BA302" s="339"/>
      <c r="BB302" s="339"/>
      <c r="BC302" s="339">
        <v>289261.08</v>
      </c>
      <c r="BD302" s="339">
        <v>253373.37</v>
      </c>
      <c r="BE302" s="339">
        <v>240581.69</v>
      </c>
      <c r="BF302" s="339">
        <v>242687.63</v>
      </c>
      <c r="BG302" s="339">
        <v>243726.44469999999</v>
      </c>
      <c r="BH302" s="339">
        <v>245121.41</v>
      </c>
      <c r="BI302" s="339">
        <v>248592.94</v>
      </c>
      <c r="BJ302" s="339">
        <v>250265.26</v>
      </c>
      <c r="BK302" s="339">
        <v>0</v>
      </c>
      <c r="BL302" s="339">
        <v>0</v>
      </c>
      <c r="BM302" s="339">
        <v>0</v>
      </c>
      <c r="BN302" s="339">
        <v>0</v>
      </c>
      <c r="BO302" s="339">
        <v>0</v>
      </c>
      <c r="BP302" s="339">
        <v>0</v>
      </c>
      <c r="BQ302" s="339">
        <v>0</v>
      </c>
      <c r="BR302" s="339">
        <v>0</v>
      </c>
      <c r="BS302" s="110" t="e">
        <f t="array" aca="1" ref="BS302" ca="1">_xludf.XLOOKUP(D302,'PL TOTAL D0'!N:N,'PL TOTAL D0'!P:P,"")</f>
        <v>#NAME?</v>
      </c>
      <c r="BT302" s="110"/>
    </row>
    <row r="303" spans="1:72" ht="15.75" customHeight="1">
      <c r="A303" s="122" t="s">
        <v>3785</v>
      </c>
      <c r="B303" s="104" t="s">
        <v>4751</v>
      </c>
      <c r="C303" s="122" t="s">
        <v>4752</v>
      </c>
      <c r="D303" s="292">
        <v>4859807</v>
      </c>
      <c r="E303" s="292" t="s">
        <v>64</v>
      </c>
      <c r="F303" s="292" t="s">
        <v>2051</v>
      </c>
      <c r="G303" s="292" t="s">
        <v>4753</v>
      </c>
      <c r="H303" s="292" t="str">
        <f>IFERROR(VLOOKUP(G303,'Cadastro de assessores'!A:B,2,FALSE),"Não Cadastrado")</f>
        <v>1449</v>
      </c>
      <c r="I303" s="292"/>
      <c r="J303" s="24" t="s">
        <v>143</v>
      </c>
      <c r="K303" s="292" t="s">
        <v>3794</v>
      </c>
      <c r="L303" s="387">
        <v>44246</v>
      </c>
      <c r="M303" s="387">
        <v>44246</v>
      </c>
      <c r="N303" s="387">
        <v>44319</v>
      </c>
      <c r="O303" s="292" t="s">
        <v>3789</v>
      </c>
      <c r="P303" s="388">
        <v>0.02</v>
      </c>
      <c r="Q303" s="420" t="s">
        <v>4754</v>
      </c>
      <c r="R303" s="417"/>
      <c r="S303" s="292" t="str">
        <f t="shared" si="32"/>
        <v>Não Qualificado</v>
      </c>
      <c r="T303" s="292" t="s">
        <v>145</v>
      </c>
      <c r="U303" s="292" t="s">
        <v>3797</v>
      </c>
      <c r="V303" s="292" t="s">
        <v>20</v>
      </c>
      <c r="W303" s="418"/>
      <c r="X303" s="418"/>
      <c r="Y303" s="418"/>
      <c r="Z303" s="418"/>
      <c r="AA303" s="418"/>
      <c r="AB303" s="418"/>
      <c r="AC303" s="418"/>
      <c r="AD303" s="418"/>
      <c r="AE303" s="418"/>
      <c r="AF303" s="418"/>
      <c r="AG303" s="418"/>
      <c r="AH303" s="418" t="s">
        <v>4755</v>
      </c>
      <c r="AI303" s="418" t="s">
        <v>4756</v>
      </c>
      <c r="AJ303" s="418" t="s">
        <v>4757</v>
      </c>
      <c r="AK303" s="339">
        <v>237505.21</v>
      </c>
      <c r="AL303" s="339">
        <v>233618.04</v>
      </c>
      <c r="AM303" s="339">
        <v>153929.73000000001</v>
      </c>
      <c r="AN303" s="339">
        <v>153958.42000000001</v>
      </c>
      <c r="AO303" s="339">
        <v>161660.97</v>
      </c>
      <c r="AP303" s="339">
        <v>162819.56</v>
      </c>
      <c r="AQ303" s="339">
        <v>162050.69</v>
      </c>
      <c r="AR303" s="339"/>
      <c r="AS303" s="339"/>
      <c r="AT303" s="339"/>
      <c r="AU303" s="339"/>
      <c r="AV303" s="339"/>
      <c r="AW303" s="339"/>
      <c r="AX303" s="339"/>
      <c r="AY303" s="339"/>
      <c r="AZ303" s="339"/>
      <c r="BA303" s="339">
        <v>0</v>
      </c>
      <c r="BB303" s="339">
        <v>0</v>
      </c>
      <c r="BC303" s="339">
        <v>110406.99</v>
      </c>
      <c r="BD303" s="339" t="s">
        <v>2932</v>
      </c>
      <c r="BE303" s="339" t="s">
        <v>2932</v>
      </c>
      <c r="BF303" s="339">
        <v>0</v>
      </c>
      <c r="BG303" s="339">
        <v>0</v>
      </c>
      <c r="BH303" s="339">
        <v>0</v>
      </c>
      <c r="BI303" s="339">
        <v>0</v>
      </c>
      <c r="BJ303" s="339">
        <v>0</v>
      </c>
      <c r="BK303" s="339">
        <v>0</v>
      </c>
      <c r="BL303" s="339">
        <v>0</v>
      </c>
      <c r="BM303" s="339">
        <v>0</v>
      </c>
      <c r="BN303" s="339">
        <v>0</v>
      </c>
      <c r="BO303" s="339">
        <v>0</v>
      </c>
      <c r="BP303" s="339">
        <v>0</v>
      </c>
      <c r="BQ303" s="339">
        <v>0</v>
      </c>
      <c r="BR303" s="339">
        <v>0</v>
      </c>
      <c r="BS303" s="110" t="e">
        <f t="array" aca="1" ref="BS303" ca="1">_xludf.XLOOKUP(D303,'PL TOTAL D0'!N:N,'PL TOTAL D0'!P:P,"")</f>
        <v>#NAME?</v>
      </c>
      <c r="BT303" s="110"/>
    </row>
    <row r="304" spans="1:72" ht="15.75" customHeight="1">
      <c r="A304" s="122" t="s">
        <v>3785</v>
      </c>
      <c r="B304" s="104" t="s">
        <v>4758</v>
      </c>
      <c r="C304" s="390" t="s">
        <v>4759</v>
      </c>
      <c r="D304" s="299">
        <v>5627240</v>
      </c>
      <c r="E304" s="293" t="s">
        <v>19</v>
      </c>
      <c r="F304" s="293" t="s">
        <v>49</v>
      </c>
      <c r="G304" s="293" t="s">
        <v>328</v>
      </c>
      <c r="H304" s="293" t="str">
        <f>IFERROR(VLOOKUP(G304,'Cadastro de assessores'!A:B,2,FALSE),"Não Cadastrado")</f>
        <v>18009</v>
      </c>
      <c r="I304" s="293"/>
      <c r="J304" s="24" t="s">
        <v>3788</v>
      </c>
      <c r="K304" s="293" t="s">
        <v>152</v>
      </c>
      <c r="L304" s="415">
        <v>44361</v>
      </c>
      <c r="M304" s="415">
        <v>44362</v>
      </c>
      <c r="N304" s="299"/>
      <c r="O304" s="299" t="s">
        <v>3802</v>
      </c>
      <c r="P304" s="388">
        <v>1.2E-2</v>
      </c>
      <c r="Q304" s="167" t="s">
        <v>4760</v>
      </c>
      <c r="R304" s="417"/>
      <c r="S304" s="292" t="str">
        <f t="shared" si="32"/>
        <v/>
      </c>
      <c r="T304" s="292" t="s">
        <v>145</v>
      </c>
      <c r="U304" s="292" t="s">
        <v>3846</v>
      </c>
      <c r="V304" s="292" t="s">
        <v>46</v>
      </c>
      <c r="W304" s="350"/>
      <c r="X304" s="350"/>
      <c r="Y304" s="350"/>
      <c r="Z304" s="350"/>
      <c r="AA304" s="350"/>
      <c r="AB304" s="350"/>
      <c r="AC304" s="350"/>
      <c r="AD304" s="350"/>
      <c r="AE304" s="350"/>
      <c r="AF304" s="350"/>
      <c r="AG304" s="350"/>
      <c r="AH304" s="350"/>
      <c r="AI304" s="350"/>
      <c r="AJ304" s="350"/>
      <c r="AK304" s="339"/>
      <c r="AL304" s="339"/>
      <c r="AM304" s="339"/>
      <c r="AN304" s="339"/>
      <c r="AO304" s="339"/>
      <c r="AP304" s="339"/>
      <c r="AQ304" s="350"/>
      <c r="AR304" s="350"/>
      <c r="AS304" s="339">
        <v>63732.03</v>
      </c>
      <c r="AT304" s="339">
        <v>97202.55</v>
      </c>
      <c r="AU304" s="339">
        <v>96046.65</v>
      </c>
      <c r="AV304" s="339">
        <v>93349.35</v>
      </c>
      <c r="AW304" s="339">
        <v>88921.600000000006</v>
      </c>
      <c r="AX304" s="339">
        <v>88591.58</v>
      </c>
      <c r="AY304" s="339">
        <v>89582.76</v>
      </c>
      <c r="AZ304" s="339">
        <v>93531.67</v>
      </c>
      <c r="BA304" s="339">
        <v>94268.69</v>
      </c>
      <c r="BB304" s="339">
        <v>98598.34</v>
      </c>
      <c r="BC304" s="339"/>
      <c r="BD304" s="339">
        <v>95561.64</v>
      </c>
      <c r="BE304" s="339">
        <v>93586.05</v>
      </c>
      <c r="BF304" s="339">
        <v>96544.67</v>
      </c>
      <c r="BG304" s="339">
        <v>98348.922810000004</v>
      </c>
      <c r="BH304" s="339">
        <v>97585.07</v>
      </c>
      <c r="BI304" s="339">
        <v>103101.74</v>
      </c>
      <c r="BJ304" s="339">
        <v>103016.55</v>
      </c>
      <c r="BK304" s="339">
        <v>103357.08</v>
      </c>
      <c r="BL304" s="339">
        <v>104732.11</v>
      </c>
      <c r="BM304" s="339">
        <v>104879.03</v>
      </c>
      <c r="BN304" s="339">
        <v>0</v>
      </c>
      <c r="BO304" s="339">
        <v>0</v>
      </c>
      <c r="BP304" s="339">
        <v>0</v>
      </c>
      <c r="BQ304" s="339">
        <v>0</v>
      </c>
      <c r="BR304" s="339">
        <v>0</v>
      </c>
      <c r="BS304" s="110" t="e">
        <f t="array" aca="1" ref="BS304" ca="1">_xludf.XLOOKUP(D304,'PL TOTAL D0'!N:N,'PL TOTAL D0'!P:P,"")</f>
        <v>#NAME?</v>
      </c>
      <c r="BT304" s="110"/>
    </row>
    <row r="305" spans="1:72" ht="15.75" customHeight="1">
      <c r="A305" s="122" t="s">
        <v>3785</v>
      </c>
      <c r="B305" s="104" t="s">
        <v>4761</v>
      </c>
      <c r="C305" s="390" t="s">
        <v>4762</v>
      </c>
      <c r="D305" s="299">
        <v>5634110</v>
      </c>
      <c r="E305" s="292" t="s">
        <v>19</v>
      </c>
      <c r="F305" s="292" t="s">
        <v>49</v>
      </c>
      <c r="G305" s="292" t="s">
        <v>328</v>
      </c>
      <c r="H305" s="292" t="str">
        <f>IFERROR(VLOOKUP(G305,'Cadastro de assessores'!A:B,2,FALSE),"Não Cadastrado")</f>
        <v>18009</v>
      </c>
      <c r="I305" s="292"/>
      <c r="J305" s="24" t="s">
        <v>143</v>
      </c>
      <c r="K305" s="292" t="s">
        <v>3794</v>
      </c>
      <c r="L305" s="387">
        <v>44356</v>
      </c>
      <c r="M305" s="387">
        <v>44356</v>
      </c>
      <c r="N305" s="391">
        <v>44714</v>
      </c>
      <c r="O305" s="299" t="s">
        <v>3789</v>
      </c>
      <c r="P305" s="388">
        <v>0.02</v>
      </c>
      <c r="Q305" s="167" t="s">
        <v>4763</v>
      </c>
      <c r="R305" s="417"/>
      <c r="S305" s="292" t="str">
        <f t="shared" si="32"/>
        <v>Não Qualificado</v>
      </c>
      <c r="T305" s="292" t="s">
        <v>145</v>
      </c>
      <c r="U305" s="292" t="s">
        <v>3967</v>
      </c>
      <c r="V305" s="292" t="s">
        <v>49</v>
      </c>
      <c r="W305" s="350"/>
      <c r="X305" s="350"/>
      <c r="Y305" s="350"/>
      <c r="Z305" s="350"/>
      <c r="AA305" s="350"/>
      <c r="AB305" s="350"/>
      <c r="AC305" s="350"/>
      <c r="AD305" s="350"/>
      <c r="AE305" s="350"/>
      <c r="AF305" s="350"/>
      <c r="AG305" s="350"/>
      <c r="AH305" s="350"/>
      <c r="AI305" s="350"/>
      <c r="AJ305" s="350"/>
      <c r="AK305" s="339"/>
      <c r="AL305" s="339"/>
      <c r="AM305" s="339"/>
      <c r="AN305" s="339"/>
      <c r="AO305" s="339"/>
      <c r="AP305" s="339"/>
      <c r="AQ305" s="339"/>
      <c r="AR305" s="350"/>
      <c r="AS305" s="339">
        <v>98702.31</v>
      </c>
      <c r="AT305" s="339">
        <v>95587.12</v>
      </c>
      <c r="AU305" s="339">
        <v>94370.880000000005</v>
      </c>
      <c r="AV305" s="339">
        <v>91737.24</v>
      </c>
      <c r="AW305" s="339">
        <v>86822.36</v>
      </c>
      <c r="AX305" s="339">
        <v>86295.75</v>
      </c>
      <c r="AY305" s="339">
        <v>87434.35</v>
      </c>
      <c r="AZ305" s="339">
        <v>88096.89</v>
      </c>
      <c r="BA305" s="339">
        <v>88821.96</v>
      </c>
      <c r="BB305" s="339">
        <v>92875.76</v>
      </c>
      <c r="BC305" s="339">
        <v>15258.01</v>
      </c>
      <c r="BD305" s="339">
        <v>90290.48</v>
      </c>
      <c r="BE305" s="339" t="s">
        <v>2932</v>
      </c>
      <c r="BF305" s="339">
        <v>0</v>
      </c>
      <c r="BG305" s="339">
        <v>0</v>
      </c>
      <c r="BH305" s="339">
        <v>0</v>
      </c>
      <c r="BI305" s="339">
        <v>0</v>
      </c>
      <c r="BJ305" s="339">
        <v>0</v>
      </c>
      <c r="BK305" s="339">
        <v>0</v>
      </c>
      <c r="BL305" s="339">
        <v>0</v>
      </c>
      <c r="BM305" s="339">
        <v>0</v>
      </c>
      <c r="BN305" s="339">
        <v>0</v>
      </c>
      <c r="BO305" s="339">
        <v>0</v>
      </c>
      <c r="BP305" s="339">
        <v>0</v>
      </c>
      <c r="BQ305" s="339">
        <v>0</v>
      </c>
      <c r="BR305" s="339">
        <v>0</v>
      </c>
      <c r="BS305" s="110" t="e">
        <f t="array" aca="1" ref="BS305" ca="1">_xludf.XLOOKUP(D305,'PL TOTAL D0'!N:N,'PL TOTAL D0'!P:P,"")</f>
        <v>#NAME?</v>
      </c>
      <c r="BT305" s="110"/>
    </row>
    <row r="306" spans="1:72" ht="15.75" customHeight="1">
      <c r="A306" s="122" t="s">
        <v>3785</v>
      </c>
      <c r="B306" s="104" t="s">
        <v>1726</v>
      </c>
      <c r="C306" s="122" t="s">
        <v>1724</v>
      </c>
      <c r="D306" s="292">
        <v>2866620</v>
      </c>
      <c r="E306" s="293" t="s">
        <v>19</v>
      </c>
      <c r="F306" s="293" t="s">
        <v>20</v>
      </c>
      <c r="G306" s="293" t="s">
        <v>19</v>
      </c>
      <c r="H306" s="293" t="str">
        <f>IFERROR(VLOOKUP(G306,'Cadastro de assessores'!A:B,2,FALSE),"Não Cadastrado")</f>
        <v>Não Cadastrado</v>
      </c>
      <c r="I306" s="293"/>
      <c r="J306" s="24" t="s">
        <v>3788</v>
      </c>
      <c r="K306" s="293" t="s">
        <v>152</v>
      </c>
      <c r="L306" s="415">
        <v>44000</v>
      </c>
      <c r="M306" s="415">
        <v>44000</v>
      </c>
      <c r="N306" s="292"/>
      <c r="O306" s="292" t="s">
        <v>3795</v>
      </c>
      <c r="P306" s="388">
        <v>1.4999999999999999E-2</v>
      </c>
      <c r="Q306" s="420"/>
      <c r="R306" s="417"/>
      <c r="S306" s="292" t="str">
        <f t="shared" si="32"/>
        <v/>
      </c>
      <c r="T306" s="292" t="s">
        <v>145</v>
      </c>
      <c r="U306" s="292" t="s">
        <v>3929</v>
      </c>
      <c r="V306" s="292" t="s">
        <v>20</v>
      </c>
      <c r="W306" s="418" t="s">
        <v>3798</v>
      </c>
      <c r="X306" s="418" t="s">
        <v>3798</v>
      </c>
      <c r="Y306" s="418" t="s">
        <v>3798</v>
      </c>
      <c r="Z306" s="418" t="s">
        <v>3798</v>
      </c>
      <c r="AA306" s="418" t="s">
        <v>3798</v>
      </c>
      <c r="AB306" s="418" t="s">
        <v>3798</v>
      </c>
      <c r="AC306" s="418" t="s">
        <v>3798</v>
      </c>
      <c r="AD306" s="418" t="s">
        <v>4764</v>
      </c>
      <c r="AE306" s="418" t="s">
        <v>4765</v>
      </c>
      <c r="AF306" s="418" t="s">
        <v>4766</v>
      </c>
      <c r="AG306" s="418" t="s">
        <v>4767</v>
      </c>
      <c r="AH306" s="418" t="s">
        <v>3798</v>
      </c>
      <c r="AI306" s="418" t="s">
        <v>4768</v>
      </c>
      <c r="AJ306" s="418" t="s">
        <v>4769</v>
      </c>
      <c r="AK306" s="339">
        <v>307680.36</v>
      </c>
      <c r="AL306" s="339">
        <v>302881.37</v>
      </c>
      <c r="AM306" s="339">
        <v>225754.68</v>
      </c>
      <c r="AN306" s="339">
        <v>225572.05</v>
      </c>
      <c r="AO306" s="339">
        <v>232792.13</v>
      </c>
      <c r="AP306" s="339">
        <v>234114.84</v>
      </c>
      <c r="AQ306" s="339">
        <v>233087.65</v>
      </c>
      <c r="AR306" s="339">
        <v>239006.34</v>
      </c>
      <c r="AS306" s="339">
        <v>237105.75</v>
      </c>
      <c r="AT306" s="339">
        <v>232288.84</v>
      </c>
      <c r="AU306" s="339">
        <v>230839.93</v>
      </c>
      <c r="AV306" s="339">
        <v>226786.52</v>
      </c>
      <c r="AW306" s="339">
        <v>218987.37</v>
      </c>
      <c r="AX306" s="339">
        <v>219103.78</v>
      </c>
      <c r="AY306" s="339">
        <v>222006.35</v>
      </c>
      <c r="AZ306" s="339">
        <v>227734.28</v>
      </c>
      <c r="BA306" s="339">
        <v>222275.17</v>
      </c>
      <c r="BB306" s="339">
        <v>238157.15</v>
      </c>
      <c r="BC306" s="339"/>
      <c r="BD306" s="339">
        <v>236058.35</v>
      </c>
      <c r="BE306" s="339">
        <v>234923.9</v>
      </c>
      <c r="BF306" s="339">
        <v>239849.5</v>
      </c>
      <c r="BG306" s="339">
        <v>241987.94829999999</v>
      </c>
      <c r="BH306" s="339">
        <v>242893.07</v>
      </c>
      <c r="BI306" s="339">
        <v>253322.28</v>
      </c>
      <c r="BJ306" s="339">
        <v>251207.17</v>
      </c>
      <c r="BK306" s="339">
        <v>252803.42</v>
      </c>
      <c r="BL306" s="339">
        <v>245320.63</v>
      </c>
      <c r="BM306" s="339">
        <v>246710.72</v>
      </c>
      <c r="BN306" s="339">
        <v>248980.74</v>
      </c>
      <c r="BO306" s="339">
        <v>71052.73</v>
      </c>
      <c r="BP306" s="339">
        <v>867.48</v>
      </c>
      <c r="BQ306" s="339">
        <v>0</v>
      </c>
      <c r="BR306" s="339">
        <v>0</v>
      </c>
      <c r="BS306" s="110" t="e">
        <f t="array" aca="1" ref="BS306" ca="1">_xludf.XLOOKUP(D306,'PL TOTAL D0'!N:N,'PL TOTAL D0'!P:P,"")</f>
        <v>#NAME?</v>
      </c>
      <c r="BT306" s="110"/>
    </row>
    <row r="307" spans="1:72" ht="15.75" customHeight="1">
      <c r="A307" s="122" t="s">
        <v>3785</v>
      </c>
      <c r="B307" s="104" t="s">
        <v>4770</v>
      </c>
      <c r="C307" s="122" t="s">
        <v>4771</v>
      </c>
      <c r="D307" s="432">
        <v>4990009</v>
      </c>
      <c r="E307" s="292" t="s">
        <v>19</v>
      </c>
      <c r="F307" s="292" t="s">
        <v>49</v>
      </c>
      <c r="G307" s="292" t="s">
        <v>328</v>
      </c>
      <c r="H307" s="292" t="str">
        <f>IFERROR(VLOOKUP(G307,'Cadastro de assessores'!A:B,2,FALSE),"Não Cadastrado")</f>
        <v>18009</v>
      </c>
      <c r="I307" s="292"/>
      <c r="J307" s="24" t="s">
        <v>143</v>
      </c>
      <c r="K307" s="292" t="s">
        <v>3794</v>
      </c>
      <c r="L307" s="387">
        <v>44274</v>
      </c>
      <c r="M307" s="387">
        <v>44274</v>
      </c>
      <c r="N307" s="387">
        <v>44649</v>
      </c>
      <c r="O307" s="292" t="s">
        <v>3795</v>
      </c>
      <c r="P307" s="388">
        <v>1.4999999999999999E-2</v>
      </c>
      <c r="Q307" s="420" t="s">
        <v>4772</v>
      </c>
      <c r="R307" s="417"/>
      <c r="S307" s="292" t="str">
        <f t="shared" si="32"/>
        <v/>
      </c>
      <c r="T307" s="292" t="s">
        <v>145</v>
      </c>
      <c r="U307" s="292" t="s">
        <v>3846</v>
      </c>
      <c r="V307" s="292" t="s">
        <v>46</v>
      </c>
      <c r="W307" s="418"/>
      <c r="X307" s="418"/>
      <c r="Y307" s="418"/>
      <c r="Z307" s="418"/>
      <c r="AA307" s="418"/>
      <c r="AB307" s="418"/>
      <c r="AC307" s="418"/>
      <c r="AD307" s="418"/>
      <c r="AE307" s="418"/>
      <c r="AF307" s="418"/>
      <c r="AG307" s="418"/>
      <c r="AH307" s="418"/>
      <c r="AI307" s="418"/>
      <c r="AJ307" s="418"/>
      <c r="AK307" s="339"/>
      <c r="AL307" s="339"/>
      <c r="AM307" s="339"/>
      <c r="AN307" s="339"/>
      <c r="AO307" s="339">
        <v>101127.26</v>
      </c>
      <c r="AP307" s="339">
        <v>131865.28</v>
      </c>
      <c r="AQ307" s="339">
        <v>131359.94</v>
      </c>
      <c r="AR307" s="339">
        <v>149552.95000000001</v>
      </c>
      <c r="AS307" s="339">
        <v>148551.9</v>
      </c>
      <c r="AT307" s="339">
        <v>145846.78</v>
      </c>
      <c r="AU307" s="339">
        <v>144922.59</v>
      </c>
      <c r="AV307" s="339">
        <v>142336.99</v>
      </c>
      <c r="AW307" s="339">
        <v>138407.17000000001</v>
      </c>
      <c r="AX307" s="339">
        <v>137788.14000000001</v>
      </c>
      <c r="AY307" s="339">
        <v>139411.66</v>
      </c>
      <c r="AZ307" s="339">
        <v>164082.69</v>
      </c>
      <c r="BA307" s="339">
        <v>165142.25</v>
      </c>
      <c r="BB307" s="339">
        <v>171004.94</v>
      </c>
      <c r="BC307" s="339">
        <v>-177.81</v>
      </c>
      <c r="BD307" s="339" t="s">
        <v>2932</v>
      </c>
      <c r="BE307" s="339" t="s">
        <v>2932</v>
      </c>
      <c r="BF307" s="339">
        <v>0</v>
      </c>
      <c r="BG307" s="339">
        <v>0</v>
      </c>
      <c r="BH307" s="339">
        <v>0</v>
      </c>
      <c r="BI307" s="339">
        <v>0</v>
      </c>
      <c r="BJ307" s="339">
        <v>0</v>
      </c>
      <c r="BK307" s="339">
        <v>0</v>
      </c>
      <c r="BL307" s="339">
        <v>0</v>
      </c>
      <c r="BM307" s="339">
        <v>0</v>
      </c>
      <c r="BN307" s="339">
        <v>0</v>
      </c>
      <c r="BO307" s="339">
        <v>0</v>
      </c>
      <c r="BP307" s="339">
        <v>0</v>
      </c>
      <c r="BQ307" s="339">
        <v>0</v>
      </c>
      <c r="BR307" s="339">
        <v>0</v>
      </c>
      <c r="BS307" s="110" t="e">
        <f t="array" aca="1" ref="BS307" ca="1">_xludf.XLOOKUP(D307,'PL TOTAL D0'!N:N,'PL TOTAL D0'!P:P,"")</f>
        <v>#NAME?</v>
      </c>
      <c r="BT307" s="110"/>
    </row>
    <row r="308" spans="1:72" ht="15.75" customHeight="1">
      <c r="A308" s="122" t="s">
        <v>3785</v>
      </c>
      <c r="B308" s="104" t="s">
        <v>4773</v>
      </c>
      <c r="C308" s="122" t="s">
        <v>4774</v>
      </c>
      <c r="D308" s="292">
        <v>4606048</v>
      </c>
      <c r="E308" s="293" t="s">
        <v>64</v>
      </c>
      <c r="F308" s="293" t="s">
        <v>20</v>
      </c>
      <c r="G308" s="293" t="s">
        <v>247</v>
      </c>
      <c r="H308" s="293" t="str">
        <f>IFERROR(VLOOKUP(G308,'Cadastro de assessores'!A:B,2,FALSE),"Não Cadastrado")</f>
        <v>14699</v>
      </c>
      <c r="I308" s="293"/>
      <c r="J308" s="24" t="s">
        <v>152</v>
      </c>
      <c r="K308" s="293" t="s">
        <v>152</v>
      </c>
      <c r="L308" s="416">
        <v>44154</v>
      </c>
      <c r="M308" s="416">
        <v>44160</v>
      </c>
      <c r="N308" s="292"/>
      <c r="O308" s="292" t="s">
        <v>3809</v>
      </c>
      <c r="P308" s="388">
        <v>2.5000000000000001E-2</v>
      </c>
      <c r="Q308" s="167"/>
      <c r="R308" s="417"/>
      <c r="S308" s="292" t="str">
        <f t="shared" si="32"/>
        <v>Não Qualificado</v>
      </c>
      <c r="T308" s="292" t="s">
        <v>145</v>
      </c>
      <c r="U308" s="292" t="s">
        <v>3991</v>
      </c>
      <c r="V308" s="292" t="s">
        <v>20</v>
      </c>
      <c r="W308" s="418" t="s">
        <v>3798</v>
      </c>
      <c r="X308" s="418" t="s">
        <v>3798</v>
      </c>
      <c r="Y308" s="418" t="s">
        <v>3798</v>
      </c>
      <c r="Z308" s="418" t="s">
        <v>3798</v>
      </c>
      <c r="AA308" s="418" t="s">
        <v>3798</v>
      </c>
      <c r="AB308" s="418" t="s">
        <v>3798</v>
      </c>
      <c r="AC308" s="418" t="s">
        <v>3798</v>
      </c>
      <c r="AD308" s="418" t="s">
        <v>3798</v>
      </c>
      <c r="AE308" s="418" t="s">
        <v>3798</v>
      </c>
      <c r="AF308" s="418" t="s">
        <v>3798</v>
      </c>
      <c r="AG308" s="418" t="s">
        <v>3798</v>
      </c>
      <c r="AH308" s="418"/>
      <c r="AI308" s="418"/>
      <c r="AJ308" s="418" t="s">
        <v>4769</v>
      </c>
      <c r="AK308" s="339">
        <v>306029.59999999998</v>
      </c>
      <c r="AL308" s="339">
        <v>297349</v>
      </c>
      <c r="AM308" s="339">
        <v>292165.75</v>
      </c>
      <c r="AN308" s="339">
        <v>291527.32</v>
      </c>
      <c r="AO308" s="339">
        <v>299728.93</v>
      </c>
      <c r="AP308" s="339">
        <v>301480.52</v>
      </c>
      <c r="AQ308" s="339">
        <v>300257.27</v>
      </c>
      <c r="AR308" s="339">
        <v>307249.53000000003</v>
      </c>
      <c r="AS308" s="339">
        <v>197741.52</v>
      </c>
      <c r="AT308" s="339">
        <v>187304.22</v>
      </c>
      <c r="AU308" s="339">
        <v>183028.79</v>
      </c>
      <c r="AV308" s="339">
        <v>172450.24</v>
      </c>
      <c r="AW308" s="339">
        <v>158992.65</v>
      </c>
      <c r="AX308" s="339">
        <v>157321.39000000001</v>
      </c>
      <c r="AY308" s="339">
        <v>160664.31</v>
      </c>
      <c r="AZ308" s="339">
        <v>171102.46</v>
      </c>
      <c r="BA308" s="339">
        <v>173026.79</v>
      </c>
      <c r="BB308" s="339">
        <v>185417.32</v>
      </c>
      <c r="BC308" s="339">
        <v>154542.65</v>
      </c>
      <c r="BD308" s="339">
        <v>174042.42</v>
      </c>
      <c r="BE308" s="339">
        <v>166305.07</v>
      </c>
      <c r="BF308" s="339">
        <v>174428.33</v>
      </c>
      <c r="BG308" s="339">
        <v>175965.41020000001</v>
      </c>
      <c r="BH308" s="339">
        <v>173515.56</v>
      </c>
      <c r="BI308" s="339">
        <v>189775.57</v>
      </c>
      <c r="BJ308" s="339">
        <v>184323.62</v>
      </c>
      <c r="BK308" s="339">
        <v>183426.67</v>
      </c>
      <c r="BL308" s="339">
        <v>187418.58</v>
      </c>
      <c r="BM308" s="339">
        <v>179291.09</v>
      </c>
      <c r="BN308" s="339">
        <v>177690.55</v>
      </c>
      <c r="BO308" s="339">
        <v>159559.29999999999</v>
      </c>
      <c r="BP308" s="339">
        <v>158018.4</v>
      </c>
      <c r="BQ308" s="339">
        <v>168627.02</v>
      </c>
      <c r="BR308" s="339">
        <v>175117.69</v>
      </c>
      <c r="BS308" s="110" t="e">
        <f t="array" aca="1" ref="BS308" ca="1">_xludf.XLOOKUP(D308,'PL TOTAL D0'!N:N,'PL TOTAL D0'!P:P,"")</f>
        <v>#NAME?</v>
      </c>
      <c r="BT308" s="110"/>
    </row>
    <row r="309" spans="1:72" ht="15.75" customHeight="1">
      <c r="A309" s="122" t="s">
        <v>3785</v>
      </c>
      <c r="B309" s="104" t="s">
        <v>1745</v>
      </c>
      <c r="C309" s="86" t="s">
        <v>1743</v>
      </c>
      <c r="D309" s="426">
        <v>7783008</v>
      </c>
      <c r="E309" s="293" t="s">
        <v>19</v>
      </c>
      <c r="F309" s="293" t="s">
        <v>20</v>
      </c>
      <c r="G309" s="293" t="s">
        <v>21</v>
      </c>
      <c r="H309" s="293">
        <f>IFERROR(VLOOKUP(G309,'Cadastro de assessores'!A:B,2,FALSE),"Não Cadastrado")</f>
        <v>12344</v>
      </c>
      <c r="I309" s="293"/>
      <c r="J309" s="24" t="s">
        <v>3788</v>
      </c>
      <c r="K309" s="293" t="s">
        <v>152</v>
      </c>
      <c r="L309" s="415">
        <v>44587</v>
      </c>
      <c r="M309" s="415">
        <v>44594</v>
      </c>
      <c r="N309" s="299"/>
      <c r="O309" s="299" t="s">
        <v>3802</v>
      </c>
      <c r="P309" s="388">
        <v>7.0000000000000001E-3</v>
      </c>
      <c r="Q309" s="167" t="s">
        <v>4775</v>
      </c>
      <c r="R309" s="417"/>
      <c r="S309" s="292" t="str">
        <f t="shared" si="32"/>
        <v/>
      </c>
      <c r="T309" s="292" t="s">
        <v>145</v>
      </c>
      <c r="U309" s="299" t="s">
        <v>3929</v>
      </c>
      <c r="V309" s="299" t="s">
        <v>20</v>
      </c>
      <c r="W309" s="350"/>
      <c r="X309" s="350"/>
      <c r="Y309" s="350"/>
      <c r="Z309" s="350"/>
      <c r="AA309" s="350"/>
      <c r="AB309" s="350"/>
      <c r="AC309" s="350"/>
      <c r="AD309" s="350"/>
      <c r="AE309" s="350"/>
      <c r="AF309" s="350"/>
      <c r="AG309" s="418"/>
      <c r="AH309" s="418"/>
      <c r="AI309" s="418"/>
      <c r="AJ309" s="339"/>
      <c r="AK309" s="339"/>
      <c r="AL309" s="339"/>
      <c r="AM309" s="339"/>
      <c r="AN309" s="339"/>
      <c r="AO309" s="339"/>
      <c r="AP309" s="339"/>
      <c r="AQ309" s="339"/>
      <c r="AR309" s="339"/>
      <c r="AS309" s="339"/>
      <c r="AT309" s="339"/>
      <c r="AU309" s="339"/>
      <c r="AV309" s="339"/>
      <c r="AW309" s="339"/>
      <c r="AX309" s="339"/>
      <c r="AY309" s="339"/>
      <c r="AZ309" s="339"/>
      <c r="BA309" s="339">
        <v>680704.5</v>
      </c>
      <c r="BB309" s="339">
        <v>656710.79</v>
      </c>
      <c r="BC309" s="339"/>
      <c r="BD309" s="339">
        <v>617294.06000000006</v>
      </c>
      <c r="BE309" s="339">
        <v>602692.65</v>
      </c>
      <c r="BF309" s="339">
        <v>607559.68999999994</v>
      </c>
      <c r="BG309" s="339">
        <v>579756.53170000005</v>
      </c>
      <c r="BH309" s="339">
        <v>553265.99</v>
      </c>
      <c r="BI309" s="339">
        <v>526714.52</v>
      </c>
      <c r="BJ309" s="339">
        <v>500372.6</v>
      </c>
      <c r="BK309" s="339">
        <v>443717.27</v>
      </c>
      <c r="BL309" s="339">
        <v>473960.73</v>
      </c>
      <c r="BM309" s="339">
        <v>393283.51</v>
      </c>
      <c r="BN309" s="339">
        <v>239.76</v>
      </c>
      <c r="BO309" s="339">
        <v>239.76</v>
      </c>
      <c r="BP309" s="339">
        <v>0</v>
      </c>
      <c r="BQ309" s="339">
        <v>0</v>
      </c>
      <c r="BR309" s="339">
        <v>0</v>
      </c>
      <c r="BS309" s="110" t="e">
        <f t="array" aca="1" ref="BS309" ca="1">_xludf.XLOOKUP(D309,'PL TOTAL D0'!N:N,'PL TOTAL D0'!P:P,"")</f>
        <v>#NAME?</v>
      </c>
      <c r="BT309" s="110"/>
    </row>
    <row r="310" spans="1:72" ht="15.75" customHeight="1">
      <c r="A310" s="122" t="s">
        <v>3785</v>
      </c>
      <c r="B310" s="104" t="s">
        <v>4776</v>
      </c>
      <c r="C310" s="390" t="s">
        <v>4777</v>
      </c>
      <c r="D310" s="299">
        <v>6549214</v>
      </c>
      <c r="E310" s="292" t="s">
        <v>19</v>
      </c>
      <c r="F310" s="292" t="s">
        <v>49</v>
      </c>
      <c r="G310" s="292" t="s">
        <v>4134</v>
      </c>
      <c r="H310" s="292" t="str">
        <f>IFERROR(VLOOKUP(G310,'Cadastro de assessores'!A:B,2,FALSE),"Não Cadastrado")</f>
        <v>14294</v>
      </c>
      <c r="I310" s="292"/>
      <c r="J310" s="24" t="s">
        <v>143</v>
      </c>
      <c r="K310" s="292" t="s">
        <v>3794</v>
      </c>
      <c r="L310" s="419">
        <v>44487</v>
      </c>
      <c r="M310" s="419">
        <v>44487</v>
      </c>
      <c r="N310" s="391">
        <v>44810</v>
      </c>
      <c r="O310" s="299" t="s">
        <v>3795</v>
      </c>
      <c r="P310" s="388">
        <v>1.4999999999999999E-2</v>
      </c>
      <c r="Q310" s="167"/>
      <c r="R310" s="417"/>
      <c r="S310" s="292" t="str">
        <f t="shared" si="32"/>
        <v>Qualificado</v>
      </c>
      <c r="T310" s="292" t="s">
        <v>145</v>
      </c>
      <c r="U310" s="299" t="s">
        <v>3883</v>
      </c>
      <c r="V310" s="292" t="s">
        <v>3884</v>
      </c>
      <c r="W310" s="350"/>
      <c r="X310" s="350"/>
      <c r="Y310" s="350"/>
      <c r="Z310" s="350"/>
      <c r="AA310" s="350"/>
      <c r="AB310" s="350"/>
      <c r="AC310" s="350"/>
      <c r="AD310" s="350"/>
      <c r="AE310" s="350"/>
      <c r="AF310" s="350"/>
      <c r="AG310" s="418"/>
      <c r="AH310" s="418"/>
      <c r="AI310" s="418"/>
      <c r="AJ310" s="339"/>
      <c r="AK310" s="339"/>
      <c r="AL310" s="339"/>
      <c r="AM310" s="339"/>
      <c r="AN310" s="339"/>
      <c r="AO310" s="339"/>
      <c r="AP310" s="339"/>
      <c r="AQ310" s="339"/>
      <c r="AR310" s="339"/>
      <c r="AS310" s="339"/>
      <c r="AT310" s="339"/>
      <c r="AU310" s="339"/>
      <c r="AV310" s="339"/>
      <c r="AW310" s="339">
        <v>100044.75</v>
      </c>
      <c r="AX310" s="339">
        <v>104814.95</v>
      </c>
      <c r="AY310" s="339">
        <v>83319.3</v>
      </c>
      <c r="AZ310" s="339">
        <v>91987.47</v>
      </c>
      <c r="BA310" s="339">
        <v>94018.22</v>
      </c>
      <c r="BB310" s="339">
        <v>107069.2</v>
      </c>
      <c r="BC310" s="339">
        <v>1048601.01</v>
      </c>
      <c r="BD310" s="339">
        <v>116857.7</v>
      </c>
      <c r="BE310" s="339">
        <v>116438.48</v>
      </c>
      <c r="BF310" s="339">
        <v>130616.75</v>
      </c>
      <c r="BG310" s="339">
        <v>159300.80900000001</v>
      </c>
      <c r="BH310" s="339">
        <v>0</v>
      </c>
      <c r="BI310" s="339">
        <v>0</v>
      </c>
      <c r="BJ310" s="339">
        <v>0</v>
      </c>
      <c r="BK310" s="339">
        <v>0</v>
      </c>
      <c r="BL310" s="339">
        <v>0</v>
      </c>
      <c r="BM310" s="339">
        <v>0</v>
      </c>
      <c r="BN310" s="339">
        <v>0</v>
      </c>
      <c r="BO310" s="339">
        <v>0</v>
      </c>
      <c r="BP310" s="339">
        <v>0</v>
      </c>
      <c r="BQ310" s="339">
        <v>0</v>
      </c>
      <c r="BR310" s="339">
        <v>0</v>
      </c>
      <c r="BS310" s="110" t="e">
        <f t="array" aca="1" ref="BS310" ca="1">_xludf.XLOOKUP(D310,'PL TOTAL D0'!N:N,'PL TOTAL D0'!P:P,"")</f>
        <v>#NAME?</v>
      </c>
      <c r="BT310" s="110"/>
    </row>
    <row r="311" spans="1:72" ht="15.75" customHeight="1">
      <c r="A311" s="122" t="s">
        <v>3785</v>
      </c>
      <c r="B311" s="104" t="s">
        <v>1763</v>
      </c>
      <c r="C311" s="441" t="s">
        <v>1761</v>
      </c>
      <c r="D311" s="426">
        <v>3025955</v>
      </c>
      <c r="E311" s="293" t="s">
        <v>19</v>
      </c>
      <c r="F311" s="293" t="s">
        <v>49</v>
      </c>
      <c r="G311" s="426" t="s">
        <v>328</v>
      </c>
      <c r="H311" s="293" t="str">
        <f>IFERROR(VLOOKUP(G311,'Cadastro de assessores'!A:B,2,FALSE),"Não Cadastrado")</f>
        <v>18009</v>
      </c>
      <c r="I311" s="293"/>
      <c r="J311" s="24" t="s">
        <v>152</v>
      </c>
      <c r="K311" s="293" t="s">
        <v>152</v>
      </c>
      <c r="L311" s="447">
        <v>44565</v>
      </c>
      <c r="M311" s="447">
        <v>44557</v>
      </c>
      <c r="N311" s="299"/>
      <c r="O311" s="299" t="s">
        <v>4607</v>
      </c>
      <c r="P311" s="388">
        <v>1.4999999999999999E-2</v>
      </c>
      <c r="Q311" s="167" t="s">
        <v>4076</v>
      </c>
      <c r="R311" s="417"/>
      <c r="S311" s="292" t="str">
        <f t="shared" si="32"/>
        <v>Não Qualificado</v>
      </c>
      <c r="T311" s="292" t="s">
        <v>145</v>
      </c>
      <c r="U311" s="292" t="s">
        <v>3967</v>
      </c>
      <c r="V311" s="292" t="s">
        <v>49</v>
      </c>
      <c r="W311" s="350"/>
      <c r="X311" s="350"/>
      <c r="Y311" s="350"/>
      <c r="Z311" s="350"/>
      <c r="AA311" s="350"/>
      <c r="AB311" s="350"/>
      <c r="AC311" s="350"/>
      <c r="AD311" s="350"/>
      <c r="AE311" s="350"/>
      <c r="AF311" s="350"/>
      <c r="AG311" s="418"/>
      <c r="AH311" s="418"/>
      <c r="AI311" s="339"/>
      <c r="AJ311" s="339"/>
      <c r="AK311" s="339"/>
      <c r="AL311" s="339"/>
      <c r="AM311" s="339"/>
      <c r="AN311" s="339"/>
      <c r="AO311" s="339"/>
      <c r="AP311" s="339"/>
      <c r="AQ311" s="339"/>
      <c r="AR311" s="339"/>
      <c r="AS311" s="339"/>
      <c r="AT311" s="339"/>
      <c r="AU311" s="339"/>
      <c r="AV311" s="339"/>
      <c r="AW311" s="350"/>
      <c r="AX311" s="350"/>
      <c r="AY311" s="350"/>
      <c r="AZ311" s="431">
        <v>209133.89</v>
      </c>
      <c r="BA311" s="431">
        <v>210671.09</v>
      </c>
      <c r="BB311" s="431">
        <v>285147.96999999997</v>
      </c>
      <c r="BC311" s="431">
        <v>380297.33</v>
      </c>
      <c r="BD311" s="339">
        <v>287052.7</v>
      </c>
      <c r="BE311" s="339">
        <v>286979.89</v>
      </c>
      <c r="BF311" s="339">
        <v>307590.81</v>
      </c>
      <c r="BG311" s="339">
        <v>309562.91110000003</v>
      </c>
      <c r="BH311" s="339">
        <v>311142.96999999997</v>
      </c>
      <c r="BI311" s="339">
        <v>320073.89</v>
      </c>
      <c r="BJ311" s="339">
        <v>334033.84999999998</v>
      </c>
      <c r="BK311" s="339">
        <v>336338.13</v>
      </c>
      <c r="BL311" s="339">
        <v>339884.79999999999</v>
      </c>
      <c r="BM311" s="339">
        <v>141381.38</v>
      </c>
      <c r="BN311" s="339">
        <v>3.12</v>
      </c>
      <c r="BO311" s="339">
        <v>25058.76</v>
      </c>
      <c r="BP311" s="339">
        <v>25144.33</v>
      </c>
      <c r="BQ311" s="339">
        <v>25328.52</v>
      </c>
      <c r="BR311" s="339">
        <v>25633.9</v>
      </c>
      <c r="BS311" s="110" t="e">
        <f t="array" aca="1" ref="BS311" ca="1">_xludf.XLOOKUP(D311,'PL TOTAL D0'!N:N,'PL TOTAL D0'!P:P,"")</f>
        <v>#NAME?</v>
      </c>
      <c r="BT311" s="110"/>
    </row>
    <row r="312" spans="1:72" ht="15.75" customHeight="1">
      <c r="A312" s="122" t="s">
        <v>3785</v>
      </c>
      <c r="B312" s="104" t="s">
        <v>1775</v>
      </c>
      <c r="C312" s="86" t="s">
        <v>1773</v>
      </c>
      <c r="D312" s="299">
        <v>7443645</v>
      </c>
      <c r="E312" s="293" t="s">
        <v>19</v>
      </c>
      <c r="F312" s="293" t="s">
        <v>20</v>
      </c>
      <c r="G312" s="426" t="s">
        <v>942</v>
      </c>
      <c r="H312" s="293">
        <f>IFERROR(VLOOKUP(G312,'Cadastro de assessores'!A:B,2,FALSE),"Não Cadastrado")</f>
        <v>12342</v>
      </c>
      <c r="I312" s="293"/>
      <c r="J312" s="24" t="s">
        <v>3788</v>
      </c>
      <c r="K312" s="292" t="s">
        <v>3147</v>
      </c>
      <c r="L312" s="292" t="s">
        <v>3147</v>
      </c>
      <c r="M312" s="436" t="s">
        <v>3638</v>
      </c>
      <c r="N312" s="426"/>
      <c r="O312" s="426" t="s">
        <v>3802</v>
      </c>
      <c r="P312" s="449">
        <v>7.0000000000000001E-3</v>
      </c>
      <c r="Q312" s="167"/>
      <c r="R312" s="417"/>
      <c r="S312" s="292" t="str">
        <f t="shared" si="32"/>
        <v>Qualificado</v>
      </c>
      <c r="T312" s="292" t="s">
        <v>145</v>
      </c>
      <c r="U312" s="292" t="s">
        <v>3797</v>
      </c>
      <c r="V312" s="292" t="s">
        <v>20</v>
      </c>
      <c r="W312" s="350"/>
      <c r="X312" s="350"/>
      <c r="Y312" s="350"/>
      <c r="Z312" s="350"/>
      <c r="AA312" s="350"/>
      <c r="AB312" s="350"/>
      <c r="AC312" s="350"/>
      <c r="AD312" s="350"/>
      <c r="AE312" s="350"/>
      <c r="AF312" s="350"/>
      <c r="AG312" s="418"/>
      <c r="AH312" s="418"/>
      <c r="AI312" s="418"/>
      <c r="AJ312" s="339"/>
      <c r="AK312" s="339"/>
      <c r="AL312" s="339"/>
      <c r="AM312" s="339"/>
      <c r="AN312" s="339"/>
      <c r="AO312" s="339"/>
      <c r="AP312" s="339"/>
      <c r="AQ312" s="339"/>
      <c r="AR312" s="339"/>
      <c r="AS312" s="339"/>
      <c r="AT312" s="339"/>
      <c r="AU312" s="339"/>
      <c r="AV312" s="339"/>
      <c r="AW312" s="339"/>
      <c r="AX312" s="350"/>
      <c r="AY312" s="350"/>
      <c r="AZ312" s="418"/>
      <c r="BA312" s="418">
        <v>0</v>
      </c>
      <c r="BB312" s="418">
        <v>0</v>
      </c>
      <c r="BC312" s="418">
        <v>1035660.21</v>
      </c>
      <c r="BD312" s="339" t="s">
        <v>2932</v>
      </c>
      <c r="BE312" s="339" t="s">
        <v>2932</v>
      </c>
      <c r="BF312" s="339">
        <v>0</v>
      </c>
      <c r="BG312" s="339">
        <v>0</v>
      </c>
      <c r="BH312" s="339">
        <v>0</v>
      </c>
      <c r="BI312" s="339">
        <v>0</v>
      </c>
      <c r="BJ312" s="339">
        <v>0</v>
      </c>
      <c r="BK312" s="339">
        <v>0</v>
      </c>
      <c r="BL312" s="339">
        <v>0</v>
      </c>
      <c r="BM312" s="339">
        <v>0</v>
      </c>
      <c r="BN312" s="339">
        <v>0</v>
      </c>
      <c r="BO312" s="339">
        <v>0</v>
      </c>
      <c r="BP312" s="339">
        <v>0</v>
      </c>
      <c r="BQ312" s="339">
        <v>0</v>
      </c>
      <c r="BR312" s="339">
        <v>0</v>
      </c>
      <c r="BS312" s="110" t="e">
        <f t="array" aca="1" ref="BS312" ca="1">_xludf.XLOOKUP(D312,'PL TOTAL D0'!N:N,'PL TOTAL D0'!P:P,"")</f>
        <v>#NAME?</v>
      </c>
      <c r="BT312" s="110"/>
    </row>
    <row r="313" spans="1:72" ht="15.75" customHeight="1">
      <c r="A313" s="122" t="s">
        <v>3785</v>
      </c>
      <c r="B313" s="104" t="s">
        <v>1775</v>
      </c>
      <c r="C313" s="86" t="s">
        <v>1773</v>
      </c>
      <c r="D313" s="299">
        <v>6582735</v>
      </c>
      <c r="E313" s="293" t="s">
        <v>19</v>
      </c>
      <c r="F313" s="293" t="s">
        <v>20</v>
      </c>
      <c r="G313" s="426" t="s">
        <v>942</v>
      </c>
      <c r="H313" s="293">
        <f>IFERROR(VLOOKUP(G313,'Cadastro de assessores'!A:B,2,FALSE),"Não Cadastrado")</f>
        <v>12342</v>
      </c>
      <c r="I313" s="293"/>
      <c r="J313" s="24" t="s">
        <v>152</v>
      </c>
      <c r="K313" s="293" t="s">
        <v>152</v>
      </c>
      <c r="L313" s="391">
        <v>44579</v>
      </c>
      <c r="M313" s="391">
        <v>44579</v>
      </c>
      <c r="N313" s="426"/>
      <c r="O313" s="426" t="s">
        <v>3802</v>
      </c>
      <c r="P313" s="449">
        <v>7.0000000000000001E-3</v>
      </c>
      <c r="Q313" s="167" t="s">
        <v>4778</v>
      </c>
      <c r="R313" s="417"/>
      <c r="S313" s="292" t="str">
        <f t="shared" si="32"/>
        <v>Não Qualificado</v>
      </c>
      <c r="T313" s="292" t="s">
        <v>145</v>
      </c>
      <c r="U313" s="292" t="s">
        <v>3797</v>
      </c>
      <c r="V313" s="292" t="s">
        <v>20</v>
      </c>
      <c r="W313" s="350"/>
      <c r="X313" s="350"/>
      <c r="Y313" s="350"/>
      <c r="Z313" s="350"/>
      <c r="AA313" s="350"/>
      <c r="AB313" s="350"/>
      <c r="AC313" s="350"/>
      <c r="AD313" s="350"/>
      <c r="AE313" s="350"/>
      <c r="AF313" s="350"/>
      <c r="AG313" s="418"/>
      <c r="AH313" s="418"/>
      <c r="AI313" s="418"/>
      <c r="AJ313" s="339"/>
      <c r="AK313" s="339"/>
      <c r="AL313" s="339"/>
      <c r="AM313" s="339"/>
      <c r="AN313" s="339"/>
      <c r="AO313" s="339"/>
      <c r="AP313" s="339"/>
      <c r="AQ313" s="339"/>
      <c r="AR313" s="339"/>
      <c r="AS313" s="339"/>
      <c r="AT313" s="339"/>
      <c r="AU313" s="339"/>
      <c r="AV313" s="339"/>
      <c r="AW313" s="339"/>
      <c r="AX313" s="350"/>
      <c r="AY313" s="350"/>
      <c r="AZ313" s="418"/>
      <c r="BA313" s="418">
        <v>0</v>
      </c>
      <c r="BB313" s="418">
        <v>203279.42</v>
      </c>
      <c r="BC313" s="418">
        <v>316024.09999999998</v>
      </c>
      <c r="BD313" s="339">
        <v>197428.65</v>
      </c>
      <c r="BE313" s="339">
        <v>198708.34</v>
      </c>
      <c r="BF313" s="339">
        <v>199285.11</v>
      </c>
      <c r="BG313" s="339">
        <v>386283.39429999999</v>
      </c>
      <c r="BH313" s="339">
        <v>339331.71</v>
      </c>
      <c r="BI313" s="339">
        <v>286876.09000000003</v>
      </c>
      <c r="BJ313" s="339">
        <v>257197.3</v>
      </c>
      <c r="BK313" s="339">
        <v>259892.53</v>
      </c>
      <c r="BL313" s="339">
        <v>262943.06</v>
      </c>
      <c r="BM313" s="339">
        <v>265583.84999999998</v>
      </c>
      <c r="BN313" s="339">
        <v>287268.03999999998</v>
      </c>
      <c r="BO313" s="339">
        <v>240839.23</v>
      </c>
      <c r="BP313" s="339">
        <v>228268.41</v>
      </c>
      <c r="BQ313" s="339">
        <v>230110.92</v>
      </c>
      <c r="BR313" s="339">
        <v>217513.04</v>
      </c>
      <c r="BS313" s="110" t="e">
        <f t="array" aca="1" ref="BS313" ca="1">_xludf.XLOOKUP(D313,'PL TOTAL D0'!N:N,'PL TOTAL D0'!P:P,"")</f>
        <v>#NAME?</v>
      </c>
      <c r="BT313" s="110"/>
    </row>
    <row r="314" spans="1:72" ht="15.75" customHeight="1">
      <c r="A314" s="122" t="s">
        <v>3785</v>
      </c>
      <c r="B314" s="104" t="s">
        <v>1779</v>
      </c>
      <c r="C314" s="390" t="s">
        <v>4779</v>
      </c>
      <c r="D314" s="446">
        <v>9215559</v>
      </c>
      <c r="E314" s="292" t="s">
        <v>19</v>
      </c>
      <c r="F314" s="292" t="s">
        <v>49</v>
      </c>
      <c r="G314" s="292" t="s">
        <v>166</v>
      </c>
      <c r="H314" s="293" t="str">
        <f>IFERROR(VLOOKUP(G314,'Cadastro de assessores'!A:B,2,FALSE),"Não Cadastrado")</f>
        <v>18890</v>
      </c>
      <c r="I314" s="292"/>
      <c r="J314" s="24" t="s">
        <v>3788</v>
      </c>
      <c r="K314" s="292"/>
      <c r="L314" s="391"/>
      <c r="M314" s="391"/>
      <c r="N314" s="391"/>
      <c r="O314" s="299" t="s">
        <v>3809</v>
      </c>
      <c r="P314" s="388">
        <v>2.5000000000000001E-2</v>
      </c>
      <c r="Q314" s="420" t="s">
        <v>3908</v>
      </c>
      <c r="R314" s="417"/>
      <c r="S314" s="292"/>
      <c r="T314" s="292"/>
      <c r="U314" s="292"/>
      <c r="V314" s="292" t="s">
        <v>49</v>
      </c>
      <c r="W314" s="418"/>
      <c r="X314" s="418"/>
      <c r="Y314" s="418"/>
      <c r="Z314" s="418"/>
      <c r="AA314" s="418"/>
      <c r="AB314" s="418"/>
      <c r="AC314" s="418"/>
      <c r="AD314" s="418"/>
      <c r="AE314" s="418"/>
      <c r="AF314" s="418"/>
      <c r="AG314" s="418"/>
      <c r="AH314" s="418"/>
      <c r="AI314" s="418"/>
      <c r="AJ314" s="418"/>
      <c r="AK314" s="339"/>
      <c r="AL314" s="339"/>
      <c r="AM314" s="339"/>
      <c r="AN314" s="339"/>
      <c r="AO314" s="339"/>
      <c r="AP314" s="339"/>
      <c r="AQ314" s="339"/>
      <c r="AR314" s="339"/>
      <c r="AS314" s="339"/>
      <c r="AT314" s="339"/>
      <c r="AU314" s="339"/>
      <c r="AV314" s="339"/>
      <c r="AW314" s="339"/>
      <c r="AX314" s="339"/>
      <c r="AY314" s="339"/>
      <c r="AZ314" s="339"/>
      <c r="BA314" s="339"/>
      <c r="BB314" s="339"/>
      <c r="BC314" s="339"/>
      <c r="BD314" s="339"/>
      <c r="BE314" s="339"/>
      <c r="BF314" s="339"/>
      <c r="BG314" s="339"/>
      <c r="BH314" s="339">
        <v>30564.99</v>
      </c>
      <c r="BI314" s="339">
        <v>34957.56</v>
      </c>
      <c r="BJ314" s="339">
        <v>37382.33</v>
      </c>
      <c r="BK314" s="339">
        <v>37471.019999999997</v>
      </c>
      <c r="BL314" s="339">
        <v>11664.07</v>
      </c>
      <c r="BM314" s="339">
        <v>0</v>
      </c>
      <c r="BN314" s="339">
        <v>0</v>
      </c>
      <c r="BO314" s="339">
        <v>0</v>
      </c>
      <c r="BP314" s="339">
        <v>0</v>
      </c>
      <c r="BQ314" s="339">
        <v>0</v>
      </c>
      <c r="BR314" s="339">
        <v>0</v>
      </c>
      <c r="BS314" s="110" t="e">
        <f t="array" aca="1" ref="BS314" ca="1">_xludf.XLOOKUP(D314,'PL TOTAL D0'!N:N,'PL TOTAL D0'!P:P,"")</f>
        <v>#NAME?</v>
      </c>
      <c r="BT314" s="110"/>
    </row>
    <row r="315" spans="1:72" ht="15.75" customHeight="1">
      <c r="A315" s="122" t="s">
        <v>3785</v>
      </c>
      <c r="B315" s="104" t="s">
        <v>4780</v>
      </c>
      <c r="C315" s="390" t="s">
        <v>4781</v>
      </c>
      <c r="D315" s="299">
        <v>5752123</v>
      </c>
      <c r="E315" s="292" t="s">
        <v>19</v>
      </c>
      <c r="F315" s="292" t="s">
        <v>20</v>
      </c>
      <c r="G315" s="292" t="s">
        <v>3793</v>
      </c>
      <c r="H315" s="292" t="str">
        <f>IFERROR(VLOOKUP(G315,'Cadastro de assessores'!A:B,2,FALSE),"Não Cadastrado")</f>
        <v>17679</v>
      </c>
      <c r="I315" s="292"/>
      <c r="J315" s="24" t="s">
        <v>143</v>
      </c>
      <c r="K315" s="292" t="s">
        <v>3794</v>
      </c>
      <c r="L315" s="391">
        <v>44384</v>
      </c>
      <c r="M315" s="391">
        <v>44384</v>
      </c>
      <c r="N315" s="391">
        <v>44455</v>
      </c>
      <c r="O315" s="299" t="s">
        <v>3802</v>
      </c>
      <c r="P315" s="388">
        <v>7.0000000000000001E-3</v>
      </c>
      <c r="Q315" s="420" t="s">
        <v>4782</v>
      </c>
      <c r="R315" s="417"/>
      <c r="S315" s="292" t="str">
        <f t="shared" ref="S315:S316" si="33">IF(BC315&lt;=0,"",IF(BC315&lt;=1000000,"Não Qualificado",IF(AND(BC315&gt;1000000,BC315&lt;=10000000),"Qualificado","Profissional")))</f>
        <v>Não Qualificado</v>
      </c>
      <c r="T315" s="292" t="s">
        <v>145</v>
      </c>
      <c r="U315" s="292" t="s">
        <v>4223</v>
      </c>
      <c r="V315" s="292" t="s">
        <v>3647</v>
      </c>
      <c r="W315" s="418"/>
      <c r="X315" s="418"/>
      <c r="Y315" s="418"/>
      <c r="Z315" s="418"/>
      <c r="AA315" s="418"/>
      <c r="AB315" s="418"/>
      <c r="AC315" s="418"/>
      <c r="AD315" s="418"/>
      <c r="AE315" s="418"/>
      <c r="AF315" s="418"/>
      <c r="AG315" s="418"/>
      <c r="AH315" s="418"/>
      <c r="AI315" s="418"/>
      <c r="AJ315" s="418"/>
      <c r="AK315" s="339"/>
      <c r="AL315" s="339"/>
      <c r="AM315" s="339"/>
      <c r="AN315" s="339"/>
      <c r="AO315" s="339"/>
      <c r="AP315" s="339"/>
      <c r="AQ315" s="339"/>
      <c r="AR315" s="339"/>
      <c r="AS315" s="339"/>
      <c r="AT315" s="339">
        <v>120381.92</v>
      </c>
      <c r="AU315" s="339">
        <v>120980.48</v>
      </c>
      <c r="AV315" s="339"/>
      <c r="AW315" s="339"/>
      <c r="AX315" s="339"/>
      <c r="AY315" s="339"/>
      <c r="AZ315" s="339"/>
      <c r="BA315" s="339">
        <v>0</v>
      </c>
      <c r="BB315" s="339">
        <v>0</v>
      </c>
      <c r="BC315" s="339">
        <v>144644.89000000001</v>
      </c>
      <c r="BD315" s="339" t="s">
        <v>2932</v>
      </c>
      <c r="BE315" s="339" t="s">
        <v>2932</v>
      </c>
      <c r="BF315" s="339">
        <v>0</v>
      </c>
      <c r="BG315" s="339">
        <v>0</v>
      </c>
      <c r="BH315" s="339">
        <v>0</v>
      </c>
      <c r="BI315" s="339">
        <v>0</v>
      </c>
      <c r="BJ315" s="339">
        <v>0</v>
      </c>
      <c r="BK315" s="339">
        <v>0</v>
      </c>
      <c r="BL315" s="339">
        <v>0</v>
      </c>
      <c r="BM315" s="339">
        <v>0</v>
      </c>
      <c r="BN315" s="339">
        <v>0</v>
      </c>
      <c r="BO315" s="339">
        <v>0</v>
      </c>
      <c r="BP315" s="339">
        <v>0</v>
      </c>
      <c r="BQ315" s="339">
        <v>0</v>
      </c>
      <c r="BR315" s="339">
        <v>0</v>
      </c>
      <c r="BS315" s="110" t="e">
        <f t="array" aca="1" ref="BS315" ca="1">_xludf.XLOOKUP(D315,'PL TOTAL D0'!N:N,'PL TOTAL D0'!P:P,"")</f>
        <v>#NAME?</v>
      </c>
      <c r="BT315" s="110"/>
    </row>
    <row r="316" spans="1:72" ht="15.75" customHeight="1">
      <c r="A316" s="122" t="s">
        <v>3785</v>
      </c>
      <c r="B316" s="104" t="s">
        <v>4783</v>
      </c>
      <c r="C316" s="122" t="s">
        <v>4784</v>
      </c>
      <c r="D316" s="292">
        <v>4636125</v>
      </c>
      <c r="E316" s="293" t="s">
        <v>19</v>
      </c>
      <c r="F316" s="293" t="s">
        <v>20</v>
      </c>
      <c r="G316" s="293" t="s">
        <v>372</v>
      </c>
      <c r="H316" s="293">
        <f>IFERROR(VLOOKUP(G316,'Cadastro de assessores'!A:B,2,FALSE),"Não Cadastrado")</f>
        <v>12359</v>
      </c>
      <c r="I316" s="293"/>
      <c r="J316" s="24" t="s">
        <v>3788</v>
      </c>
      <c r="K316" s="293" t="s">
        <v>152</v>
      </c>
      <c r="L316" s="415">
        <v>44215</v>
      </c>
      <c r="M316" s="415">
        <v>44215</v>
      </c>
      <c r="N316" s="299"/>
      <c r="O316" s="299" t="s">
        <v>3789</v>
      </c>
      <c r="P316" s="388">
        <v>0.02</v>
      </c>
      <c r="Q316" s="420" t="s">
        <v>3900</v>
      </c>
      <c r="R316" s="417"/>
      <c r="S316" s="292" t="str">
        <f t="shared" si="33"/>
        <v>Não Qualificado</v>
      </c>
      <c r="T316" s="292" t="s">
        <v>145</v>
      </c>
      <c r="U316" s="292" t="s">
        <v>3832</v>
      </c>
      <c r="V316" s="292" t="s">
        <v>20</v>
      </c>
      <c r="W316" s="418"/>
      <c r="X316" s="418"/>
      <c r="Y316" s="418"/>
      <c r="Z316" s="418"/>
      <c r="AA316" s="418"/>
      <c r="AB316" s="418"/>
      <c r="AC316" s="418"/>
      <c r="AD316" s="418"/>
      <c r="AE316" s="418"/>
      <c r="AF316" s="418"/>
      <c r="AG316" s="418"/>
      <c r="AH316" s="418" t="s">
        <v>3798</v>
      </c>
      <c r="AI316" s="418" t="s">
        <v>3798</v>
      </c>
      <c r="AJ316" s="418" t="s">
        <v>4785</v>
      </c>
      <c r="AK316" s="339">
        <v>71242.600000000006</v>
      </c>
      <c r="AL316" s="339">
        <v>99603.65</v>
      </c>
      <c r="AM316" s="339">
        <v>282852.81</v>
      </c>
      <c r="AN316" s="339">
        <v>282223.17</v>
      </c>
      <c r="AO316" s="339">
        <v>295719.25</v>
      </c>
      <c r="AP316" s="339">
        <v>298229.53000000003</v>
      </c>
      <c r="AQ316" s="339">
        <v>296338.71999999997</v>
      </c>
      <c r="AR316" s="339">
        <v>306037.40000000002</v>
      </c>
      <c r="AS316" s="339">
        <v>302715.34000000003</v>
      </c>
      <c r="AT316" s="339">
        <v>293033.03000000003</v>
      </c>
      <c r="AU316" s="339">
        <v>289701.01</v>
      </c>
      <c r="AV316" s="339">
        <v>280538.17</v>
      </c>
      <c r="AW316" s="339">
        <v>265079.39</v>
      </c>
      <c r="AX316" s="339">
        <v>264229.68</v>
      </c>
      <c r="AY316" s="339">
        <v>268418.53000000003</v>
      </c>
      <c r="AZ316" s="339">
        <v>277987.65000000002</v>
      </c>
      <c r="BA316" s="339">
        <v>280486.8</v>
      </c>
      <c r="BB316" s="339">
        <v>294172.09999999998</v>
      </c>
      <c r="BC316" s="339">
        <v>90351.4</v>
      </c>
      <c r="BD316" s="339">
        <v>248103.57</v>
      </c>
      <c r="BE316" s="339">
        <v>241908.2</v>
      </c>
      <c r="BF316" s="339">
        <v>250661.74</v>
      </c>
      <c r="BG316" s="339">
        <v>231363.6937</v>
      </c>
      <c r="BH316" s="339">
        <v>229237.76000000001</v>
      </c>
      <c r="BI316" s="339">
        <v>18994.52</v>
      </c>
      <c r="BJ316" s="339">
        <v>18729.509999999998</v>
      </c>
      <c r="BK316" s="339">
        <v>18685.36</v>
      </c>
      <c r="BL316" s="339">
        <v>19638.439999999999</v>
      </c>
      <c r="BM316" s="339">
        <v>19781.8</v>
      </c>
      <c r="BN316" s="339">
        <v>0</v>
      </c>
      <c r="BO316" s="339">
        <v>0</v>
      </c>
      <c r="BP316" s="339">
        <v>0</v>
      </c>
      <c r="BQ316" s="339">
        <v>0</v>
      </c>
      <c r="BR316" s="339">
        <v>0</v>
      </c>
      <c r="BS316" s="110" t="e">
        <f t="array" aca="1" ref="BS316" ca="1">_xludf.XLOOKUP(D316,'PL TOTAL D0'!N:N,'PL TOTAL D0'!P:P,"")</f>
        <v>#NAME?</v>
      </c>
      <c r="BT316" s="110"/>
    </row>
    <row r="317" spans="1:72" ht="15.75" customHeight="1">
      <c r="A317" s="122" t="s">
        <v>3785</v>
      </c>
      <c r="B317" s="104" t="s">
        <v>1807</v>
      </c>
      <c r="C317" s="122" t="s">
        <v>1804</v>
      </c>
      <c r="D317" s="292">
        <v>9098658</v>
      </c>
      <c r="E317" s="293" t="s">
        <v>19</v>
      </c>
      <c r="F317" s="293" t="s">
        <v>49</v>
      </c>
      <c r="G317" s="293" t="s">
        <v>50</v>
      </c>
      <c r="H317" s="293">
        <f>IFERROR(VLOOKUP(G317,'Cadastro de assessores'!A:B,2,FALSE),"Não Cadastrado")</f>
        <v>12331</v>
      </c>
      <c r="I317" s="293"/>
      <c r="J317" s="24" t="s">
        <v>3788</v>
      </c>
      <c r="K317" s="293" t="s">
        <v>152</v>
      </c>
      <c r="L317" s="416">
        <v>44795</v>
      </c>
      <c r="M317" s="416">
        <v>44795</v>
      </c>
      <c r="N317" s="292"/>
      <c r="O317" s="292" t="s">
        <v>3802</v>
      </c>
      <c r="P317" s="388">
        <v>7.0000000000000001E-3</v>
      </c>
      <c r="Q317" s="420" t="s">
        <v>4786</v>
      </c>
      <c r="R317" s="417"/>
      <c r="S317" s="292"/>
      <c r="T317" s="292" t="s">
        <v>145</v>
      </c>
      <c r="U317" s="292"/>
      <c r="V317" s="292" t="s">
        <v>46</v>
      </c>
      <c r="W317" s="418"/>
      <c r="X317" s="418"/>
      <c r="Y317" s="418"/>
      <c r="Z317" s="418"/>
      <c r="AA317" s="418"/>
      <c r="AB317" s="418"/>
      <c r="AC317" s="418"/>
      <c r="AD317" s="418"/>
      <c r="AE317" s="418"/>
      <c r="AF317" s="418"/>
      <c r="AG317" s="418"/>
      <c r="AH317" s="418"/>
      <c r="AI317" s="418"/>
      <c r="AJ317" s="418"/>
      <c r="AK317" s="339"/>
      <c r="AL317" s="339"/>
      <c r="AM317" s="339"/>
      <c r="AN317" s="339"/>
      <c r="AO317" s="339"/>
      <c r="AP317" s="339"/>
      <c r="AQ317" s="339"/>
      <c r="AR317" s="339"/>
      <c r="AS317" s="339"/>
      <c r="AT317" s="339"/>
      <c r="AU317" s="339"/>
      <c r="AV317" s="339"/>
      <c r="AW317" s="339"/>
      <c r="AX317" s="339"/>
      <c r="AY317" s="339"/>
      <c r="AZ317" s="339"/>
      <c r="BA317" s="339"/>
      <c r="BB317" s="339"/>
      <c r="BC317" s="339"/>
      <c r="BD317" s="339"/>
      <c r="BE317" s="339"/>
      <c r="BF317" s="339"/>
      <c r="BG317" s="339">
        <v>200683.6924</v>
      </c>
      <c r="BH317" s="339">
        <v>202691.78</v>
      </c>
      <c r="BI317" s="339">
        <v>204679.61</v>
      </c>
      <c r="BJ317" s="339">
        <v>206503.16</v>
      </c>
      <c r="BK317" s="339">
        <v>208393.24</v>
      </c>
      <c r="BL317" s="339">
        <v>210649.9</v>
      </c>
      <c r="BM317" s="339">
        <v>212295.67</v>
      </c>
      <c r="BN317" s="339">
        <v>437.47</v>
      </c>
      <c r="BO317" s="339">
        <v>437.47</v>
      </c>
      <c r="BP317" s="339">
        <v>437.47</v>
      </c>
      <c r="BQ317" s="339">
        <v>437.47</v>
      </c>
      <c r="BR317" s="339">
        <v>437.47</v>
      </c>
      <c r="BS317" s="110" t="e">
        <f t="array" aca="1" ref="BS317" ca="1">_xludf.XLOOKUP(D317,'PL TOTAL D0'!N:N,'PL TOTAL D0'!P:P,"")</f>
        <v>#NAME?</v>
      </c>
      <c r="BT317" s="110"/>
    </row>
    <row r="318" spans="1:72" ht="15.75" customHeight="1">
      <c r="A318" s="122" t="s">
        <v>3785</v>
      </c>
      <c r="B318" s="104" t="s">
        <v>3307</v>
      </c>
      <c r="C318" s="122" t="s">
        <v>3306</v>
      </c>
      <c r="D318" s="292">
        <v>4588112</v>
      </c>
      <c r="E318" s="293" t="s">
        <v>19</v>
      </c>
      <c r="F318" s="293" t="s">
        <v>20</v>
      </c>
      <c r="G318" s="293" t="s">
        <v>2955</v>
      </c>
      <c r="H318" s="293" t="str">
        <f>IFERROR(VLOOKUP(G318,'Cadastro de assessores'!A:B,2,FALSE),"Não Cadastrado")</f>
        <v>18836</v>
      </c>
      <c r="I318" s="293"/>
      <c r="J318" s="24" t="s">
        <v>152</v>
      </c>
      <c r="K318" s="293" t="s">
        <v>152</v>
      </c>
      <c r="L318" s="416">
        <v>44144</v>
      </c>
      <c r="M318" s="416">
        <v>44148</v>
      </c>
      <c r="N318" s="292"/>
      <c r="O318" s="292" t="s">
        <v>3805</v>
      </c>
      <c r="P318" s="388">
        <v>1.2E-2</v>
      </c>
      <c r="Q318" s="420"/>
      <c r="R318" s="417"/>
      <c r="S318" s="292" t="str">
        <f t="shared" ref="S318:S325" si="34">IF(BC318&lt;=0,"",IF(BC318&lt;=1000000,"Não Qualificado",IF(AND(BC318&gt;1000000,BC318&lt;=10000000),"Qualificado","Profissional")))</f>
        <v>Não Qualificado</v>
      </c>
      <c r="T318" s="292" t="s">
        <v>145</v>
      </c>
      <c r="U318" s="292" t="s">
        <v>4049</v>
      </c>
      <c r="V318" s="292" t="s">
        <v>886</v>
      </c>
      <c r="W318" s="418" t="s">
        <v>3798</v>
      </c>
      <c r="X318" s="418" t="s">
        <v>3798</v>
      </c>
      <c r="Y318" s="418" t="s">
        <v>3798</v>
      </c>
      <c r="Z318" s="418" t="s">
        <v>3798</v>
      </c>
      <c r="AA318" s="418" t="s">
        <v>3798</v>
      </c>
      <c r="AB318" s="418" t="s">
        <v>3798</v>
      </c>
      <c r="AC318" s="418" t="s">
        <v>3798</v>
      </c>
      <c r="AD318" s="418" t="s">
        <v>3798</v>
      </c>
      <c r="AE318" s="418" t="s">
        <v>3798</v>
      </c>
      <c r="AF318" s="418" t="s">
        <v>3798</v>
      </c>
      <c r="AG318" s="418" t="s">
        <v>3798</v>
      </c>
      <c r="AH318" s="418"/>
      <c r="AI318" s="418"/>
      <c r="AJ318" s="418" t="s">
        <v>4785</v>
      </c>
      <c r="AK318" s="339"/>
      <c r="AL318" s="339"/>
      <c r="AM318" s="339">
        <v>107414.67</v>
      </c>
      <c r="AN318" s="339">
        <v>107328.47</v>
      </c>
      <c r="AO318" s="339">
        <v>109205.15</v>
      </c>
      <c r="AP318" s="339">
        <v>109600.12</v>
      </c>
      <c r="AQ318" s="339">
        <v>109269.47</v>
      </c>
      <c r="AR318" s="339">
        <v>110797.67</v>
      </c>
      <c r="AS318" s="339">
        <v>110586.18</v>
      </c>
      <c r="AT318" s="339">
        <v>124435.38</v>
      </c>
      <c r="AU318" s="339">
        <v>144196.93</v>
      </c>
      <c r="AV318" s="339">
        <v>164009.35</v>
      </c>
      <c r="AW318" s="339">
        <v>168978.84</v>
      </c>
      <c r="AX318" s="339">
        <v>252039.81</v>
      </c>
      <c r="AY318" s="339">
        <v>294457.55</v>
      </c>
      <c r="AZ318" s="339">
        <v>340523.57</v>
      </c>
      <c r="BA318" s="339">
        <v>353255.04</v>
      </c>
      <c r="BB318" s="339">
        <v>371639.07</v>
      </c>
      <c r="BC318" s="339">
        <v>530537.43000000005</v>
      </c>
      <c r="BD318" s="339">
        <v>394200.21</v>
      </c>
      <c r="BE318" s="339">
        <v>414724.95</v>
      </c>
      <c r="BF318" s="339">
        <v>430305.69</v>
      </c>
      <c r="BG318" s="339">
        <v>433533.63089999999</v>
      </c>
      <c r="BH318" s="339">
        <v>435866.4</v>
      </c>
      <c r="BI318" s="339">
        <v>465295.94</v>
      </c>
      <c r="BJ318" s="339">
        <v>476264.18</v>
      </c>
      <c r="BK318" s="339">
        <v>490285.08</v>
      </c>
      <c r="BL318" s="339">
        <v>505198.14</v>
      </c>
      <c r="BM318" s="339">
        <v>508589.76</v>
      </c>
      <c r="BN318" s="339">
        <v>619944.69999999995</v>
      </c>
      <c r="BO318" s="339">
        <v>625401.06999999995</v>
      </c>
      <c r="BP318" s="339">
        <v>630796.23</v>
      </c>
      <c r="BQ318" s="339">
        <v>635222.93999999994</v>
      </c>
      <c r="BR318" s="339">
        <v>167814.15</v>
      </c>
      <c r="BS318" s="110" t="e">
        <f t="array" aca="1" ref="BS318" ca="1">_xludf.XLOOKUP(D318,'PL TOTAL D0'!N:N,'PL TOTAL D0'!P:P,"")</f>
        <v>#NAME?</v>
      </c>
      <c r="BT318" s="110"/>
    </row>
    <row r="319" spans="1:72" ht="15.75" customHeight="1">
      <c r="A319" s="122" t="s">
        <v>3785</v>
      </c>
      <c r="B319" s="104" t="s">
        <v>4787</v>
      </c>
      <c r="C319" s="390" t="s">
        <v>4788</v>
      </c>
      <c r="D319" s="422">
        <v>7046512</v>
      </c>
      <c r="E319" s="293" t="s">
        <v>64</v>
      </c>
      <c r="F319" s="293" t="s">
        <v>20</v>
      </c>
      <c r="G319" s="293" t="s">
        <v>3862</v>
      </c>
      <c r="H319" s="293" t="str">
        <f>IFERROR(VLOOKUP(G319,'Cadastro de assessores'!A:B,2,FALSE),"Não Cadastrado")</f>
        <v>1298</v>
      </c>
      <c r="I319" s="293"/>
      <c r="J319" s="24" t="s">
        <v>143</v>
      </c>
      <c r="K319" s="293" t="s">
        <v>152</v>
      </c>
      <c r="L319" s="415">
        <v>44673</v>
      </c>
      <c r="M319" s="415">
        <v>44673</v>
      </c>
      <c r="N319" s="429">
        <v>44994</v>
      </c>
      <c r="O319" s="426" t="s">
        <v>3805</v>
      </c>
      <c r="P319" s="388">
        <v>1.2E-2</v>
      </c>
      <c r="Q319" s="167" t="s">
        <v>4789</v>
      </c>
      <c r="R319" s="417"/>
      <c r="S319" s="292" t="str">
        <f t="shared" si="34"/>
        <v>Não Qualificado</v>
      </c>
      <c r="T319" s="299" t="s">
        <v>187</v>
      </c>
      <c r="U319" s="299" t="s">
        <v>4790</v>
      </c>
      <c r="V319" s="299" t="s">
        <v>46</v>
      </c>
      <c r="W319" s="350"/>
      <c r="X319" s="350"/>
      <c r="Y319" s="350"/>
      <c r="Z319" s="350"/>
      <c r="AA319" s="350"/>
      <c r="AB319" s="350"/>
      <c r="AC319" s="350"/>
      <c r="AD319" s="350"/>
      <c r="AE319" s="350"/>
      <c r="AF319" s="350"/>
      <c r="AG319" s="418"/>
      <c r="AH319" s="418"/>
      <c r="AI319" s="418"/>
      <c r="AJ319" s="339"/>
      <c r="AK319" s="339"/>
      <c r="AL319" s="339"/>
      <c r="AM319" s="468"/>
      <c r="AN319" s="468"/>
      <c r="AO319" s="339"/>
      <c r="AP319" s="339"/>
      <c r="AQ319" s="339"/>
      <c r="AR319" s="339"/>
      <c r="AS319" s="339"/>
      <c r="AT319" s="339"/>
      <c r="AU319" s="339"/>
      <c r="AV319" s="339"/>
      <c r="AW319" s="350"/>
      <c r="AX319" s="340"/>
      <c r="AY319" s="340"/>
      <c r="AZ319" s="339"/>
      <c r="BA319" s="339"/>
      <c r="BB319" s="339"/>
      <c r="BC319" s="339">
        <v>72021.58</v>
      </c>
      <c r="BD319" s="339">
        <v>249325.31</v>
      </c>
      <c r="BE319" s="339">
        <v>249447.19</v>
      </c>
      <c r="BF319" s="339">
        <v>252090.88</v>
      </c>
      <c r="BG319" s="339">
        <v>253423.96280000001</v>
      </c>
      <c r="BH319" s="339">
        <v>255315.7</v>
      </c>
      <c r="BI319" s="339">
        <v>259776.68</v>
      </c>
      <c r="BJ319" s="339">
        <v>230397.37</v>
      </c>
      <c r="BK319" s="339">
        <v>232085.87</v>
      </c>
      <c r="BL319" s="339">
        <v>234667.14</v>
      </c>
      <c r="BM319" s="339">
        <v>0</v>
      </c>
      <c r="BN319" s="339">
        <v>239490.04</v>
      </c>
      <c r="BO319" s="339">
        <v>161440.75</v>
      </c>
      <c r="BP319" s="339">
        <v>130216.12</v>
      </c>
      <c r="BQ319" s="339">
        <v>131208.74</v>
      </c>
      <c r="BR319" s="339">
        <v>0</v>
      </c>
      <c r="BS319" s="110" t="e">
        <f t="array" aca="1" ref="BS319" ca="1">_xludf.XLOOKUP(D319,'PL TOTAL D0'!N:N,'PL TOTAL D0'!P:P,"")</f>
        <v>#NAME?</v>
      </c>
      <c r="BT319" s="110"/>
    </row>
    <row r="320" spans="1:72" ht="15.75" customHeight="1">
      <c r="A320" s="122" t="s">
        <v>3785</v>
      </c>
      <c r="B320" s="104" t="s">
        <v>1842</v>
      </c>
      <c r="C320" s="122" t="s">
        <v>4791</v>
      </c>
      <c r="D320" s="292">
        <v>4616618</v>
      </c>
      <c r="E320" s="293" t="s">
        <v>64</v>
      </c>
      <c r="F320" s="293" t="s">
        <v>20</v>
      </c>
      <c r="G320" s="293" t="s">
        <v>4451</v>
      </c>
      <c r="H320" s="293" t="str">
        <f>IFERROR(VLOOKUP(G320,'Cadastro de assessores'!A:B,2,FALSE),"Não Cadastrado")</f>
        <v>14091</v>
      </c>
      <c r="I320" s="293"/>
      <c r="J320" s="24" t="s">
        <v>3788</v>
      </c>
      <c r="K320" s="293" t="s">
        <v>152</v>
      </c>
      <c r="L320" s="416">
        <v>44154</v>
      </c>
      <c r="M320" s="416">
        <v>44159</v>
      </c>
      <c r="N320" s="292"/>
      <c r="O320" s="292" t="s">
        <v>3805</v>
      </c>
      <c r="P320" s="388">
        <v>1.2E-2</v>
      </c>
      <c r="Q320" s="420" t="s">
        <v>4792</v>
      </c>
      <c r="R320" s="417"/>
      <c r="S320" s="292" t="str">
        <f t="shared" si="34"/>
        <v>Não Qualificado</v>
      </c>
      <c r="T320" s="292" t="s">
        <v>145</v>
      </c>
      <c r="U320" s="292" t="s">
        <v>3832</v>
      </c>
      <c r="V320" s="292" t="s">
        <v>20</v>
      </c>
      <c r="W320" s="418" t="s">
        <v>3798</v>
      </c>
      <c r="X320" s="418" t="s">
        <v>3798</v>
      </c>
      <c r="Y320" s="418" t="s">
        <v>3798</v>
      </c>
      <c r="Z320" s="418" t="s">
        <v>3798</v>
      </c>
      <c r="AA320" s="418" t="s">
        <v>3798</v>
      </c>
      <c r="AB320" s="418" t="s">
        <v>3798</v>
      </c>
      <c r="AC320" s="418" t="s">
        <v>3798</v>
      </c>
      <c r="AD320" s="418" t="s">
        <v>3798</v>
      </c>
      <c r="AE320" s="418" t="s">
        <v>3798</v>
      </c>
      <c r="AF320" s="418" t="s">
        <v>3798</v>
      </c>
      <c r="AG320" s="418" t="s">
        <v>3798</v>
      </c>
      <c r="AH320" s="418" t="s">
        <v>3798</v>
      </c>
      <c r="AI320" s="418" t="s">
        <v>3798</v>
      </c>
      <c r="AJ320" s="418" t="s">
        <v>4793</v>
      </c>
      <c r="AK320" s="339">
        <v>102155.66</v>
      </c>
      <c r="AL320" s="339">
        <v>100585.08</v>
      </c>
      <c r="AM320" s="339">
        <v>290025.61</v>
      </c>
      <c r="AN320" s="339">
        <v>290081.49</v>
      </c>
      <c r="AO320" s="339">
        <v>298827.07</v>
      </c>
      <c r="AP320" s="339">
        <v>300676.65000000002</v>
      </c>
      <c r="AQ320" s="339">
        <v>299456.77</v>
      </c>
      <c r="AR320" s="339">
        <v>306777.40000000002</v>
      </c>
      <c r="AS320" s="339">
        <v>304393.64</v>
      </c>
      <c r="AT320" s="339">
        <v>298279.14</v>
      </c>
      <c r="AU320" s="339">
        <v>296464.05</v>
      </c>
      <c r="AV320" s="339">
        <v>291379.14</v>
      </c>
      <c r="AW320" s="339">
        <v>280232.55</v>
      </c>
      <c r="AX320" s="339">
        <v>280772.15999999997</v>
      </c>
      <c r="AY320" s="339">
        <v>284131.71999999997</v>
      </c>
      <c r="AZ320" s="339">
        <v>290201.62</v>
      </c>
      <c r="BA320" s="339">
        <v>292353.28000000003</v>
      </c>
      <c r="BB320" s="339">
        <v>302003.69</v>
      </c>
      <c r="BC320" s="339">
        <v>397682.34</v>
      </c>
      <c r="BD320" s="339">
        <v>303692.95</v>
      </c>
      <c r="BE320" s="339">
        <v>304488.46999999997</v>
      </c>
      <c r="BF320" s="339">
        <v>308229.09000000003</v>
      </c>
      <c r="BG320" s="339">
        <v>309307.94699999999</v>
      </c>
      <c r="BH320" s="339">
        <v>311362.15999999997</v>
      </c>
      <c r="BI320" s="339">
        <v>318946.90999999997</v>
      </c>
      <c r="BJ320" s="339">
        <v>319335.84999999998</v>
      </c>
      <c r="BK320" s="339">
        <v>321893.05</v>
      </c>
      <c r="BL320" s="339">
        <v>325689.12</v>
      </c>
      <c r="BM320" s="339">
        <v>91701.25</v>
      </c>
      <c r="BN320" s="339">
        <v>0</v>
      </c>
      <c r="BO320" s="339">
        <v>0</v>
      </c>
      <c r="BP320" s="339">
        <v>0</v>
      </c>
      <c r="BQ320" s="339">
        <v>0</v>
      </c>
      <c r="BR320" s="339">
        <v>0</v>
      </c>
      <c r="BS320" s="110" t="e">
        <f t="array" aca="1" ref="BS320" ca="1">_xludf.XLOOKUP(D320,'PL TOTAL D0'!N:N,'PL TOTAL D0'!P:P,"")</f>
        <v>#NAME?</v>
      </c>
      <c r="BT320" s="110"/>
    </row>
    <row r="321" spans="1:72" ht="15.75" customHeight="1">
      <c r="A321" s="122" t="s">
        <v>3785</v>
      </c>
      <c r="B321" s="104" t="s">
        <v>1842</v>
      </c>
      <c r="C321" s="122" t="s">
        <v>4791</v>
      </c>
      <c r="D321" s="292">
        <v>4859015</v>
      </c>
      <c r="E321" s="293" t="s">
        <v>64</v>
      </c>
      <c r="F321" s="293" t="s">
        <v>20</v>
      </c>
      <c r="G321" s="293" t="s">
        <v>4451</v>
      </c>
      <c r="H321" s="293" t="str">
        <f>IFERROR(VLOOKUP(G321,'Cadastro de assessores'!A:B,2,FALSE),"Não Cadastrado")</f>
        <v>14091</v>
      </c>
      <c r="I321" s="293"/>
      <c r="J321" s="24" t="s">
        <v>3788</v>
      </c>
      <c r="K321" s="293" t="s">
        <v>152</v>
      </c>
      <c r="L321" s="415">
        <v>44239</v>
      </c>
      <c r="M321" s="415">
        <v>44239</v>
      </c>
      <c r="N321" s="299"/>
      <c r="O321" s="299" t="s">
        <v>3842</v>
      </c>
      <c r="P321" s="388">
        <v>8.0000000000000002E-3</v>
      </c>
      <c r="Q321" s="420"/>
      <c r="R321" s="417"/>
      <c r="S321" s="292" t="str">
        <f t="shared" si="34"/>
        <v/>
      </c>
      <c r="T321" s="292" t="s">
        <v>145</v>
      </c>
      <c r="U321" s="292" t="s">
        <v>3832</v>
      </c>
      <c r="V321" s="292" t="s">
        <v>20</v>
      </c>
      <c r="W321" s="418"/>
      <c r="X321" s="418"/>
      <c r="Y321" s="418"/>
      <c r="Z321" s="418"/>
      <c r="AA321" s="418"/>
      <c r="AB321" s="418"/>
      <c r="AC321" s="418"/>
      <c r="AD321" s="418"/>
      <c r="AE321" s="418"/>
      <c r="AF321" s="418"/>
      <c r="AG321" s="418"/>
      <c r="AH321" s="418"/>
      <c r="AI321" s="418"/>
      <c r="AJ321" s="418"/>
      <c r="AK321" s="339"/>
      <c r="AL321" s="339"/>
      <c r="AM321" s="339">
        <v>198727.5</v>
      </c>
      <c r="AN321" s="339">
        <v>192314.93</v>
      </c>
      <c r="AO321" s="339">
        <v>190919.89</v>
      </c>
      <c r="AP321" s="339">
        <v>191073.82</v>
      </c>
      <c r="AQ321" s="339">
        <v>192000.39</v>
      </c>
      <c r="AR321" s="339">
        <v>188773.71</v>
      </c>
      <c r="AS321" s="339">
        <v>186275.5</v>
      </c>
      <c r="AT321" s="339">
        <v>190107.97</v>
      </c>
      <c r="AU321" s="339">
        <v>184208.08</v>
      </c>
      <c r="AV321" s="339">
        <v>184212.78</v>
      </c>
      <c r="AW321" s="339">
        <v>180716.23</v>
      </c>
      <c r="AX321" s="339">
        <v>171724.43</v>
      </c>
      <c r="AY321" s="339">
        <v>182669.77</v>
      </c>
      <c r="AZ321" s="339">
        <v>183249.41</v>
      </c>
      <c r="BA321" s="339">
        <v>183325.6</v>
      </c>
      <c r="BB321" s="339">
        <v>185080.55</v>
      </c>
      <c r="BC321" s="339"/>
      <c r="BD321" s="339">
        <v>188515.52</v>
      </c>
      <c r="BE321" s="339">
        <v>188392.44</v>
      </c>
      <c r="BF321" s="339">
        <v>190748.75</v>
      </c>
      <c r="BG321" s="339">
        <v>195688.12</v>
      </c>
      <c r="BH321" s="339">
        <v>195461.21</v>
      </c>
      <c r="BI321" s="339">
        <v>197343.51</v>
      </c>
      <c r="BJ321" s="339">
        <v>191318.42</v>
      </c>
      <c r="BK321" s="339">
        <v>190837.88</v>
      </c>
      <c r="BL321" s="339">
        <v>191838.83</v>
      </c>
      <c r="BM321" s="339">
        <v>5779.03</v>
      </c>
      <c r="BN321" s="339">
        <v>0</v>
      </c>
      <c r="BO321" s="339">
        <v>0</v>
      </c>
      <c r="BP321" s="339">
        <v>0</v>
      </c>
      <c r="BQ321" s="339">
        <v>0</v>
      </c>
      <c r="BR321" s="339">
        <v>0</v>
      </c>
      <c r="BS321" s="110" t="e">
        <f t="array" aca="1" ref="BS321" ca="1">_xludf.XLOOKUP(D321,'PL TOTAL D0'!N:N,'PL TOTAL D0'!P:P,"")</f>
        <v>#NAME?</v>
      </c>
      <c r="BT321" s="110"/>
    </row>
    <row r="322" spans="1:72" ht="15.75" customHeight="1">
      <c r="A322" s="122" t="s">
        <v>3785</v>
      </c>
      <c r="B322" s="104" t="s">
        <v>4794</v>
      </c>
      <c r="C322" s="390" t="s">
        <v>4795</v>
      </c>
      <c r="D322" s="299">
        <v>5666607</v>
      </c>
      <c r="E322" s="299" t="s">
        <v>19</v>
      </c>
      <c r="F322" s="299" t="s">
        <v>49</v>
      </c>
      <c r="G322" s="299" t="s">
        <v>4796</v>
      </c>
      <c r="H322" s="299" t="str">
        <f>IFERROR(VLOOKUP(G322,'Cadastro de assessores'!A:B,2,FALSE),"Não Cadastrado")</f>
        <v>1275</v>
      </c>
      <c r="I322" s="299"/>
      <c r="J322" s="24" t="s">
        <v>143</v>
      </c>
      <c r="K322" s="292" t="s">
        <v>3794</v>
      </c>
      <c r="L322" s="391">
        <v>44376</v>
      </c>
      <c r="M322" s="391">
        <v>44376</v>
      </c>
      <c r="N322" s="391">
        <v>44775</v>
      </c>
      <c r="O322" s="299" t="s">
        <v>3809</v>
      </c>
      <c r="P322" s="392">
        <v>2.5000000000000001E-2</v>
      </c>
      <c r="Q322" s="167" t="s">
        <v>4797</v>
      </c>
      <c r="R322" s="417"/>
      <c r="S322" s="292" t="str">
        <f t="shared" si="34"/>
        <v>Não Qualificado</v>
      </c>
      <c r="T322" s="292" t="s">
        <v>145</v>
      </c>
      <c r="U322" s="299" t="s">
        <v>3883</v>
      </c>
      <c r="V322" s="292" t="s">
        <v>3884</v>
      </c>
      <c r="W322" s="350"/>
      <c r="X322" s="350"/>
      <c r="Y322" s="350"/>
      <c r="Z322" s="350"/>
      <c r="AA322" s="350"/>
      <c r="AB322" s="350"/>
      <c r="AC322" s="350"/>
      <c r="AD322" s="350"/>
      <c r="AE322" s="350"/>
      <c r="AF322" s="350"/>
      <c r="AG322" s="350"/>
      <c r="AH322" s="350"/>
      <c r="AI322" s="350"/>
      <c r="AJ322" s="339"/>
      <c r="AK322" s="339"/>
      <c r="AL322" s="339"/>
      <c r="AM322" s="339"/>
      <c r="AN322" s="339"/>
      <c r="AO322" s="339"/>
      <c r="AP322" s="350"/>
      <c r="AQ322" s="340"/>
      <c r="AR322" s="350"/>
      <c r="AS322" s="339">
        <v>200315.82</v>
      </c>
      <c r="AT322" s="339">
        <v>189632.39</v>
      </c>
      <c r="AU322" s="339">
        <v>185080.39</v>
      </c>
      <c r="AV322" s="339">
        <v>173719.75</v>
      </c>
      <c r="AW322" s="339">
        <v>159599.85</v>
      </c>
      <c r="AX322" s="339">
        <v>158023.10999999999</v>
      </c>
      <c r="AY322" s="339">
        <v>161393.67000000001</v>
      </c>
      <c r="AZ322" s="339">
        <v>169900.55</v>
      </c>
      <c r="BA322" s="339">
        <v>175438.24</v>
      </c>
      <c r="BB322" s="339">
        <v>184850.54</v>
      </c>
      <c r="BC322" s="339">
        <v>38276.93</v>
      </c>
      <c r="BD322" s="339">
        <v>178120.53</v>
      </c>
      <c r="BE322" s="339">
        <v>176072.1</v>
      </c>
      <c r="BF322" s="339">
        <v>179992.21</v>
      </c>
      <c r="BG322" s="339">
        <v>0</v>
      </c>
      <c r="BH322" s="339">
        <v>0</v>
      </c>
      <c r="BI322" s="339">
        <v>0</v>
      </c>
      <c r="BJ322" s="339">
        <v>0</v>
      </c>
      <c r="BK322" s="339">
        <v>0</v>
      </c>
      <c r="BL322" s="339">
        <v>0</v>
      </c>
      <c r="BM322" s="339">
        <v>0</v>
      </c>
      <c r="BN322" s="339">
        <v>0</v>
      </c>
      <c r="BO322" s="339">
        <v>0</v>
      </c>
      <c r="BP322" s="339">
        <v>0</v>
      </c>
      <c r="BQ322" s="339">
        <v>0</v>
      </c>
      <c r="BR322" s="339">
        <v>0</v>
      </c>
      <c r="BS322" s="110" t="e">
        <f t="array" aca="1" ref="BS322" ca="1">_xludf.XLOOKUP(D322,'PL TOTAL D0'!N:N,'PL TOTAL D0'!P:P,"")</f>
        <v>#NAME?</v>
      </c>
      <c r="BT322" s="110"/>
    </row>
    <row r="323" spans="1:72" ht="15.75" customHeight="1">
      <c r="A323" s="122" t="s">
        <v>3785</v>
      </c>
      <c r="B323" s="104" t="s">
        <v>4798</v>
      </c>
      <c r="C323" s="441" t="s">
        <v>4799</v>
      </c>
      <c r="D323" s="422">
        <v>5914962</v>
      </c>
      <c r="E323" s="293" t="s">
        <v>19</v>
      </c>
      <c r="F323" s="293" t="s">
        <v>49</v>
      </c>
      <c r="G323" s="293" t="s">
        <v>4134</v>
      </c>
      <c r="H323" s="293" t="str">
        <f>IFERROR(VLOOKUP(G323,'Cadastro de assessores'!A:B,2,FALSE),"Não Cadastrado")</f>
        <v>14294</v>
      </c>
      <c r="I323" s="293"/>
      <c r="J323" s="24" t="s">
        <v>143</v>
      </c>
      <c r="K323" s="293" t="s">
        <v>152</v>
      </c>
      <c r="L323" s="415">
        <v>44454</v>
      </c>
      <c r="M323" s="415">
        <v>44461</v>
      </c>
      <c r="N323" s="391">
        <v>44830</v>
      </c>
      <c r="O323" s="292" t="s">
        <v>3802</v>
      </c>
      <c r="P323" s="388">
        <v>7.0000000000000001E-3</v>
      </c>
      <c r="Q323" s="167"/>
      <c r="R323" s="417"/>
      <c r="S323" s="292" t="str">
        <f t="shared" si="34"/>
        <v/>
      </c>
      <c r="T323" s="292" t="s">
        <v>145</v>
      </c>
      <c r="U323" s="299" t="s">
        <v>4498</v>
      </c>
      <c r="V323" s="299" t="s">
        <v>60</v>
      </c>
      <c r="W323" s="350"/>
      <c r="X323" s="350"/>
      <c r="Y323" s="350"/>
      <c r="Z323" s="350"/>
      <c r="AA323" s="350"/>
      <c r="AB323" s="350"/>
      <c r="AC323" s="350"/>
      <c r="AD323" s="350"/>
      <c r="AE323" s="350"/>
      <c r="AF323" s="350"/>
      <c r="AG323" s="350"/>
      <c r="AH323" s="350"/>
      <c r="AI323" s="350"/>
      <c r="AJ323" s="339"/>
      <c r="AK323" s="339"/>
      <c r="AL323" s="339"/>
      <c r="AM323" s="339"/>
      <c r="AN323" s="339"/>
      <c r="AO323" s="339"/>
      <c r="AP323" s="350"/>
      <c r="AQ323" s="340"/>
      <c r="AR323" s="339"/>
      <c r="AS323" s="339"/>
      <c r="AT323" s="339"/>
      <c r="AU323" s="350"/>
      <c r="AV323" s="339"/>
      <c r="AW323" s="339">
        <v>128752.45</v>
      </c>
      <c r="AX323" s="339">
        <v>130820.5</v>
      </c>
      <c r="AY323" s="339">
        <v>130065.38</v>
      </c>
      <c r="AZ323" s="339">
        <v>131208.17000000001</v>
      </c>
      <c r="BA323" s="339">
        <v>132167.12</v>
      </c>
      <c r="BB323" s="339">
        <v>133773.16</v>
      </c>
      <c r="BC323" s="339"/>
      <c r="BD323" s="339">
        <v>145049.04999999999</v>
      </c>
      <c r="BE323" s="339">
        <v>146308.82</v>
      </c>
      <c r="BF323" s="339">
        <v>155644.94</v>
      </c>
      <c r="BG323" s="339">
        <v>155900.2507</v>
      </c>
      <c r="BH323" s="339">
        <v>0</v>
      </c>
      <c r="BI323" s="339">
        <v>0</v>
      </c>
      <c r="BJ323" s="339">
        <v>0</v>
      </c>
      <c r="BK323" s="339">
        <v>0</v>
      </c>
      <c r="BL323" s="339">
        <v>0</v>
      </c>
      <c r="BM323" s="339">
        <v>0</v>
      </c>
      <c r="BN323" s="339">
        <v>0</v>
      </c>
      <c r="BO323" s="339">
        <v>0</v>
      </c>
      <c r="BP323" s="339">
        <v>0</v>
      </c>
      <c r="BQ323" s="339">
        <v>0</v>
      </c>
      <c r="BR323" s="339">
        <v>0</v>
      </c>
      <c r="BS323" s="110" t="e">
        <f t="array" aca="1" ref="BS323" ca="1">_xludf.XLOOKUP(D323,'PL TOTAL D0'!N:N,'PL TOTAL D0'!P:P,"")</f>
        <v>#NAME?</v>
      </c>
      <c r="BT323" s="110"/>
    </row>
    <row r="324" spans="1:72" ht="15.75" customHeight="1">
      <c r="A324" s="122" t="s">
        <v>3785</v>
      </c>
      <c r="B324" s="104" t="s">
        <v>1852</v>
      </c>
      <c r="C324" s="441" t="s">
        <v>1850</v>
      </c>
      <c r="D324" s="422">
        <v>5958737</v>
      </c>
      <c r="E324" s="293" t="s">
        <v>19</v>
      </c>
      <c r="F324" s="293" t="s">
        <v>49</v>
      </c>
      <c r="G324" s="293" t="s">
        <v>50</v>
      </c>
      <c r="H324" s="293">
        <f>IFERROR(VLOOKUP(G324,'Cadastro de assessores'!A:B,2,FALSE),"Não Cadastrado")</f>
        <v>12331</v>
      </c>
      <c r="I324" s="293"/>
      <c r="J324" s="24" t="s">
        <v>3788</v>
      </c>
      <c r="K324" s="293" t="s">
        <v>152</v>
      </c>
      <c r="L324" s="423">
        <v>44596</v>
      </c>
      <c r="M324" s="423">
        <v>44614</v>
      </c>
      <c r="N324" s="292"/>
      <c r="O324" s="292" t="s">
        <v>3802</v>
      </c>
      <c r="P324" s="388">
        <v>7.0000000000000001E-3</v>
      </c>
      <c r="Q324" s="167"/>
      <c r="R324" s="417"/>
      <c r="S324" s="292" t="str">
        <f t="shared" si="34"/>
        <v/>
      </c>
      <c r="T324" s="292" t="s">
        <v>145</v>
      </c>
      <c r="U324" s="299" t="s">
        <v>4800</v>
      </c>
      <c r="V324" s="299" t="s">
        <v>20</v>
      </c>
      <c r="W324" s="350"/>
      <c r="X324" s="350"/>
      <c r="Y324" s="350"/>
      <c r="Z324" s="350"/>
      <c r="AA324" s="350"/>
      <c r="AB324" s="350"/>
      <c r="AC324" s="350"/>
      <c r="AD324" s="350"/>
      <c r="AE324" s="350"/>
      <c r="AF324" s="350"/>
      <c r="AG324" s="350"/>
      <c r="AH324" s="350"/>
      <c r="AI324" s="350"/>
      <c r="AJ324" s="339"/>
      <c r="AK324" s="339"/>
      <c r="AL324" s="339"/>
      <c r="AM324" s="339"/>
      <c r="AN324" s="339"/>
      <c r="AO324" s="339"/>
      <c r="AP324" s="339"/>
      <c r="AQ324" s="339"/>
      <c r="AR324" s="350"/>
      <c r="AS324" s="339"/>
      <c r="AT324" s="339"/>
      <c r="AU324" s="339"/>
      <c r="AV324" s="339"/>
      <c r="AW324" s="339"/>
      <c r="AX324" s="339"/>
      <c r="AY324" s="339"/>
      <c r="AZ324" s="339"/>
      <c r="BA324" s="339">
        <v>128582.77</v>
      </c>
      <c r="BB324" s="339">
        <v>145318.65</v>
      </c>
      <c r="BC324" s="339"/>
      <c r="BD324" s="339">
        <v>145587.37</v>
      </c>
      <c r="BE324" s="339">
        <v>146863.60999999999</v>
      </c>
      <c r="BF324" s="339">
        <v>147657.98000000001</v>
      </c>
      <c r="BG324" s="339">
        <v>172170.31959999999</v>
      </c>
      <c r="BH324" s="339">
        <v>173148.76</v>
      </c>
      <c r="BI324" s="339">
        <v>174525.24</v>
      </c>
      <c r="BJ324" s="339">
        <v>175547.65</v>
      </c>
      <c r="BK324" s="339">
        <v>177090.98</v>
      </c>
      <c r="BL324" s="339">
        <v>203528.22</v>
      </c>
      <c r="BM324" s="339">
        <v>180543.3</v>
      </c>
      <c r="BN324" s="339">
        <v>158083.01999999999</v>
      </c>
      <c r="BO324" s="339">
        <v>38309.03</v>
      </c>
      <c r="BP324" s="339">
        <v>38727.519999999997</v>
      </c>
      <c r="BQ324" s="339">
        <v>39050.22</v>
      </c>
      <c r="BR324" s="339">
        <v>39514.69</v>
      </c>
      <c r="BS324" s="110" t="e">
        <f t="array" aca="1" ref="BS324" ca="1">_xludf.XLOOKUP(D324,'PL TOTAL D0'!N:N,'PL TOTAL D0'!P:P,"")</f>
        <v>#NAME?</v>
      </c>
      <c r="BT324" s="110"/>
    </row>
    <row r="325" spans="1:72" ht="15.75" customHeight="1">
      <c r="A325" s="122" t="s">
        <v>3785</v>
      </c>
      <c r="B325" s="104" t="s">
        <v>4801</v>
      </c>
      <c r="C325" s="122" t="s">
        <v>4802</v>
      </c>
      <c r="D325" s="299">
        <v>4712860</v>
      </c>
      <c r="E325" s="292" t="s">
        <v>64</v>
      </c>
      <c r="F325" s="292" t="s">
        <v>20</v>
      </c>
      <c r="G325" s="292" t="s">
        <v>4067</v>
      </c>
      <c r="H325" s="292" t="str">
        <f>IFERROR(VLOOKUP(G325,'Cadastro de assessores'!A:B,2,FALSE),"Não Cadastrado")</f>
        <v>15049</v>
      </c>
      <c r="I325" s="292"/>
      <c r="J325" s="24" t="s">
        <v>143</v>
      </c>
      <c r="K325" s="292" t="s">
        <v>3794</v>
      </c>
      <c r="L325" s="387">
        <v>44203</v>
      </c>
      <c r="M325" s="387">
        <v>44203</v>
      </c>
      <c r="N325" s="387">
        <v>44418</v>
      </c>
      <c r="O325" s="292" t="s">
        <v>3795</v>
      </c>
      <c r="P325" s="388">
        <v>1.4999999999999999E-2</v>
      </c>
      <c r="Q325" s="420" t="s">
        <v>4023</v>
      </c>
      <c r="R325" s="417"/>
      <c r="S325" s="292" t="str">
        <f t="shared" si="34"/>
        <v>Não Qualificado</v>
      </c>
      <c r="T325" s="292" t="s">
        <v>145</v>
      </c>
      <c r="U325" s="292" t="s">
        <v>3929</v>
      </c>
      <c r="V325" s="292" t="s">
        <v>20</v>
      </c>
      <c r="W325" s="418"/>
      <c r="X325" s="418"/>
      <c r="Y325" s="418"/>
      <c r="Z325" s="418"/>
      <c r="AA325" s="418"/>
      <c r="AB325" s="418"/>
      <c r="AC325" s="418"/>
      <c r="AD325" s="418"/>
      <c r="AE325" s="418"/>
      <c r="AF325" s="418"/>
      <c r="AG325" s="418"/>
      <c r="AH325" s="418"/>
      <c r="AI325" s="418"/>
      <c r="AJ325" s="418"/>
      <c r="AK325" s="339"/>
      <c r="AL325" s="339">
        <v>95618.89</v>
      </c>
      <c r="AM325" s="339">
        <v>92985.04</v>
      </c>
      <c r="AN325" s="339">
        <v>92959.360000000001</v>
      </c>
      <c r="AO325" s="339">
        <v>94511.63</v>
      </c>
      <c r="AP325" s="339">
        <v>95110.84</v>
      </c>
      <c r="AQ325" s="339">
        <v>94746.880000000005</v>
      </c>
      <c r="AR325" s="339">
        <v>96899.75</v>
      </c>
      <c r="AS325" s="339">
        <v>96198.58</v>
      </c>
      <c r="AT325" s="339">
        <v>94300.67</v>
      </c>
      <c r="AU325" s="339"/>
      <c r="AV325" s="339"/>
      <c r="AW325" s="339"/>
      <c r="AX325" s="339"/>
      <c r="AY325" s="339"/>
      <c r="AZ325" s="339"/>
      <c r="BA325" s="339">
        <v>0</v>
      </c>
      <c r="BB325" s="339">
        <v>0</v>
      </c>
      <c r="BC325" s="339">
        <v>101520.71</v>
      </c>
      <c r="BD325" s="339" t="s">
        <v>2932</v>
      </c>
      <c r="BE325" s="339" t="s">
        <v>2932</v>
      </c>
      <c r="BF325" s="339">
        <v>0</v>
      </c>
      <c r="BG325" s="339">
        <v>0</v>
      </c>
      <c r="BH325" s="339">
        <v>0</v>
      </c>
      <c r="BI325" s="339">
        <v>0</v>
      </c>
      <c r="BJ325" s="339">
        <v>0</v>
      </c>
      <c r="BK325" s="339">
        <v>0</v>
      </c>
      <c r="BL325" s="339">
        <v>0</v>
      </c>
      <c r="BM325" s="339">
        <v>0</v>
      </c>
      <c r="BN325" s="339">
        <v>0</v>
      </c>
      <c r="BO325" s="339">
        <v>0</v>
      </c>
      <c r="BP325" s="339">
        <v>0</v>
      </c>
      <c r="BQ325" s="339">
        <v>0</v>
      </c>
      <c r="BR325" s="339">
        <v>0</v>
      </c>
      <c r="BS325" s="110" t="e">
        <f t="array" aca="1" ref="BS325" ca="1">_xludf.XLOOKUP(D325,'PL TOTAL D0'!N:N,'PL TOTAL D0'!P:P,"")</f>
        <v>#NAME?</v>
      </c>
      <c r="BT325" s="110"/>
    </row>
    <row r="326" spans="1:72" ht="15.75" customHeight="1">
      <c r="A326" s="122" t="s">
        <v>3785</v>
      </c>
      <c r="B326" s="104" t="s">
        <v>4803</v>
      </c>
      <c r="C326" s="122" t="s">
        <v>4804</v>
      </c>
      <c r="D326" s="292">
        <v>2201017</v>
      </c>
      <c r="E326" s="293" t="s">
        <v>64</v>
      </c>
      <c r="F326" s="293" t="s">
        <v>20</v>
      </c>
      <c r="G326" s="293" t="s">
        <v>3847</v>
      </c>
      <c r="H326" s="293"/>
      <c r="I326" s="293"/>
      <c r="J326" s="24" t="s">
        <v>3788</v>
      </c>
      <c r="K326" s="293"/>
      <c r="L326" s="415"/>
      <c r="M326" s="415">
        <v>44893</v>
      </c>
      <c r="N326" s="292"/>
      <c r="O326" s="292" t="s">
        <v>3802</v>
      </c>
      <c r="P326" s="388">
        <v>0.01</v>
      </c>
      <c r="Q326" s="420" t="s">
        <v>4805</v>
      </c>
      <c r="R326" s="417"/>
      <c r="S326" s="292"/>
      <c r="T326" s="292"/>
      <c r="U326" s="292"/>
      <c r="V326" s="292" t="s">
        <v>60</v>
      </c>
      <c r="W326" s="418"/>
      <c r="X326" s="418"/>
      <c r="Y326" s="418"/>
      <c r="Z326" s="418"/>
      <c r="AA326" s="418"/>
      <c r="AB326" s="418"/>
      <c r="AC326" s="418"/>
      <c r="AD326" s="418"/>
      <c r="AE326" s="418"/>
      <c r="AF326" s="418"/>
      <c r="AG326" s="418"/>
      <c r="AH326" s="418"/>
      <c r="AI326" s="418"/>
      <c r="AJ326" s="418"/>
      <c r="AK326" s="339"/>
      <c r="AL326" s="339"/>
      <c r="AM326" s="339"/>
      <c r="AN326" s="468"/>
      <c r="AO326" s="468"/>
      <c r="AP326" s="339"/>
      <c r="AQ326" s="339"/>
      <c r="AR326" s="339"/>
      <c r="AS326" s="339"/>
      <c r="AT326" s="339"/>
      <c r="AU326" s="339"/>
      <c r="AV326" s="339"/>
      <c r="AW326" s="339"/>
      <c r="AX326" s="339"/>
      <c r="AY326" s="339"/>
      <c r="AZ326" s="339"/>
      <c r="BA326" s="339"/>
      <c r="BB326" s="339"/>
      <c r="BC326" s="339"/>
      <c r="BD326" s="339"/>
      <c r="BE326" s="339"/>
      <c r="BF326" s="339"/>
      <c r="BG326" s="339"/>
      <c r="BH326" s="339"/>
      <c r="BI326" s="339">
        <v>481697.27</v>
      </c>
      <c r="BJ326" s="339">
        <v>487687.13</v>
      </c>
      <c r="BK326" s="339">
        <v>484843.17</v>
      </c>
      <c r="BL326" s="339">
        <v>491773.35</v>
      </c>
      <c r="BM326" s="339">
        <v>493946.49</v>
      </c>
      <c r="BN326" s="339">
        <v>498294.66</v>
      </c>
      <c r="BO326" s="339">
        <v>479114.96</v>
      </c>
      <c r="BP326" s="339">
        <v>482755.61</v>
      </c>
      <c r="BQ326" s="339">
        <v>479240.26</v>
      </c>
      <c r="BR326" s="339">
        <v>0</v>
      </c>
      <c r="BS326" s="110" t="e">
        <f t="array" aca="1" ref="BS326" ca="1">_xludf.XLOOKUP(D326,'PL TOTAL D0'!N:N,'PL TOTAL D0'!P:P,"")</f>
        <v>#NAME?</v>
      </c>
      <c r="BT326" s="110"/>
    </row>
    <row r="327" spans="1:72" ht="15.75" customHeight="1">
      <c r="A327" s="122" t="s">
        <v>3785</v>
      </c>
      <c r="B327" s="104" t="s">
        <v>4806</v>
      </c>
      <c r="C327" s="390" t="s">
        <v>4807</v>
      </c>
      <c r="D327" s="299">
        <v>5661723</v>
      </c>
      <c r="E327" s="293" t="s">
        <v>2923</v>
      </c>
      <c r="F327" s="293" t="s">
        <v>20</v>
      </c>
      <c r="G327" s="293" t="s">
        <v>2923</v>
      </c>
      <c r="H327" s="293" t="str">
        <f>IFERROR(VLOOKUP(G327,'Cadastro de assessores'!A:B,2,FALSE),"Não Cadastrado")</f>
        <v>18986</v>
      </c>
      <c r="I327" s="293"/>
      <c r="J327" s="24" t="s">
        <v>3788</v>
      </c>
      <c r="K327" s="292" t="s">
        <v>152</v>
      </c>
      <c r="L327" s="415">
        <v>44369</v>
      </c>
      <c r="M327" s="415">
        <v>44369</v>
      </c>
      <c r="N327" s="292"/>
      <c r="O327" s="292" t="s">
        <v>3795</v>
      </c>
      <c r="P327" s="388">
        <v>1.4999999999999999E-2</v>
      </c>
      <c r="Q327" s="167"/>
      <c r="R327" s="417"/>
      <c r="S327" s="292" t="str">
        <f t="shared" ref="S327:S342" si="35">IF(BC327&lt;=0,"",IF(BC327&lt;=1000000,"Não Qualificado",IF(AND(BC327&gt;1000000,BC327&lt;=10000000),"Qualificado","Profissional")))</f>
        <v/>
      </c>
      <c r="T327" s="292" t="s">
        <v>145</v>
      </c>
      <c r="U327" s="299" t="s">
        <v>3849</v>
      </c>
      <c r="V327" s="299" t="s">
        <v>20</v>
      </c>
      <c r="W327" s="350"/>
      <c r="X327" s="350"/>
      <c r="Y327" s="350"/>
      <c r="Z327" s="350"/>
      <c r="AA327" s="350"/>
      <c r="AB327" s="350"/>
      <c r="AC327" s="350"/>
      <c r="AD327" s="350"/>
      <c r="AE327" s="350"/>
      <c r="AF327" s="350"/>
      <c r="AG327" s="350"/>
      <c r="AH327" s="350"/>
      <c r="AI327" s="350"/>
      <c r="AJ327" s="339"/>
      <c r="AK327" s="339"/>
      <c r="AL327" s="339"/>
      <c r="AM327" s="339"/>
      <c r="AN327" s="339"/>
      <c r="AO327" s="339"/>
      <c r="AP327" s="339"/>
      <c r="AQ327" s="339"/>
      <c r="AR327" s="350"/>
      <c r="AS327" s="339">
        <v>49605.42</v>
      </c>
      <c r="AT327" s="339">
        <v>48648.71</v>
      </c>
      <c r="AU327" s="339">
        <v>48329.01</v>
      </c>
      <c r="AV327" s="339">
        <v>47715.11</v>
      </c>
      <c r="AW327" s="339">
        <v>46267.62</v>
      </c>
      <c r="AX327" s="339">
        <v>46293.58</v>
      </c>
      <c r="AY327" s="339">
        <v>0.81</v>
      </c>
      <c r="AZ327" s="339">
        <v>0.81</v>
      </c>
      <c r="BA327" s="339">
        <v>0.81</v>
      </c>
      <c r="BB327" s="339">
        <v>0.81</v>
      </c>
      <c r="BC327" s="339"/>
      <c r="BD327" s="339">
        <v>0.81</v>
      </c>
      <c r="BE327" s="339">
        <v>0.81</v>
      </c>
      <c r="BF327" s="339">
        <v>0.81</v>
      </c>
      <c r="BG327" s="339">
        <v>0.81</v>
      </c>
      <c r="BH327" s="339">
        <v>0.81</v>
      </c>
      <c r="BI327" s="339">
        <v>0.81</v>
      </c>
      <c r="BJ327" s="339">
        <v>0.81</v>
      </c>
      <c r="BK327" s="339">
        <v>0.81</v>
      </c>
      <c r="BL327" s="339">
        <v>0.81</v>
      </c>
      <c r="BM327" s="339">
        <v>0.81</v>
      </c>
      <c r="BN327" s="339">
        <v>0.81</v>
      </c>
      <c r="BO327" s="339">
        <v>0.81</v>
      </c>
      <c r="BP327" s="339">
        <v>0.81</v>
      </c>
      <c r="BQ327" s="339">
        <v>0.81</v>
      </c>
      <c r="BR327" s="339">
        <v>0.81</v>
      </c>
      <c r="BS327" s="110" t="e">
        <f t="array" aca="1" ref="BS327" ca="1">_xludf.XLOOKUP(D327,'PL TOTAL D0'!N:N,'PL TOTAL D0'!P:P,"")</f>
        <v>#NAME?</v>
      </c>
      <c r="BT327" s="110"/>
    </row>
    <row r="328" spans="1:72" ht="15.75" customHeight="1">
      <c r="A328" s="122" t="s">
        <v>3785</v>
      </c>
      <c r="B328" s="104" t="s">
        <v>3344</v>
      </c>
      <c r="C328" s="122" t="s">
        <v>3343</v>
      </c>
      <c r="D328" s="292">
        <v>4600625</v>
      </c>
      <c r="E328" s="293" t="s">
        <v>19</v>
      </c>
      <c r="F328" s="293" t="s">
        <v>20</v>
      </c>
      <c r="G328" s="293" t="s">
        <v>2512</v>
      </c>
      <c r="H328" s="293" t="str">
        <f>IFERROR(VLOOKUP(G328,'Cadastro de assessores'!A:B,2,FALSE),"Não Cadastrado")</f>
        <v>18256</v>
      </c>
      <c r="I328" s="293"/>
      <c r="J328" s="24" t="s">
        <v>3788</v>
      </c>
      <c r="K328" s="293" t="s">
        <v>152</v>
      </c>
      <c r="L328" s="416">
        <v>44180</v>
      </c>
      <c r="M328" s="416">
        <v>44180</v>
      </c>
      <c r="N328" s="292"/>
      <c r="O328" s="292" t="s">
        <v>3809</v>
      </c>
      <c r="P328" s="388">
        <v>2.5000000000000001E-2</v>
      </c>
      <c r="Q328" s="420" t="s">
        <v>4808</v>
      </c>
      <c r="R328" s="417"/>
      <c r="S328" s="292" t="str">
        <f t="shared" si="35"/>
        <v>Não Qualificado</v>
      </c>
      <c r="T328" s="292" t="s">
        <v>145</v>
      </c>
      <c r="U328" s="292" t="s">
        <v>3832</v>
      </c>
      <c r="V328" s="292" t="s">
        <v>20</v>
      </c>
      <c r="W328" s="418" t="s">
        <v>3798</v>
      </c>
      <c r="X328" s="418" t="s">
        <v>3798</v>
      </c>
      <c r="Y328" s="418" t="s">
        <v>3798</v>
      </c>
      <c r="Z328" s="418" t="s">
        <v>3798</v>
      </c>
      <c r="AA328" s="418" t="s">
        <v>3798</v>
      </c>
      <c r="AB328" s="418" t="s">
        <v>3798</v>
      </c>
      <c r="AC328" s="418" t="s">
        <v>3798</v>
      </c>
      <c r="AD328" s="418" t="s">
        <v>3798</v>
      </c>
      <c r="AE328" s="418" t="s">
        <v>3798</v>
      </c>
      <c r="AF328" s="418" t="s">
        <v>3798</v>
      </c>
      <c r="AG328" s="418" t="s">
        <v>3798</v>
      </c>
      <c r="AH328" s="418" t="s">
        <v>3798</v>
      </c>
      <c r="AI328" s="418" t="s">
        <v>3798</v>
      </c>
      <c r="AJ328" s="418" t="s">
        <v>3798</v>
      </c>
      <c r="AK328" s="339">
        <v>75255.789999999994</v>
      </c>
      <c r="AL328" s="339">
        <v>70732.070000000007</v>
      </c>
      <c r="AM328" s="339">
        <v>65003.35</v>
      </c>
      <c r="AN328" s="339">
        <v>64619.09</v>
      </c>
      <c r="AO328" s="339">
        <v>69029.42</v>
      </c>
      <c r="AP328" s="339">
        <v>69841.7</v>
      </c>
      <c r="AQ328" s="339">
        <v>69134.240000000005</v>
      </c>
      <c r="AR328" s="339">
        <v>72323.899999999994</v>
      </c>
      <c r="AS328" s="339">
        <v>70488.41</v>
      </c>
      <c r="AT328" s="339">
        <v>66449.91</v>
      </c>
      <c r="AU328" s="339">
        <v>64404.4</v>
      </c>
      <c r="AV328" s="339">
        <v>59945.7</v>
      </c>
      <c r="AW328" s="339">
        <v>55051.81</v>
      </c>
      <c r="AX328" s="339">
        <v>54430.69</v>
      </c>
      <c r="AY328" s="339">
        <v>54415.61</v>
      </c>
      <c r="AZ328" s="339">
        <v>57000.24</v>
      </c>
      <c r="BA328" s="339">
        <v>57911.54</v>
      </c>
      <c r="BB328" s="339">
        <v>61225.48</v>
      </c>
      <c r="BC328" s="339">
        <v>143401.9</v>
      </c>
      <c r="BD328" s="339">
        <v>56582.97</v>
      </c>
      <c r="BE328" s="339">
        <v>53980.61</v>
      </c>
      <c r="BF328" s="339">
        <v>56977.16</v>
      </c>
      <c r="BG328" s="339">
        <v>57822.96</v>
      </c>
      <c r="BH328" s="339">
        <v>55249.760000000002</v>
      </c>
      <c r="BI328" s="339">
        <v>60434.080000000002</v>
      </c>
      <c r="BJ328" s="339">
        <v>58032.59</v>
      </c>
      <c r="BK328" s="339">
        <v>57584.98</v>
      </c>
      <c r="BL328" s="339">
        <v>58448.53</v>
      </c>
      <c r="BM328" s="339">
        <v>89.57</v>
      </c>
      <c r="BN328" s="339">
        <v>78.16</v>
      </c>
      <c r="BO328" s="339">
        <v>335.64</v>
      </c>
      <c r="BP328" s="339">
        <v>0</v>
      </c>
      <c r="BQ328" s="339">
        <v>0</v>
      </c>
      <c r="BR328" s="339">
        <v>0</v>
      </c>
      <c r="BS328" s="110" t="e">
        <f t="array" aca="1" ref="BS328" ca="1">_xludf.XLOOKUP(D328,'PL TOTAL D0'!N:N,'PL TOTAL D0'!P:P,"")</f>
        <v>#NAME?</v>
      </c>
      <c r="BT328" s="110"/>
    </row>
    <row r="329" spans="1:72" ht="15.75" customHeight="1">
      <c r="A329" s="122" t="s">
        <v>3785</v>
      </c>
      <c r="B329" s="104" t="s">
        <v>4809</v>
      </c>
      <c r="C329" s="390" t="s">
        <v>4810</v>
      </c>
      <c r="D329" s="299">
        <v>5630594</v>
      </c>
      <c r="E329" s="293" t="s">
        <v>19</v>
      </c>
      <c r="F329" s="293" t="s">
        <v>20</v>
      </c>
      <c r="G329" s="293" t="s">
        <v>4315</v>
      </c>
      <c r="H329" s="293" t="str">
        <f>IFERROR(VLOOKUP(G329,'Cadastro de assessores'!A:B,2,FALSE),"Não Cadastrado")</f>
        <v>13896</v>
      </c>
      <c r="I329" s="293"/>
      <c r="J329" s="24" t="s">
        <v>3788</v>
      </c>
      <c r="K329" s="293" t="s">
        <v>152</v>
      </c>
      <c r="L329" s="415">
        <v>44356</v>
      </c>
      <c r="M329" s="415">
        <v>44356</v>
      </c>
      <c r="N329" s="299"/>
      <c r="O329" s="299" t="s">
        <v>4010</v>
      </c>
      <c r="P329" s="388">
        <v>0.02</v>
      </c>
      <c r="Q329" s="167"/>
      <c r="R329" s="417"/>
      <c r="S329" s="292" t="str">
        <f t="shared" si="35"/>
        <v/>
      </c>
      <c r="T329" s="292" t="s">
        <v>145</v>
      </c>
      <c r="U329" s="292" t="s">
        <v>3846</v>
      </c>
      <c r="V329" s="292" t="s">
        <v>46</v>
      </c>
      <c r="W329" s="350"/>
      <c r="X329" s="350"/>
      <c r="Y329" s="350"/>
      <c r="Z329" s="350"/>
      <c r="AA329" s="350"/>
      <c r="AB329" s="350"/>
      <c r="AC329" s="350"/>
      <c r="AD329" s="350"/>
      <c r="AE329" s="350"/>
      <c r="AF329" s="350"/>
      <c r="AG329" s="350"/>
      <c r="AH329" s="350"/>
      <c r="AI329" s="350"/>
      <c r="AJ329" s="350"/>
      <c r="AK329" s="339"/>
      <c r="AL329" s="339"/>
      <c r="AM329" s="339"/>
      <c r="AN329" s="339"/>
      <c r="AO329" s="339"/>
      <c r="AP329" s="339"/>
      <c r="AQ329" s="339"/>
      <c r="AR329" s="350"/>
      <c r="AS329" s="339">
        <v>153619.88</v>
      </c>
      <c r="AT329" s="339">
        <v>156076.47</v>
      </c>
      <c r="AU329" s="339">
        <v>154220.47</v>
      </c>
      <c r="AV329" s="339">
        <v>149869.22</v>
      </c>
      <c r="AW329" s="339">
        <v>141844.48000000001</v>
      </c>
      <c r="AX329" s="339">
        <v>141000.98000000001</v>
      </c>
      <c r="AY329" s="339">
        <v>142954.6</v>
      </c>
      <c r="AZ329" s="339">
        <v>149333.9</v>
      </c>
      <c r="BA329" s="339">
        <v>150720.23000000001</v>
      </c>
      <c r="BB329" s="339">
        <v>157694.13</v>
      </c>
      <c r="BC329" s="339"/>
      <c r="BD329" s="339">
        <v>153095.99</v>
      </c>
      <c r="BE329" s="339">
        <v>148993.34</v>
      </c>
      <c r="BF329" s="339">
        <v>153449.76</v>
      </c>
      <c r="BG329" s="339">
        <v>156135.77340000001</v>
      </c>
      <c r="BH329" s="339">
        <v>156252.37</v>
      </c>
      <c r="BI329" s="339">
        <v>167045.85</v>
      </c>
      <c r="BJ329" s="339">
        <v>167432.1</v>
      </c>
      <c r="BK329" s="339">
        <v>168063.45</v>
      </c>
      <c r="BL329" s="339">
        <v>167660.04</v>
      </c>
      <c r="BM329" s="339">
        <v>166984.88</v>
      </c>
      <c r="BN329" s="339">
        <v>167509.25</v>
      </c>
      <c r="BO329" s="339">
        <v>158596.25</v>
      </c>
      <c r="BP329" s="339">
        <v>159905.04999999999</v>
      </c>
      <c r="BQ329" s="339">
        <v>0</v>
      </c>
      <c r="BR329" s="339">
        <v>0</v>
      </c>
      <c r="BS329" s="110" t="e">
        <f t="array" aca="1" ref="BS329" ca="1">_xludf.XLOOKUP(D329,'PL TOTAL D0'!N:N,'PL TOTAL D0'!P:P,"")</f>
        <v>#NAME?</v>
      </c>
      <c r="BT329" s="110"/>
    </row>
    <row r="330" spans="1:72" ht="15.75" customHeight="1">
      <c r="A330" s="122" t="s">
        <v>3785</v>
      </c>
      <c r="B330" s="104" t="s">
        <v>4811</v>
      </c>
      <c r="C330" s="122" t="s">
        <v>4812</v>
      </c>
      <c r="D330" s="292">
        <v>4680045</v>
      </c>
      <c r="E330" s="462" t="s">
        <v>64</v>
      </c>
      <c r="F330" s="293" t="s">
        <v>20</v>
      </c>
      <c r="G330" s="293" t="s">
        <v>4067</v>
      </c>
      <c r="H330" s="293" t="str">
        <f>IFERROR(VLOOKUP(G330,'Cadastro de assessores'!A:B,2,FALSE),"Não Cadastrado")</f>
        <v>15049</v>
      </c>
      <c r="I330" s="293"/>
      <c r="J330" s="24" t="s">
        <v>3788</v>
      </c>
      <c r="K330" s="292" t="s">
        <v>161</v>
      </c>
      <c r="L330" s="416">
        <v>44182</v>
      </c>
      <c r="M330" s="416">
        <v>44183</v>
      </c>
      <c r="N330" s="292"/>
      <c r="O330" s="292" t="s">
        <v>3795</v>
      </c>
      <c r="P330" s="388">
        <v>1.4999999999999999E-2</v>
      </c>
      <c r="Q330" s="440"/>
      <c r="R330" s="417"/>
      <c r="S330" s="292" t="str">
        <f t="shared" si="35"/>
        <v>Não Qualificado</v>
      </c>
      <c r="T330" s="292" t="s">
        <v>145</v>
      </c>
      <c r="U330" s="292" t="s">
        <v>3929</v>
      </c>
      <c r="V330" s="292" t="s">
        <v>20</v>
      </c>
      <c r="W330" s="418" t="s">
        <v>3798</v>
      </c>
      <c r="X330" s="418" t="s">
        <v>3798</v>
      </c>
      <c r="Y330" s="418" t="s">
        <v>3798</v>
      </c>
      <c r="Z330" s="418" t="s">
        <v>3798</v>
      </c>
      <c r="AA330" s="418" t="s">
        <v>3798</v>
      </c>
      <c r="AB330" s="418" t="s">
        <v>3798</v>
      </c>
      <c r="AC330" s="418" t="s">
        <v>3798</v>
      </c>
      <c r="AD330" s="418" t="s">
        <v>3798</v>
      </c>
      <c r="AE330" s="418" t="s">
        <v>3798</v>
      </c>
      <c r="AF330" s="418" t="s">
        <v>3798</v>
      </c>
      <c r="AG330" s="418" t="s">
        <v>3798</v>
      </c>
      <c r="AH330" s="418" t="s">
        <v>3798</v>
      </c>
      <c r="AI330" s="418" t="s">
        <v>3798</v>
      </c>
      <c r="AJ330" s="418" t="s">
        <v>3798</v>
      </c>
      <c r="AK330" s="339">
        <v>398203.88</v>
      </c>
      <c r="AL330" s="339">
        <v>391190.59</v>
      </c>
      <c r="AM330" s="339">
        <v>381578.86</v>
      </c>
      <c r="AN330" s="339">
        <v>381104.04</v>
      </c>
      <c r="AO330" s="339">
        <v>392422.07</v>
      </c>
      <c r="AP330" s="339">
        <v>394786.57</v>
      </c>
      <c r="AQ330" s="339">
        <v>393223.01</v>
      </c>
      <c r="AR330" s="339">
        <v>402610.52</v>
      </c>
      <c r="AS330" s="339">
        <v>399057.16</v>
      </c>
      <c r="AT330" s="339">
        <v>3864.74</v>
      </c>
      <c r="AU330" s="339">
        <v>3867.97</v>
      </c>
      <c r="AV330" s="339">
        <v>2921.22</v>
      </c>
      <c r="AW330" s="339">
        <v>3874.79</v>
      </c>
      <c r="AX330" s="339">
        <v>3879.85</v>
      </c>
      <c r="AY330" s="339">
        <v>3886.82</v>
      </c>
      <c r="AZ330" s="339">
        <v>3894.69</v>
      </c>
      <c r="BA330" s="339">
        <v>3905.05</v>
      </c>
      <c r="BB330" s="339">
        <v>3928.37</v>
      </c>
      <c r="BC330" s="339">
        <v>822796.83</v>
      </c>
      <c r="BD330" s="339">
        <v>3994.84</v>
      </c>
      <c r="BE330" s="339">
        <v>4027.07</v>
      </c>
      <c r="BF330" s="339">
        <v>4057.32</v>
      </c>
      <c r="BG330" s="339">
        <v>4094.4</v>
      </c>
      <c r="BH330" s="339">
        <v>4129.71</v>
      </c>
      <c r="BI330" s="339">
        <v>4165.5</v>
      </c>
      <c r="BJ330" s="339">
        <v>4213.9799999999996</v>
      </c>
      <c r="BK330" s="339">
        <v>4245.58</v>
      </c>
      <c r="BL330" s="339">
        <v>4286.82</v>
      </c>
      <c r="BM330" s="339">
        <v>4318.1499999999996</v>
      </c>
      <c r="BN330" s="339">
        <v>4363.3</v>
      </c>
      <c r="BO330" s="339">
        <v>4403.72</v>
      </c>
      <c r="BP330" s="339">
        <v>4448.87</v>
      </c>
      <c r="BQ330" s="339">
        <v>4452.84</v>
      </c>
      <c r="BR330" s="339">
        <v>4501.47</v>
      </c>
      <c r="BS330" s="110" t="e">
        <f t="array" aca="1" ref="BS330" ca="1">_xludf.XLOOKUP(D330,'PL TOTAL D0'!N:N,'PL TOTAL D0'!P:P,"")</f>
        <v>#NAME?</v>
      </c>
      <c r="BT330" s="110"/>
    </row>
    <row r="331" spans="1:72" ht="15.75" customHeight="1">
      <c r="A331" s="122" t="s">
        <v>3785</v>
      </c>
      <c r="B331" s="104" t="s">
        <v>4813</v>
      </c>
      <c r="C331" s="441" t="s">
        <v>4814</v>
      </c>
      <c r="D331" s="292">
        <v>7854925</v>
      </c>
      <c r="E331" s="426" t="s">
        <v>19</v>
      </c>
      <c r="F331" s="426" t="s">
        <v>49</v>
      </c>
      <c r="G331" s="293" t="s">
        <v>277</v>
      </c>
      <c r="H331" s="293" t="str">
        <f>IFERROR(VLOOKUP(G331,'Cadastro de assessores'!A:B,2,FALSE),"Não Cadastrado")</f>
        <v>17831</v>
      </c>
      <c r="I331" s="293"/>
      <c r="J331" s="24" t="s">
        <v>3788</v>
      </c>
      <c r="K331" s="293" t="s">
        <v>152</v>
      </c>
      <c r="L331" s="415">
        <v>44602</v>
      </c>
      <c r="M331" s="415">
        <v>44606</v>
      </c>
      <c r="N331" s="292"/>
      <c r="O331" s="292" t="s">
        <v>4815</v>
      </c>
      <c r="P331" s="388">
        <v>1.2E-2</v>
      </c>
      <c r="Q331" s="390" t="s">
        <v>4816</v>
      </c>
      <c r="R331" s="417"/>
      <c r="S331" s="292" t="str">
        <f t="shared" si="35"/>
        <v/>
      </c>
      <c r="T331" s="292" t="s">
        <v>145</v>
      </c>
      <c r="U331" s="292" t="s">
        <v>3841</v>
      </c>
      <c r="V331" s="292" t="s">
        <v>49</v>
      </c>
      <c r="W331" s="418"/>
      <c r="X331" s="418"/>
      <c r="Y331" s="418"/>
      <c r="Z331" s="418"/>
      <c r="AA331" s="418"/>
      <c r="AB331" s="418"/>
      <c r="AC331" s="418"/>
      <c r="AD331" s="418"/>
      <c r="AE331" s="418"/>
      <c r="AF331" s="418"/>
      <c r="AG331" s="418"/>
      <c r="AH331" s="418"/>
      <c r="AI331" s="418"/>
      <c r="AJ331" s="418"/>
      <c r="AK331" s="339"/>
      <c r="AL331" s="339"/>
      <c r="AM331" s="339"/>
      <c r="AN331" s="468"/>
      <c r="AO331" s="468"/>
      <c r="AP331" s="339"/>
      <c r="AQ331" s="339"/>
      <c r="AR331" s="339"/>
      <c r="AS331" s="339"/>
      <c r="AT331" s="339"/>
      <c r="AU331" s="339"/>
      <c r="AV331" s="339"/>
      <c r="AW331" s="339"/>
      <c r="AX331" s="339"/>
      <c r="AY331" s="339"/>
      <c r="AZ331" s="339"/>
      <c r="BA331" s="339">
        <v>1003072.97</v>
      </c>
      <c r="BB331" s="339">
        <v>1018292.54</v>
      </c>
      <c r="BC331" s="339"/>
      <c r="BD331" s="339">
        <v>1038688.66</v>
      </c>
      <c r="BE331" s="339">
        <v>1044856.15</v>
      </c>
      <c r="BF331" s="339">
        <v>1051319.6200000001</v>
      </c>
      <c r="BG331" s="339">
        <v>1100.97</v>
      </c>
      <c r="BH331" s="339">
        <v>163.19999999999999</v>
      </c>
      <c r="BI331" s="339">
        <v>164.54</v>
      </c>
      <c r="BJ331" s="339">
        <v>165.91</v>
      </c>
      <c r="BK331" s="339">
        <v>116.32</v>
      </c>
      <c r="BL331" s="339">
        <v>116.32</v>
      </c>
      <c r="BM331" s="339">
        <v>116.32</v>
      </c>
      <c r="BN331" s="339">
        <v>116.32</v>
      </c>
      <c r="BO331" s="339">
        <v>116.32</v>
      </c>
      <c r="BP331" s="339">
        <v>116.32</v>
      </c>
      <c r="BQ331" s="339">
        <v>116.32</v>
      </c>
      <c r="BR331" s="339">
        <v>116.32</v>
      </c>
      <c r="BS331" s="110" t="e">
        <f t="array" aca="1" ref="BS331" ca="1">_xludf.XLOOKUP(D331,'PL TOTAL D0'!N:N,'PL TOTAL D0'!P:P,"")</f>
        <v>#NAME?</v>
      </c>
      <c r="BT331" s="110"/>
    </row>
    <row r="332" spans="1:72" ht="15.75" customHeight="1">
      <c r="A332" s="122" t="s">
        <v>3785</v>
      </c>
      <c r="B332" s="104" t="s">
        <v>4817</v>
      </c>
      <c r="C332" s="122" t="s">
        <v>4818</v>
      </c>
      <c r="D332" s="292">
        <v>4901933</v>
      </c>
      <c r="E332" s="292" t="s">
        <v>19</v>
      </c>
      <c r="F332" s="292" t="s">
        <v>49</v>
      </c>
      <c r="G332" s="292" t="s">
        <v>328</v>
      </c>
      <c r="H332" s="292" t="str">
        <f>IFERROR(VLOOKUP(G332,'Cadastro de assessores'!A:B,2,FALSE),"Não Cadastrado")</f>
        <v>18009</v>
      </c>
      <c r="I332" s="292"/>
      <c r="J332" s="24" t="s">
        <v>143</v>
      </c>
      <c r="K332" s="292" t="s">
        <v>3794</v>
      </c>
      <c r="L332" s="387">
        <v>44251</v>
      </c>
      <c r="M332" s="387">
        <v>44251</v>
      </c>
      <c r="N332" s="387">
        <v>44783</v>
      </c>
      <c r="O332" s="292" t="s">
        <v>3795</v>
      </c>
      <c r="P332" s="388">
        <v>1.4999999999999999E-2</v>
      </c>
      <c r="Q332" s="420" t="s">
        <v>4819</v>
      </c>
      <c r="R332" s="417"/>
      <c r="S332" s="292" t="str">
        <f t="shared" si="35"/>
        <v>Não Qualificado</v>
      </c>
      <c r="T332" s="292" t="s">
        <v>145</v>
      </c>
      <c r="U332" s="292" t="s">
        <v>4293</v>
      </c>
      <c r="V332" s="292" t="s">
        <v>20</v>
      </c>
      <c r="W332" s="418"/>
      <c r="X332" s="418"/>
      <c r="Y332" s="418"/>
      <c r="Z332" s="418"/>
      <c r="AA332" s="418"/>
      <c r="AB332" s="418"/>
      <c r="AC332" s="418"/>
      <c r="AD332" s="418"/>
      <c r="AE332" s="418"/>
      <c r="AF332" s="418"/>
      <c r="AG332" s="418"/>
      <c r="AH332" s="418"/>
      <c r="AI332" s="418"/>
      <c r="AJ332" s="418"/>
      <c r="AK332" s="339"/>
      <c r="AL332" s="339"/>
      <c r="AM332" s="339">
        <v>200000</v>
      </c>
      <c r="AN332" s="468">
        <v>197301.5</v>
      </c>
      <c r="AO332" s="468">
        <v>410072.96</v>
      </c>
      <c r="AP332" s="339">
        <v>412635.92</v>
      </c>
      <c r="AQ332" s="339">
        <v>410569.99</v>
      </c>
      <c r="AR332" s="339">
        <v>422673.94</v>
      </c>
      <c r="AS332" s="339">
        <v>415486.04</v>
      </c>
      <c r="AT332" s="339">
        <v>396133.56</v>
      </c>
      <c r="AU332" s="339">
        <v>388922.28</v>
      </c>
      <c r="AV332" s="339">
        <v>388226.11</v>
      </c>
      <c r="AW332" s="339">
        <v>366560.86</v>
      </c>
      <c r="AX332" s="339">
        <v>355485.47</v>
      </c>
      <c r="AY332" s="339">
        <v>-2821.13</v>
      </c>
      <c r="AZ332" s="339">
        <v>-2814.8</v>
      </c>
      <c r="BA332" s="339">
        <v>-2807.95</v>
      </c>
      <c r="BB332" s="339">
        <v>995528.52</v>
      </c>
      <c r="BC332" s="339">
        <v>180103.83</v>
      </c>
      <c r="BD332" s="339">
        <v>1001939.54</v>
      </c>
      <c r="BE332" s="339">
        <v>1004743.2</v>
      </c>
      <c r="BF332" s="339">
        <v>1009946.06</v>
      </c>
      <c r="BG332" s="339">
        <v>0</v>
      </c>
      <c r="BH332" s="339">
        <v>0</v>
      </c>
      <c r="BI332" s="339">
        <v>0</v>
      </c>
      <c r="BJ332" s="339">
        <v>0</v>
      </c>
      <c r="BK332" s="339">
        <v>0</v>
      </c>
      <c r="BL332" s="339">
        <v>0</v>
      </c>
      <c r="BM332" s="339">
        <v>0</v>
      </c>
      <c r="BN332" s="339">
        <v>0</v>
      </c>
      <c r="BO332" s="339">
        <v>0</v>
      </c>
      <c r="BP332" s="339">
        <v>0</v>
      </c>
      <c r="BQ332" s="339">
        <v>0</v>
      </c>
      <c r="BR332" s="339">
        <v>0</v>
      </c>
      <c r="BS332" s="110" t="e">
        <f t="array" aca="1" ref="BS332" ca="1">_xludf.XLOOKUP(D332,'PL TOTAL D0'!N:N,'PL TOTAL D0'!P:P,"")</f>
        <v>#NAME?</v>
      </c>
      <c r="BT332" s="110"/>
    </row>
    <row r="333" spans="1:72" ht="15.75" customHeight="1">
      <c r="A333" s="122" t="s">
        <v>3785</v>
      </c>
      <c r="B333" s="104" t="s">
        <v>1868</v>
      </c>
      <c r="C333" s="390" t="s">
        <v>1865</v>
      </c>
      <c r="D333" s="299">
        <v>581733</v>
      </c>
      <c r="E333" s="293" t="s">
        <v>19</v>
      </c>
      <c r="F333" s="293" t="s">
        <v>20</v>
      </c>
      <c r="G333" s="293" t="s">
        <v>800</v>
      </c>
      <c r="H333" s="293" t="str">
        <f>IFERROR(VLOOKUP(G333,'Cadastro de assessores'!A:B,2,FALSE),"Não Cadastrado")</f>
        <v>18467</v>
      </c>
      <c r="I333" s="293"/>
      <c r="J333" s="24" t="s">
        <v>3788</v>
      </c>
      <c r="K333" s="293" t="s">
        <v>152</v>
      </c>
      <c r="L333" s="415">
        <v>44452</v>
      </c>
      <c r="M333" s="415">
        <v>44453</v>
      </c>
      <c r="N333" s="299"/>
      <c r="O333" s="299" t="s">
        <v>3809</v>
      </c>
      <c r="P333" s="388">
        <v>1.4999999999999999E-2</v>
      </c>
      <c r="Q333" s="167" t="s">
        <v>4820</v>
      </c>
      <c r="R333" s="417"/>
      <c r="S333" s="292" t="str">
        <f t="shared" si="35"/>
        <v>Não Qualificado</v>
      </c>
      <c r="T333" s="292" t="s">
        <v>145</v>
      </c>
      <c r="U333" s="299" t="s">
        <v>3816</v>
      </c>
      <c r="V333" s="292" t="s">
        <v>20</v>
      </c>
      <c r="W333" s="350"/>
      <c r="X333" s="350"/>
      <c r="Y333" s="350"/>
      <c r="Z333" s="350"/>
      <c r="AA333" s="350"/>
      <c r="AB333" s="350"/>
      <c r="AC333" s="350"/>
      <c r="AD333" s="350"/>
      <c r="AE333" s="350"/>
      <c r="AF333" s="350"/>
      <c r="AG333" s="350"/>
      <c r="AH333" s="418"/>
      <c r="AI333" s="418"/>
      <c r="AJ333" s="339"/>
      <c r="AK333" s="339"/>
      <c r="AL333" s="339"/>
      <c r="AM333" s="339"/>
      <c r="AN333" s="339"/>
      <c r="AO333" s="339"/>
      <c r="AP333" s="339"/>
      <c r="AQ333" s="339"/>
      <c r="AR333" s="339"/>
      <c r="AS333" s="339"/>
      <c r="AT333" s="339"/>
      <c r="AU333" s="350"/>
      <c r="AV333" s="339">
        <v>951031.16</v>
      </c>
      <c r="AW333" s="339">
        <v>869851.48</v>
      </c>
      <c r="AX333" s="339">
        <v>860398.99</v>
      </c>
      <c r="AY333" s="339">
        <v>876757.37</v>
      </c>
      <c r="AZ333" s="339">
        <v>941496.43</v>
      </c>
      <c r="BA333" s="339">
        <v>951734.16</v>
      </c>
      <c r="BB333" s="339">
        <v>1909937.42</v>
      </c>
      <c r="BC333" s="339">
        <v>50896.83</v>
      </c>
      <c r="BD333" s="339">
        <v>2812912.31</v>
      </c>
      <c r="BE333" s="339">
        <v>2709337.74</v>
      </c>
      <c r="BF333" s="339">
        <v>2826546.62</v>
      </c>
      <c r="BG333" s="339">
        <v>2894138.8459999999</v>
      </c>
      <c r="BH333" s="339">
        <v>2869342.75</v>
      </c>
      <c r="BI333" s="339">
        <v>3085341.3</v>
      </c>
      <c r="BJ333" s="339">
        <v>3031384.59</v>
      </c>
      <c r="BK333" s="339">
        <v>6054896.4699999997</v>
      </c>
      <c r="BL333" s="339">
        <v>6194944.6900000004</v>
      </c>
      <c r="BM333" s="339">
        <v>5970335.1699999999</v>
      </c>
      <c r="BN333" s="339">
        <v>1090856.55</v>
      </c>
      <c r="BO333" s="339">
        <v>1065158.95</v>
      </c>
      <c r="BP333" s="339">
        <v>722.79</v>
      </c>
      <c r="BQ333" s="339">
        <v>722.79</v>
      </c>
      <c r="BR333" s="339">
        <v>722.79</v>
      </c>
      <c r="BS333" s="110" t="e">
        <f t="array" aca="1" ref="BS333" ca="1">_xludf.XLOOKUP(D333,'PL TOTAL D0'!N:N,'PL TOTAL D0'!P:P,"")</f>
        <v>#NAME?</v>
      </c>
      <c r="BT333" s="110"/>
    </row>
    <row r="334" spans="1:72" ht="15.75" customHeight="1">
      <c r="A334" s="122" t="s">
        <v>3785</v>
      </c>
      <c r="B334" s="104" t="s">
        <v>1868</v>
      </c>
      <c r="C334" s="390" t="s">
        <v>1865</v>
      </c>
      <c r="D334" s="422">
        <v>8089465</v>
      </c>
      <c r="E334" s="469" t="s">
        <v>19</v>
      </c>
      <c r="F334" s="293" t="s">
        <v>20</v>
      </c>
      <c r="G334" s="293" t="s">
        <v>800</v>
      </c>
      <c r="H334" s="293" t="str">
        <f>IFERROR(VLOOKUP(G334,'Cadastro de assessores'!A:B,2,FALSE),"Não Cadastrado")</f>
        <v>18467</v>
      </c>
      <c r="I334" s="293"/>
      <c r="J334" s="24" t="s">
        <v>3788</v>
      </c>
      <c r="K334" s="299" t="s">
        <v>152</v>
      </c>
      <c r="L334" s="470">
        <v>44630</v>
      </c>
      <c r="M334" s="470">
        <v>44631</v>
      </c>
      <c r="N334" s="299"/>
      <c r="O334" s="299" t="s">
        <v>3802</v>
      </c>
      <c r="P334" s="392">
        <v>7.0000000000000001E-3</v>
      </c>
      <c r="Q334" s="167" t="s">
        <v>4820</v>
      </c>
      <c r="R334" s="417"/>
      <c r="S334" s="292" t="str">
        <f t="shared" si="35"/>
        <v>Não Qualificado</v>
      </c>
      <c r="T334" s="292" t="s">
        <v>145</v>
      </c>
      <c r="U334" s="299" t="s">
        <v>3816</v>
      </c>
      <c r="V334" s="299" t="s">
        <v>20</v>
      </c>
      <c r="W334" s="350"/>
      <c r="X334" s="350"/>
      <c r="Y334" s="350"/>
      <c r="Z334" s="350"/>
      <c r="AA334" s="350"/>
      <c r="AB334" s="350"/>
      <c r="AC334" s="350"/>
      <c r="AD334" s="350"/>
      <c r="AE334" s="350"/>
      <c r="AF334" s="350"/>
      <c r="AG334" s="350"/>
      <c r="AH334" s="350"/>
      <c r="AI334" s="350"/>
      <c r="AJ334" s="350"/>
      <c r="AK334" s="339"/>
      <c r="AL334" s="339"/>
      <c r="AM334" s="339"/>
      <c r="AN334" s="339"/>
      <c r="AO334" s="339"/>
      <c r="AP334" s="339"/>
      <c r="AQ334" s="339"/>
      <c r="AR334" s="339"/>
      <c r="AS334" s="339"/>
      <c r="AT334" s="339"/>
      <c r="AU334" s="350"/>
      <c r="AV334" s="339"/>
      <c r="AW334" s="339"/>
      <c r="AX334" s="339"/>
      <c r="AY334" s="339"/>
      <c r="AZ334" s="339"/>
      <c r="BA334" s="339">
        <v>0</v>
      </c>
      <c r="BB334" s="339">
        <v>503946.85</v>
      </c>
      <c r="BC334" s="339">
        <v>637816.29</v>
      </c>
      <c r="BD334" s="339">
        <v>516582.41</v>
      </c>
      <c r="BE334" s="339">
        <v>520424.92</v>
      </c>
      <c r="BF334" s="339">
        <v>525088.31000000006</v>
      </c>
      <c r="BG334" s="339">
        <v>528815.60069999995</v>
      </c>
      <c r="BH334" s="339">
        <v>531858.43999999994</v>
      </c>
      <c r="BI334" s="339">
        <v>535918.57999999996</v>
      </c>
      <c r="BJ334" s="339">
        <v>540175.41</v>
      </c>
      <c r="BK334" s="339">
        <v>545058.25</v>
      </c>
      <c r="BL334" s="339">
        <v>551445.04</v>
      </c>
      <c r="BM334" s="339">
        <v>555998.5</v>
      </c>
      <c r="BN334" s="339">
        <v>561634.64</v>
      </c>
      <c r="BO334" s="339">
        <v>567176.34</v>
      </c>
      <c r="BP334" s="339">
        <v>570061.59</v>
      </c>
      <c r="BQ334" s="339">
        <v>238794.46</v>
      </c>
      <c r="BR334" s="339">
        <v>242014.64</v>
      </c>
      <c r="BS334" s="110" t="e">
        <f t="array" aca="1" ref="BS334" ca="1">_xludf.XLOOKUP(D334,'PL TOTAL D0'!N:N,'PL TOTAL D0'!P:P,"")</f>
        <v>#NAME?</v>
      </c>
      <c r="BT334" s="110"/>
    </row>
    <row r="335" spans="1:72" ht="15.75" customHeight="1">
      <c r="A335" s="122" t="s">
        <v>3785</v>
      </c>
      <c r="B335" s="104" t="s">
        <v>1872</v>
      </c>
      <c r="C335" s="390" t="s">
        <v>1870</v>
      </c>
      <c r="D335" s="299">
        <v>5581002</v>
      </c>
      <c r="E335" s="293" t="s">
        <v>19</v>
      </c>
      <c r="F335" s="293" t="s">
        <v>20</v>
      </c>
      <c r="G335" s="293" t="s">
        <v>21</v>
      </c>
      <c r="H335" s="293">
        <f>IFERROR(VLOOKUP(G335,'Cadastro de assessores'!A:B,2,FALSE),"Não Cadastrado")</f>
        <v>12344</v>
      </c>
      <c r="I335" s="293"/>
      <c r="J335" s="24" t="s">
        <v>3788</v>
      </c>
      <c r="K335" s="293" t="s">
        <v>152</v>
      </c>
      <c r="L335" s="415">
        <v>44340</v>
      </c>
      <c r="M335" s="415">
        <v>44340</v>
      </c>
      <c r="N335" s="299"/>
      <c r="O335" s="299" t="s">
        <v>3809</v>
      </c>
      <c r="P335" s="388">
        <v>2.5000000000000001E-2</v>
      </c>
      <c r="Q335" s="420" t="s">
        <v>4821</v>
      </c>
      <c r="R335" s="417"/>
      <c r="S335" s="292" t="str">
        <f t="shared" si="35"/>
        <v/>
      </c>
      <c r="T335" s="292" t="s">
        <v>145</v>
      </c>
      <c r="U335" s="292" t="s">
        <v>3797</v>
      </c>
      <c r="V335" s="292" t="s">
        <v>20</v>
      </c>
      <c r="W335" s="418"/>
      <c r="X335" s="350"/>
      <c r="Y335" s="350"/>
      <c r="Z335" s="350"/>
      <c r="AA335" s="350"/>
      <c r="AB335" s="350"/>
      <c r="AC335" s="350"/>
      <c r="AD335" s="350"/>
      <c r="AE335" s="350"/>
      <c r="AF335" s="350"/>
      <c r="AG335" s="350"/>
      <c r="AH335" s="350"/>
      <c r="AI335" s="350"/>
      <c r="AJ335" s="350"/>
      <c r="AK335" s="339"/>
      <c r="AL335" s="339"/>
      <c r="AM335" s="339"/>
      <c r="AN335" s="339"/>
      <c r="AO335" s="339"/>
      <c r="AP335" s="339"/>
      <c r="AQ335" s="350"/>
      <c r="AR335" s="340">
        <v>60542.03</v>
      </c>
      <c r="AS335" s="339">
        <v>59852.3</v>
      </c>
      <c r="AT335" s="339">
        <v>57965.74</v>
      </c>
      <c r="AU335" s="339">
        <v>57258.44</v>
      </c>
      <c r="AV335" s="339">
        <v>55669.98</v>
      </c>
      <c r="AW335" s="339">
        <v>53045.04</v>
      </c>
      <c r="AX335" s="339">
        <v>52818.05</v>
      </c>
      <c r="AY335" s="339">
        <v>52872.73</v>
      </c>
      <c r="AZ335" s="339">
        <v>56187.18</v>
      </c>
      <c r="BA335" s="339">
        <v>56655.89</v>
      </c>
      <c r="BB335" s="339">
        <v>60093.62</v>
      </c>
      <c r="BC335" s="339"/>
      <c r="BD335" s="339">
        <v>57003.27</v>
      </c>
      <c r="BE335" s="339">
        <v>55103.46</v>
      </c>
      <c r="BF335" s="339">
        <v>57551</v>
      </c>
      <c r="BG335" s="339">
        <v>57857.503750000003</v>
      </c>
      <c r="BH335" s="339">
        <v>57454.6</v>
      </c>
      <c r="BI335" s="339">
        <v>61644.2</v>
      </c>
      <c r="BJ335" s="339">
        <v>60365.74</v>
      </c>
      <c r="BK335" s="339">
        <v>60031.65</v>
      </c>
      <c r="BL335" s="339">
        <v>61670.9</v>
      </c>
      <c r="BM335" s="339">
        <v>59245.23</v>
      </c>
      <c r="BN335" s="339">
        <v>18568.03</v>
      </c>
      <c r="BO335" s="339">
        <v>0</v>
      </c>
      <c r="BP335" s="339">
        <v>0</v>
      </c>
      <c r="BQ335" s="339">
        <v>0</v>
      </c>
      <c r="BR335" s="339">
        <v>0</v>
      </c>
      <c r="BS335" s="110" t="e">
        <f t="array" aca="1" ref="BS335" ca="1">_xludf.XLOOKUP(D335,'PL TOTAL D0'!N:N,'PL TOTAL D0'!P:P,"")</f>
        <v>#NAME?</v>
      </c>
      <c r="BT335" s="110"/>
    </row>
    <row r="336" spans="1:72" ht="15.75" customHeight="1">
      <c r="A336" s="122" t="s">
        <v>3785</v>
      </c>
      <c r="B336" s="104" t="s">
        <v>1872</v>
      </c>
      <c r="C336" s="122" t="s">
        <v>1870</v>
      </c>
      <c r="D336" s="422">
        <v>4924154</v>
      </c>
      <c r="E336" s="293" t="s">
        <v>19</v>
      </c>
      <c r="F336" s="293" t="s">
        <v>20</v>
      </c>
      <c r="G336" s="293" t="s">
        <v>21</v>
      </c>
      <c r="H336" s="293">
        <f>IFERROR(VLOOKUP(G336,'Cadastro de assessores'!A:B,2,FALSE),"Não Cadastrado")</f>
        <v>12344</v>
      </c>
      <c r="I336" s="293"/>
      <c r="J336" s="24" t="s">
        <v>152</v>
      </c>
      <c r="K336" s="293" t="s">
        <v>152</v>
      </c>
      <c r="L336" s="415">
        <v>44265</v>
      </c>
      <c r="M336" s="415">
        <v>44265</v>
      </c>
      <c r="N336" s="292"/>
      <c r="O336" s="292" t="s">
        <v>3802</v>
      </c>
      <c r="P336" s="388">
        <v>7.0000000000000001E-3</v>
      </c>
      <c r="Q336" s="420" t="s">
        <v>4822</v>
      </c>
      <c r="R336" s="417"/>
      <c r="S336" s="292" t="str">
        <f t="shared" si="35"/>
        <v>Não Qualificado</v>
      </c>
      <c r="T336" s="292" t="s">
        <v>145</v>
      </c>
      <c r="U336" s="292" t="s">
        <v>3797</v>
      </c>
      <c r="V336" s="292" t="s">
        <v>20</v>
      </c>
      <c r="W336" s="418"/>
      <c r="X336" s="418"/>
      <c r="Y336" s="418"/>
      <c r="Z336" s="418"/>
      <c r="AA336" s="418"/>
      <c r="AB336" s="418"/>
      <c r="AC336" s="418"/>
      <c r="AD336" s="418"/>
      <c r="AE336" s="418"/>
      <c r="AF336" s="418"/>
      <c r="AG336" s="418"/>
      <c r="AH336" s="418"/>
      <c r="AI336" s="418"/>
      <c r="AJ336" s="418"/>
      <c r="AK336" s="339"/>
      <c r="AL336" s="339"/>
      <c r="AM336" s="339"/>
      <c r="AN336" s="339" t="s">
        <v>3147</v>
      </c>
      <c r="AO336" s="339">
        <v>205953.3</v>
      </c>
      <c r="AP336" s="339">
        <v>456248.41</v>
      </c>
      <c r="AQ336" s="339">
        <v>454408.78</v>
      </c>
      <c r="AR336" s="339">
        <v>464742.7</v>
      </c>
      <c r="AS336" s="339">
        <v>462387.94</v>
      </c>
      <c r="AT336" s="339">
        <v>453138.04</v>
      </c>
      <c r="AU336" s="339">
        <v>450340.15</v>
      </c>
      <c r="AV336" s="339">
        <v>444220.23</v>
      </c>
      <c r="AW336" s="339">
        <v>430012.36</v>
      </c>
      <c r="AX336" s="339">
        <v>430130.71</v>
      </c>
      <c r="AY336" s="339">
        <v>639580.41</v>
      </c>
      <c r="AZ336" s="339">
        <v>649053.12</v>
      </c>
      <c r="BA336" s="339">
        <v>655845.78</v>
      </c>
      <c r="BB336" s="339">
        <v>667367.74</v>
      </c>
      <c r="BC336" s="339">
        <v>205028.31</v>
      </c>
      <c r="BD336" s="339">
        <v>677757.69</v>
      </c>
      <c r="BE336" s="339">
        <v>684294.89</v>
      </c>
      <c r="BF336" s="339">
        <v>689325.44</v>
      </c>
      <c r="BG336" s="339">
        <v>692045.38340000005</v>
      </c>
      <c r="BH336" s="339">
        <v>695614.45</v>
      </c>
      <c r="BI336" s="339">
        <v>700089.31</v>
      </c>
      <c r="BJ336" s="339">
        <v>705989.9</v>
      </c>
      <c r="BK336" s="339">
        <v>711561.15</v>
      </c>
      <c r="BL336" s="339">
        <v>719129.12</v>
      </c>
      <c r="BM336" s="339">
        <v>723866.31</v>
      </c>
      <c r="BN336" s="339">
        <v>49953.48</v>
      </c>
      <c r="BO336" s="339">
        <v>50333.8</v>
      </c>
      <c r="BP336" s="339">
        <v>50750.19</v>
      </c>
      <c r="BQ336" s="339">
        <v>51134.81</v>
      </c>
      <c r="BR336" s="339">
        <v>51619.49</v>
      </c>
      <c r="BS336" s="110" t="e">
        <f t="array" aca="1" ref="BS336" ca="1">_xludf.XLOOKUP(D336,'PL TOTAL D0'!N:N,'PL TOTAL D0'!P:P,"")</f>
        <v>#NAME?</v>
      </c>
      <c r="BT336" s="110"/>
    </row>
    <row r="337" spans="1:72" ht="15.75" customHeight="1">
      <c r="A337" s="122" t="s">
        <v>3785</v>
      </c>
      <c r="B337" s="104" t="s">
        <v>4823</v>
      </c>
      <c r="C337" s="390" t="s">
        <v>4824</v>
      </c>
      <c r="D337" s="299">
        <v>2580097</v>
      </c>
      <c r="E337" s="292" t="s">
        <v>19</v>
      </c>
      <c r="F337" s="292" t="s">
        <v>20</v>
      </c>
      <c r="G337" s="292" t="s">
        <v>3683</v>
      </c>
      <c r="H337" s="292" t="str">
        <f>IFERROR(VLOOKUP(G337,'Cadastro de assessores'!A:B,2,FALSE),"Não Cadastrado")</f>
        <v>18266</v>
      </c>
      <c r="I337" s="292"/>
      <c r="J337" s="24" t="s">
        <v>143</v>
      </c>
      <c r="K337" s="292" t="s">
        <v>3794</v>
      </c>
      <c r="L337" s="391">
        <v>44341</v>
      </c>
      <c r="M337" s="391">
        <v>44341</v>
      </c>
      <c r="N337" s="387">
        <v>44788</v>
      </c>
      <c r="O337" s="299" t="s">
        <v>4825</v>
      </c>
      <c r="P337" s="388">
        <v>2.5000000000000001E-2</v>
      </c>
      <c r="Q337" s="420" t="s">
        <v>4826</v>
      </c>
      <c r="R337" s="417"/>
      <c r="S337" s="292" t="str">
        <f t="shared" si="35"/>
        <v/>
      </c>
      <c r="T337" s="292" t="s">
        <v>145</v>
      </c>
      <c r="U337" s="292" t="s">
        <v>3797</v>
      </c>
      <c r="V337" s="292" t="s">
        <v>20</v>
      </c>
      <c r="W337" s="418"/>
      <c r="X337" s="350"/>
      <c r="Y337" s="350"/>
      <c r="Z337" s="350"/>
      <c r="AA337" s="350"/>
      <c r="AB337" s="350"/>
      <c r="AC337" s="350"/>
      <c r="AD337" s="350"/>
      <c r="AE337" s="350"/>
      <c r="AF337" s="350"/>
      <c r="AG337" s="350"/>
      <c r="AH337" s="350"/>
      <c r="AI337" s="350"/>
      <c r="AJ337" s="350"/>
      <c r="AK337" s="339"/>
      <c r="AL337" s="339"/>
      <c r="AM337" s="339"/>
      <c r="AN337" s="339"/>
      <c r="AO337" s="339"/>
      <c r="AP337" s="339"/>
      <c r="AQ337" s="350"/>
      <c r="AR337" s="340"/>
      <c r="AS337" s="339">
        <v>577652.22</v>
      </c>
      <c r="AT337" s="339">
        <v>575639.6</v>
      </c>
      <c r="AU337" s="339">
        <v>568694.87</v>
      </c>
      <c r="AV337" s="339">
        <v>560472.09</v>
      </c>
      <c r="AW337" s="339">
        <v>536502.81999999995</v>
      </c>
      <c r="AX337" s="339">
        <v>521307.3</v>
      </c>
      <c r="AY337" s="339">
        <v>542612.57999999996</v>
      </c>
      <c r="AZ337" s="339">
        <v>559074.34</v>
      </c>
      <c r="BA337" s="339">
        <v>563877.35</v>
      </c>
      <c r="BB337" s="339">
        <v>586788.44999999995</v>
      </c>
      <c r="BC337" s="339"/>
      <c r="BD337" s="339">
        <v>581428.85</v>
      </c>
      <c r="BE337" s="339">
        <v>567151.19999999995</v>
      </c>
      <c r="BF337" s="339">
        <v>589720.54</v>
      </c>
      <c r="BG337" s="339">
        <v>0</v>
      </c>
      <c r="BH337" s="339">
        <v>0</v>
      </c>
      <c r="BI337" s="339">
        <v>0</v>
      </c>
      <c r="BJ337" s="339">
        <v>0</v>
      </c>
      <c r="BK337" s="339">
        <v>0</v>
      </c>
      <c r="BL337" s="339">
        <v>0</v>
      </c>
      <c r="BM337" s="339">
        <v>0</v>
      </c>
      <c r="BN337" s="339">
        <v>0</v>
      </c>
      <c r="BO337" s="339">
        <v>0</v>
      </c>
      <c r="BP337" s="339">
        <v>0</v>
      </c>
      <c r="BQ337" s="339">
        <v>0</v>
      </c>
      <c r="BR337" s="339">
        <v>0</v>
      </c>
      <c r="BS337" s="110" t="e">
        <f t="array" aca="1" ref="BS337" ca="1">_xludf.XLOOKUP(D337,'PL TOTAL D0'!N:N,'PL TOTAL D0'!P:P,"")</f>
        <v>#NAME?</v>
      </c>
      <c r="BT337" s="110"/>
    </row>
    <row r="338" spans="1:72" ht="15.75" customHeight="1">
      <c r="A338" s="122" t="s">
        <v>3785</v>
      </c>
      <c r="B338" s="104" t="s">
        <v>4827</v>
      </c>
      <c r="C338" s="390" t="s">
        <v>4828</v>
      </c>
      <c r="D338" s="299">
        <v>6130739</v>
      </c>
      <c r="E338" s="292" t="s">
        <v>19</v>
      </c>
      <c r="F338" s="292" t="s">
        <v>49</v>
      </c>
      <c r="G338" s="299" t="s">
        <v>328</v>
      </c>
      <c r="H338" s="299" t="str">
        <f>IFERROR(VLOOKUP(G338,'Cadastro de assessores'!A:B,2,FALSE),"Não Cadastrado")</f>
        <v>18009</v>
      </c>
      <c r="I338" s="299"/>
      <c r="J338" s="24" t="s">
        <v>143</v>
      </c>
      <c r="K338" s="292" t="s">
        <v>3794</v>
      </c>
      <c r="L338" s="387">
        <v>44424</v>
      </c>
      <c r="M338" s="387">
        <v>44424</v>
      </c>
      <c r="N338" s="391">
        <v>44642</v>
      </c>
      <c r="O338" s="299" t="s">
        <v>4019</v>
      </c>
      <c r="P338" s="388">
        <v>0.02</v>
      </c>
      <c r="Q338" s="420" t="s">
        <v>4829</v>
      </c>
      <c r="R338" s="417"/>
      <c r="S338" s="292" t="str">
        <f t="shared" si="35"/>
        <v>Não Qualificado</v>
      </c>
      <c r="T338" s="292" t="s">
        <v>145</v>
      </c>
      <c r="U338" s="299" t="s">
        <v>3846</v>
      </c>
      <c r="V338" s="299" t="s">
        <v>46</v>
      </c>
      <c r="W338" s="350"/>
      <c r="X338" s="350"/>
      <c r="Y338" s="350"/>
      <c r="Z338" s="350"/>
      <c r="AA338" s="350"/>
      <c r="AB338" s="350"/>
      <c r="AC338" s="350"/>
      <c r="AD338" s="350"/>
      <c r="AE338" s="350"/>
      <c r="AF338" s="350"/>
      <c r="AG338" s="350"/>
      <c r="AH338" s="350"/>
      <c r="AI338" s="339"/>
      <c r="AJ338" s="339"/>
      <c r="AK338" s="339"/>
      <c r="AL338" s="339"/>
      <c r="AM338" s="339"/>
      <c r="AN338" s="339"/>
      <c r="AO338" s="339"/>
      <c r="AP338" s="339"/>
      <c r="AQ338" s="350"/>
      <c r="AR338" s="339"/>
      <c r="AS338" s="431"/>
      <c r="AT338" s="340"/>
      <c r="AU338" s="340">
        <v>58370.93</v>
      </c>
      <c r="AV338" s="339">
        <v>63281.05</v>
      </c>
      <c r="AW338" s="339">
        <v>60958.62</v>
      </c>
      <c r="AX338" s="339">
        <v>55399.79</v>
      </c>
      <c r="AY338" s="339">
        <v>57692.72</v>
      </c>
      <c r="AZ338" s="339">
        <v>59869.84</v>
      </c>
      <c r="BA338" s="339">
        <v>61564.78</v>
      </c>
      <c r="BB338" s="339">
        <v>0</v>
      </c>
      <c r="BC338" s="339">
        <v>146845.20000000001</v>
      </c>
      <c r="BD338" s="339" t="s">
        <v>2932</v>
      </c>
      <c r="BE338" s="339" t="s">
        <v>2932</v>
      </c>
      <c r="BF338" s="339">
        <v>0</v>
      </c>
      <c r="BG338" s="339">
        <v>0</v>
      </c>
      <c r="BH338" s="339">
        <v>0</v>
      </c>
      <c r="BI338" s="339">
        <v>0</v>
      </c>
      <c r="BJ338" s="339">
        <v>0</v>
      </c>
      <c r="BK338" s="339">
        <v>0</v>
      </c>
      <c r="BL338" s="339">
        <v>0</v>
      </c>
      <c r="BM338" s="339">
        <v>0</v>
      </c>
      <c r="BN338" s="339">
        <v>0</v>
      </c>
      <c r="BO338" s="339">
        <v>0</v>
      </c>
      <c r="BP338" s="339">
        <v>0</v>
      </c>
      <c r="BQ338" s="339">
        <v>0</v>
      </c>
      <c r="BR338" s="339">
        <v>0</v>
      </c>
      <c r="BS338" s="110" t="e">
        <f t="array" aca="1" ref="BS338" ca="1">_xludf.XLOOKUP(D338,'PL TOTAL D0'!N:N,'PL TOTAL D0'!P:P,"")</f>
        <v>#NAME?</v>
      </c>
      <c r="BT338" s="110"/>
    </row>
    <row r="339" spans="1:72" ht="15.75" customHeight="1">
      <c r="A339" s="122" t="s">
        <v>3785</v>
      </c>
      <c r="B339" s="104" t="s">
        <v>1889</v>
      </c>
      <c r="C339" s="390" t="s">
        <v>1887</v>
      </c>
      <c r="D339" s="299">
        <v>511539</v>
      </c>
      <c r="E339" s="293" t="s">
        <v>19</v>
      </c>
      <c r="F339" s="293" t="s">
        <v>49</v>
      </c>
      <c r="G339" s="293" t="s">
        <v>328</v>
      </c>
      <c r="H339" s="293" t="str">
        <f>IFERROR(VLOOKUP(G339,'Cadastro de assessores'!A:B,2,FALSE),"Não Cadastrado")</f>
        <v>18009</v>
      </c>
      <c r="I339" s="293"/>
      <c r="J339" s="24" t="s">
        <v>3788</v>
      </c>
      <c r="K339" s="293" t="s">
        <v>152</v>
      </c>
      <c r="L339" s="415">
        <v>44368</v>
      </c>
      <c r="M339" s="415">
        <v>44379</v>
      </c>
      <c r="N339" s="299"/>
      <c r="O339" s="299" t="s">
        <v>3978</v>
      </c>
      <c r="P339" s="388">
        <v>0.02</v>
      </c>
      <c r="Q339" s="420" t="s">
        <v>4830</v>
      </c>
      <c r="R339" s="417"/>
      <c r="S339" s="292" t="str">
        <f t="shared" si="35"/>
        <v>Não Qualificado</v>
      </c>
      <c r="T339" s="292" t="s">
        <v>145</v>
      </c>
      <c r="U339" s="299" t="s">
        <v>3846</v>
      </c>
      <c r="V339" s="299" t="s">
        <v>46</v>
      </c>
      <c r="W339" s="350"/>
      <c r="X339" s="350"/>
      <c r="Y339" s="350"/>
      <c r="Z339" s="350"/>
      <c r="AA339" s="350"/>
      <c r="AB339" s="350"/>
      <c r="AC339" s="350"/>
      <c r="AD339" s="350"/>
      <c r="AE339" s="350"/>
      <c r="AF339" s="350"/>
      <c r="AG339" s="350"/>
      <c r="AH339" s="350"/>
      <c r="AI339" s="350"/>
      <c r="AJ339" s="339"/>
      <c r="AK339" s="339"/>
      <c r="AL339" s="339"/>
      <c r="AM339" s="339"/>
      <c r="AN339" s="339"/>
      <c r="AO339" s="339"/>
      <c r="AP339" s="339"/>
      <c r="AQ339" s="339"/>
      <c r="AR339" s="350"/>
      <c r="AS339" s="339">
        <v>219293.09</v>
      </c>
      <c r="AT339" s="339">
        <v>323991.89</v>
      </c>
      <c r="AU339" s="339">
        <v>324379.8</v>
      </c>
      <c r="AV339" s="339">
        <v>302822.08</v>
      </c>
      <c r="AW339" s="339">
        <v>280057.33</v>
      </c>
      <c r="AX339" s="339">
        <v>280203.68</v>
      </c>
      <c r="AY339" s="339">
        <v>298775.28999999998</v>
      </c>
      <c r="AZ339" s="339">
        <v>313786.7</v>
      </c>
      <c r="BA339" s="339">
        <v>300363.98</v>
      </c>
      <c r="BB339" s="339">
        <v>229960.55</v>
      </c>
      <c r="BC339" s="339">
        <v>510153.46</v>
      </c>
      <c r="BD339" s="339">
        <v>173094.36</v>
      </c>
      <c r="BE339" s="339">
        <v>173489.34</v>
      </c>
      <c r="BF339" s="339">
        <v>169590.33</v>
      </c>
      <c r="BG339" s="339">
        <v>174099.97959999999</v>
      </c>
      <c r="BH339" s="339">
        <v>173274.89</v>
      </c>
      <c r="BI339" s="339">
        <v>187390.69</v>
      </c>
      <c r="BJ339" s="339">
        <v>185400.78</v>
      </c>
      <c r="BK339" s="339">
        <v>187647.31</v>
      </c>
      <c r="BL339" s="339">
        <v>190456.27</v>
      </c>
      <c r="BM339" s="339">
        <v>56607.46</v>
      </c>
      <c r="BN339" s="339">
        <v>144933.72</v>
      </c>
      <c r="BO339" s="339">
        <v>273767.52</v>
      </c>
      <c r="BP339" s="339">
        <v>304981.88</v>
      </c>
      <c r="BQ339" s="339">
        <v>313360.17</v>
      </c>
      <c r="BR339" s="339">
        <v>335727.37</v>
      </c>
      <c r="BS339" s="110" t="e">
        <f t="array" aca="1" ref="BS339" ca="1">_xludf.XLOOKUP(D339,'PL TOTAL D0'!N:N,'PL TOTAL D0'!P:P,"")</f>
        <v>#NAME?</v>
      </c>
      <c r="BT339" s="110"/>
    </row>
    <row r="340" spans="1:72" ht="15.75" customHeight="1">
      <c r="A340" s="122" t="s">
        <v>3785</v>
      </c>
      <c r="B340" s="104" t="s">
        <v>4831</v>
      </c>
      <c r="C340" s="122" t="s">
        <v>4832</v>
      </c>
      <c r="D340" s="292">
        <v>4687018</v>
      </c>
      <c r="E340" s="292" t="s">
        <v>64</v>
      </c>
      <c r="F340" s="292" t="s">
        <v>20</v>
      </c>
      <c r="G340" s="292" t="s">
        <v>4833</v>
      </c>
      <c r="H340" s="292" t="str">
        <f>IFERROR(VLOOKUP(G340,'Cadastro de assessores'!A:B,2,FALSE),"Não Cadastrado")</f>
        <v>1153</v>
      </c>
      <c r="I340" s="292"/>
      <c r="J340" s="24" t="s">
        <v>143</v>
      </c>
      <c r="K340" s="292" t="s">
        <v>3794</v>
      </c>
      <c r="L340" s="387">
        <v>44225</v>
      </c>
      <c r="M340" s="387">
        <v>44225</v>
      </c>
      <c r="N340" s="387">
        <v>44627</v>
      </c>
      <c r="O340" s="292" t="s">
        <v>3809</v>
      </c>
      <c r="P340" s="388">
        <v>2.5000000000000001E-2</v>
      </c>
      <c r="Q340" s="420" t="s">
        <v>4834</v>
      </c>
      <c r="R340" s="417"/>
      <c r="S340" s="292" t="str">
        <f t="shared" si="35"/>
        <v>Não Qualificado</v>
      </c>
      <c r="T340" s="292" t="s">
        <v>145</v>
      </c>
      <c r="U340" s="292" t="s">
        <v>3811</v>
      </c>
      <c r="V340" s="292" t="s">
        <v>20</v>
      </c>
      <c r="W340" s="418"/>
      <c r="X340" s="418"/>
      <c r="Y340" s="418"/>
      <c r="Z340" s="418"/>
      <c r="AA340" s="418"/>
      <c r="AB340" s="418"/>
      <c r="AC340" s="418"/>
      <c r="AD340" s="418"/>
      <c r="AE340" s="418"/>
      <c r="AF340" s="418"/>
      <c r="AG340" s="418"/>
      <c r="AH340" s="418"/>
      <c r="AI340" s="418"/>
      <c r="AJ340" s="418"/>
      <c r="AK340" s="339"/>
      <c r="AL340" s="339">
        <v>100000</v>
      </c>
      <c r="AM340" s="339">
        <v>91602.81</v>
      </c>
      <c r="AN340" s="339">
        <v>91781.65</v>
      </c>
      <c r="AO340" s="339">
        <v>98550.31</v>
      </c>
      <c r="AP340" s="339">
        <v>99915.38</v>
      </c>
      <c r="AQ340" s="339">
        <v>98882.91</v>
      </c>
      <c r="AR340" s="339">
        <v>104542.83</v>
      </c>
      <c r="AS340" s="339">
        <v>102105.65</v>
      </c>
      <c r="AT340" s="339">
        <v>96664.69</v>
      </c>
      <c r="AU340" s="339">
        <v>94607.91</v>
      </c>
      <c r="AV340" s="339">
        <v>89003.16</v>
      </c>
      <c r="AW340" s="339">
        <v>82348.38</v>
      </c>
      <c r="AX340" s="339">
        <v>81517.850000000006</v>
      </c>
      <c r="AY340" s="339">
        <v>83123.070000000007</v>
      </c>
      <c r="AZ340" s="339">
        <v>88260.56</v>
      </c>
      <c r="BA340" s="339">
        <v>89433.03</v>
      </c>
      <c r="BB340" s="339">
        <v>0</v>
      </c>
      <c r="BC340" s="339">
        <v>668697.21</v>
      </c>
      <c r="BD340" s="339" t="s">
        <v>2932</v>
      </c>
      <c r="BE340" s="339" t="s">
        <v>2932</v>
      </c>
      <c r="BF340" s="339">
        <v>0</v>
      </c>
      <c r="BG340" s="339">
        <v>0</v>
      </c>
      <c r="BH340" s="339">
        <v>0</v>
      </c>
      <c r="BI340" s="339">
        <v>0</v>
      </c>
      <c r="BJ340" s="339">
        <v>0</v>
      </c>
      <c r="BK340" s="339">
        <v>0</v>
      </c>
      <c r="BL340" s="339">
        <v>0</v>
      </c>
      <c r="BM340" s="339">
        <v>0</v>
      </c>
      <c r="BN340" s="339">
        <v>0</v>
      </c>
      <c r="BO340" s="339">
        <v>0</v>
      </c>
      <c r="BP340" s="339">
        <v>0</v>
      </c>
      <c r="BQ340" s="339">
        <v>0</v>
      </c>
      <c r="BR340" s="339">
        <v>0</v>
      </c>
      <c r="BS340" s="110" t="e">
        <f t="array" aca="1" ref="BS340" ca="1">_xludf.XLOOKUP(D340,'PL TOTAL D0'!N:N,'PL TOTAL D0'!P:P,"")</f>
        <v>#NAME?</v>
      </c>
      <c r="BT340" s="110"/>
    </row>
    <row r="341" spans="1:72" ht="15.75" customHeight="1">
      <c r="A341" s="122" t="s">
        <v>3785</v>
      </c>
      <c r="B341" s="104" t="s">
        <v>4835</v>
      </c>
      <c r="C341" s="122" t="s">
        <v>4836</v>
      </c>
      <c r="D341" s="292">
        <v>4637696</v>
      </c>
      <c r="E341" s="293" t="s">
        <v>19</v>
      </c>
      <c r="F341" s="293" t="s">
        <v>20</v>
      </c>
      <c r="G341" s="293" t="s">
        <v>2512</v>
      </c>
      <c r="H341" s="293" t="str">
        <f>IFERROR(VLOOKUP(G341,'Cadastro de assessores'!A:B,2,FALSE),"Não Cadastrado")</f>
        <v>18256</v>
      </c>
      <c r="I341" s="293"/>
      <c r="J341" s="24" t="s">
        <v>3788</v>
      </c>
      <c r="K341" s="293" t="s">
        <v>152</v>
      </c>
      <c r="L341" s="415">
        <v>44249</v>
      </c>
      <c r="M341" s="415">
        <v>44249</v>
      </c>
      <c r="N341" s="292"/>
      <c r="O341" s="292" t="s">
        <v>3795</v>
      </c>
      <c r="P341" s="388">
        <v>1.4999999999999999E-2</v>
      </c>
      <c r="Q341" s="420"/>
      <c r="R341" s="417"/>
      <c r="S341" s="292" t="str">
        <f t="shared" si="35"/>
        <v>Não Qualificado</v>
      </c>
      <c r="T341" s="292" t="s">
        <v>145</v>
      </c>
      <c r="U341" s="292" t="s">
        <v>3797</v>
      </c>
      <c r="V341" s="292" t="s">
        <v>20</v>
      </c>
      <c r="W341" s="418" t="s">
        <v>3798</v>
      </c>
      <c r="X341" s="418" t="s">
        <v>3798</v>
      </c>
      <c r="Y341" s="418" t="s">
        <v>3798</v>
      </c>
      <c r="Z341" s="418" t="s">
        <v>3798</v>
      </c>
      <c r="AA341" s="418" t="s">
        <v>3798</v>
      </c>
      <c r="AB341" s="418" t="s">
        <v>3798</v>
      </c>
      <c r="AC341" s="418" t="s">
        <v>3798</v>
      </c>
      <c r="AD341" s="418" t="s">
        <v>3798</v>
      </c>
      <c r="AE341" s="418" t="s">
        <v>3798</v>
      </c>
      <c r="AF341" s="418" t="s">
        <v>3798</v>
      </c>
      <c r="AG341" s="418" t="s">
        <v>3798</v>
      </c>
      <c r="AH341" s="418" t="s">
        <v>3798</v>
      </c>
      <c r="AI341" s="418" t="s">
        <v>3798</v>
      </c>
      <c r="AJ341" s="418" t="s">
        <v>3798</v>
      </c>
      <c r="AK341" s="339" t="s">
        <v>3147</v>
      </c>
      <c r="AL341" s="339"/>
      <c r="AM341" s="339">
        <v>49451.99</v>
      </c>
      <c r="AN341" s="468">
        <v>75248.009999999995</v>
      </c>
      <c r="AO341" s="468">
        <v>78717.960000000006</v>
      </c>
      <c r="AP341" s="339">
        <v>79160.38</v>
      </c>
      <c r="AQ341" s="339">
        <v>78833.649999999994</v>
      </c>
      <c r="AR341" s="339">
        <v>80682.09</v>
      </c>
      <c r="AS341" s="339">
        <v>80278.39</v>
      </c>
      <c r="AT341" s="339">
        <v>78284.75</v>
      </c>
      <c r="AU341" s="339">
        <v>77617.91</v>
      </c>
      <c r="AV341" s="339">
        <v>75855.05</v>
      </c>
      <c r="AW341" s="339">
        <v>73112.98</v>
      </c>
      <c r="AX341" s="339">
        <v>73294.37</v>
      </c>
      <c r="AY341" s="339">
        <v>74032.06</v>
      </c>
      <c r="AZ341" s="339">
        <v>75932.62</v>
      </c>
      <c r="BA341" s="339">
        <v>76605.95</v>
      </c>
      <c r="BB341" s="339">
        <v>74292.56</v>
      </c>
      <c r="BC341" s="339">
        <v>122586.49</v>
      </c>
      <c r="BD341" s="339">
        <v>78639.990000000005</v>
      </c>
      <c r="BE341" s="339">
        <v>78399.95</v>
      </c>
      <c r="BF341" s="339">
        <v>79430.77</v>
      </c>
      <c r="BG341" s="339">
        <v>79736.027749999994</v>
      </c>
      <c r="BH341" s="339">
        <v>80278.92</v>
      </c>
      <c r="BI341" s="339">
        <v>83171.17</v>
      </c>
      <c r="BJ341" s="339">
        <v>82709.7</v>
      </c>
      <c r="BK341" s="339">
        <v>83389.41</v>
      </c>
      <c r="BL341" s="339">
        <v>84332.43</v>
      </c>
      <c r="BM341" s="339">
        <v>84962.65</v>
      </c>
      <c r="BN341" s="339">
        <v>85859.23</v>
      </c>
      <c r="BO341" s="339">
        <v>86675.12</v>
      </c>
      <c r="BP341" s="339">
        <v>87061.07</v>
      </c>
      <c r="BQ341" s="339">
        <v>87691.38</v>
      </c>
      <c r="BR341" s="339">
        <v>88568.73</v>
      </c>
      <c r="BS341" s="110" t="e">
        <f t="array" aca="1" ref="BS341" ca="1">_xludf.XLOOKUP(D341,'PL TOTAL D0'!N:N,'PL TOTAL D0'!P:P,"")</f>
        <v>#NAME?</v>
      </c>
      <c r="BT341" s="110"/>
    </row>
    <row r="342" spans="1:72" ht="15.75" customHeight="1">
      <c r="A342" s="122" t="s">
        <v>3785</v>
      </c>
      <c r="B342" s="104" t="s">
        <v>4837</v>
      </c>
      <c r="C342" s="122" t="s">
        <v>4838</v>
      </c>
      <c r="D342" s="292">
        <v>4644940</v>
      </c>
      <c r="E342" s="293" t="s">
        <v>2923</v>
      </c>
      <c r="F342" s="293" t="s">
        <v>20</v>
      </c>
      <c r="G342" s="293" t="s">
        <v>2923</v>
      </c>
      <c r="H342" s="293" t="str">
        <f>IFERROR(VLOOKUP(G342,'Cadastro de assessores'!A:B,2,FALSE),"Não Cadastrado")</f>
        <v>18986</v>
      </c>
      <c r="I342" s="293"/>
      <c r="J342" s="24" t="s">
        <v>3788</v>
      </c>
      <c r="K342" s="293" t="s">
        <v>152</v>
      </c>
      <c r="L342" s="416">
        <v>44186</v>
      </c>
      <c r="M342" s="416">
        <v>44195</v>
      </c>
      <c r="N342" s="292"/>
      <c r="O342" s="292" t="s">
        <v>3805</v>
      </c>
      <c r="P342" s="388">
        <v>1.2E-2</v>
      </c>
      <c r="Q342" s="420"/>
      <c r="R342" s="417"/>
      <c r="S342" s="292" t="str">
        <f t="shared" si="35"/>
        <v>Não Qualificado</v>
      </c>
      <c r="T342" s="292" t="s">
        <v>145</v>
      </c>
      <c r="U342" s="292" t="s">
        <v>3816</v>
      </c>
      <c r="V342" s="292" t="s">
        <v>20</v>
      </c>
      <c r="W342" s="418" t="s">
        <v>3798</v>
      </c>
      <c r="X342" s="418" t="s">
        <v>3798</v>
      </c>
      <c r="Y342" s="418" t="s">
        <v>3798</v>
      </c>
      <c r="Z342" s="418" t="s">
        <v>3798</v>
      </c>
      <c r="AA342" s="418" t="s">
        <v>3798</v>
      </c>
      <c r="AB342" s="418" t="s">
        <v>3798</v>
      </c>
      <c r="AC342" s="418" t="s">
        <v>3798</v>
      </c>
      <c r="AD342" s="418" t="s">
        <v>3798</v>
      </c>
      <c r="AE342" s="418" t="s">
        <v>3798</v>
      </c>
      <c r="AF342" s="418" t="s">
        <v>3798</v>
      </c>
      <c r="AG342" s="418" t="s">
        <v>3798</v>
      </c>
      <c r="AH342" s="418" t="s">
        <v>3798</v>
      </c>
      <c r="AI342" s="418" t="s">
        <v>3798</v>
      </c>
      <c r="AJ342" s="418" t="s">
        <v>3798</v>
      </c>
      <c r="AK342" s="339">
        <v>219924.3</v>
      </c>
      <c r="AL342" s="339">
        <v>218648.6</v>
      </c>
      <c r="AM342" s="339">
        <v>215302.17</v>
      </c>
      <c r="AN342" s="468">
        <v>215535.41</v>
      </c>
      <c r="AO342" s="468">
        <v>218476.43</v>
      </c>
      <c r="AP342" s="339">
        <v>219212.25</v>
      </c>
      <c r="AQ342" s="339">
        <v>218800.15</v>
      </c>
      <c r="AR342" s="339">
        <v>220297.73</v>
      </c>
      <c r="AS342" s="339">
        <v>219623.1</v>
      </c>
      <c r="AT342" s="339">
        <v>217750.94</v>
      </c>
      <c r="AU342" s="339">
        <v>16405.689999999999</v>
      </c>
      <c r="AV342" s="339">
        <v>15050.99</v>
      </c>
      <c r="AW342" s="339">
        <v>14244.51</v>
      </c>
      <c r="AX342" s="339">
        <v>13938.25</v>
      </c>
      <c r="AY342" s="339">
        <v>14065.4</v>
      </c>
      <c r="AZ342" s="339">
        <v>14699.1</v>
      </c>
      <c r="BA342" s="339">
        <v>14346.95</v>
      </c>
      <c r="BB342" s="339">
        <v>15267.34</v>
      </c>
      <c r="BC342" s="339">
        <v>131747.56</v>
      </c>
      <c r="BD342" s="339">
        <v>14444.03</v>
      </c>
      <c r="BE342" s="339">
        <v>14139.94</v>
      </c>
      <c r="BF342" s="339">
        <v>14523.45</v>
      </c>
      <c r="BG342" s="339">
        <v>14565.87</v>
      </c>
      <c r="BH342" s="339">
        <v>14454.44</v>
      </c>
      <c r="BI342" s="339">
        <v>15350.47</v>
      </c>
      <c r="BJ342" s="339">
        <v>15075.8</v>
      </c>
      <c r="BK342" s="339">
        <v>20</v>
      </c>
      <c r="BL342" s="339">
        <v>41.88</v>
      </c>
      <c r="BM342" s="339">
        <v>41.88</v>
      </c>
      <c r="BN342" s="339">
        <v>41.89</v>
      </c>
      <c r="BO342" s="339">
        <v>41.89</v>
      </c>
      <c r="BP342" s="339">
        <v>41.89</v>
      </c>
      <c r="BQ342" s="339">
        <v>41.89</v>
      </c>
      <c r="BR342" s="339">
        <v>41.89</v>
      </c>
      <c r="BS342" s="110" t="e">
        <f t="array" aca="1" ref="BS342" ca="1">_xludf.XLOOKUP(D342,'PL TOTAL D0'!N:N,'PL TOTAL D0'!P:P,"")</f>
        <v>#NAME?</v>
      </c>
      <c r="BT342" s="110"/>
    </row>
    <row r="343" spans="1:72" ht="15.75" customHeight="1">
      <c r="A343" s="122" t="s">
        <v>3785</v>
      </c>
      <c r="B343" s="104" t="s">
        <v>4839</v>
      </c>
      <c r="C343" s="441" t="s">
        <v>1897</v>
      </c>
      <c r="D343" s="422">
        <v>4358218</v>
      </c>
      <c r="E343" s="293" t="s">
        <v>19</v>
      </c>
      <c r="F343" s="293" t="s">
        <v>20</v>
      </c>
      <c r="G343" s="293" t="s">
        <v>21</v>
      </c>
      <c r="H343" s="293">
        <f>IFERROR(VLOOKUP(G343,'Cadastro de assessores'!A:B,2,FALSE),"Não Cadastrado")</f>
        <v>12344</v>
      </c>
      <c r="I343" s="293"/>
      <c r="J343" s="24" t="s">
        <v>3788</v>
      </c>
      <c r="K343" s="293" t="s">
        <v>152</v>
      </c>
      <c r="L343" s="423">
        <v>44782</v>
      </c>
      <c r="M343" s="423">
        <v>44774</v>
      </c>
      <c r="N343" s="299"/>
      <c r="O343" s="299" t="s">
        <v>3802</v>
      </c>
      <c r="P343" s="388">
        <v>7.0000000000000001E-3</v>
      </c>
      <c r="Q343" s="420" t="s">
        <v>3802</v>
      </c>
      <c r="R343" s="417"/>
      <c r="S343" s="292"/>
      <c r="T343" s="292" t="s">
        <v>145</v>
      </c>
      <c r="U343" s="292" t="s">
        <v>3797</v>
      </c>
      <c r="V343" s="292" t="s">
        <v>20</v>
      </c>
      <c r="W343" s="418"/>
      <c r="X343" s="418"/>
      <c r="Y343" s="418"/>
      <c r="Z343" s="418"/>
      <c r="AA343" s="418"/>
      <c r="AB343" s="418"/>
      <c r="AC343" s="418"/>
      <c r="AD343" s="418"/>
      <c r="AE343" s="418"/>
      <c r="AF343" s="418"/>
      <c r="AG343" s="418"/>
      <c r="AH343" s="418"/>
      <c r="AI343" s="418"/>
      <c r="AJ343" s="418"/>
      <c r="AK343" s="339"/>
      <c r="AL343" s="339"/>
      <c r="AM343" s="339"/>
      <c r="AN343" s="468"/>
      <c r="AO343" s="468"/>
      <c r="AP343" s="339"/>
      <c r="AQ343" s="339"/>
      <c r="AR343" s="339"/>
      <c r="AS343" s="339"/>
      <c r="AT343" s="339"/>
      <c r="AU343" s="339"/>
      <c r="AV343" s="339"/>
      <c r="AW343" s="339"/>
      <c r="AX343" s="339"/>
      <c r="AY343" s="339"/>
      <c r="AZ343" s="339"/>
      <c r="BA343" s="339"/>
      <c r="BB343" s="339"/>
      <c r="BC343" s="339"/>
      <c r="BD343" s="339"/>
      <c r="BE343" s="339">
        <v>107140.46</v>
      </c>
      <c r="BF343" s="339">
        <v>107928.65</v>
      </c>
      <c r="BG343" s="339">
        <v>109258.94379999999</v>
      </c>
      <c r="BH343" s="339">
        <v>108363.94</v>
      </c>
      <c r="BI343" s="339">
        <v>109430.78</v>
      </c>
      <c r="BJ343" s="339">
        <v>110426.31</v>
      </c>
      <c r="BK343" s="339">
        <v>111432.62</v>
      </c>
      <c r="BL343" s="339">
        <v>112653.58</v>
      </c>
      <c r="BM343" s="339">
        <v>113563.18</v>
      </c>
      <c r="BN343" s="339">
        <v>54935.96</v>
      </c>
      <c r="BO343" s="339">
        <v>0</v>
      </c>
      <c r="BP343" s="339">
        <v>0</v>
      </c>
      <c r="BQ343" s="339">
        <v>0</v>
      </c>
      <c r="BR343" s="339">
        <v>0</v>
      </c>
      <c r="BS343" s="110" t="e">
        <f t="array" aca="1" ref="BS343" ca="1">_xludf.XLOOKUP(D343,'PL TOTAL D0'!N:N,'PL TOTAL D0'!P:P,"")</f>
        <v>#NAME?</v>
      </c>
      <c r="BT343" s="110"/>
    </row>
    <row r="344" spans="1:72" ht="15.75" customHeight="1">
      <c r="A344" s="122" t="s">
        <v>3785</v>
      </c>
      <c r="B344" s="104" t="s">
        <v>1903</v>
      </c>
      <c r="C344" s="441" t="s">
        <v>1901</v>
      </c>
      <c r="D344" s="422">
        <v>7998263</v>
      </c>
      <c r="E344" s="293" t="s">
        <v>19</v>
      </c>
      <c r="F344" s="293" t="s">
        <v>49</v>
      </c>
      <c r="G344" s="293" t="s">
        <v>50</v>
      </c>
      <c r="H344" s="293">
        <f>IFERROR(VLOOKUP(G344,'Cadastro de assessores'!A:B,2,FALSE),"Não Cadastrado")</f>
        <v>12331</v>
      </c>
      <c r="I344" s="293"/>
      <c r="J344" s="24" t="s">
        <v>3788</v>
      </c>
      <c r="K344" s="293" t="s">
        <v>152</v>
      </c>
      <c r="L344" s="423">
        <v>44615</v>
      </c>
      <c r="M344" s="423">
        <v>44623</v>
      </c>
      <c r="N344" s="299"/>
      <c r="O344" s="299" t="s">
        <v>3802</v>
      </c>
      <c r="P344" s="388">
        <v>7.0000000000000001E-3</v>
      </c>
      <c r="Q344" s="420" t="s">
        <v>4840</v>
      </c>
      <c r="R344" s="417"/>
      <c r="S344" s="292" t="str">
        <f t="shared" ref="S344:S356" si="36">IF(BC344&lt;=0,"",IF(BC344&lt;=1000000,"Não Qualificado",IF(AND(BC344&gt;1000000,BC344&lt;=10000000),"Qualificado","Profissional")))</f>
        <v>Não Qualificado</v>
      </c>
      <c r="T344" s="292" t="s">
        <v>145</v>
      </c>
      <c r="U344" s="292" t="s">
        <v>4077</v>
      </c>
      <c r="V344" s="292" t="s">
        <v>49</v>
      </c>
      <c r="W344" s="418"/>
      <c r="X344" s="418"/>
      <c r="Y344" s="418"/>
      <c r="Z344" s="418"/>
      <c r="AA344" s="418"/>
      <c r="AB344" s="418"/>
      <c r="AC344" s="418"/>
      <c r="AD344" s="418"/>
      <c r="AE344" s="418"/>
      <c r="AF344" s="418"/>
      <c r="AG344" s="418"/>
      <c r="AH344" s="418"/>
      <c r="AI344" s="418"/>
      <c r="AJ344" s="418"/>
      <c r="AK344" s="339"/>
      <c r="AL344" s="339"/>
      <c r="AM344" s="339"/>
      <c r="AN344" s="468"/>
      <c r="AO344" s="468"/>
      <c r="AP344" s="339"/>
      <c r="AQ344" s="339"/>
      <c r="AR344" s="339"/>
      <c r="AS344" s="339"/>
      <c r="AT344" s="339"/>
      <c r="AU344" s="339"/>
      <c r="AV344" s="339"/>
      <c r="AW344" s="339"/>
      <c r="AX344" s="339"/>
      <c r="AY344" s="339"/>
      <c r="AZ344" s="339"/>
      <c r="BA344" s="339"/>
      <c r="BB344" s="339">
        <v>121675.07</v>
      </c>
      <c r="BC344" s="339">
        <v>507136.02</v>
      </c>
      <c r="BD344" s="339">
        <v>123814.09</v>
      </c>
      <c r="BE344" s="339">
        <v>124514.67</v>
      </c>
      <c r="BF344" s="339">
        <v>124935.9</v>
      </c>
      <c r="BG344" s="339">
        <v>141745.80530000001</v>
      </c>
      <c r="BH344" s="339">
        <v>142806.16</v>
      </c>
      <c r="BI344" s="339">
        <v>143997.01</v>
      </c>
      <c r="BJ344" s="339">
        <v>144033.93</v>
      </c>
      <c r="BK344" s="339">
        <v>145564.70000000001</v>
      </c>
      <c r="BL344" s="339">
        <v>162873.70000000001</v>
      </c>
      <c r="BM344" s="339">
        <v>149002.39000000001</v>
      </c>
      <c r="BN344" s="339">
        <v>0</v>
      </c>
      <c r="BO344" s="339">
        <v>0</v>
      </c>
      <c r="BP344" s="339">
        <v>0</v>
      </c>
      <c r="BQ344" s="339">
        <v>0</v>
      </c>
      <c r="BR344" s="339">
        <v>0</v>
      </c>
      <c r="BS344" s="110" t="e">
        <f t="array" aca="1" ref="BS344" ca="1">_xludf.XLOOKUP(D344,'PL TOTAL D0'!N:N,'PL TOTAL D0'!P:P,"")</f>
        <v>#NAME?</v>
      </c>
      <c r="BT344" s="110"/>
    </row>
    <row r="345" spans="1:72" ht="15.75" customHeight="1">
      <c r="A345" s="122" t="s">
        <v>3785</v>
      </c>
      <c r="B345" s="104" t="s">
        <v>4841</v>
      </c>
      <c r="C345" s="122" t="s">
        <v>4842</v>
      </c>
      <c r="D345" s="292">
        <v>4697028</v>
      </c>
      <c r="E345" s="293" t="s">
        <v>64</v>
      </c>
      <c r="F345" s="293" t="s">
        <v>20</v>
      </c>
      <c r="G345" s="293" t="s">
        <v>4104</v>
      </c>
      <c r="H345" s="293" t="str">
        <f>IFERROR(VLOOKUP(G345,'Cadastro de assessores'!A:B,2,FALSE),"Não Cadastrado")</f>
        <v>19157</v>
      </c>
      <c r="I345" s="293"/>
      <c r="J345" s="24" t="s">
        <v>143</v>
      </c>
      <c r="K345" s="293" t="s">
        <v>152</v>
      </c>
      <c r="L345" s="416">
        <v>44189</v>
      </c>
      <c r="M345" s="416">
        <v>44195</v>
      </c>
      <c r="N345" s="292"/>
      <c r="O345" s="292" t="s">
        <v>3789</v>
      </c>
      <c r="P345" s="388">
        <v>0.02</v>
      </c>
      <c r="Q345" s="420"/>
      <c r="R345" s="417"/>
      <c r="S345" s="292" t="str">
        <f t="shared" si="36"/>
        <v/>
      </c>
      <c r="T345" s="292" t="s">
        <v>145</v>
      </c>
      <c r="U345" s="292" t="s">
        <v>4209</v>
      </c>
      <c r="V345" s="292" t="s">
        <v>20</v>
      </c>
      <c r="W345" s="418" t="s">
        <v>3798</v>
      </c>
      <c r="X345" s="418" t="s">
        <v>3798</v>
      </c>
      <c r="Y345" s="418" t="s">
        <v>3798</v>
      </c>
      <c r="Z345" s="418" t="s">
        <v>3798</v>
      </c>
      <c r="AA345" s="418" t="s">
        <v>3798</v>
      </c>
      <c r="AB345" s="418" t="s">
        <v>3798</v>
      </c>
      <c r="AC345" s="418" t="s">
        <v>3798</v>
      </c>
      <c r="AD345" s="418" t="s">
        <v>3798</v>
      </c>
      <c r="AE345" s="418" t="s">
        <v>3798</v>
      </c>
      <c r="AF345" s="418" t="s">
        <v>3798</v>
      </c>
      <c r="AG345" s="418" t="s">
        <v>3798</v>
      </c>
      <c r="AH345" s="418" t="s">
        <v>3798</v>
      </c>
      <c r="AI345" s="418" t="s">
        <v>3798</v>
      </c>
      <c r="AJ345" s="418" t="s">
        <v>3798</v>
      </c>
      <c r="AK345" s="339">
        <v>203913.24</v>
      </c>
      <c r="AL345" s="339">
        <v>198367.63</v>
      </c>
      <c r="AM345" s="339">
        <v>190710.34</v>
      </c>
      <c r="AN345" s="468">
        <v>190901.3</v>
      </c>
      <c r="AO345" s="468">
        <v>198964.46</v>
      </c>
      <c r="AP345" s="339">
        <v>200620.27</v>
      </c>
      <c r="AQ345" s="339">
        <v>199374.07999999999</v>
      </c>
      <c r="AR345" s="339">
        <v>206282.08</v>
      </c>
      <c r="AS345" s="339">
        <v>203701.2</v>
      </c>
      <c r="AT345" s="339">
        <v>197116.9</v>
      </c>
      <c r="AU345" s="339">
        <v>194862.89</v>
      </c>
      <c r="AV345" s="339">
        <v>163898.1</v>
      </c>
      <c r="AW345" s="339">
        <v>154877.21</v>
      </c>
      <c r="AX345" s="339">
        <v>141420.73000000001</v>
      </c>
      <c r="AY345" s="339">
        <v>95039.49</v>
      </c>
      <c r="AZ345" s="339">
        <v>99776.19</v>
      </c>
      <c r="BA345" s="339">
        <v>96054.1</v>
      </c>
      <c r="BB345" s="339">
        <v>86746.4</v>
      </c>
      <c r="BC345" s="339"/>
      <c r="BD345" s="339">
        <v>65396.66</v>
      </c>
      <c r="BE345" s="339">
        <v>57537.42</v>
      </c>
      <c r="BF345" s="339">
        <v>61165.2</v>
      </c>
      <c r="BG345" s="339">
        <v>62153.120000000003</v>
      </c>
      <c r="BH345" s="339">
        <v>59378.76</v>
      </c>
      <c r="BI345" s="339">
        <v>62764.61</v>
      </c>
      <c r="BJ345" s="339">
        <v>0</v>
      </c>
      <c r="BK345" s="339">
        <v>0</v>
      </c>
      <c r="BL345" s="339">
        <v>0</v>
      </c>
      <c r="BM345" s="339">
        <v>0</v>
      </c>
      <c r="BN345" s="339">
        <v>0</v>
      </c>
      <c r="BO345" s="339">
        <v>0</v>
      </c>
      <c r="BP345" s="339">
        <v>0</v>
      </c>
      <c r="BQ345" s="339">
        <v>0</v>
      </c>
      <c r="BR345" s="339">
        <v>0</v>
      </c>
      <c r="BS345" s="110" t="e">
        <f t="array" aca="1" ref="BS345" ca="1">_xludf.XLOOKUP(D345,'PL TOTAL D0'!N:N,'PL TOTAL D0'!P:P,"")</f>
        <v>#NAME?</v>
      </c>
      <c r="BT345" s="110"/>
    </row>
    <row r="346" spans="1:72" ht="15.75" customHeight="1">
      <c r="A346" s="122" t="s">
        <v>3785</v>
      </c>
      <c r="B346" s="104" t="s">
        <v>1906</v>
      </c>
      <c r="C346" s="122" t="s">
        <v>1904</v>
      </c>
      <c r="D346" s="292">
        <v>4945025</v>
      </c>
      <c r="E346" s="293" t="s">
        <v>19</v>
      </c>
      <c r="F346" s="293" t="s">
        <v>20</v>
      </c>
      <c r="G346" s="293" t="s">
        <v>3072</v>
      </c>
      <c r="H346" s="293" t="str">
        <f>IFERROR(VLOOKUP(G346,'Cadastro de assessores'!A:B,2,FALSE),"Não Cadastrado")</f>
        <v>18236</v>
      </c>
      <c r="I346" s="293"/>
      <c r="J346" s="24" t="s">
        <v>3788</v>
      </c>
      <c r="K346" s="293" t="s">
        <v>152</v>
      </c>
      <c r="L346" s="415">
        <v>44266</v>
      </c>
      <c r="M346" s="415">
        <v>44266</v>
      </c>
      <c r="N346" s="292"/>
      <c r="O346" s="292" t="s">
        <v>3805</v>
      </c>
      <c r="P346" s="388">
        <v>1.2E-2</v>
      </c>
      <c r="Q346" s="420" t="s">
        <v>4840</v>
      </c>
      <c r="R346" s="417"/>
      <c r="S346" s="292" t="str">
        <f t="shared" si="36"/>
        <v>Qualificado</v>
      </c>
      <c r="T346" s="292" t="s">
        <v>145</v>
      </c>
      <c r="U346" s="292" t="s">
        <v>3991</v>
      </c>
      <c r="V346" s="292" t="s">
        <v>20</v>
      </c>
      <c r="W346" s="418"/>
      <c r="X346" s="418"/>
      <c r="Y346" s="418"/>
      <c r="Z346" s="418"/>
      <c r="AA346" s="418"/>
      <c r="AB346" s="418"/>
      <c r="AC346" s="418"/>
      <c r="AD346" s="418"/>
      <c r="AE346" s="418"/>
      <c r="AF346" s="418"/>
      <c r="AG346" s="418"/>
      <c r="AH346" s="418"/>
      <c r="AI346" s="418"/>
      <c r="AJ346" s="418"/>
      <c r="AK346" s="339"/>
      <c r="AL346" s="339"/>
      <c r="AM346" s="339"/>
      <c r="AN346" s="468"/>
      <c r="AO346" s="468">
        <v>201954.1</v>
      </c>
      <c r="AP346" s="339">
        <v>202852.06</v>
      </c>
      <c r="AQ346" s="339">
        <v>202487.48</v>
      </c>
      <c r="AR346" s="339">
        <v>205149.78</v>
      </c>
      <c r="AS346" s="339">
        <v>204729.64</v>
      </c>
      <c r="AT346" s="339">
        <v>203100.33</v>
      </c>
      <c r="AU346" s="339">
        <v>202950.8</v>
      </c>
      <c r="AV346" s="339">
        <v>201870.78</v>
      </c>
      <c r="AW346" s="339">
        <v>200146.25</v>
      </c>
      <c r="AX346" s="339">
        <v>200782.89</v>
      </c>
      <c r="AY346" s="339">
        <v>202879.77</v>
      </c>
      <c r="AZ346" s="339">
        <v>206469.79</v>
      </c>
      <c r="BA346" s="339">
        <v>207928.19</v>
      </c>
      <c r="BB346" s="339">
        <v>212603.54</v>
      </c>
      <c r="BC346" s="339">
        <v>1508584.52</v>
      </c>
      <c r="BD346" s="339">
        <v>213289.16</v>
      </c>
      <c r="BE346" s="339">
        <v>213751.81</v>
      </c>
      <c r="BF346" s="339">
        <v>216538.31</v>
      </c>
      <c r="BG346" s="339">
        <v>218074.66570000001</v>
      </c>
      <c r="BH346" s="339">
        <v>219043.36</v>
      </c>
      <c r="BI346" s="339">
        <v>223090.4</v>
      </c>
      <c r="BJ346" s="339">
        <v>223367.66</v>
      </c>
      <c r="BK346" s="339">
        <v>225079.94</v>
      </c>
      <c r="BL346" s="339">
        <v>227581.7</v>
      </c>
      <c r="BM346" s="339">
        <v>229005.91</v>
      </c>
      <c r="BN346" s="339">
        <v>231275.95</v>
      </c>
      <c r="BO346" s="339">
        <v>112.29</v>
      </c>
      <c r="BP346" s="339">
        <v>112.29</v>
      </c>
      <c r="BQ346" s="339">
        <v>112.29</v>
      </c>
      <c r="BR346" s="339">
        <v>112.29</v>
      </c>
      <c r="BS346" s="110" t="e">
        <f t="array" aca="1" ref="BS346" ca="1">_xludf.XLOOKUP(D346,'PL TOTAL D0'!N:N,'PL TOTAL D0'!P:P,"")</f>
        <v>#NAME?</v>
      </c>
      <c r="BT346" s="110"/>
    </row>
    <row r="347" spans="1:72" ht="15.75" customHeight="1">
      <c r="A347" s="122" t="s">
        <v>3785</v>
      </c>
      <c r="B347" s="104" t="s">
        <v>4843</v>
      </c>
      <c r="C347" s="86" t="s">
        <v>4844</v>
      </c>
      <c r="D347" s="299">
        <v>7438369</v>
      </c>
      <c r="E347" s="292" t="s">
        <v>64</v>
      </c>
      <c r="F347" s="292" t="s">
        <v>20</v>
      </c>
      <c r="G347" s="299" t="s">
        <v>3847</v>
      </c>
      <c r="H347" s="292" t="str">
        <f>IFERROR(VLOOKUP(G347,'Cadastro de assessores'!A:B,2,FALSE),"Não Cadastrado")</f>
        <v>12624</v>
      </c>
      <c r="I347" s="292"/>
      <c r="J347" s="24" t="s">
        <v>143</v>
      </c>
      <c r="K347" s="292" t="s">
        <v>3794</v>
      </c>
      <c r="L347" s="471">
        <v>44551</v>
      </c>
      <c r="M347" s="471">
        <v>44551</v>
      </c>
      <c r="N347" s="308">
        <v>44329</v>
      </c>
      <c r="O347" s="299" t="s">
        <v>3809</v>
      </c>
      <c r="P347" s="388">
        <v>2.5000000000000001E-2</v>
      </c>
      <c r="Q347" s="420" t="s">
        <v>4845</v>
      </c>
      <c r="R347" s="417"/>
      <c r="S347" s="292" t="str">
        <f t="shared" si="36"/>
        <v>Não Qualificado</v>
      </c>
      <c r="T347" s="292" t="s">
        <v>145</v>
      </c>
      <c r="U347" s="292" t="s">
        <v>3797</v>
      </c>
      <c r="V347" s="292" t="s">
        <v>20</v>
      </c>
      <c r="W347" s="418"/>
      <c r="X347" s="418"/>
      <c r="Y347" s="418"/>
      <c r="Z347" s="418"/>
      <c r="AA347" s="418"/>
      <c r="AB347" s="418"/>
      <c r="AC347" s="418"/>
      <c r="AD347" s="418"/>
      <c r="AE347" s="418"/>
      <c r="AF347" s="418"/>
      <c r="AG347" s="418"/>
      <c r="AH347" s="418"/>
      <c r="AI347" s="418"/>
      <c r="AJ347" s="418"/>
      <c r="AK347" s="339"/>
      <c r="AL347" s="339"/>
      <c r="AM347" s="339"/>
      <c r="AN347" s="339"/>
      <c r="AO347" s="339"/>
      <c r="AP347" s="339"/>
      <c r="AQ347" s="339"/>
      <c r="AR347" s="339"/>
      <c r="AS347" s="339"/>
      <c r="AT347" s="339"/>
      <c r="AU347" s="339"/>
      <c r="AV347" s="339"/>
      <c r="AW347" s="339"/>
      <c r="AX347" s="350"/>
      <c r="AY347" s="350"/>
      <c r="AZ347" s="418"/>
      <c r="BA347" s="418">
        <v>0</v>
      </c>
      <c r="BB347" s="418">
        <v>30467.31</v>
      </c>
      <c r="BC347" s="418">
        <v>156168.97</v>
      </c>
      <c r="BD347" s="339" t="s">
        <v>2932</v>
      </c>
      <c r="BE347" s="339" t="s">
        <v>2932</v>
      </c>
      <c r="BF347" s="339">
        <v>0</v>
      </c>
      <c r="BG347" s="339">
        <v>0</v>
      </c>
      <c r="BH347" s="339">
        <v>0</v>
      </c>
      <c r="BI347" s="339">
        <v>0</v>
      </c>
      <c r="BJ347" s="339">
        <v>0</v>
      </c>
      <c r="BK347" s="339">
        <v>0</v>
      </c>
      <c r="BL347" s="339">
        <v>0</v>
      </c>
      <c r="BM347" s="339">
        <v>0</v>
      </c>
      <c r="BN347" s="339">
        <v>0</v>
      </c>
      <c r="BO347" s="339">
        <v>0</v>
      </c>
      <c r="BP347" s="339">
        <v>0</v>
      </c>
      <c r="BQ347" s="339">
        <v>0</v>
      </c>
      <c r="BR347" s="339">
        <v>0</v>
      </c>
      <c r="BS347" s="110" t="e">
        <f t="array" aca="1" ref="BS347" ca="1">_xludf.XLOOKUP(D347,'PL TOTAL D0'!N:N,'PL TOTAL D0'!P:P,"")</f>
        <v>#NAME?</v>
      </c>
      <c r="BT347" s="110"/>
    </row>
    <row r="348" spans="1:72" ht="15.75" customHeight="1">
      <c r="A348" s="122" t="s">
        <v>3785</v>
      </c>
      <c r="B348" s="104" t="s">
        <v>4843</v>
      </c>
      <c r="C348" s="86" t="s">
        <v>4844</v>
      </c>
      <c r="D348" s="299">
        <v>7542389</v>
      </c>
      <c r="E348" s="292" t="s">
        <v>64</v>
      </c>
      <c r="F348" s="292" t="s">
        <v>20</v>
      </c>
      <c r="G348" s="299" t="s">
        <v>3847</v>
      </c>
      <c r="H348" s="292" t="str">
        <f>IFERROR(VLOOKUP(G348,'Cadastro de assessores'!A:B,2,FALSE),"Não Cadastrado")</f>
        <v>12624</v>
      </c>
      <c r="I348" s="292"/>
      <c r="J348" s="24" t="s">
        <v>143</v>
      </c>
      <c r="K348" s="292" t="s">
        <v>3794</v>
      </c>
      <c r="L348" s="391">
        <v>44579</v>
      </c>
      <c r="M348" s="391">
        <v>44579</v>
      </c>
      <c r="N348" s="391">
        <v>44694</v>
      </c>
      <c r="O348" s="299" t="s">
        <v>3802</v>
      </c>
      <c r="P348" s="388">
        <v>7.0000000000000001E-3</v>
      </c>
      <c r="Q348" s="420" t="s">
        <v>4845</v>
      </c>
      <c r="R348" s="417"/>
      <c r="S348" s="292" t="str">
        <f t="shared" si="36"/>
        <v>Não Qualificado</v>
      </c>
      <c r="T348" s="292" t="s">
        <v>145</v>
      </c>
      <c r="U348" s="292" t="s">
        <v>3797</v>
      </c>
      <c r="V348" s="292" t="s">
        <v>20</v>
      </c>
      <c r="W348" s="418"/>
      <c r="X348" s="418"/>
      <c r="Y348" s="418"/>
      <c r="Z348" s="418"/>
      <c r="AA348" s="418"/>
      <c r="AB348" s="418"/>
      <c r="AC348" s="418"/>
      <c r="AD348" s="418"/>
      <c r="AE348" s="418"/>
      <c r="AF348" s="418"/>
      <c r="AG348" s="418"/>
      <c r="AH348" s="418"/>
      <c r="AI348" s="418"/>
      <c r="AJ348" s="418"/>
      <c r="AK348" s="339"/>
      <c r="AL348" s="339"/>
      <c r="AM348" s="339"/>
      <c r="AN348" s="339"/>
      <c r="AO348" s="339"/>
      <c r="AP348" s="339"/>
      <c r="AQ348" s="339"/>
      <c r="AR348" s="339"/>
      <c r="AS348" s="339"/>
      <c r="AT348" s="339"/>
      <c r="AU348" s="339"/>
      <c r="AV348" s="339"/>
      <c r="AW348" s="339"/>
      <c r="AX348" s="350"/>
      <c r="AY348" s="350"/>
      <c r="AZ348" s="431">
        <v>119497.48</v>
      </c>
      <c r="BA348" s="431">
        <v>133883.44</v>
      </c>
      <c r="BB348" s="431">
        <v>133883.94</v>
      </c>
      <c r="BC348" s="431">
        <v>830803.48</v>
      </c>
      <c r="BD348" s="339" t="s">
        <v>2932</v>
      </c>
      <c r="BE348" s="339" t="s">
        <v>2932</v>
      </c>
      <c r="BF348" s="339">
        <v>0</v>
      </c>
      <c r="BG348" s="339">
        <v>0</v>
      </c>
      <c r="BH348" s="339">
        <v>0</v>
      </c>
      <c r="BI348" s="339">
        <v>0</v>
      </c>
      <c r="BJ348" s="339">
        <v>0</v>
      </c>
      <c r="BK348" s="339">
        <v>0</v>
      </c>
      <c r="BL348" s="339">
        <v>0</v>
      </c>
      <c r="BM348" s="339">
        <v>0</v>
      </c>
      <c r="BN348" s="339">
        <v>0</v>
      </c>
      <c r="BO348" s="339">
        <v>0</v>
      </c>
      <c r="BP348" s="339">
        <v>0</v>
      </c>
      <c r="BQ348" s="339">
        <v>0</v>
      </c>
      <c r="BR348" s="339">
        <v>0</v>
      </c>
      <c r="BS348" s="110" t="e">
        <f t="array" aca="1" ref="BS348" ca="1">_xludf.XLOOKUP(D348,'PL TOTAL D0'!N:N,'PL TOTAL D0'!P:P,"")</f>
        <v>#NAME?</v>
      </c>
      <c r="BT348" s="110"/>
    </row>
    <row r="349" spans="1:72" ht="15.75" customHeight="1">
      <c r="A349" s="122" t="s">
        <v>3785</v>
      </c>
      <c r="B349" s="104" t="s">
        <v>4846</v>
      </c>
      <c r="C349" s="122" t="s">
        <v>4847</v>
      </c>
      <c r="D349" s="292">
        <v>4455201</v>
      </c>
      <c r="E349" s="292" t="s">
        <v>64</v>
      </c>
      <c r="F349" s="292" t="s">
        <v>20</v>
      </c>
      <c r="G349" s="292" t="s">
        <v>3973</v>
      </c>
      <c r="H349" s="292" t="str">
        <f>IFERROR(VLOOKUP(G349,'Cadastro de assessores'!A:B,2,FALSE),"Não Cadastrado")</f>
        <v>16459</v>
      </c>
      <c r="I349" s="292"/>
      <c r="J349" s="24" t="s">
        <v>143</v>
      </c>
      <c r="K349" s="292" t="s">
        <v>3794</v>
      </c>
      <c r="L349" s="387">
        <v>44097</v>
      </c>
      <c r="M349" s="387">
        <v>44097</v>
      </c>
      <c r="N349" s="387">
        <v>44210</v>
      </c>
      <c r="O349" s="292" t="s">
        <v>3789</v>
      </c>
      <c r="P349" s="388">
        <v>0.02</v>
      </c>
      <c r="Q349" s="420" t="s">
        <v>4848</v>
      </c>
      <c r="R349" s="417"/>
      <c r="S349" s="292" t="str">
        <f t="shared" si="36"/>
        <v/>
      </c>
      <c r="T349" s="292" t="s">
        <v>145</v>
      </c>
      <c r="U349" s="292" t="s">
        <v>3816</v>
      </c>
      <c r="V349" s="292" t="s">
        <v>20</v>
      </c>
      <c r="W349" s="418" t="s">
        <v>3798</v>
      </c>
      <c r="X349" s="418" t="s">
        <v>3798</v>
      </c>
      <c r="Y349" s="418" t="s">
        <v>3798</v>
      </c>
      <c r="Z349" s="418" t="s">
        <v>3798</v>
      </c>
      <c r="AA349" s="418" t="s">
        <v>3798</v>
      </c>
      <c r="AB349" s="418" t="s">
        <v>3798</v>
      </c>
      <c r="AC349" s="418" t="s">
        <v>3798</v>
      </c>
      <c r="AD349" s="418" t="s">
        <v>3798</v>
      </c>
      <c r="AE349" s="418" t="s">
        <v>3798</v>
      </c>
      <c r="AF349" s="418" t="s">
        <v>3798</v>
      </c>
      <c r="AG349" s="418" t="s">
        <v>3798</v>
      </c>
      <c r="AH349" s="418" t="s">
        <v>4849</v>
      </c>
      <c r="AI349" s="418" t="s">
        <v>4850</v>
      </c>
      <c r="AJ349" s="418" t="s">
        <v>4851</v>
      </c>
      <c r="AK349" s="339">
        <v>774604.53</v>
      </c>
      <c r="AL349" s="339">
        <v>753280.3</v>
      </c>
      <c r="AM349" s="339">
        <v>690327.24</v>
      </c>
      <c r="AN349" s="339">
        <v>685623.34</v>
      </c>
      <c r="AO349" s="339">
        <v>713304.58</v>
      </c>
      <c r="AP349" s="339">
        <v>718059.13</v>
      </c>
      <c r="AQ349" s="339">
        <v>714527.22</v>
      </c>
      <c r="AR349" s="339">
        <v>735509.98</v>
      </c>
      <c r="AS349" s="339">
        <v>728065.06</v>
      </c>
      <c r="AT349" s="339">
        <v>705050.81</v>
      </c>
      <c r="AU349" s="339">
        <v>693189.9</v>
      </c>
      <c r="AV349" s="339">
        <v>677689.93</v>
      </c>
      <c r="AW349" s="339">
        <v>635151.74</v>
      </c>
      <c r="AX349" s="339">
        <v>633391.68000000005</v>
      </c>
      <c r="AY349" s="339">
        <v>643145.07999999996</v>
      </c>
      <c r="AZ349" s="339"/>
      <c r="BA349" s="339">
        <v>0</v>
      </c>
      <c r="BB349" s="339">
        <v>0</v>
      </c>
      <c r="BC349" s="339">
        <v>0</v>
      </c>
      <c r="BD349" s="339" t="s">
        <v>2932</v>
      </c>
      <c r="BE349" s="339" t="s">
        <v>2932</v>
      </c>
      <c r="BF349" s="339">
        <v>0</v>
      </c>
      <c r="BG349" s="339">
        <v>0</v>
      </c>
      <c r="BH349" s="339">
        <v>0</v>
      </c>
      <c r="BI349" s="339">
        <v>0</v>
      </c>
      <c r="BJ349" s="339">
        <v>0</v>
      </c>
      <c r="BK349" s="339">
        <v>0</v>
      </c>
      <c r="BL349" s="339">
        <v>0</v>
      </c>
      <c r="BM349" s="339">
        <v>0</v>
      </c>
      <c r="BN349" s="339">
        <v>0</v>
      </c>
      <c r="BO349" s="339">
        <v>0</v>
      </c>
      <c r="BP349" s="339">
        <v>0</v>
      </c>
      <c r="BQ349" s="339">
        <v>0</v>
      </c>
      <c r="BR349" s="339">
        <v>0</v>
      </c>
      <c r="BS349" s="110" t="e">
        <f t="array" aca="1" ref="BS349" ca="1">_xludf.XLOOKUP(D349,'PL TOTAL D0'!N:N,'PL TOTAL D0'!P:P,"")</f>
        <v>#NAME?</v>
      </c>
      <c r="BT349" s="110"/>
    </row>
    <row r="350" spans="1:72" ht="15.75" customHeight="1">
      <c r="A350" s="122" t="s">
        <v>3785</v>
      </c>
      <c r="B350" s="104" t="s">
        <v>1917</v>
      </c>
      <c r="C350" s="390" t="s">
        <v>1915</v>
      </c>
      <c r="D350" s="299">
        <v>8598875</v>
      </c>
      <c r="E350" s="293" t="s">
        <v>19</v>
      </c>
      <c r="F350" s="293" t="s">
        <v>20</v>
      </c>
      <c r="G350" s="299" t="s">
        <v>3641</v>
      </c>
      <c r="H350" s="293" t="str">
        <f>IFERROR(VLOOKUP(G350,'Cadastro de assessores'!A:B,2,FALSE),"Não Cadastrado")</f>
        <v>14739</v>
      </c>
      <c r="I350" s="293"/>
      <c r="J350" s="24" t="s">
        <v>3788</v>
      </c>
      <c r="K350" s="293" t="s">
        <v>152</v>
      </c>
      <c r="L350" s="423">
        <v>44699</v>
      </c>
      <c r="M350" s="423">
        <v>44708</v>
      </c>
      <c r="N350" s="299"/>
      <c r="O350" s="299" t="s">
        <v>4019</v>
      </c>
      <c r="P350" s="388">
        <v>0.02</v>
      </c>
      <c r="Q350" s="420" t="s">
        <v>4852</v>
      </c>
      <c r="R350" s="417"/>
      <c r="S350" s="292" t="str">
        <f t="shared" si="36"/>
        <v/>
      </c>
      <c r="T350" s="292" t="s">
        <v>145</v>
      </c>
      <c r="U350" s="299" t="s">
        <v>4326</v>
      </c>
      <c r="V350" s="292" t="s">
        <v>46</v>
      </c>
      <c r="W350" s="350"/>
      <c r="X350" s="350"/>
      <c r="Y350" s="350"/>
      <c r="Z350" s="350"/>
      <c r="AA350" s="350"/>
      <c r="AB350" s="350"/>
      <c r="AC350" s="350"/>
      <c r="AD350" s="350"/>
      <c r="AE350" s="350"/>
      <c r="AF350" s="350"/>
      <c r="AG350" s="350"/>
      <c r="AH350" s="350"/>
      <c r="AI350" s="418"/>
      <c r="AJ350" s="339"/>
      <c r="AK350" s="339"/>
      <c r="AL350" s="339"/>
      <c r="AM350" s="339"/>
      <c r="AN350" s="339"/>
      <c r="AO350" s="339"/>
      <c r="AP350" s="339"/>
      <c r="AQ350" s="339"/>
      <c r="AR350" s="339"/>
      <c r="AS350" s="339"/>
      <c r="AT350" s="339"/>
      <c r="AU350" s="350"/>
      <c r="AV350" s="339"/>
      <c r="AW350" s="339"/>
      <c r="AX350" s="339"/>
      <c r="AY350" s="339"/>
      <c r="AZ350" s="339"/>
      <c r="BA350" s="339"/>
      <c r="BB350" s="339"/>
      <c r="BC350" s="339">
        <v>0</v>
      </c>
      <c r="BD350" s="339" t="s">
        <v>2932</v>
      </c>
      <c r="BE350" s="339">
        <v>138554.70000000001</v>
      </c>
      <c r="BF350" s="339">
        <v>147423.67999999999</v>
      </c>
      <c r="BG350" s="339">
        <v>155945.14000000001</v>
      </c>
      <c r="BH350" s="339">
        <v>150354.76999999999</v>
      </c>
      <c r="BI350" s="339">
        <v>167228.41</v>
      </c>
      <c r="BJ350" s="339">
        <v>216429.48</v>
      </c>
      <c r="BK350" s="339">
        <v>209762.99</v>
      </c>
      <c r="BL350" s="339">
        <v>214537.92</v>
      </c>
      <c r="BM350" s="339">
        <v>201086.56</v>
      </c>
      <c r="BN350" s="339">
        <v>7056.78</v>
      </c>
      <c r="BO350" s="339">
        <v>7461.18</v>
      </c>
      <c r="BP350" s="339">
        <v>0</v>
      </c>
      <c r="BQ350" s="339">
        <v>0</v>
      </c>
      <c r="BR350" s="339">
        <v>0</v>
      </c>
      <c r="BS350" s="110" t="e">
        <f t="array" aca="1" ref="BS350" ca="1">_xludf.XLOOKUP(D350,'PL TOTAL D0'!N:N,'PL TOTAL D0'!P:P,"")</f>
        <v>#NAME?</v>
      </c>
      <c r="BT350" s="110"/>
    </row>
    <row r="351" spans="1:72" ht="15.75" customHeight="1">
      <c r="A351" s="122" t="s">
        <v>3785</v>
      </c>
      <c r="B351" s="104" t="s">
        <v>1917</v>
      </c>
      <c r="C351" s="390" t="s">
        <v>1915</v>
      </c>
      <c r="D351" s="299">
        <v>8524764</v>
      </c>
      <c r="E351" s="293" t="s">
        <v>19</v>
      </c>
      <c r="F351" s="293" t="s">
        <v>20</v>
      </c>
      <c r="G351" s="299" t="s">
        <v>3641</v>
      </c>
      <c r="H351" s="293" t="str">
        <f>IFERROR(VLOOKUP(G351,'Cadastro de assessores'!A:B,2,FALSE),"Não Cadastrado")</f>
        <v>14739</v>
      </c>
      <c r="I351" s="293"/>
      <c r="J351" s="24" t="s">
        <v>3788</v>
      </c>
      <c r="K351" s="293" t="s">
        <v>152</v>
      </c>
      <c r="L351" s="423">
        <v>44691</v>
      </c>
      <c r="M351" s="423">
        <v>44698</v>
      </c>
      <c r="N351" s="299"/>
      <c r="O351" s="299" t="s">
        <v>3809</v>
      </c>
      <c r="P351" s="388">
        <v>2.5000000000000001E-2</v>
      </c>
      <c r="Q351" s="420" t="s">
        <v>4852</v>
      </c>
      <c r="R351" s="417"/>
      <c r="S351" s="292" t="str">
        <f t="shared" si="36"/>
        <v>Qualificado</v>
      </c>
      <c r="T351" s="292" t="s">
        <v>145</v>
      </c>
      <c r="U351" s="299" t="s">
        <v>4326</v>
      </c>
      <c r="V351" s="299" t="s">
        <v>46</v>
      </c>
      <c r="W351" s="350"/>
      <c r="X351" s="350"/>
      <c r="Y351" s="350"/>
      <c r="Z351" s="350"/>
      <c r="AA351" s="350"/>
      <c r="AB351" s="350"/>
      <c r="AC351" s="350"/>
      <c r="AD351" s="350"/>
      <c r="AE351" s="350"/>
      <c r="AF351" s="350"/>
      <c r="AG351" s="350"/>
      <c r="AH351" s="350"/>
      <c r="AI351" s="418"/>
      <c r="AJ351" s="339"/>
      <c r="AK351" s="339"/>
      <c r="AL351" s="339"/>
      <c r="AM351" s="468"/>
      <c r="AN351" s="468"/>
      <c r="AO351" s="339"/>
      <c r="AP351" s="339"/>
      <c r="AQ351" s="339"/>
      <c r="AR351" s="350"/>
      <c r="AS351" s="339"/>
      <c r="AT351" s="339"/>
      <c r="AU351" s="339"/>
      <c r="AV351" s="339"/>
      <c r="AW351" s="339"/>
      <c r="AX351" s="339"/>
      <c r="AY351" s="339"/>
      <c r="AZ351" s="339"/>
      <c r="BA351" s="339"/>
      <c r="BB351" s="339"/>
      <c r="BC351" s="339">
        <v>1119603.8899999999</v>
      </c>
      <c r="BD351" s="339">
        <v>237952.74</v>
      </c>
      <c r="BE351" s="339">
        <v>227591.61</v>
      </c>
      <c r="BF351" s="339">
        <v>235897.35</v>
      </c>
      <c r="BG351" s="339">
        <v>238028.04</v>
      </c>
      <c r="BH351" s="339">
        <v>237712.06</v>
      </c>
      <c r="BI351" s="339">
        <v>263197.53999999998</v>
      </c>
      <c r="BJ351" s="339">
        <v>380180.74</v>
      </c>
      <c r="BK351" s="339">
        <v>378507.95</v>
      </c>
      <c r="BL351" s="339">
        <v>382409.58</v>
      </c>
      <c r="BM351" s="339">
        <v>368144.81</v>
      </c>
      <c r="BN351" s="339">
        <v>26433.7</v>
      </c>
      <c r="BO351" s="339">
        <v>23206.02</v>
      </c>
      <c r="BP351" s="339">
        <v>0</v>
      </c>
      <c r="BQ351" s="339">
        <v>0</v>
      </c>
      <c r="BR351" s="339">
        <v>0</v>
      </c>
      <c r="BS351" s="110" t="e">
        <f t="array" aca="1" ref="BS351" ca="1">_xludf.XLOOKUP(D351,'PL TOTAL D0'!N:N,'PL TOTAL D0'!P:P,"")</f>
        <v>#NAME?</v>
      </c>
      <c r="BT351" s="110"/>
    </row>
    <row r="352" spans="1:72" ht="15.75" customHeight="1">
      <c r="A352" s="122" t="s">
        <v>3785</v>
      </c>
      <c r="B352" s="104" t="s">
        <v>4853</v>
      </c>
      <c r="C352" s="472" t="s">
        <v>4854</v>
      </c>
      <c r="D352" s="473">
        <v>5686058</v>
      </c>
      <c r="E352" s="292" t="s">
        <v>19</v>
      </c>
      <c r="F352" s="292" t="s">
        <v>20</v>
      </c>
      <c r="G352" s="292" t="s">
        <v>4343</v>
      </c>
      <c r="H352" s="292" t="str">
        <f>IFERROR(VLOOKUP(G352,'Cadastro de assessores'!A:B,2,FALSE),"Não Cadastrado")</f>
        <v>16130</v>
      </c>
      <c r="I352" s="292"/>
      <c r="J352" s="24" t="s">
        <v>143</v>
      </c>
      <c r="K352" s="292" t="s">
        <v>3794</v>
      </c>
      <c r="L352" s="387">
        <v>44370</v>
      </c>
      <c r="M352" s="387">
        <v>44370</v>
      </c>
      <c r="N352" s="387">
        <v>44768</v>
      </c>
      <c r="O352" s="292" t="s">
        <v>3802</v>
      </c>
      <c r="P352" s="388">
        <v>7.0000000000000001E-3</v>
      </c>
      <c r="Q352" s="420" t="s">
        <v>4855</v>
      </c>
      <c r="R352" s="417"/>
      <c r="S352" s="292" t="str">
        <f t="shared" si="36"/>
        <v>Não Qualificado</v>
      </c>
      <c r="T352" s="292" t="s">
        <v>145</v>
      </c>
      <c r="U352" s="299" t="s">
        <v>3832</v>
      </c>
      <c r="V352" s="299" t="s">
        <v>20</v>
      </c>
      <c r="W352" s="350"/>
      <c r="X352" s="350"/>
      <c r="Y352" s="350"/>
      <c r="Z352" s="350"/>
      <c r="AA352" s="350"/>
      <c r="AB352" s="350"/>
      <c r="AC352" s="350"/>
      <c r="AD352" s="350"/>
      <c r="AE352" s="350"/>
      <c r="AF352" s="350"/>
      <c r="AG352" s="350"/>
      <c r="AH352" s="350"/>
      <c r="AI352" s="418"/>
      <c r="AJ352" s="339"/>
      <c r="AK352" s="339"/>
      <c r="AL352" s="339"/>
      <c r="AM352" s="339"/>
      <c r="AN352" s="339"/>
      <c r="AO352" s="339"/>
      <c r="AP352" s="339"/>
      <c r="AQ352" s="339"/>
      <c r="AR352" s="350"/>
      <c r="AS352" s="339">
        <v>99246.78</v>
      </c>
      <c r="AT352" s="339">
        <v>97305.05</v>
      </c>
      <c r="AU352" s="339">
        <v>96614.96</v>
      </c>
      <c r="AV352" s="339">
        <v>94951.89</v>
      </c>
      <c r="AW352" s="339">
        <v>95565.96</v>
      </c>
      <c r="AX352" s="339">
        <v>96304.6</v>
      </c>
      <c r="AY352" s="339">
        <v>117165.5</v>
      </c>
      <c r="AZ352" s="339">
        <v>118168.01</v>
      </c>
      <c r="BA352" s="339">
        <v>139079.82999999999</v>
      </c>
      <c r="BB352" s="339">
        <v>284735.23</v>
      </c>
      <c r="BC352" s="339">
        <v>531842.68999999994</v>
      </c>
      <c r="BD352" s="339">
        <v>548401.82999999996</v>
      </c>
      <c r="BE352" s="339">
        <v>648875.89</v>
      </c>
      <c r="BF352" s="339">
        <v>0</v>
      </c>
      <c r="BG352" s="339">
        <v>0</v>
      </c>
      <c r="BH352" s="339">
        <v>0</v>
      </c>
      <c r="BI352" s="339">
        <v>0</v>
      </c>
      <c r="BJ352" s="339">
        <v>0</v>
      </c>
      <c r="BK352" s="339">
        <v>0</v>
      </c>
      <c r="BL352" s="339">
        <v>0</v>
      </c>
      <c r="BM352" s="339">
        <v>0</v>
      </c>
      <c r="BN352" s="339">
        <v>0</v>
      </c>
      <c r="BO352" s="339">
        <v>0</v>
      </c>
      <c r="BP352" s="339">
        <v>0</v>
      </c>
      <c r="BQ352" s="339">
        <v>0</v>
      </c>
      <c r="BR352" s="339">
        <v>0</v>
      </c>
      <c r="BS352" s="110" t="e">
        <f t="array" aca="1" ref="BS352" ca="1">_xludf.XLOOKUP(D352,'PL TOTAL D0'!N:N,'PL TOTAL D0'!P:P,"")</f>
        <v>#NAME?</v>
      </c>
      <c r="BT352" s="110"/>
    </row>
    <row r="353" spans="1:72" ht="15.75" customHeight="1">
      <c r="A353" s="122" t="s">
        <v>3785</v>
      </c>
      <c r="B353" s="104" t="s">
        <v>1925</v>
      </c>
      <c r="C353" s="122" t="s">
        <v>4856</v>
      </c>
      <c r="D353" s="292">
        <v>4899222</v>
      </c>
      <c r="E353" s="293" t="s">
        <v>19</v>
      </c>
      <c r="F353" s="293" t="s">
        <v>49</v>
      </c>
      <c r="G353" s="293" t="s">
        <v>277</v>
      </c>
      <c r="H353" s="293" t="str">
        <f>IFERROR(VLOOKUP(G353,'Cadastro de assessores'!A:B,2,FALSE),"Não Cadastrado")</f>
        <v>17831</v>
      </c>
      <c r="I353" s="293"/>
      <c r="J353" s="24" t="s">
        <v>152</v>
      </c>
      <c r="K353" s="293" t="s">
        <v>152</v>
      </c>
      <c r="L353" s="423">
        <v>44714</v>
      </c>
      <c r="M353" s="423">
        <v>44714</v>
      </c>
      <c r="N353" s="299"/>
      <c r="O353" s="299" t="s">
        <v>3809</v>
      </c>
      <c r="P353" s="388">
        <v>2.5000000000000001E-2</v>
      </c>
      <c r="Q353" s="420" t="s">
        <v>4857</v>
      </c>
      <c r="R353" s="417"/>
      <c r="S353" s="292" t="str">
        <f t="shared" si="36"/>
        <v/>
      </c>
      <c r="T353" s="292" t="s">
        <v>145</v>
      </c>
      <c r="U353" s="292" t="s">
        <v>3841</v>
      </c>
      <c r="V353" s="292" t="s">
        <v>49</v>
      </c>
      <c r="W353" s="418"/>
      <c r="X353" s="418"/>
      <c r="Y353" s="418"/>
      <c r="Z353" s="418"/>
      <c r="AA353" s="418"/>
      <c r="AB353" s="418"/>
      <c r="AC353" s="418"/>
      <c r="AD353" s="418"/>
      <c r="AE353" s="418"/>
      <c r="AF353" s="418"/>
      <c r="AG353" s="418"/>
      <c r="AH353" s="418"/>
      <c r="AI353" s="418"/>
      <c r="AJ353" s="418"/>
      <c r="AK353" s="339"/>
      <c r="AL353" s="339"/>
      <c r="AM353" s="339"/>
      <c r="AN353" s="468"/>
      <c r="AO353" s="468"/>
      <c r="AP353" s="339"/>
      <c r="AQ353" s="339"/>
      <c r="AR353" s="339"/>
      <c r="AS353" s="339"/>
      <c r="AT353" s="339"/>
      <c r="AU353" s="339"/>
      <c r="AV353" s="339"/>
      <c r="AW353" s="339"/>
      <c r="AX353" s="339"/>
      <c r="AY353" s="339"/>
      <c r="AZ353" s="339"/>
      <c r="BA353" s="339"/>
      <c r="BB353" s="339"/>
      <c r="BC353" s="339"/>
      <c r="BD353" s="339">
        <v>646194.66</v>
      </c>
      <c r="BE353" s="339">
        <v>843079.98</v>
      </c>
      <c r="BF353" s="339">
        <v>478004.06</v>
      </c>
      <c r="BG353" s="339">
        <v>792260.42449999996</v>
      </c>
      <c r="BH353" s="339">
        <v>694471.53</v>
      </c>
      <c r="BI353" s="339">
        <v>509495.87</v>
      </c>
      <c r="BJ353" s="339">
        <v>380167.11</v>
      </c>
      <c r="BK353" s="339">
        <v>2630.27</v>
      </c>
      <c r="BL353" s="339">
        <v>1979.16</v>
      </c>
      <c r="BM353" s="339">
        <v>1993.5</v>
      </c>
      <c r="BN353" s="339">
        <v>175.05</v>
      </c>
      <c r="BO353" s="339">
        <v>1891.45</v>
      </c>
      <c r="BP353" s="339">
        <v>1903.3</v>
      </c>
      <c r="BQ353" s="339">
        <v>1916.92</v>
      </c>
      <c r="BR353" s="339">
        <v>1927.39</v>
      </c>
      <c r="BS353" s="110" t="e">
        <f t="array" aca="1" ref="BS353" ca="1">_xludf.XLOOKUP(D353,'PL TOTAL D0'!N:N,'PL TOTAL D0'!P:P,"")</f>
        <v>#NAME?</v>
      </c>
      <c r="BT353" s="110"/>
    </row>
    <row r="354" spans="1:72" ht="15.75" customHeight="1">
      <c r="A354" s="122" t="s">
        <v>3785</v>
      </c>
      <c r="B354" s="104" t="s">
        <v>4858</v>
      </c>
      <c r="C354" s="122" t="s">
        <v>4859</v>
      </c>
      <c r="D354" s="292">
        <v>4402972</v>
      </c>
      <c r="E354" s="293" t="s">
        <v>2923</v>
      </c>
      <c r="F354" s="293" t="s">
        <v>20</v>
      </c>
      <c r="G354" s="293" t="s">
        <v>2923</v>
      </c>
      <c r="H354" s="293" t="str">
        <f>IFERROR(VLOOKUP(G354,'Cadastro de assessores'!A:B,2,FALSE),"Não Cadastrado")</f>
        <v>18986</v>
      </c>
      <c r="I354" s="293"/>
      <c r="J354" s="24" t="s">
        <v>3788</v>
      </c>
      <c r="K354" s="292" t="s">
        <v>161</v>
      </c>
      <c r="L354" s="415">
        <v>44063</v>
      </c>
      <c r="M354" s="415">
        <v>44068</v>
      </c>
      <c r="N354" s="292"/>
      <c r="O354" s="292" t="s">
        <v>3795</v>
      </c>
      <c r="P354" s="388">
        <v>1.4999999999999999E-2</v>
      </c>
      <c r="Q354" s="420"/>
      <c r="R354" s="417"/>
      <c r="S354" s="292" t="str">
        <f t="shared" si="36"/>
        <v>Não Qualificado</v>
      </c>
      <c r="T354" s="292" t="s">
        <v>145</v>
      </c>
      <c r="U354" s="292" t="s">
        <v>3859</v>
      </c>
      <c r="V354" s="292" t="s">
        <v>20</v>
      </c>
      <c r="W354" s="418" t="s">
        <v>3798</v>
      </c>
      <c r="X354" s="418" t="s">
        <v>3798</v>
      </c>
      <c r="Y354" s="418" t="s">
        <v>3798</v>
      </c>
      <c r="Z354" s="418" t="s">
        <v>3798</v>
      </c>
      <c r="AA354" s="418" t="s">
        <v>3798</v>
      </c>
      <c r="AB354" s="418" t="s">
        <v>3798</v>
      </c>
      <c r="AC354" s="418" t="s">
        <v>3798</v>
      </c>
      <c r="AD354" s="418" t="s">
        <v>3798</v>
      </c>
      <c r="AE354" s="418" t="s">
        <v>3798</v>
      </c>
      <c r="AF354" s="418" t="s">
        <v>3798</v>
      </c>
      <c r="AG354" s="418" t="s">
        <v>4860</v>
      </c>
      <c r="AH354" s="418" t="s">
        <v>4861</v>
      </c>
      <c r="AI354" s="418" t="s">
        <v>4862</v>
      </c>
      <c r="AJ354" s="418" t="s">
        <v>4863</v>
      </c>
      <c r="AK354" s="339">
        <v>94454.37</v>
      </c>
      <c r="AL354" s="339">
        <v>73479.28</v>
      </c>
      <c r="AM354" s="339">
        <v>1298.32</v>
      </c>
      <c r="AN354" s="468">
        <v>1226.1500000000001</v>
      </c>
      <c r="AO354" s="468">
        <v>1226.47</v>
      </c>
      <c r="AP354" s="339">
        <v>1225.3599999999999</v>
      </c>
      <c r="AQ354" s="339">
        <v>1225.08</v>
      </c>
      <c r="AR354" s="339">
        <v>324.06</v>
      </c>
      <c r="AS354" s="339">
        <v>323.64</v>
      </c>
      <c r="AT354" s="339">
        <v>323.2</v>
      </c>
      <c r="AU354" s="339">
        <v>322.76</v>
      </c>
      <c r="AV354" s="339">
        <v>283.83999999999997</v>
      </c>
      <c r="AW354" s="339"/>
      <c r="AX354" s="339">
        <v>0.06</v>
      </c>
      <c r="AY354" s="339">
        <v>0.06</v>
      </c>
      <c r="AZ354" s="339">
        <v>0.06</v>
      </c>
      <c r="BA354" s="339">
        <v>0.06</v>
      </c>
      <c r="BB354" s="339">
        <v>0.06</v>
      </c>
      <c r="BC354" s="339">
        <v>105027.9</v>
      </c>
      <c r="BD354" s="339">
        <v>0.06</v>
      </c>
      <c r="BE354" s="339" t="s">
        <v>2932</v>
      </c>
      <c r="BF354" s="339">
        <v>0.06</v>
      </c>
      <c r="BG354" s="339">
        <v>0.06</v>
      </c>
      <c r="BH354" s="339">
        <v>0.06</v>
      </c>
      <c r="BI354" s="339">
        <v>0.06</v>
      </c>
      <c r="BJ354" s="339">
        <v>0.06</v>
      </c>
      <c r="BK354" s="339">
        <v>0.06</v>
      </c>
      <c r="BL354" s="339">
        <v>0.06</v>
      </c>
      <c r="BM354" s="339">
        <v>0.06</v>
      </c>
      <c r="BN354" s="339">
        <v>0.06</v>
      </c>
      <c r="BO354" s="339">
        <v>0.06</v>
      </c>
      <c r="BP354" s="339">
        <v>0.06</v>
      </c>
      <c r="BQ354" s="339">
        <v>0.06</v>
      </c>
      <c r="BR354" s="339">
        <v>0.06</v>
      </c>
      <c r="BS354" s="110" t="e">
        <f t="array" aca="1" ref="BS354" ca="1">_xludf.XLOOKUP(D354,'PL TOTAL D0'!N:N,'PL TOTAL D0'!P:P,"")</f>
        <v>#NAME?</v>
      </c>
      <c r="BT354" s="110"/>
    </row>
    <row r="355" spans="1:72" ht="15.75" customHeight="1">
      <c r="A355" s="122" t="s">
        <v>3785</v>
      </c>
      <c r="B355" s="104" t="s">
        <v>4864</v>
      </c>
      <c r="C355" s="122" t="s">
        <v>4865</v>
      </c>
      <c r="D355" s="292">
        <v>4681835</v>
      </c>
      <c r="E355" s="292" t="s">
        <v>64</v>
      </c>
      <c r="F355" s="292" t="s">
        <v>20</v>
      </c>
      <c r="G355" s="292" t="s">
        <v>3973</v>
      </c>
      <c r="H355" s="292" t="str">
        <f>IFERROR(VLOOKUP(G355,'Cadastro de assessores'!A:B,2,FALSE),"Não Cadastrado")</f>
        <v>16459</v>
      </c>
      <c r="I355" s="292"/>
      <c r="J355" s="24" t="s">
        <v>143</v>
      </c>
      <c r="K355" s="292" t="s">
        <v>3794</v>
      </c>
      <c r="L355" s="387">
        <v>44204</v>
      </c>
      <c r="M355" s="387">
        <v>44204</v>
      </c>
      <c r="N355" s="387">
        <v>44713</v>
      </c>
      <c r="O355" s="292" t="s">
        <v>3789</v>
      </c>
      <c r="P355" s="388">
        <v>0.02</v>
      </c>
      <c r="Q355" s="420" t="s">
        <v>4866</v>
      </c>
      <c r="R355" s="417"/>
      <c r="S355" s="292" t="str">
        <f t="shared" si="36"/>
        <v>Não Qualificado</v>
      </c>
      <c r="T355" s="292" t="s">
        <v>145</v>
      </c>
      <c r="U355" s="292" t="s">
        <v>3797</v>
      </c>
      <c r="V355" s="292" t="s">
        <v>20</v>
      </c>
      <c r="W355" s="418"/>
      <c r="X355" s="418"/>
      <c r="Y355" s="418"/>
      <c r="Z355" s="418"/>
      <c r="AA355" s="418"/>
      <c r="AB355" s="418"/>
      <c r="AC355" s="418"/>
      <c r="AD355" s="418"/>
      <c r="AE355" s="418"/>
      <c r="AF355" s="418"/>
      <c r="AG355" s="418"/>
      <c r="AH355" s="418"/>
      <c r="AI355" s="418"/>
      <c r="AJ355" s="418"/>
      <c r="AK355" s="339"/>
      <c r="AL355" s="339">
        <v>96179.17</v>
      </c>
      <c r="AM355" s="339">
        <v>92407.43</v>
      </c>
      <c r="AN355" s="339">
        <v>92371.06</v>
      </c>
      <c r="AO355" s="339">
        <v>96514.89</v>
      </c>
      <c r="AP355" s="339">
        <v>97322.08</v>
      </c>
      <c r="AQ355" s="339">
        <v>96720.15</v>
      </c>
      <c r="AR355" s="339">
        <v>100081.11</v>
      </c>
      <c r="AS355" s="339">
        <v>98711.22</v>
      </c>
      <c r="AT355" s="339">
        <v>95561.7</v>
      </c>
      <c r="AU355" s="339">
        <v>94461.34</v>
      </c>
      <c r="AV355" s="339">
        <v>91168.91</v>
      </c>
      <c r="AW355" s="339">
        <v>86375.18</v>
      </c>
      <c r="AX355" s="339">
        <v>86161.87</v>
      </c>
      <c r="AY355" s="339">
        <v>87472.18</v>
      </c>
      <c r="AZ355" s="339">
        <v>90711.81</v>
      </c>
      <c r="BA355" s="339">
        <v>91463.2</v>
      </c>
      <c r="BB355" s="339">
        <v>95563.28</v>
      </c>
      <c r="BC355" s="339">
        <v>202352.48</v>
      </c>
      <c r="BD355" s="339">
        <v>93639.74</v>
      </c>
      <c r="BE355" s="339" t="s">
        <v>2932</v>
      </c>
      <c r="BF355" s="339">
        <v>0</v>
      </c>
      <c r="BG355" s="339">
        <v>0</v>
      </c>
      <c r="BH355" s="339">
        <v>0</v>
      </c>
      <c r="BI355" s="339">
        <v>0</v>
      </c>
      <c r="BJ355" s="339">
        <v>0</v>
      </c>
      <c r="BK355" s="339">
        <v>0</v>
      </c>
      <c r="BL355" s="339">
        <v>0</v>
      </c>
      <c r="BM355" s="339">
        <v>0</v>
      </c>
      <c r="BN355" s="339">
        <v>0</v>
      </c>
      <c r="BO355" s="339">
        <v>0</v>
      </c>
      <c r="BP355" s="339">
        <v>0</v>
      </c>
      <c r="BQ355" s="339">
        <v>0</v>
      </c>
      <c r="BR355" s="339">
        <v>0</v>
      </c>
      <c r="BS355" s="110" t="e">
        <f t="array" aca="1" ref="BS355" ca="1">_xludf.XLOOKUP(D355,'PL TOTAL D0'!N:N,'PL TOTAL D0'!P:P,"")</f>
        <v>#NAME?</v>
      </c>
      <c r="BT355" s="110"/>
    </row>
    <row r="356" spans="1:72" ht="15.75" customHeight="1">
      <c r="A356" s="122" t="s">
        <v>3785</v>
      </c>
      <c r="B356" s="104" t="s">
        <v>4867</v>
      </c>
      <c r="C356" s="122" t="s">
        <v>4868</v>
      </c>
      <c r="D356" s="292">
        <v>4557602</v>
      </c>
      <c r="E356" s="293" t="s">
        <v>64</v>
      </c>
      <c r="F356" s="293" t="s">
        <v>20</v>
      </c>
      <c r="G356" s="293" t="s">
        <v>73</v>
      </c>
      <c r="H356" s="293" t="str">
        <f>IFERROR(VLOOKUP(G356,'Cadastro de assessores'!A:B,2,FALSE),"Não Cadastrado")</f>
        <v>17243</v>
      </c>
      <c r="I356" s="293"/>
      <c r="J356" s="24" t="s">
        <v>3788</v>
      </c>
      <c r="K356" s="293" t="s">
        <v>152</v>
      </c>
      <c r="L356" s="415">
        <v>44165</v>
      </c>
      <c r="M356" s="415">
        <v>44169</v>
      </c>
      <c r="N356" s="292"/>
      <c r="O356" s="292" t="s">
        <v>3789</v>
      </c>
      <c r="P356" s="388">
        <v>0.02</v>
      </c>
      <c r="Q356" s="420"/>
      <c r="R356" s="417"/>
      <c r="S356" s="292" t="str">
        <f t="shared" si="36"/>
        <v>Não Qualificado</v>
      </c>
      <c r="T356" s="292" t="s">
        <v>145</v>
      </c>
      <c r="U356" s="292" t="s">
        <v>3929</v>
      </c>
      <c r="V356" s="292" t="s">
        <v>20</v>
      </c>
      <c r="W356" s="418" t="s">
        <v>3798</v>
      </c>
      <c r="X356" s="418" t="s">
        <v>3798</v>
      </c>
      <c r="Y356" s="418" t="s">
        <v>3798</v>
      </c>
      <c r="Z356" s="418" t="s">
        <v>3798</v>
      </c>
      <c r="AA356" s="418" t="s">
        <v>3798</v>
      </c>
      <c r="AB356" s="418" t="s">
        <v>3798</v>
      </c>
      <c r="AC356" s="418" t="s">
        <v>3798</v>
      </c>
      <c r="AD356" s="418" t="s">
        <v>3798</v>
      </c>
      <c r="AE356" s="418" t="s">
        <v>3798</v>
      </c>
      <c r="AF356" s="418" t="s">
        <v>3798</v>
      </c>
      <c r="AG356" s="418" t="s">
        <v>3798</v>
      </c>
      <c r="AH356" s="418" t="s">
        <v>3798</v>
      </c>
      <c r="AI356" s="418" t="s">
        <v>3798</v>
      </c>
      <c r="AJ356" s="418" t="s">
        <v>3798</v>
      </c>
      <c r="AK356" s="339">
        <v>317233.19</v>
      </c>
      <c r="AL356" s="339">
        <v>309671.52</v>
      </c>
      <c r="AM356" s="339">
        <v>293527.46999999997</v>
      </c>
      <c r="AN356" s="468">
        <v>292200.83</v>
      </c>
      <c r="AO356" s="468">
        <v>305587.8</v>
      </c>
      <c r="AP356" s="339">
        <v>308117.75</v>
      </c>
      <c r="AQ356" s="339">
        <v>306220.64</v>
      </c>
      <c r="AR356" s="339">
        <v>316996.88</v>
      </c>
      <c r="AS356" s="339">
        <v>312758.84999999998</v>
      </c>
      <c r="AT356" s="339">
        <v>303088.8</v>
      </c>
      <c r="AU356" s="339">
        <v>299789.64</v>
      </c>
      <c r="AV356" s="339">
        <v>290114.83</v>
      </c>
      <c r="AW356" s="339">
        <v>275603.76</v>
      </c>
      <c r="AX356" s="339">
        <v>274443.03999999998</v>
      </c>
      <c r="AY356" s="339">
        <v>278831.42</v>
      </c>
      <c r="AZ356" s="339">
        <v>288143.89</v>
      </c>
      <c r="BA356" s="339">
        <v>290898.21999999997</v>
      </c>
      <c r="BB356" s="339">
        <v>304496.45</v>
      </c>
      <c r="BC356" s="339">
        <v>77756.17</v>
      </c>
      <c r="BD356" s="339">
        <v>297564.40999999997</v>
      </c>
      <c r="BE356" s="339">
        <v>291165.57</v>
      </c>
      <c r="BF356" s="339">
        <v>299399.73</v>
      </c>
      <c r="BG356" s="339">
        <v>303840.30859999999</v>
      </c>
      <c r="BH356" s="339">
        <v>301904.36</v>
      </c>
      <c r="BI356" s="339">
        <v>316744.90999999997</v>
      </c>
      <c r="BJ356" s="339">
        <v>317091.53999999998</v>
      </c>
      <c r="BK356" s="339">
        <v>318201.11</v>
      </c>
      <c r="BL356" s="339">
        <v>319067.62</v>
      </c>
      <c r="BM356" s="339">
        <v>317919.15000000002</v>
      </c>
      <c r="BN356" s="339">
        <v>319255.13</v>
      </c>
      <c r="BO356" s="339">
        <v>320710.18</v>
      </c>
      <c r="BP356" s="339">
        <v>318004.18</v>
      </c>
      <c r="BQ356" s="339">
        <v>323912.65000000002</v>
      </c>
      <c r="BR356" s="339">
        <v>0</v>
      </c>
      <c r="BS356" s="110" t="e">
        <f t="array" aca="1" ref="BS356" ca="1">_xludf.XLOOKUP(D356,'PL TOTAL D0'!N:N,'PL TOTAL D0'!P:P,"")</f>
        <v>#NAME?</v>
      </c>
      <c r="BT356" s="110"/>
    </row>
    <row r="357" spans="1:72" ht="15.75" customHeight="1">
      <c r="A357" s="122" t="s">
        <v>3785</v>
      </c>
      <c r="B357" s="104" t="s">
        <v>4869</v>
      </c>
      <c r="C357" s="390" t="s">
        <v>1968</v>
      </c>
      <c r="D357" s="307">
        <v>8993002</v>
      </c>
      <c r="E357" s="292" t="s">
        <v>19</v>
      </c>
      <c r="F357" s="292" t="s">
        <v>49</v>
      </c>
      <c r="G357" s="292" t="s">
        <v>166</v>
      </c>
      <c r="H357" s="293" t="str">
        <f>IFERROR(VLOOKUP(G357,'Cadastro de assessores'!A:B,2,FALSE),"Não Cadastrado")</f>
        <v>18890</v>
      </c>
      <c r="I357" s="293"/>
      <c r="J357" s="24" t="s">
        <v>3788</v>
      </c>
      <c r="K357" s="292" t="s">
        <v>152</v>
      </c>
      <c r="L357" s="387">
        <v>44768</v>
      </c>
      <c r="M357" s="387">
        <v>44769</v>
      </c>
      <c r="N357" s="391"/>
      <c r="O357" s="299" t="s">
        <v>4870</v>
      </c>
      <c r="P357" s="388">
        <v>0.01</v>
      </c>
      <c r="Q357" s="167" t="s">
        <v>3908</v>
      </c>
      <c r="R357" s="417"/>
      <c r="S357" s="292"/>
      <c r="T357" s="292" t="s">
        <v>145</v>
      </c>
      <c r="U357" s="306"/>
      <c r="V357" s="292" t="s">
        <v>39</v>
      </c>
      <c r="W357" s="418"/>
      <c r="X357" s="350"/>
      <c r="Y357" s="350"/>
      <c r="Z357" s="350"/>
      <c r="AA357" s="350"/>
      <c r="AB357" s="350"/>
      <c r="AC357" s="350"/>
      <c r="AD357" s="350"/>
      <c r="AE357" s="350"/>
      <c r="AF357" s="350"/>
      <c r="AG357" s="350"/>
      <c r="AH357" s="350"/>
      <c r="AI357" s="350"/>
      <c r="AJ357" s="350"/>
      <c r="AK357" s="339"/>
      <c r="AL357" s="339"/>
      <c r="AM357" s="339"/>
      <c r="AN357" s="339"/>
      <c r="AO357" s="339"/>
      <c r="AP357" s="339"/>
      <c r="AQ357" s="350"/>
      <c r="AR357" s="340"/>
      <c r="AS357" s="339"/>
      <c r="AT357" s="339"/>
      <c r="AU357" s="339"/>
      <c r="AV357" s="339"/>
      <c r="AW357" s="339"/>
      <c r="AX357" s="339"/>
      <c r="AY357" s="339"/>
      <c r="AZ357" s="339"/>
      <c r="BA357" s="339"/>
      <c r="BB357" s="339"/>
      <c r="BC357" s="339"/>
      <c r="BD357" s="339"/>
      <c r="BE357" s="339"/>
      <c r="BF357" s="339">
        <v>49731.53</v>
      </c>
      <c r="BG357" s="339">
        <v>48826.386839999999</v>
      </c>
      <c r="BH357" s="339">
        <v>48512.35</v>
      </c>
      <c r="BI357" s="339">
        <v>50028.03</v>
      </c>
      <c r="BJ357" s="339">
        <v>47405.94</v>
      </c>
      <c r="BK357" s="339">
        <v>47686.43</v>
      </c>
      <c r="BL357" s="339">
        <v>51036.94</v>
      </c>
      <c r="BM357" s="339">
        <v>0</v>
      </c>
      <c r="BN357" s="339">
        <v>0</v>
      </c>
      <c r="BO357" s="339">
        <v>0</v>
      </c>
      <c r="BP357" s="339">
        <v>0</v>
      </c>
      <c r="BQ357" s="339">
        <v>0</v>
      </c>
      <c r="BR357" s="339">
        <v>0</v>
      </c>
      <c r="BS357" s="110" t="e">
        <f t="array" aca="1" ref="BS357" ca="1">_xludf.XLOOKUP(D357,'PL TOTAL D0'!N:N,'PL TOTAL D0'!P:P,"")</f>
        <v>#NAME?</v>
      </c>
      <c r="BT357" s="110"/>
    </row>
    <row r="358" spans="1:72" ht="15.75" customHeight="1">
      <c r="A358" s="122" t="s">
        <v>3785</v>
      </c>
      <c r="B358" s="104" t="s">
        <v>4869</v>
      </c>
      <c r="C358" s="390" t="s">
        <v>1968</v>
      </c>
      <c r="D358" s="462">
        <v>8688674</v>
      </c>
      <c r="E358" s="292" t="s">
        <v>19</v>
      </c>
      <c r="F358" s="292" t="s">
        <v>49</v>
      </c>
      <c r="G358" s="292" t="s">
        <v>166</v>
      </c>
      <c r="H358" s="293" t="str">
        <f>IFERROR(VLOOKUP(G358,'Cadastro de assessores'!A:B,2,FALSE),"Não Cadastrado")</f>
        <v>18890</v>
      </c>
      <c r="I358" s="293"/>
      <c r="J358" s="24" t="s">
        <v>3788</v>
      </c>
      <c r="K358" s="292" t="s">
        <v>152</v>
      </c>
      <c r="L358" s="387">
        <v>44713</v>
      </c>
      <c r="M358" s="387">
        <v>44714</v>
      </c>
      <c r="N358" s="391"/>
      <c r="O358" s="299" t="s">
        <v>4465</v>
      </c>
      <c r="P358" s="388">
        <v>1.2E-2</v>
      </c>
      <c r="Q358" s="167" t="s">
        <v>3908</v>
      </c>
      <c r="R358" s="417"/>
      <c r="S358" s="292" t="s">
        <v>253</v>
      </c>
      <c r="T358" s="292" t="s">
        <v>145</v>
      </c>
      <c r="U358" s="306" t="s">
        <v>3841</v>
      </c>
      <c r="V358" s="292" t="s">
        <v>49</v>
      </c>
      <c r="W358" s="418"/>
      <c r="X358" s="350"/>
      <c r="Y358" s="350"/>
      <c r="Z358" s="350"/>
      <c r="AA358" s="350"/>
      <c r="AB358" s="350"/>
      <c r="AC358" s="350"/>
      <c r="AD358" s="350"/>
      <c r="AE358" s="350"/>
      <c r="AF358" s="350"/>
      <c r="AG358" s="350"/>
      <c r="AH358" s="350"/>
      <c r="AI358" s="350"/>
      <c r="AJ358" s="350"/>
      <c r="AK358" s="339"/>
      <c r="AL358" s="339"/>
      <c r="AM358" s="339"/>
      <c r="AN358" s="339"/>
      <c r="AO358" s="339"/>
      <c r="AP358" s="339"/>
      <c r="AQ358" s="350"/>
      <c r="AR358" s="340"/>
      <c r="AS358" s="339"/>
      <c r="AT358" s="339"/>
      <c r="AU358" s="339"/>
      <c r="AV358" s="339"/>
      <c r="AW358" s="339"/>
      <c r="AX358" s="339"/>
      <c r="AY358" s="339"/>
      <c r="AZ358" s="339"/>
      <c r="BA358" s="339"/>
      <c r="BB358" s="339"/>
      <c r="BC358" s="339"/>
      <c r="BD358" s="339" t="s">
        <v>2932</v>
      </c>
      <c r="BE358" s="339">
        <v>1410652.59</v>
      </c>
      <c r="BF358" s="339">
        <v>1425464.27</v>
      </c>
      <c r="BG358" s="339">
        <v>1436656.16</v>
      </c>
      <c r="BH358" s="339">
        <v>1446777.59</v>
      </c>
      <c r="BI358" s="339">
        <v>1458166.68</v>
      </c>
      <c r="BJ358" s="339">
        <v>1125921.2</v>
      </c>
      <c r="BK358" s="339">
        <v>1074731.92</v>
      </c>
      <c r="BL358" s="339">
        <v>24168.04</v>
      </c>
      <c r="BM358" s="339">
        <v>349.25</v>
      </c>
      <c r="BN358" s="339">
        <v>349.25</v>
      </c>
      <c r="BO358" s="339">
        <v>349.25</v>
      </c>
      <c r="BP358" s="339">
        <v>349.25</v>
      </c>
      <c r="BQ358" s="339">
        <v>349.25</v>
      </c>
      <c r="BR358" s="339">
        <v>349.25</v>
      </c>
      <c r="BS358" s="110" t="e">
        <f t="array" aca="1" ref="BS358" ca="1">_xludf.XLOOKUP(D358,'PL TOTAL D0'!N:N,'PL TOTAL D0'!P:P,"")</f>
        <v>#NAME?</v>
      </c>
      <c r="BT358" s="110"/>
    </row>
    <row r="359" spans="1:72" ht="15.75" customHeight="1">
      <c r="A359" s="122" t="s">
        <v>3785</v>
      </c>
      <c r="B359" s="104" t="s">
        <v>4871</v>
      </c>
      <c r="C359" s="390" t="s">
        <v>4872</v>
      </c>
      <c r="D359" s="299">
        <v>5593800</v>
      </c>
      <c r="E359" s="292" t="s">
        <v>19</v>
      </c>
      <c r="F359" s="292" t="s">
        <v>49</v>
      </c>
      <c r="G359" s="292" t="s">
        <v>328</v>
      </c>
      <c r="H359" s="299" t="str">
        <f>IFERROR(VLOOKUP(G359,'Cadastro de assessores'!A:B,2,FALSE),"Não Cadastrado")</f>
        <v>18009</v>
      </c>
      <c r="I359" s="299"/>
      <c r="J359" s="24" t="s">
        <v>143</v>
      </c>
      <c r="K359" s="292" t="s">
        <v>3794</v>
      </c>
      <c r="L359" s="387">
        <v>44344</v>
      </c>
      <c r="M359" s="387">
        <v>44344</v>
      </c>
      <c r="N359" s="391">
        <v>44711</v>
      </c>
      <c r="O359" s="299" t="s">
        <v>3789</v>
      </c>
      <c r="P359" s="388">
        <v>0.02</v>
      </c>
      <c r="Q359" s="167" t="s">
        <v>4873</v>
      </c>
      <c r="R359" s="417"/>
      <c r="S359" s="292" t="str">
        <f t="shared" ref="S359:S363" si="37">IF(BC359&lt;=0,"",IF(BC359&lt;=1000000,"Não Qualificado",IF(AND(BC359&gt;1000000,BC359&lt;=10000000),"Qualificado","Profissional")))</f>
        <v>Não Qualificado</v>
      </c>
      <c r="T359" s="292" t="s">
        <v>145</v>
      </c>
      <c r="U359" s="306" t="s">
        <v>3846</v>
      </c>
      <c r="V359" s="292" t="s">
        <v>46</v>
      </c>
      <c r="W359" s="418"/>
      <c r="X359" s="350"/>
      <c r="Y359" s="350"/>
      <c r="Z359" s="350"/>
      <c r="AA359" s="350"/>
      <c r="AB359" s="350"/>
      <c r="AC359" s="350"/>
      <c r="AD359" s="350"/>
      <c r="AE359" s="350"/>
      <c r="AF359" s="350"/>
      <c r="AG359" s="350"/>
      <c r="AH359" s="350"/>
      <c r="AI359" s="350"/>
      <c r="AJ359" s="350"/>
      <c r="AK359" s="339"/>
      <c r="AL359" s="339"/>
      <c r="AM359" s="339"/>
      <c r="AN359" s="339"/>
      <c r="AO359" s="339"/>
      <c r="AP359" s="339"/>
      <c r="AQ359" s="350"/>
      <c r="AR359" s="340">
        <v>140726.9</v>
      </c>
      <c r="AS359" s="339">
        <v>138739.15</v>
      </c>
      <c r="AT359" s="339">
        <v>154241.19</v>
      </c>
      <c r="AU359" s="339">
        <v>152219.51</v>
      </c>
      <c r="AV359" s="339">
        <v>147934.25</v>
      </c>
      <c r="AW359" s="339">
        <v>140647.66</v>
      </c>
      <c r="AX359" s="339">
        <v>140121.88</v>
      </c>
      <c r="AY359" s="339">
        <v>141849.91</v>
      </c>
      <c r="AZ359" s="339">
        <v>146763.74</v>
      </c>
      <c r="BA359" s="339">
        <v>148101.17000000001</v>
      </c>
      <c r="BB359" s="339">
        <v>154192.70000000001</v>
      </c>
      <c r="BC359" s="339">
        <v>615862.32999999996</v>
      </c>
      <c r="BD359" s="339">
        <v>2471.56</v>
      </c>
      <c r="BE359" s="339" t="s">
        <v>2932</v>
      </c>
      <c r="BF359" s="339">
        <v>0</v>
      </c>
      <c r="BG359" s="339">
        <v>0</v>
      </c>
      <c r="BH359" s="339">
        <v>0</v>
      </c>
      <c r="BI359" s="339">
        <v>0</v>
      </c>
      <c r="BJ359" s="339">
        <v>0</v>
      </c>
      <c r="BK359" s="339">
        <v>0</v>
      </c>
      <c r="BL359" s="339">
        <v>0</v>
      </c>
      <c r="BM359" s="339">
        <v>0</v>
      </c>
      <c r="BN359" s="339">
        <v>0</v>
      </c>
      <c r="BO359" s="339">
        <v>0</v>
      </c>
      <c r="BP359" s="339">
        <v>0</v>
      </c>
      <c r="BQ359" s="339">
        <v>0</v>
      </c>
      <c r="BR359" s="339">
        <v>0</v>
      </c>
      <c r="BS359" s="110" t="e">
        <f t="array" aca="1" ref="BS359" ca="1">_xludf.XLOOKUP(D359,'PL TOTAL D0'!N:N,'PL TOTAL D0'!P:P,"")</f>
        <v>#NAME?</v>
      </c>
      <c r="BT359" s="110"/>
    </row>
    <row r="360" spans="1:72" ht="15.75" customHeight="1">
      <c r="A360" s="122" t="s">
        <v>3785</v>
      </c>
      <c r="B360" s="104" t="s">
        <v>4874</v>
      </c>
      <c r="C360" s="390" t="s">
        <v>4875</v>
      </c>
      <c r="D360" s="299">
        <v>6493585</v>
      </c>
      <c r="E360" s="293" t="s">
        <v>64</v>
      </c>
      <c r="F360" s="293" t="s">
        <v>20</v>
      </c>
      <c r="G360" s="293" t="s">
        <v>3862</v>
      </c>
      <c r="H360" s="426" t="str">
        <f>IFERROR(VLOOKUP(G360,'Cadastro de assessores'!A:B,2,FALSE),"Não Cadastrado")</f>
        <v>1298</v>
      </c>
      <c r="I360" s="426"/>
      <c r="J360" s="24" t="s">
        <v>3788</v>
      </c>
      <c r="K360" s="293" t="s">
        <v>152</v>
      </c>
      <c r="L360" s="415">
        <v>44449</v>
      </c>
      <c r="M360" s="415">
        <v>44452</v>
      </c>
      <c r="N360" s="426"/>
      <c r="O360" s="426" t="s">
        <v>3805</v>
      </c>
      <c r="P360" s="388">
        <v>1.2E-2</v>
      </c>
      <c r="Q360" s="420"/>
      <c r="R360" s="417"/>
      <c r="S360" s="292" t="str">
        <f t="shared" si="37"/>
        <v>Não Qualificado</v>
      </c>
      <c r="T360" s="292" t="s">
        <v>145</v>
      </c>
      <c r="U360" s="307" t="s">
        <v>4094</v>
      </c>
      <c r="V360" s="292" t="s">
        <v>46</v>
      </c>
      <c r="W360" s="418"/>
      <c r="X360" s="350"/>
      <c r="Y360" s="350"/>
      <c r="Z360" s="350"/>
      <c r="AA360" s="350"/>
      <c r="AB360" s="350"/>
      <c r="AC360" s="350"/>
      <c r="AD360" s="350"/>
      <c r="AE360" s="350"/>
      <c r="AF360" s="350"/>
      <c r="AG360" s="350"/>
      <c r="AH360" s="418"/>
      <c r="AI360" s="418"/>
      <c r="AJ360" s="339"/>
      <c r="AK360" s="339"/>
      <c r="AL360" s="339"/>
      <c r="AM360" s="339"/>
      <c r="AN360" s="339"/>
      <c r="AO360" s="339"/>
      <c r="AP360" s="339"/>
      <c r="AQ360" s="339"/>
      <c r="AR360" s="339"/>
      <c r="AS360" s="339"/>
      <c r="AT360" s="339"/>
      <c r="AU360" s="350"/>
      <c r="AV360" s="339">
        <v>198562.71</v>
      </c>
      <c r="AW360" s="339">
        <v>195922.54</v>
      </c>
      <c r="AX360" s="339">
        <v>196248.35</v>
      </c>
      <c r="AY360" s="339">
        <v>198014.73</v>
      </c>
      <c r="AZ360" s="339">
        <v>204922.36</v>
      </c>
      <c r="BA360" s="339">
        <v>206477.71</v>
      </c>
      <c r="BB360" s="339">
        <v>210700.79</v>
      </c>
      <c r="BC360" s="339">
        <v>125961.82</v>
      </c>
      <c r="BD360" s="339">
        <v>210823.62</v>
      </c>
      <c r="BE360" s="339">
        <v>211478.38</v>
      </c>
      <c r="BF360" s="339">
        <v>214620.19</v>
      </c>
      <c r="BG360" s="339">
        <v>216976.79629999999</v>
      </c>
      <c r="BH360" s="339">
        <v>218673.21</v>
      </c>
      <c r="BI360" s="339">
        <v>223114.13</v>
      </c>
      <c r="BJ360" s="339">
        <v>223849.49</v>
      </c>
      <c r="BK360" s="339">
        <v>225840.6</v>
      </c>
      <c r="BL360" s="339">
        <v>228494.33</v>
      </c>
      <c r="BM360" s="339">
        <v>230102.72</v>
      </c>
      <c r="BN360" s="339">
        <v>228315.04</v>
      </c>
      <c r="BO360" s="339">
        <v>0</v>
      </c>
      <c r="BP360" s="339">
        <v>0</v>
      </c>
      <c r="BQ360" s="339">
        <v>0</v>
      </c>
      <c r="BR360" s="339">
        <v>0</v>
      </c>
      <c r="BS360" s="110" t="e">
        <f t="array" aca="1" ref="BS360" ca="1">_xludf.XLOOKUP(D360,'PL TOTAL D0'!N:N,'PL TOTAL D0'!P:P,"")</f>
        <v>#NAME?</v>
      </c>
      <c r="BT360" s="110"/>
    </row>
    <row r="361" spans="1:72" ht="15.75" customHeight="1">
      <c r="A361" s="122" t="s">
        <v>3785</v>
      </c>
      <c r="B361" s="104" t="s">
        <v>4876</v>
      </c>
      <c r="C361" s="390" t="s">
        <v>4877</v>
      </c>
      <c r="D361" s="299">
        <v>6980115</v>
      </c>
      <c r="E361" s="299" t="s">
        <v>19</v>
      </c>
      <c r="F361" s="299" t="s">
        <v>49</v>
      </c>
      <c r="G361" s="299" t="s">
        <v>4134</v>
      </c>
      <c r="H361" s="299" t="str">
        <f>IFERROR(VLOOKUP(G361,'Cadastro de assessores'!A:B,2,FALSE),"Não Cadastrado")</f>
        <v>14294</v>
      </c>
      <c r="I361" s="299"/>
      <c r="J361" s="24" t="s">
        <v>143</v>
      </c>
      <c r="K361" s="292" t="s">
        <v>3794</v>
      </c>
      <c r="L361" s="419">
        <v>44517</v>
      </c>
      <c r="M361" s="419">
        <v>44517</v>
      </c>
      <c r="N361" s="391">
        <v>44816</v>
      </c>
      <c r="O361" s="299" t="s">
        <v>3842</v>
      </c>
      <c r="P361" s="388">
        <v>8.0000000000000002E-3</v>
      </c>
      <c r="Q361" s="311" t="s">
        <v>4878</v>
      </c>
      <c r="R361" s="417"/>
      <c r="S361" s="292" t="str">
        <f t="shared" si="37"/>
        <v>Não Qualificado</v>
      </c>
      <c r="T361" s="292" t="s">
        <v>145</v>
      </c>
      <c r="U361" s="307" t="s">
        <v>4879</v>
      </c>
      <c r="V361" s="292" t="s">
        <v>46</v>
      </c>
      <c r="W361" s="418"/>
      <c r="X361" s="350"/>
      <c r="Y361" s="350"/>
      <c r="Z361" s="350"/>
      <c r="AA361" s="350"/>
      <c r="AB361" s="350"/>
      <c r="AC361" s="350"/>
      <c r="AD361" s="350"/>
      <c r="AE361" s="350"/>
      <c r="AF361" s="350"/>
      <c r="AG361" s="350"/>
      <c r="AH361" s="418"/>
      <c r="AI361" s="339"/>
      <c r="AJ361" s="339"/>
      <c r="AK361" s="339"/>
      <c r="AL361" s="339"/>
      <c r="AM361" s="339"/>
      <c r="AN361" s="339"/>
      <c r="AO361" s="339"/>
      <c r="AP361" s="339"/>
      <c r="AQ361" s="339"/>
      <c r="AR361" s="339"/>
      <c r="AS361" s="339"/>
      <c r="AT361" s="350"/>
      <c r="AU361" s="339"/>
      <c r="AV361" s="339"/>
      <c r="AW361" s="350"/>
      <c r="AX361" s="340"/>
      <c r="AY361" s="340">
        <v>622112.9</v>
      </c>
      <c r="AZ361" s="339">
        <v>624171.54</v>
      </c>
      <c r="BA361" s="339">
        <v>624168.06000000006</v>
      </c>
      <c r="BB361" s="339">
        <v>630465.5</v>
      </c>
      <c r="BC361" s="339">
        <v>103037.99</v>
      </c>
      <c r="BD361" s="339">
        <v>636032.88</v>
      </c>
      <c r="BE361" s="339">
        <v>635429.69999999995</v>
      </c>
      <c r="BF361" s="339">
        <v>643027.28</v>
      </c>
      <c r="BG361" s="339">
        <v>659761.02</v>
      </c>
      <c r="BH361" s="339">
        <v>0</v>
      </c>
      <c r="BI361" s="339">
        <v>0</v>
      </c>
      <c r="BJ361" s="339">
        <v>0</v>
      </c>
      <c r="BK361" s="339">
        <v>0</v>
      </c>
      <c r="BL361" s="339">
        <v>0</v>
      </c>
      <c r="BM361" s="339">
        <v>0</v>
      </c>
      <c r="BN361" s="339">
        <v>0</v>
      </c>
      <c r="BO361" s="339">
        <v>0</v>
      </c>
      <c r="BP361" s="339">
        <v>0</v>
      </c>
      <c r="BQ361" s="339">
        <v>0</v>
      </c>
      <c r="BR361" s="339">
        <v>0</v>
      </c>
      <c r="BS361" s="110" t="e">
        <f t="array" aca="1" ref="BS361" ca="1">_xludf.XLOOKUP(D361,'PL TOTAL D0'!N:N,'PL TOTAL D0'!P:P,"")</f>
        <v>#NAME?</v>
      </c>
      <c r="BT361" s="110"/>
    </row>
    <row r="362" spans="1:72" ht="15.75" customHeight="1">
      <c r="A362" s="122" t="s">
        <v>3785</v>
      </c>
      <c r="B362" s="104" t="s">
        <v>4880</v>
      </c>
      <c r="C362" s="390" t="s">
        <v>4881</v>
      </c>
      <c r="D362" s="299">
        <v>7719774</v>
      </c>
      <c r="E362" s="293" t="s">
        <v>64</v>
      </c>
      <c r="F362" s="293" t="s">
        <v>20</v>
      </c>
      <c r="G362" s="293" t="s">
        <v>3853</v>
      </c>
      <c r="H362" s="426" t="str">
        <f>IFERROR(VLOOKUP(G362,'Cadastro de assessores'!A:B,2,FALSE),"Não Cadastrado")</f>
        <v>1441</v>
      </c>
      <c r="I362" s="426"/>
      <c r="J362" s="24" t="s">
        <v>143</v>
      </c>
      <c r="K362" s="293" t="s">
        <v>152</v>
      </c>
      <c r="L362" s="415">
        <v>44585</v>
      </c>
      <c r="M362" s="415">
        <v>44599</v>
      </c>
      <c r="N362" s="447">
        <v>44886</v>
      </c>
      <c r="O362" s="299" t="s">
        <v>3842</v>
      </c>
      <c r="P362" s="388">
        <v>8.0000000000000002E-3</v>
      </c>
      <c r="Q362" s="167" t="s">
        <v>4882</v>
      </c>
      <c r="R362" s="417"/>
      <c r="S362" s="292" t="str">
        <f t="shared" si="37"/>
        <v>Não Qualificado</v>
      </c>
      <c r="T362" s="292" t="s">
        <v>145</v>
      </c>
      <c r="U362" s="299" t="s">
        <v>4178</v>
      </c>
      <c r="V362" s="292" t="s">
        <v>20</v>
      </c>
      <c r="W362" s="418"/>
      <c r="X362" s="350"/>
      <c r="Y362" s="350"/>
      <c r="Z362" s="350"/>
      <c r="AA362" s="350"/>
      <c r="AB362" s="350"/>
      <c r="AC362" s="350"/>
      <c r="AD362" s="350"/>
      <c r="AE362" s="350"/>
      <c r="AF362" s="350"/>
      <c r="AG362" s="350"/>
      <c r="AH362" s="350"/>
      <c r="AI362" s="418"/>
      <c r="AJ362" s="339"/>
      <c r="AK362" s="339"/>
      <c r="AL362" s="339"/>
      <c r="AM362" s="339"/>
      <c r="AN362" s="339"/>
      <c r="AO362" s="339"/>
      <c r="AP362" s="339"/>
      <c r="AQ362" s="339"/>
      <c r="AR362" s="339"/>
      <c r="AS362" s="339"/>
      <c r="AT362" s="339"/>
      <c r="AU362" s="350"/>
      <c r="AV362" s="339"/>
      <c r="AW362" s="339"/>
      <c r="AX362" s="339"/>
      <c r="AY362" s="339"/>
      <c r="AZ362" s="339"/>
      <c r="BA362" s="339">
        <v>1494682.24</v>
      </c>
      <c r="BB362" s="339">
        <v>1508520.52</v>
      </c>
      <c r="BC362" s="339">
        <v>428250.24</v>
      </c>
      <c r="BD362" s="339">
        <v>1487446.66</v>
      </c>
      <c r="BE362" s="339">
        <v>1468469.96</v>
      </c>
      <c r="BF362" s="339">
        <v>1464005.56</v>
      </c>
      <c r="BG362" s="339">
        <v>1483441.68</v>
      </c>
      <c r="BH362" s="339">
        <v>1470140.64</v>
      </c>
      <c r="BI362" s="339">
        <v>1474076.27</v>
      </c>
      <c r="BJ362" s="339">
        <v>0</v>
      </c>
      <c r="BK362" s="339">
        <v>0</v>
      </c>
      <c r="BL362" s="339">
        <v>0</v>
      </c>
      <c r="BM362" s="339">
        <v>0</v>
      </c>
      <c r="BN362" s="339">
        <v>0</v>
      </c>
      <c r="BO362" s="339">
        <v>0</v>
      </c>
      <c r="BP362" s="339">
        <v>0</v>
      </c>
      <c r="BQ362" s="339">
        <v>0</v>
      </c>
      <c r="BR362" s="339">
        <v>0</v>
      </c>
      <c r="BS362" s="110" t="e">
        <f t="array" aca="1" ref="BS362" ca="1">_xludf.XLOOKUP(D362,'PL TOTAL D0'!N:N,'PL TOTAL D0'!P:P,"")</f>
        <v>#NAME?</v>
      </c>
      <c r="BT362" s="110"/>
    </row>
    <row r="363" spans="1:72" ht="15.75" customHeight="1">
      <c r="A363" s="122" t="s">
        <v>3785</v>
      </c>
      <c r="B363" s="104" t="s">
        <v>1988</v>
      </c>
      <c r="C363" s="390" t="s">
        <v>4883</v>
      </c>
      <c r="D363" s="299">
        <v>6604192</v>
      </c>
      <c r="E363" s="293" t="s">
        <v>19</v>
      </c>
      <c r="F363" s="293" t="s">
        <v>20</v>
      </c>
      <c r="G363" s="293" t="s">
        <v>800</v>
      </c>
      <c r="H363" s="293" t="str">
        <f>IFERROR(VLOOKUP(G363,'Cadastro de assessores'!A:B,2,FALSE),"Não Cadastrado")</f>
        <v>18467</v>
      </c>
      <c r="I363" s="293"/>
      <c r="J363" s="24" t="s">
        <v>3788</v>
      </c>
      <c r="K363" s="293" t="s">
        <v>152</v>
      </c>
      <c r="L363" s="415">
        <v>44460</v>
      </c>
      <c r="M363" s="415">
        <v>44460</v>
      </c>
      <c r="N363" s="299"/>
      <c r="O363" s="299" t="s">
        <v>3802</v>
      </c>
      <c r="P363" s="388">
        <v>7.0000000000000001E-3</v>
      </c>
      <c r="Q363" s="167"/>
      <c r="R363" s="417"/>
      <c r="S363" s="292" t="str">
        <f t="shared" si="37"/>
        <v>Não Qualificado</v>
      </c>
      <c r="T363" s="292" t="s">
        <v>145</v>
      </c>
      <c r="U363" s="299" t="s">
        <v>4884</v>
      </c>
      <c r="V363" s="292" t="s">
        <v>46</v>
      </c>
      <c r="W363" s="418"/>
      <c r="X363" s="350"/>
      <c r="Y363" s="350"/>
      <c r="Z363" s="350"/>
      <c r="AA363" s="350"/>
      <c r="AB363" s="350"/>
      <c r="AC363" s="350"/>
      <c r="AD363" s="350"/>
      <c r="AE363" s="350"/>
      <c r="AF363" s="350"/>
      <c r="AG363" s="350"/>
      <c r="AH363" s="350"/>
      <c r="AI363" s="418"/>
      <c r="AJ363" s="339"/>
      <c r="AK363" s="339"/>
      <c r="AL363" s="339"/>
      <c r="AM363" s="339"/>
      <c r="AN363" s="339"/>
      <c r="AO363" s="339"/>
      <c r="AP363" s="339"/>
      <c r="AQ363" s="339"/>
      <c r="AR363" s="339"/>
      <c r="AS363" s="339"/>
      <c r="AT363" s="339"/>
      <c r="AU363" s="350"/>
      <c r="AV363" s="339"/>
      <c r="AW363" s="339">
        <v>304470.2</v>
      </c>
      <c r="AX363" s="339">
        <v>308141.15000000002</v>
      </c>
      <c r="AY363" s="339">
        <v>311235.90000000002</v>
      </c>
      <c r="AZ363" s="339">
        <v>313997.40000000002</v>
      </c>
      <c r="BA363" s="339">
        <v>316637.57</v>
      </c>
      <c r="BB363" s="339">
        <v>321013.12</v>
      </c>
      <c r="BC363" s="339">
        <v>613885.82999999996</v>
      </c>
      <c r="BD363" s="339">
        <v>1522449.36</v>
      </c>
      <c r="BE363" s="339">
        <v>1534249.84</v>
      </c>
      <c r="BF363" s="339">
        <v>1522770.63</v>
      </c>
      <c r="BG363" s="339">
        <v>1539560.9410000001</v>
      </c>
      <c r="BH363" s="339">
        <v>1551122.53</v>
      </c>
      <c r="BI363" s="339">
        <v>1562293.26</v>
      </c>
      <c r="BJ363" s="339">
        <v>1559919.75</v>
      </c>
      <c r="BK363" s="339">
        <v>1572668.71</v>
      </c>
      <c r="BL363" s="339">
        <v>1582665.74</v>
      </c>
      <c r="BM363" s="339">
        <v>1589417.95</v>
      </c>
      <c r="BN363" s="339">
        <v>0</v>
      </c>
      <c r="BO363" s="339">
        <v>0</v>
      </c>
      <c r="BP363" s="339">
        <v>0</v>
      </c>
      <c r="BQ363" s="339">
        <v>0</v>
      </c>
      <c r="BR363" s="339">
        <v>0</v>
      </c>
      <c r="BS363" s="110" t="e">
        <f t="array" aca="1" ref="BS363" ca="1">_xludf.XLOOKUP(D363,'PL TOTAL D0'!N:N,'PL TOTAL D0'!P:P,"")</f>
        <v>#NAME?</v>
      </c>
      <c r="BT363" s="110"/>
    </row>
    <row r="364" spans="1:72" ht="15.75" customHeight="1">
      <c r="A364" s="122" t="s">
        <v>3785</v>
      </c>
      <c r="B364" s="104" t="s">
        <v>1994</v>
      </c>
      <c r="C364" s="390" t="s">
        <v>4885</v>
      </c>
      <c r="D364" s="299">
        <v>6065019</v>
      </c>
      <c r="E364" s="293" t="s">
        <v>19</v>
      </c>
      <c r="F364" s="292" t="s">
        <v>49</v>
      </c>
      <c r="G364" s="292" t="s">
        <v>166</v>
      </c>
      <c r="H364" s="293" t="str">
        <f>IFERROR(VLOOKUP(G364,'Cadastro de assessores'!A:B,2,FALSE),"Não Cadastrado")</f>
        <v>18890</v>
      </c>
      <c r="I364" s="293"/>
      <c r="J364" s="24" t="s">
        <v>3788</v>
      </c>
      <c r="K364" s="292" t="s">
        <v>152</v>
      </c>
      <c r="L364" s="387">
        <v>44746</v>
      </c>
      <c r="M364" s="387">
        <v>44749</v>
      </c>
      <c r="N364" s="292"/>
      <c r="O364" s="292" t="s">
        <v>3802</v>
      </c>
      <c r="P364" s="388">
        <v>7.0000000000000001E-3</v>
      </c>
      <c r="Q364" s="420" t="s">
        <v>3908</v>
      </c>
      <c r="R364" s="417"/>
      <c r="S364" s="292" t="s">
        <v>253</v>
      </c>
      <c r="T364" s="292" t="s">
        <v>145</v>
      </c>
      <c r="U364" s="292" t="s">
        <v>3841</v>
      </c>
      <c r="V364" s="292" t="s">
        <v>49</v>
      </c>
      <c r="W364" s="418"/>
      <c r="X364" s="418"/>
      <c r="Y364" s="418"/>
      <c r="Z364" s="418"/>
      <c r="AA364" s="418"/>
      <c r="AB364" s="418"/>
      <c r="AC364" s="418"/>
      <c r="AD364" s="418"/>
      <c r="AE364" s="418"/>
      <c r="AF364" s="418"/>
      <c r="AG364" s="418"/>
      <c r="AH364" s="418"/>
      <c r="AI364" s="418"/>
      <c r="AJ364" s="418"/>
      <c r="AK364" s="339"/>
      <c r="AL364" s="339"/>
      <c r="AM364" s="339"/>
      <c r="AN364" s="339"/>
      <c r="AO364" s="339"/>
      <c r="AP364" s="339"/>
      <c r="AQ364" s="339"/>
      <c r="AR364" s="339"/>
      <c r="AS364" s="339"/>
      <c r="AT364" s="339"/>
      <c r="AU364" s="339"/>
      <c r="AV364" s="339"/>
      <c r="AW364" s="339"/>
      <c r="AX364" s="339"/>
      <c r="AY364" s="339"/>
      <c r="AZ364" s="339"/>
      <c r="BA364" s="339"/>
      <c r="BB364" s="339"/>
      <c r="BC364" s="339"/>
      <c r="BD364" s="339"/>
      <c r="BE364" s="339" t="s">
        <v>2932</v>
      </c>
      <c r="BF364" s="339">
        <v>12131.07</v>
      </c>
      <c r="BG364" s="339">
        <v>18739.935860000001</v>
      </c>
      <c r="BH364" s="339">
        <v>24777.15</v>
      </c>
      <c r="BI364" s="339">
        <v>30855.599999999999</v>
      </c>
      <c r="BJ364" s="339">
        <v>29896.26</v>
      </c>
      <c r="BK364" s="339">
        <v>100317.87</v>
      </c>
      <c r="BL364" s="339">
        <v>11798.19</v>
      </c>
      <c r="BM364" s="339">
        <v>854.79</v>
      </c>
      <c r="BN364" s="339">
        <v>855.05</v>
      </c>
      <c r="BO364" s="339">
        <v>0.03</v>
      </c>
      <c r="BP364" s="339">
        <v>0.03</v>
      </c>
      <c r="BQ364" s="339">
        <v>0.03</v>
      </c>
      <c r="BR364" s="339">
        <v>0.03</v>
      </c>
      <c r="BS364" s="110" t="e">
        <f t="array" aca="1" ref="BS364" ca="1">_xludf.XLOOKUP(D364,'PL TOTAL D0'!N:N,'PL TOTAL D0'!P:P,"")</f>
        <v>#NAME?</v>
      </c>
      <c r="BT364" s="110"/>
    </row>
    <row r="365" spans="1:72" ht="15.75" customHeight="1">
      <c r="A365" s="122" t="s">
        <v>3785</v>
      </c>
      <c r="B365" s="104" t="s">
        <v>1998</v>
      </c>
      <c r="C365" s="390" t="s">
        <v>1995</v>
      </c>
      <c r="D365" s="299">
        <v>8688629</v>
      </c>
      <c r="E365" s="292" t="s">
        <v>19</v>
      </c>
      <c r="F365" s="292" t="s">
        <v>49</v>
      </c>
      <c r="G365" s="292" t="s">
        <v>166</v>
      </c>
      <c r="H365" s="293" t="str">
        <f>IFERROR(VLOOKUP(G365,'Cadastro de assessores'!A:B,2,FALSE),"Não Cadastrado")</f>
        <v>18890</v>
      </c>
      <c r="I365" s="293"/>
      <c r="J365" s="24" t="s">
        <v>3788</v>
      </c>
      <c r="K365" s="292" t="s">
        <v>152</v>
      </c>
      <c r="L365" s="387">
        <v>44712</v>
      </c>
      <c r="M365" s="387">
        <v>44714</v>
      </c>
      <c r="N365" s="292"/>
      <c r="O365" s="292" t="s">
        <v>4465</v>
      </c>
      <c r="P365" s="388">
        <v>1.2E-2</v>
      </c>
      <c r="Q365" s="420" t="s">
        <v>3908</v>
      </c>
      <c r="R365" s="417"/>
      <c r="S365" s="292"/>
      <c r="T365" s="292" t="s">
        <v>145</v>
      </c>
      <c r="U365" s="292" t="s">
        <v>3841</v>
      </c>
      <c r="V365" s="292" t="s">
        <v>49</v>
      </c>
      <c r="W365" s="418"/>
      <c r="X365" s="418"/>
      <c r="Y365" s="418"/>
      <c r="Z365" s="418"/>
      <c r="AA365" s="418"/>
      <c r="AB365" s="418"/>
      <c r="AC365" s="418"/>
      <c r="AD365" s="418"/>
      <c r="AE365" s="418"/>
      <c r="AF365" s="418"/>
      <c r="AG365" s="418"/>
      <c r="AH365" s="418"/>
      <c r="AI365" s="418"/>
      <c r="AJ365" s="418"/>
      <c r="AK365" s="339"/>
      <c r="AL365" s="339"/>
      <c r="AM365" s="339"/>
      <c r="AN365" s="339"/>
      <c r="AO365" s="339"/>
      <c r="AP365" s="339"/>
      <c r="AQ365" s="339"/>
      <c r="AR365" s="339"/>
      <c r="AS365" s="339"/>
      <c r="AT365" s="339"/>
      <c r="AU365" s="339"/>
      <c r="AV365" s="339"/>
      <c r="AW365" s="339"/>
      <c r="AX365" s="339"/>
      <c r="AY365" s="339"/>
      <c r="AZ365" s="339"/>
      <c r="BA365" s="339"/>
      <c r="BB365" s="339"/>
      <c r="BC365" s="339"/>
      <c r="BD365" s="339" t="s">
        <v>2932</v>
      </c>
      <c r="BE365" s="339">
        <v>1612243.57</v>
      </c>
      <c r="BF365" s="339">
        <v>1628226.75</v>
      </c>
      <c r="BG365" s="339">
        <v>1637936.9580000001</v>
      </c>
      <c r="BH365" s="339">
        <v>1646828.42</v>
      </c>
      <c r="BI365" s="339">
        <v>1661295.01</v>
      </c>
      <c r="BJ365" s="339">
        <v>1674139.22</v>
      </c>
      <c r="BK365" s="339">
        <v>1687918.14</v>
      </c>
      <c r="BL365" s="339">
        <v>53711.29</v>
      </c>
      <c r="BM365" s="339">
        <v>443.33</v>
      </c>
      <c r="BN365" s="339">
        <v>0.59</v>
      </c>
      <c r="BO365" s="339">
        <v>0.59</v>
      </c>
      <c r="BP365" s="339">
        <v>0.59</v>
      </c>
      <c r="BQ365" s="339">
        <v>0.59</v>
      </c>
      <c r="BR365" s="339">
        <v>0.59</v>
      </c>
      <c r="BS365" s="110" t="e">
        <f t="array" aca="1" ref="BS365" ca="1">_xludf.XLOOKUP(D365,'PL TOTAL D0'!N:N,'PL TOTAL D0'!P:P,"")</f>
        <v>#NAME?</v>
      </c>
      <c r="BT365" s="110"/>
    </row>
    <row r="366" spans="1:72" ht="15.75" customHeight="1">
      <c r="A366" s="122" t="s">
        <v>3785</v>
      </c>
      <c r="B366" s="104" t="s">
        <v>2003</v>
      </c>
      <c r="C366" s="122" t="s">
        <v>2000</v>
      </c>
      <c r="D366" s="292">
        <v>9268978</v>
      </c>
      <c r="E366" s="293" t="s">
        <v>19</v>
      </c>
      <c r="F366" s="293" t="s">
        <v>49</v>
      </c>
      <c r="G366" s="293" t="s">
        <v>50</v>
      </c>
      <c r="H366" s="293">
        <f>IFERROR(VLOOKUP(G366,'Cadastro de assessores'!A:B,2,FALSE),"Não Cadastrado")</f>
        <v>12331</v>
      </c>
      <c r="I366" s="293"/>
      <c r="J366" s="24" t="s">
        <v>3788</v>
      </c>
      <c r="K366" s="292"/>
      <c r="L366" s="387">
        <v>44826</v>
      </c>
      <c r="M366" s="387">
        <v>44832</v>
      </c>
      <c r="N366" s="292"/>
      <c r="O366" s="292" t="s">
        <v>3802</v>
      </c>
      <c r="P366" s="388">
        <v>0.01</v>
      </c>
      <c r="Q366" s="420" t="s">
        <v>4886</v>
      </c>
      <c r="R366" s="417"/>
      <c r="S366" s="292"/>
      <c r="T366" s="292"/>
      <c r="U366" s="292"/>
      <c r="V366" s="292" t="s">
        <v>49</v>
      </c>
      <c r="W366" s="418"/>
      <c r="X366" s="418"/>
      <c r="Y366" s="418"/>
      <c r="Z366" s="418"/>
      <c r="AA366" s="418"/>
      <c r="AB366" s="418"/>
      <c r="AC366" s="418"/>
      <c r="AD366" s="418"/>
      <c r="AE366" s="418"/>
      <c r="AF366" s="418"/>
      <c r="AG366" s="418"/>
      <c r="AH366" s="418"/>
      <c r="AI366" s="418"/>
      <c r="AJ366" s="418"/>
      <c r="AK366" s="339"/>
      <c r="AL366" s="339"/>
      <c r="AM366" s="339"/>
      <c r="AN366" s="339"/>
      <c r="AO366" s="339"/>
      <c r="AP366" s="339"/>
      <c r="AQ366" s="339"/>
      <c r="AR366" s="339"/>
      <c r="AS366" s="339"/>
      <c r="AT366" s="339"/>
      <c r="AU366" s="339"/>
      <c r="AV366" s="339"/>
      <c r="AW366" s="339"/>
      <c r="AX366" s="339"/>
      <c r="AY366" s="339"/>
      <c r="AZ366" s="339"/>
      <c r="BA366" s="339"/>
      <c r="BB366" s="339"/>
      <c r="BC366" s="339"/>
      <c r="BD366" s="339"/>
      <c r="BE366" s="339"/>
      <c r="BF366" s="339"/>
      <c r="BG366" s="339"/>
      <c r="BH366" s="339">
        <v>210135.77</v>
      </c>
      <c r="BI366" s="339">
        <v>220039.16</v>
      </c>
      <c r="BJ366" s="339">
        <v>225153.08</v>
      </c>
      <c r="BK366" s="339">
        <v>227412.2</v>
      </c>
      <c r="BL366" s="339">
        <v>78119.87</v>
      </c>
      <c r="BM366" s="339">
        <v>419.2</v>
      </c>
      <c r="BN366" s="339">
        <v>0</v>
      </c>
      <c r="BO366" s="339">
        <v>0</v>
      </c>
      <c r="BP366" s="339">
        <v>0</v>
      </c>
      <c r="BQ366" s="339">
        <v>0</v>
      </c>
      <c r="BR366" s="339">
        <v>0</v>
      </c>
      <c r="BS366" s="110" t="e">
        <f t="array" aca="1" ref="BS366" ca="1">_xludf.XLOOKUP(D366,'PL TOTAL D0'!N:N,'PL TOTAL D0'!P:P,"")</f>
        <v>#NAME?</v>
      </c>
      <c r="BT366" s="110"/>
    </row>
    <row r="367" spans="1:72" ht="15.75" customHeight="1">
      <c r="A367" s="122" t="s">
        <v>3785</v>
      </c>
      <c r="B367" s="104" t="s">
        <v>4887</v>
      </c>
      <c r="C367" s="122" t="s">
        <v>4888</v>
      </c>
      <c r="D367" s="292">
        <v>4488691</v>
      </c>
      <c r="E367" s="293" t="s">
        <v>19</v>
      </c>
      <c r="F367" s="293" t="s">
        <v>20</v>
      </c>
      <c r="G367" s="293" t="s">
        <v>3793</v>
      </c>
      <c r="H367" s="293" t="str">
        <f>IFERROR(VLOOKUP(G367,'Cadastro de assessores'!A:B,2,FALSE),"Não Cadastrado")</f>
        <v>17679</v>
      </c>
      <c r="I367" s="293"/>
      <c r="J367" s="24" t="s">
        <v>3788</v>
      </c>
      <c r="K367" s="292" t="s">
        <v>161</v>
      </c>
      <c r="L367" s="292" t="s">
        <v>3147</v>
      </c>
      <c r="M367" s="436" t="s">
        <v>4177</v>
      </c>
      <c r="N367" s="292"/>
      <c r="O367" s="292" t="s">
        <v>3805</v>
      </c>
      <c r="P367" s="388">
        <v>1.2E-2</v>
      </c>
      <c r="Q367" s="420"/>
      <c r="R367" s="417"/>
      <c r="S367" s="292" t="str">
        <f t="shared" ref="S367:S372" si="38">IF(BC367&lt;=0,"",IF(BC367&lt;=1000000,"Não Qualificado",IF(AND(BC367&gt;1000000,BC367&lt;=10000000),"Qualificado","Profissional")))</f>
        <v>Não Qualificado</v>
      </c>
      <c r="T367" s="292" t="s">
        <v>145</v>
      </c>
      <c r="U367" s="292" t="s">
        <v>3811</v>
      </c>
      <c r="V367" s="292" t="s">
        <v>20</v>
      </c>
      <c r="W367" s="418" t="s">
        <v>3798</v>
      </c>
      <c r="X367" s="418" t="s">
        <v>3798</v>
      </c>
      <c r="Y367" s="418" t="s">
        <v>3798</v>
      </c>
      <c r="Z367" s="418" t="s">
        <v>3798</v>
      </c>
      <c r="AA367" s="418" t="s">
        <v>3798</v>
      </c>
      <c r="AB367" s="418" t="s">
        <v>3798</v>
      </c>
      <c r="AC367" s="418" t="s">
        <v>3798</v>
      </c>
      <c r="AD367" s="418" t="s">
        <v>3798</v>
      </c>
      <c r="AE367" s="418" t="s">
        <v>3798</v>
      </c>
      <c r="AF367" s="418" t="s">
        <v>3798</v>
      </c>
      <c r="AG367" s="418" t="s">
        <v>3798</v>
      </c>
      <c r="AH367" s="418" t="s">
        <v>3798</v>
      </c>
      <c r="AI367" s="418" t="s">
        <v>3798</v>
      </c>
      <c r="AJ367" s="418" t="s">
        <v>3798</v>
      </c>
      <c r="AK367" s="339" t="s">
        <v>3147</v>
      </c>
      <c r="AL367" s="339"/>
      <c r="AM367" s="339" t="s">
        <v>3147</v>
      </c>
      <c r="AN367" s="339" t="s">
        <v>3147</v>
      </c>
      <c r="AO367" s="339"/>
      <c r="AP367" s="339"/>
      <c r="AQ367" s="339"/>
      <c r="AR367" s="339"/>
      <c r="AS367" s="339"/>
      <c r="AT367" s="339"/>
      <c r="AU367" s="339"/>
      <c r="AV367" s="339"/>
      <c r="AW367" s="339"/>
      <c r="AX367" s="339"/>
      <c r="AY367" s="339"/>
      <c r="AZ367" s="339"/>
      <c r="BA367" s="339">
        <v>0</v>
      </c>
      <c r="BB367" s="339">
        <v>0</v>
      </c>
      <c r="BC367" s="339">
        <v>12149.7</v>
      </c>
      <c r="BD367" s="339" t="s">
        <v>2932</v>
      </c>
      <c r="BE367" s="339" t="s">
        <v>2932</v>
      </c>
      <c r="BF367" s="339">
        <v>0</v>
      </c>
      <c r="BG367" s="339">
        <v>0</v>
      </c>
      <c r="BH367" s="339">
        <v>0</v>
      </c>
      <c r="BI367" s="339">
        <v>0</v>
      </c>
      <c r="BJ367" s="339">
        <v>0</v>
      </c>
      <c r="BK367" s="339">
        <v>0</v>
      </c>
      <c r="BL367" s="339">
        <v>0</v>
      </c>
      <c r="BM367" s="339">
        <v>0</v>
      </c>
      <c r="BN367" s="339">
        <v>0</v>
      </c>
      <c r="BO367" s="339">
        <v>0</v>
      </c>
      <c r="BP367" s="339">
        <v>0</v>
      </c>
      <c r="BQ367" s="339">
        <v>0</v>
      </c>
      <c r="BR367" s="339">
        <v>0</v>
      </c>
      <c r="BS367" s="110" t="e">
        <f t="array" aca="1" ref="BS367" ca="1">_xludf.XLOOKUP(D367,'PL TOTAL D0'!N:N,'PL TOTAL D0'!P:P,"")</f>
        <v>#NAME?</v>
      </c>
      <c r="BT367" s="110"/>
    </row>
    <row r="368" spans="1:72" ht="15.75" customHeight="1">
      <c r="A368" s="122" t="s">
        <v>3785</v>
      </c>
      <c r="B368" s="104" t="s">
        <v>2026</v>
      </c>
      <c r="C368" s="122" t="s">
        <v>4889</v>
      </c>
      <c r="D368" s="422">
        <v>3247402</v>
      </c>
      <c r="E368" s="293" t="s">
        <v>19</v>
      </c>
      <c r="F368" s="293" t="s">
        <v>49</v>
      </c>
      <c r="G368" s="293" t="s">
        <v>50</v>
      </c>
      <c r="H368" s="426">
        <f>IFERROR(VLOOKUP(G368,'Cadastro de assessores'!A:B,2,FALSE),"Não Cadastrado")</f>
        <v>12331</v>
      </c>
      <c r="I368" s="426"/>
      <c r="J368" s="24" t="s">
        <v>3788</v>
      </c>
      <c r="K368" s="293" t="s">
        <v>152</v>
      </c>
      <c r="L368" s="415">
        <v>44673</v>
      </c>
      <c r="M368" s="415">
        <v>44673</v>
      </c>
      <c r="N368" s="299"/>
      <c r="O368" s="299" t="s">
        <v>3805</v>
      </c>
      <c r="P368" s="388">
        <v>1.2E-2</v>
      </c>
      <c r="Q368" s="311" t="s">
        <v>4890</v>
      </c>
      <c r="R368" s="417"/>
      <c r="S368" s="292" t="str">
        <f t="shared" si="38"/>
        <v>Não Qualificado</v>
      </c>
      <c r="T368" s="292" t="s">
        <v>145</v>
      </c>
      <c r="U368" s="299" t="s">
        <v>3841</v>
      </c>
      <c r="V368" s="292" t="s">
        <v>49</v>
      </c>
      <c r="W368" s="418"/>
      <c r="X368" s="350"/>
      <c r="Y368" s="350"/>
      <c r="Z368" s="350"/>
      <c r="AA368" s="350"/>
      <c r="AB368" s="350"/>
      <c r="AC368" s="350"/>
      <c r="AD368" s="350"/>
      <c r="AE368" s="350"/>
      <c r="AF368" s="350"/>
      <c r="AG368" s="350"/>
      <c r="AH368" s="350"/>
      <c r="AI368" s="418"/>
      <c r="AJ368" s="339"/>
      <c r="AK368" s="339"/>
      <c r="AL368" s="339"/>
      <c r="AM368" s="339"/>
      <c r="AN368" s="339"/>
      <c r="AO368" s="339"/>
      <c r="AP368" s="339"/>
      <c r="AQ368" s="339"/>
      <c r="AR368" s="339"/>
      <c r="AS368" s="339"/>
      <c r="AT368" s="339"/>
      <c r="AU368" s="350"/>
      <c r="AV368" s="339"/>
      <c r="AW368" s="339"/>
      <c r="AX368" s="339"/>
      <c r="AY368" s="339"/>
      <c r="AZ368" s="339"/>
      <c r="BA368" s="339"/>
      <c r="BB368" s="339"/>
      <c r="BC368" s="339">
        <v>501006</v>
      </c>
      <c r="BD368" s="339">
        <v>230449.33</v>
      </c>
      <c r="BE368" s="339">
        <v>230628.01</v>
      </c>
      <c r="BF368" s="339">
        <v>233855.81</v>
      </c>
      <c r="BG368" s="339">
        <v>199362.18220000001</v>
      </c>
      <c r="BH368" s="339">
        <v>500493.73</v>
      </c>
      <c r="BI368" s="339">
        <v>507359.81</v>
      </c>
      <c r="BJ368" s="339">
        <v>509880.36</v>
      </c>
      <c r="BK368" s="339">
        <v>514134.5</v>
      </c>
      <c r="BL368" s="339">
        <v>519917.41</v>
      </c>
      <c r="BM368" s="339">
        <v>5.51</v>
      </c>
      <c r="BN368" s="339">
        <v>6.73</v>
      </c>
      <c r="BO368" s="339">
        <v>6.73</v>
      </c>
      <c r="BP368" s="339">
        <v>6.73</v>
      </c>
      <c r="BQ368" s="339">
        <v>6.73</v>
      </c>
      <c r="BR368" s="339">
        <v>0</v>
      </c>
      <c r="BS368" s="110" t="e">
        <f t="array" aca="1" ref="BS368" ca="1">_xludf.XLOOKUP(D368,'PL TOTAL D0'!N:N,'PL TOTAL D0'!P:P,"")</f>
        <v>#NAME?</v>
      </c>
      <c r="BT368" s="110"/>
    </row>
    <row r="369" spans="1:72" ht="15.75" customHeight="1">
      <c r="A369" s="122" t="s">
        <v>3785</v>
      </c>
      <c r="B369" s="104" t="s">
        <v>2041</v>
      </c>
      <c r="C369" s="390" t="s">
        <v>4891</v>
      </c>
      <c r="D369" s="299">
        <v>6000381</v>
      </c>
      <c r="E369" s="293" t="s">
        <v>64</v>
      </c>
      <c r="F369" s="293" t="s">
        <v>20</v>
      </c>
      <c r="G369" s="293" t="s">
        <v>21</v>
      </c>
      <c r="H369" s="293">
        <f>IFERROR(VLOOKUP(G369,'Cadastro de assessores'!A:B,2,FALSE),"Não Cadastrado")</f>
        <v>12344</v>
      </c>
      <c r="I369" s="293"/>
      <c r="J369" s="24" t="s">
        <v>3788</v>
      </c>
      <c r="K369" s="293" t="s">
        <v>152</v>
      </c>
      <c r="L369" s="415">
        <v>44404</v>
      </c>
      <c r="M369" s="415">
        <v>44404</v>
      </c>
      <c r="N369" s="292"/>
      <c r="O369" s="292" t="s">
        <v>3805</v>
      </c>
      <c r="P369" s="388">
        <v>1.2E-2</v>
      </c>
      <c r="Q369" s="167" t="s">
        <v>4892</v>
      </c>
      <c r="R369" s="417"/>
      <c r="S369" s="292" t="str">
        <f t="shared" si="38"/>
        <v>Não Qualificado</v>
      </c>
      <c r="T369" s="292" t="s">
        <v>145</v>
      </c>
      <c r="U369" s="299" t="s">
        <v>3832</v>
      </c>
      <c r="V369" s="292" t="s">
        <v>20</v>
      </c>
      <c r="W369" s="418"/>
      <c r="X369" s="350"/>
      <c r="Y369" s="350"/>
      <c r="Z369" s="350"/>
      <c r="AA369" s="350"/>
      <c r="AB369" s="350"/>
      <c r="AC369" s="350"/>
      <c r="AD369" s="350"/>
      <c r="AE369" s="350"/>
      <c r="AF369" s="350"/>
      <c r="AG369" s="350"/>
      <c r="AH369" s="418"/>
      <c r="AI369" s="418"/>
      <c r="AJ369" s="339"/>
      <c r="AK369" s="339"/>
      <c r="AL369" s="339"/>
      <c r="AM369" s="468"/>
      <c r="AN369" s="468"/>
      <c r="AO369" s="339"/>
      <c r="AP369" s="339"/>
      <c r="AQ369" s="339"/>
      <c r="AR369" s="339"/>
      <c r="AS369" s="350"/>
      <c r="AT369" s="340">
        <v>298524.36</v>
      </c>
      <c r="AU369" s="340">
        <v>297960.23</v>
      </c>
      <c r="AV369" s="339">
        <v>296252.65999999997</v>
      </c>
      <c r="AW369" s="339">
        <v>293133.87</v>
      </c>
      <c r="AX369" s="339">
        <v>294661.52</v>
      </c>
      <c r="AY369" s="339">
        <v>297491.96999999997</v>
      </c>
      <c r="AZ369" s="339">
        <v>302140.15000000002</v>
      </c>
      <c r="BA369" s="339">
        <v>304389.5</v>
      </c>
      <c r="BB369" s="339">
        <v>310305.51</v>
      </c>
      <c r="BC369" s="339">
        <v>435077.12</v>
      </c>
      <c r="BD369" s="339">
        <v>312992.65999999997</v>
      </c>
      <c r="BE369" s="339">
        <v>314051.05</v>
      </c>
      <c r="BF369" s="339">
        <v>317844.27</v>
      </c>
      <c r="BG369" s="339">
        <v>319589.27269999997</v>
      </c>
      <c r="BH369" s="339">
        <v>320781.76</v>
      </c>
      <c r="BI369" s="339">
        <v>325873.06</v>
      </c>
      <c r="BJ369" s="339">
        <v>327190.34000000003</v>
      </c>
      <c r="BK369" s="339">
        <v>329752.28999999998</v>
      </c>
      <c r="BL369" s="339">
        <v>333367.57</v>
      </c>
      <c r="BM369" s="339">
        <v>335433.23</v>
      </c>
      <c r="BN369" s="339">
        <v>4.99</v>
      </c>
      <c r="BO369" s="339">
        <v>4.99</v>
      </c>
      <c r="BP369" s="339">
        <v>4.99</v>
      </c>
      <c r="BQ369" s="339">
        <v>4.99</v>
      </c>
      <c r="BR369" s="339">
        <v>4.99</v>
      </c>
      <c r="BS369" s="110" t="e">
        <f t="array" aca="1" ref="BS369" ca="1">_xludf.XLOOKUP(D369,'PL TOTAL D0'!N:N,'PL TOTAL D0'!P:P,"")</f>
        <v>#NAME?</v>
      </c>
      <c r="BT369" s="110"/>
    </row>
    <row r="370" spans="1:72" ht="15.75" customHeight="1">
      <c r="A370" s="122" t="s">
        <v>3785</v>
      </c>
      <c r="B370" s="104" t="s">
        <v>4893</v>
      </c>
      <c r="C370" s="390" t="s">
        <v>4894</v>
      </c>
      <c r="D370" s="299">
        <v>3081966</v>
      </c>
      <c r="E370" s="293" t="s">
        <v>19</v>
      </c>
      <c r="F370" s="293" t="s">
        <v>20</v>
      </c>
      <c r="G370" s="293" t="s">
        <v>449</v>
      </c>
      <c r="H370" s="299" t="str">
        <f>IFERROR(VLOOKUP(G370,'Cadastro de assessores'!A:B,2,FALSE),"Não Cadastrado")</f>
        <v>18993</v>
      </c>
      <c r="I370" s="299"/>
      <c r="J370" s="24" t="s">
        <v>3788</v>
      </c>
      <c r="K370" s="293" t="s">
        <v>152</v>
      </c>
      <c r="L370" s="416">
        <v>44488</v>
      </c>
      <c r="M370" s="416">
        <v>44498</v>
      </c>
      <c r="N370" s="299"/>
      <c r="O370" s="299" t="s">
        <v>3802</v>
      </c>
      <c r="P370" s="388">
        <v>5.0000000000000001E-3</v>
      </c>
      <c r="Q370" s="167"/>
      <c r="R370" s="417"/>
      <c r="S370" s="292" t="str">
        <f t="shared" si="38"/>
        <v>Não Qualificado</v>
      </c>
      <c r="T370" s="292" t="s">
        <v>145</v>
      </c>
      <c r="U370" s="299" t="s">
        <v>4049</v>
      </c>
      <c r="V370" s="292" t="s">
        <v>886</v>
      </c>
      <c r="W370" s="418"/>
      <c r="X370" s="350"/>
      <c r="Y370" s="350"/>
      <c r="Z370" s="350"/>
      <c r="AA370" s="350"/>
      <c r="AB370" s="350"/>
      <c r="AC370" s="350"/>
      <c r="AD370" s="350"/>
      <c r="AE370" s="350"/>
      <c r="AF370" s="350"/>
      <c r="AG370" s="418"/>
      <c r="AH370" s="418"/>
      <c r="AI370" s="418"/>
      <c r="AJ370" s="339"/>
      <c r="AK370" s="339"/>
      <c r="AL370" s="339"/>
      <c r="AM370" s="339"/>
      <c r="AN370" s="339"/>
      <c r="AO370" s="339"/>
      <c r="AP370" s="339"/>
      <c r="AQ370" s="339"/>
      <c r="AR370" s="339"/>
      <c r="AS370" s="339"/>
      <c r="AT370" s="339"/>
      <c r="AU370" s="339"/>
      <c r="AV370" s="339"/>
      <c r="AW370" s="339"/>
      <c r="AX370" s="339">
        <v>148807.49</v>
      </c>
      <c r="AY370" s="339">
        <v>150280.38</v>
      </c>
      <c r="AZ370" s="339">
        <v>151551.92000000001</v>
      </c>
      <c r="BA370" s="339">
        <v>152719.35999999999</v>
      </c>
      <c r="BB370" s="339">
        <v>154441.85999999999</v>
      </c>
      <c r="BC370" s="339">
        <v>124331.55</v>
      </c>
      <c r="BD370" s="339">
        <v>157901.39000000001</v>
      </c>
      <c r="BE370" s="339">
        <v>159407.19</v>
      </c>
      <c r="BF370" s="339">
        <v>160698.38</v>
      </c>
      <c r="BG370" s="339">
        <v>161622.9699</v>
      </c>
      <c r="BH370" s="339">
        <v>162620.43</v>
      </c>
      <c r="BI370" s="339">
        <v>163873.94</v>
      </c>
      <c r="BJ370" s="339">
        <v>165442.04</v>
      </c>
      <c r="BK370" s="339">
        <v>166885.65</v>
      </c>
      <c r="BL370" s="339">
        <v>108309.34</v>
      </c>
      <c r="BM370" s="339">
        <v>109061.65</v>
      </c>
      <c r="BN370" s="339">
        <v>110460.5</v>
      </c>
      <c r="BO370" s="339">
        <v>111514.64</v>
      </c>
      <c r="BP370" s="339">
        <v>50307.6</v>
      </c>
      <c r="BQ370" s="339">
        <v>50590.47</v>
      </c>
      <c r="BR370" s="339">
        <v>50982.51</v>
      </c>
      <c r="BS370" s="110" t="e">
        <f t="array" aca="1" ref="BS370" ca="1">_xludf.XLOOKUP(D370,'PL TOTAL D0'!N:N,'PL TOTAL D0'!P:P,"")</f>
        <v>#NAME?</v>
      </c>
      <c r="BT370" s="110"/>
    </row>
    <row r="371" spans="1:72" ht="15.75" customHeight="1">
      <c r="A371" s="122" t="s">
        <v>3785</v>
      </c>
      <c r="B371" s="104" t="s">
        <v>4895</v>
      </c>
      <c r="C371" s="104" t="s">
        <v>4896</v>
      </c>
      <c r="D371" s="293">
        <v>4848711</v>
      </c>
      <c r="E371" s="293" t="s">
        <v>64</v>
      </c>
      <c r="F371" s="293" t="s">
        <v>20</v>
      </c>
      <c r="G371" s="293" t="s">
        <v>4067</v>
      </c>
      <c r="H371" s="293" t="str">
        <f>IFERROR(VLOOKUP(G371,'Cadastro de assessores'!A:B,2,FALSE),"Não Cadastrado")</f>
        <v>15049</v>
      </c>
      <c r="I371" s="293"/>
      <c r="J371" s="24" t="s">
        <v>3788</v>
      </c>
      <c r="K371" s="293" t="s">
        <v>152</v>
      </c>
      <c r="L371" s="415">
        <v>44236</v>
      </c>
      <c r="M371" s="415">
        <v>44236</v>
      </c>
      <c r="N371" s="292"/>
      <c r="O371" s="292" t="s">
        <v>3805</v>
      </c>
      <c r="P371" s="388">
        <v>1.2E-2</v>
      </c>
      <c r="Q371" s="445"/>
      <c r="R371" s="417"/>
      <c r="S371" s="292" t="str">
        <f t="shared" si="38"/>
        <v>Não Qualificado</v>
      </c>
      <c r="T371" s="292" t="s">
        <v>145</v>
      </c>
      <c r="U371" s="292" t="s">
        <v>3811</v>
      </c>
      <c r="V371" s="292" t="s">
        <v>20</v>
      </c>
      <c r="W371" s="418"/>
      <c r="X371" s="418"/>
      <c r="Y371" s="418"/>
      <c r="Z371" s="418"/>
      <c r="AA371" s="418"/>
      <c r="AB371" s="418"/>
      <c r="AC371" s="418"/>
      <c r="AD371" s="418"/>
      <c r="AE371" s="418"/>
      <c r="AF371" s="418"/>
      <c r="AG371" s="418"/>
      <c r="AH371" s="418"/>
      <c r="AI371" s="418" t="s">
        <v>3798</v>
      </c>
      <c r="AJ371" s="418"/>
      <c r="AK371" s="339"/>
      <c r="AL371" s="339"/>
      <c r="AM371" s="339">
        <v>154879.93</v>
      </c>
      <c r="AN371" s="468">
        <v>155088.12</v>
      </c>
      <c r="AO371" s="468">
        <v>157476.63</v>
      </c>
      <c r="AP371" s="339">
        <v>158057.03</v>
      </c>
      <c r="AQ371" s="339">
        <v>157786.46</v>
      </c>
      <c r="AR371" s="339">
        <v>159802.49</v>
      </c>
      <c r="AS371" s="339">
        <v>159536.29999999999</v>
      </c>
      <c r="AT371" s="339">
        <v>158372.56</v>
      </c>
      <c r="AU371" s="339">
        <v>158287.92000000001</v>
      </c>
      <c r="AV371" s="339">
        <v>157252.01999999999</v>
      </c>
      <c r="AW371" s="339">
        <v>155466.35999999999</v>
      </c>
      <c r="AX371" s="339">
        <v>156240.44</v>
      </c>
      <c r="AY371" s="339">
        <v>157955.01999999999</v>
      </c>
      <c r="AZ371" s="339">
        <v>160602.78</v>
      </c>
      <c r="BA371" s="339">
        <v>161847.22</v>
      </c>
      <c r="BB371" s="339">
        <v>165326.03</v>
      </c>
      <c r="BC371" s="339">
        <v>117338.96</v>
      </c>
      <c r="BD371" s="339">
        <v>163834.95000000001</v>
      </c>
      <c r="BE371" s="339">
        <v>164240.82</v>
      </c>
      <c r="BF371" s="339">
        <v>166058.57</v>
      </c>
      <c r="BG371" s="339">
        <v>165488.99220000001</v>
      </c>
      <c r="BH371" s="339">
        <v>166086.43</v>
      </c>
      <c r="BI371" s="339">
        <v>168623.49</v>
      </c>
      <c r="BJ371" s="339">
        <v>169221.56</v>
      </c>
      <c r="BK371" s="339">
        <v>169807.29</v>
      </c>
      <c r="BL371" s="339">
        <v>171632.45</v>
      </c>
      <c r="BM371" s="339">
        <v>244.41</v>
      </c>
      <c r="BN371" s="339">
        <v>0</v>
      </c>
      <c r="BO371" s="339">
        <v>0</v>
      </c>
      <c r="BP371" s="339">
        <v>0</v>
      </c>
      <c r="BQ371" s="339">
        <v>0</v>
      </c>
      <c r="BR371" s="339">
        <v>0</v>
      </c>
      <c r="BS371" s="110" t="e">
        <f t="array" aca="1" ref="BS371" ca="1">_xludf.XLOOKUP(D371,'PL TOTAL D0'!N:N,'PL TOTAL D0'!P:P,"")</f>
        <v>#NAME?</v>
      </c>
      <c r="BT371" s="110"/>
    </row>
    <row r="372" spans="1:72" ht="15.75" customHeight="1">
      <c r="A372" s="122" t="s">
        <v>3785</v>
      </c>
      <c r="B372" s="104" t="s">
        <v>3668</v>
      </c>
      <c r="C372" s="122" t="s">
        <v>3666</v>
      </c>
      <c r="D372" s="292">
        <v>3064790</v>
      </c>
      <c r="E372" s="292" t="s">
        <v>19</v>
      </c>
      <c r="F372" s="292" t="s">
        <v>20</v>
      </c>
      <c r="G372" s="292" t="s">
        <v>800</v>
      </c>
      <c r="H372" s="292" t="str">
        <f>IFERROR(VLOOKUP(G372,'Cadastro de assessores'!A:B,2,FALSE),"Não Cadastrado")</f>
        <v>18467</v>
      </c>
      <c r="I372" s="292"/>
      <c r="J372" s="24" t="s">
        <v>143</v>
      </c>
      <c r="K372" s="292" t="s">
        <v>3794</v>
      </c>
      <c r="L372" s="387">
        <v>43699</v>
      </c>
      <c r="M372" s="387">
        <v>43699</v>
      </c>
      <c r="N372" s="292"/>
      <c r="O372" s="292" t="s">
        <v>3795</v>
      </c>
      <c r="P372" s="388">
        <v>1.4999999999999999E-2</v>
      </c>
      <c r="Q372" s="420" t="s">
        <v>4897</v>
      </c>
      <c r="R372" s="417"/>
      <c r="S372" s="292" t="str">
        <f t="shared" si="38"/>
        <v>Não Qualificado</v>
      </c>
      <c r="T372" s="292" t="s">
        <v>145</v>
      </c>
      <c r="U372" s="292" t="s">
        <v>3967</v>
      </c>
      <c r="V372" s="292" t="s">
        <v>49</v>
      </c>
      <c r="W372" s="418" t="s">
        <v>4898</v>
      </c>
      <c r="X372" s="418"/>
      <c r="Y372" s="418" t="s">
        <v>4899</v>
      </c>
      <c r="Z372" s="418" t="s">
        <v>3798</v>
      </c>
      <c r="AA372" s="418" t="s">
        <v>3798</v>
      </c>
      <c r="AB372" s="418" t="s">
        <v>3798</v>
      </c>
      <c r="AC372" s="418" t="s">
        <v>3798</v>
      </c>
      <c r="AD372" s="418" t="s">
        <v>3798</v>
      </c>
      <c r="AE372" s="418" t="s">
        <v>3798</v>
      </c>
      <c r="AF372" s="418" t="s">
        <v>3798</v>
      </c>
      <c r="AG372" s="418" t="s">
        <v>3798</v>
      </c>
      <c r="AH372" s="418"/>
      <c r="AI372" s="418"/>
      <c r="AJ372" s="418"/>
      <c r="AK372" s="339"/>
      <c r="AL372" s="339"/>
      <c r="AM372" s="339" t="s">
        <v>3147</v>
      </c>
      <c r="AN372" s="339" t="s">
        <v>3147</v>
      </c>
      <c r="AO372" s="339"/>
      <c r="AP372" s="339"/>
      <c r="AQ372" s="339"/>
      <c r="AR372" s="339"/>
      <c r="AS372" s="339"/>
      <c r="AT372" s="339"/>
      <c r="AU372" s="339"/>
      <c r="AV372" s="339"/>
      <c r="AW372" s="339"/>
      <c r="AX372" s="339"/>
      <c r="AY372" s="339"/>
      <c r="AZ372" s="339"/>
      <c r="BA372" s="339">
        <v>0</v>
      </c>
      <c r="BB372" s="339">
        <v>0</v>
      </c>
      <c r="BC372" s="339">
        <v>128599.14</v>
      </c>
      <c r="BD372" s="339" t="s">
        <v>2932</v>
      </c>
      <c r="BE372" s="339" t="s">
        <v>2932</v>
      </c>
      <c r="BF372" s="339">
        <v>0</v>
      </c>
      <c r="BG372" s="339">
        <v>0</v>
      </c>
      <c r="BH372" s="339">
        <v>0</v>
      </c>
      <c r="BI372" s="339">
        <v>0</v>
      </c>
      <c r="BJ372" s="339">
        <v>0</v>
      </c>
      <c r="BK372" s="339">
        <v>0</v>
      </c>
      <c r="BL372" s="339">
        <v>0</v>
      </c>
      <c r="BM372" s="339">
        <v>0</v>
      </c>
      <c r="BN372" s="339">
        <v>0</v>
      </c>
      <c r="BO372" s="339">
        <v>0</v>
      </c>
      <c r="BP372" s="339">
        <v>0</v>
      </c>
      <c r="BQ372" s="339">
        <v>0</v>
      </c>
      <c r="BR372" s="339">
        <v>0</v>
      </c>
      <c r="BS372" s="110" t="e">
        <f t="array" aca="1" ref="BS372" ca="1">_xludf.XLOOKUP(D372,'PL TOTAL D0'!N:N,'PL TOTAL D0'!P:P,"")</f>
        <v>#NAME?</v>
      </c>
      <c r="BT372" s="110"/>
    </row>
    <row r="373" spans="1:72" ht="15.75" customHeight="1">
      <c r="A373" s="122" t="s">
        <v>3785</v>
      </c>
      <c r="B373" s="104" t="s">
        <v>2050</v>
      </c>
      <c r="C373" s="441" t="s">
        <v>4900</v>
      </c>
      <c r="D373" s="422">
        <v>188081</v>
      </c>
      <c r="E373" s="293" t="s">
        <v>19</v>
      </c>
      <c r="F373" s="293" t="s">
        <v>20</v>
      </c>
      <c r="G373" s="293" t="s">
        <v>199</v>
      </c>
      <c r="H373" s="292">
        <f>IFERROR(VLOOKUP(G373,'Cadastro de assessores'!A:B,2,FALSE),"Não Cadastrado")</f>
        <v>12332</v>
      </c>
      <c r="I373" s="292"/>
      <c r="J373" s="24" t="s">
        <v>3788</v>
      </c>
      <c r="K373" s="293" t="s">
        <v>152</v>
      </c>
      <c r="L373" s="387">
        <v>44770</v>
      </c>
      <c r="M373" s="387">
        <v>44774</v>
      </c>
      <c r="N373" s="292"/>
      <c r="O373" s="292" t="s">
        <v>3802</v>
      </c>
      <c r="P373" s="388">
        <v>7.0000000000000001E-3</v>
      </c>
      <c r="Q373" s="445"/>
      <c r="R373" s="417"/>
      <c r="S373" s="292"/>
      <c r="T373" s="292"/>
      <c r="U373" s="292"/>
      <c r="V373" s="292" t="s">
        <v>46</v>
      </c>
      <c r="W373" s="418"/>
      <c r="X373" s="418"/>
      <c r="Y373" s="418"/>
      <c r="Z373" s="418"/>
      <c r="AA373" s="418"/>
      <c r="AB373" s="418"/>
      <c r="AC373" s="418"/>
      <c r="AD373" s="418"/>
      <c r="AE373" s="418"/>
      <c r="AF373" s="418"/>
      <c r="AG373" s="418"/>
      <c r="AH373" s="418"/>
      <c r="AI373" s="418"/>
      <c r="AJ373" s="418"/>
      <c r="AK373" s="339"/>
      <c r="AL373" s="339"/>
      <c r="AM373" s="339"/>
      <c r="AN373" s="468"/>
      <c r="AO373" s="468"/>
      <c r="AP373" s="339"/>
      <c r="AQ373" s="339"/>
      <c r="AR373" s="339"/>
      <c r="AS373" s="339"/>
      <c r="AT373" s="339"/>
      <c r="AU373" s="339"/>
      <c r="AV373" s="339"/>
      <c r="AW373" s="339"/>
      <c r="AX373" s="339"/>
      <c r="AY373" s="339"/>
      <c r="AZ373" s="339"/>
      <c r="BA373" s="339"/>
      <c r="BB373" s="339"/>
      <c r="BC373" s="339"/>
      <c r="BD373" s="339"/>
      <c r="BE373" s="339"/>
      <c r="BF373" s="339">
        <v>0</v>
      </c>
      <c r="BG373" s="339">
        <v>252769.94279999999</v>
      </c>
      <c r="BH373" s="339">
        <v>255247.38</v>
      </c>
      <c r="BI373" s="339">
        <v>338156.19</v>
      </c>
      <c r="BJ373" s="339">
        <v>341323.48</v>
      </c>
      <c r="BK373" s="339">
        <v>344469.54</v>
      </c>
      <c r="BL373" s="339">
        <v>566800.34</v>
      </c>
      <c r="BM373" s="339">
        <v>350469.23</v>
      </c>
      <c r="BN373" s="339">
        <v>303227.2</v>
      </c>
      <c r="BO373" s="339">
        <v>0</v>
      </c>
      <c r="BP373" s="339">
        <v>0</v>
      </c>
      <c r="BQ373" s="339">
        <v>0</v>
      </c>
      <c r="BR373" s="339">
        <v>0</v>
      </c>
      <c r="BS373" s="110" t="e">
        <f t="array" aca="1" ref="BS373" ca="1">_xludf.XLOOKUP(D373,'PL TOTAL D0'!N:N,'PL TOTAL D0'!P:P,"")</f>
        <v>#NAME?</v>
      </c>
      <c r="BT373" s="110"/>
    </row>
    <row r="374" spans="1:72" ht="15.75" customHeight="1">
      <c r="A374" s="122" t="s">
        <v>3785</v>
      </c>
      <c r="B374" s="104" t="s">
        <v>2055</v>
      </c>
      <c r="C374" s="441" t="s">
        <v>2052</v>
      </c>
      <c r="D374" s="422">
        <v>2834519</v>
      </c>
      <c r="E374" s="293" t="s">
        <v>19</v>
      </c>
      <c r="F374" s="293" t="s">
        <v>49</v>
      </c>
      <c r="G374" s="293" t="s">
        <v>50</v>
      </c>
      <c r="H374" s="426">
        <f>IFERROR(VLOOKUP(G374,'Cadastro de assessores'!A:B,2,FALSE),"Não Cadastrado")</f>
        <v>12331</v>
      </c>
      <c r="I374" s="426"/>
      <c r="J374" s="24" t="s">
        <v>3788</v>
      </c>
      <c r="K374" s="293" t="s">
        <v>152</v>
      </c>
      <c r="L374" s="387">
        <v>44596</v>
      </c>
      <c r="M374" s="387">
        <v>44614</v>
      </c>
      <c r="N374" s="292"/>
      <c r="O374" s="292" t="s">
        <v>3795</v>
      </c>
      <c r="P374" s="388">
        <v>1.4999999999999999E-2</v>
      </c>
      <c r="Q374" s="420" t="s">
        <v>4901</v>
      </c>
      <c r="R374" s="417"/>
      <c r="S374" s="292" t="str">
        <f t="shared" ref="S374:S379" si="39">IF(BC374&lt;=0,"",IF(BC374&lt;=1000000,"Não Qualificado",IF(AND(BC374&gt;1000000,BC374&lt;=10000000),"Qualificado","Profissional")))</f>
        <v>Qualificado</v>
      </c>
      <c r="T374" s="292" t="s">
        <v>145</v>
      </c>
      <c r="U374" s="292" t="s">
        <v>3841</v>
      </c>
      <c r="V374" s="292" t="s">
        <v>49</v>
      </c>
      <c r="W374" s="418"/>
      <c r="X374" s="418"/>
      <c r="Y374" s="418"/>
      <c r="Z374" s="418"/>
      <c r="AA374" s="418"/>
      <c r="AB374" s="418"/>
      <c r="AC374" s="418"/>
      <c r="AD374" s="418"/>
      <c r="AE374" s="418"/>
      <c r="AF374" s="418"/>
      <c r="AG374" s="418"/>
      <c r="AH374" s="418"/>
      <c r="AI374" s="418"/>
      <c r="AJ374" s="418"/>
      <c r="AK374" s="339"/>
      <c r="AL374" s="339"/>
      <c r="AM374" s="339"/>
      <c r="AN374" s="468"/>
      <c r="AO374" s="468"/>
      <c r="AP374" s="339"/>
      <c r="AQ374" s="339"/>
      <c r="AR374" s="339"/>
      <c r="AS374" s="339"/>
      <c r="AT374" s="339"/>
      <c r="AU374" s="339"/>
      <c r="AV374" s="339"/>
      <c r="AW374" s="339"/>
      <c r="AX374" s="339"/>
      <c r="AY374" s="339"/>
      <c r="AZ374" s="339"/>
      <c r="BA374" s="339">
        <v>178148.22</v>
      </c>
      <c r="BB374" s="339">
        <v>184654.33</v>
      </c>
      <c r="BC374" s="339">
        <v>1120443.75</v>
      </c>
      <c r="BD374" s="339">
        <v>148217.62</v>
      </c>
      <c r="BE374" s="339">
        <v>139911.74</v>
      </c>
      <c r="BF374" s="339">
        <v>151115.26999999999</v>
      </c>
      <c r="BG374" s="339">
        <v>164470.1813</v>
      </c>
      <c r="BH374" s="339">
        <v>163933.62</v>
      </c>
      <c r="BI374" s="339">
        <v>114520.74</v>
      </c>
      <c r="BJ374" s="339">
        <v>112332.7</v>
      </c>
      <c r="BK374" s="339">
        <v>96854.51</v>
      </c>
      <c r="BL374" s="339">
        <v>98084.75</v>
      </c>
      <c r="BM374" s="339">
        <v>101552.8</v>
      </c>
      <c r="BN374" s="339">
        <v>2001.54</v>
      </c>
      <c r="BO374" s="339">
        <v>2074.87</v>
      </c>
      <c r="BP374" s="339">
        <v>2097.1</v>
      </c>
      <c r="BQ374" s="339">
        <v>2114.0700000000002</v>
      </c>
      <c r="BR374" s="339">
        <v>1477.3</v>
      </c>
      <c r="BS374" s="110" t="e">
        <f t="array" aca="1" ref="BS374" ca="1">_xludf.XLOOKUP(D374,'PL TOTAL D0'!N:N,'PL TOTAL D0'!P:P,"")</f>
        <v>#NAME?</v>
      </c>
      <c r="BT374" s="110"/>
    </row>
    <row r="375" spans="1:72" ht="15.75" customHeight="1">
      <c r="A375" s="122" t="s">
        <v>3785</v>
      </c>
      <c r="B375" s="104">
        <v>7312126650</v>
      </c>
      <c r="C375" s="122" t="s">
        <v>4902</v>
      </c>
      <c r="D375" s="292">
        <v>4854627</v>
      </c>
      <c r="E375" s="292" t="s">
        <v>19</v>
      </c>
      <c r="F375" s="292" t="s">
        <v>49</v>
      </c>
      <c r="G375" s="292" t="s">
        <v>328</v>
      </c>
      <c r="H375" s="292" t="str">
        <f>IFERROR(VLOOKUP(G375,'Cadastro de assessores'!A:B,2,FALSE),"Não Cadastrado")</f>
        <v>18009</v>
      </c>
      <c r="I375" s="292"/>
      <c r="J375" s="24" t="s">
        <v>143</v>
      </c>
      <c r="K375" s="292" t="s">
        <v>3794</v>
      </c>
      <c r="L375" s="387">
        <v>44237</v>
      </c>
      <c r="M375" s="387">
        <v>44237</v>
      </c>
      <c r="N375" s="387">
        <v>44613</v>
      </c>
      <c r="O375" s="292" t="s">
        <v>3795</v>
      </c>
      <c r="P375" s="388">
        <v>1.4999999999999999E-2</v>
      </c>
      <c r="Q375" s="420" t="s">
        <v>4903</v>
      </c>
      <c r="R375" s="417"/>
      <c r="S375" s="292" t="str">
        <f t="shared" si="39"/>
        <v/>
      </c>
      <c r="T375" s="292" t="s">
        <v>145</v>
      </c>
      <c r="U375" s="292" t="s">
        <v>3846</v>
      </c>
      <c r="V375" s="292" t="s">
        <v>46</v>
      </c>
      <c r="W375" s="418"/>
      <c r="X375" s="418"/>
      <c r="Y375" s="418"/>
      <c r="Z375" s="418"/>
      <c r="AA375" s="418"/>
      <c r="AB375" s="418"/>
      <c r="AC375" s="418"/>
      <c r="AD375" s="418"/>
      <c r="AE375" s="418"/>
      <c r="AF375" s="418"/>
      <c r="AG375" s="418"/>
      <c r="AH375" s="418"/>
      <c r="AI375" s="418"/>
      <c r="AJ375" s="418"/>
      <c r="AK375" s="339"/>
      <c r="AL375" s="339"/>
      <c r="AM375" s="339">
        <v>192732.9</v>
      </c>
      <c r="AN375" s="339">
        <v>193596.62</v>
      </c>
      <c r="AO375" s="339">
        <v>199152.52</v>
      </c>
      <c r="AP375" s="339">
        <v>200370.03</v>
      </c>
      <c r="AQ375" s="339">
        <v>199537.44</v>
      </c>
      <c r="AR375" s="339">
        <v>204119.34</v>
      </c>
      <c r="AS375" s="339">
        <v>202792.61</v>
      </c>
      <c r="AT375" s="339">
        <v>198775.82</v>
      </c>
      <c r="AU375" s="339">
        <v>197572.66</v>
      </c>
      <c r="AV375" s="339">
        <v>194198.87</v>
      </c>
      <c r="AW375" s="339">
        <v>189054.87</v>
      </c>
      <c r="AX375" s="339">
        <v>188318.29</v>
      </c>
      <c r="AY375" s="339">
        <v>190688.55</v>
      </c>
      <c r="AZ375" s="339">
        <v>196346.64</v>
      </c>
      <c r="BA375" s="339">
        <v>197619.38</v>
      </c>
      <c r="BB375" s="339">
        <v>0</v>
      </c>
      <c r="BC375" s="339"/>
      <c r="BD375" s="339" t="s">
        <v>2932</v>
      </c>
      <c r="BE375" s="339" t="s">
        <v>2932</v>
      </c>
      <c r="BF375" s="339">
        <v>0</v>
      </c>
      <c r="BG375" s="339">
        <v>0</v>
      </c>
      <c r="BH375" s="339">
        <v>0</v>
      </c>
      <c r="BI375" s="339">
        <v>0</v>
      </c>
      <c r="BJ375" s="339">
        <v>0</v>
      </c>
      <c r="BK375" s="339">
        <v>0</v>
      </c>
      <c r="BL375" s="339">
        <v>0</v>
      </c>
      <c r="BM375" s="339">
        <v>0</v>
      </c>
      <c r="BN375" s="339">
        <v>0</v>
      </c>
      <c r="BO375" s="339">
        <v>0</v>
      </c>
      <c r="BP375" s="339">
        <v>0</v>
      </c>
      <c r="BQ375" s="339">
        <v>0</v>
      </c>
      <c r="BR375" s="339">
        <v>0</v>
      </c>
      <c r="BS375" s="110" t="e">
        <f t="array" aca="1" ref="BS375" ca="1">_xludf.XLOOKUP(D375,'PL TOTAL D0'!N:N,'PL TOTAL D0'!P:P,"")</f>
        <v>#NAME?</v>
      </c>
      <c r="BT375" s="110"/>
    </row>
    <row r="376" spans="1:72" ht="15.75" customHeight="1">
      <c r="A376" s="122" t="s">
        <v>3785</v>
      </c>
      <c r="B376" s="104" t="s">
        <v>4904</v>
      </c>
      <c r="C376" s="390" t="s">
        <v>4905</v>
      </c>
      <c r="D376" s="299">
        <v>5378763</v>
      </c>
      <c r="E376" s="292" t="s">
        <v>19</v>
      </c>
      <c r="F376" s="292" t="s">
        <v>49</v>
      </c>
      <c r="G376" s="292" t="s">
        <v>328</v>
      </c>
      <c r="H376" s="292" t="str">
        <f>IFERROR(VLOOKUP(G376,'Cadastro de assessores'!A:B,2,FALSE),"Não Cadastrado")</f>
        <v>18009</v>
      </c>
      <c r="I376" s="292"/>
      <c r="J376" s="24" t="s">
        <v>143</v>
      </c>
      <c r="K376" s="292" t="s">
        <v>3794</v>
      </c>
      <c r="L376" s="292" t="s">
        <v>3147</v>
      </c>
      <c r="M376" s="292" t="s">
        <v>3147</v>
      </c>
      <c r="N376" s="387">
        <v>44619</v>
      </c>
      <c r="O376" s="292" t="s">
        <v>3809</v>
      </c>
      <c r="P376" s="388">
        <v>2.5000000000000001E-2</v>
      </c>
      <c r="Q376" s="167"/>
      <c r="R376" s="417"/>
      <c r="S376" s="292" t="str">
        <f t="shared" si="39"/>
        <v>Não Qualificado</v>
      </c>
      <c r="T376" s="292" t="s">
        <v>145</v>
      </c>
      <c r="U376" s="292" t="s">
        <v>3846</v>
      </c>
      <c r="V376" s="292" t="s">
        <v>46</v>
      </c>
      <c r="W376" s="418"/>
      <c r="X376" s="418"/>
      <c r="Y376" s="350"/>
      <c r="Z376" s="350"/>
      <c r="AA376" s="350"/>
      <c r="AB376" s="350"/>
      <c r="AC376" s="350"/>
      <c r="AD376" s="350"/>
      <c r="AE376" s="350"/>
      <c r="AF376" s="350"/>
      <c r="AG376" s="350"/>
      <c r="AH376" s="350"/>
      <c r="AI376" s="350"/>
      <c r="AJ376" s="350"/>
      <c r="AK376" s="339"/>
      <c r="AL376" s="339"/>
      <c r="AM376" s="339"/>
      <c r="AN376" s="339"/>
      <c r="AO376" s="339"/>
      <c r="AP376" s="339"/>
      <c r="AQ376" s="350"/>
      <c r="AR376" s="340"/>
      <c r="AS376" s="339"/>
      <c r="AT376" s="339"/>
      <c r="AU376" s="339"/>
      <c r="AV376" s="339"/>
      <c r="AW376" s="339"/>
      <c r="AX376" s="339"/>
      <c r="AY376" s="339"/>
      <c r="AZ376" s="339"/>
      <c r="BA376" s="339">
        <v>0</v>
      </c>
      <c r="BB376" s="339">
        <v>0</v>
      </c>
      <c r="BC376" s="339">
        <v>321004.03999999998</v>
      </c>
      <c r="BD376" s="339" t="s">
        <v>2932</v>
      </c>
      <c r="BE376" s="339" t="s">
        <v>2932</v>
      </c>
      <c r="BF376" s="339">
        <v>10000</v>
      </c>
      <c r="BG376" s="339">
        <v>0</v>
      </c>
      <c r="BH376" s="339">
        <v>0</v>
      </c>
      <c r="BI376" s="339">
        <v>0</v>
      </c>
      <c r="BJ376" s="339">
        <v>0</v>
      </c>
      <c r="BK376" s="339">
        <v>0</v>
      </c>
      <c r="BL376" s="339">
        <v>0</v>
      </c>
      <c r="BM376" s="339">
        <v>0</v>
      </c>
      <c r="BN376" s="339">
        <v>0</v>
      </c>
      <c r="BO376" s="339">
        <v>0</v>
      </c>
      <c r="BP376" s="339">
        <v>0</v>
      </c>
      <c r="BQ376" s="339">
        <v>0</v>
      </c>
      <c r="BR376" s="339">
        <v>0</v>
      </c>
      <c r="BS376" s="110" t="e">
        <f t="array" aca="1" ref="BS376" ca="1">_xludf.XLOOKUP(D376,'PL TOTAL D0'!N:N,'PL TOTAL D0'!P:P,"")</f>
        <v>#NAME?</v>
      </c>
      <c r="BT376" s="110"/>
    </row>
    <row r="377" spans="1:72" ht="15.75" customHeight="1">
      <c r="A377" s="122" t="s">
        <v>3785</v>
      </c>
      <c r="B377" s="104" t="s">
        <v>4906</v>
      </c>
      <c r="C377" s="390" t="s">
        <v>4907</v>
      </c>
      <c r="D377" s="299">
        <v>5947531</v>
      </c>
      <c r="E377" s="293" t="s">
        <v>19</v>
      </c>
      <c r="F377" s="293" t="s">
        <v>49</v>
      </c>
      <c r="G377" s="293" t="s">
        <v>328</v>
      </c>
      <c r="H377" s="293" t="str">
        <f>IFERROR(VLOOKUP(G377,'Cadastro de assessores'!A:B,2,FALSE),"Não Cadastrado")</f>
        <v>18009</v>
      </c>
      <c r="I377" s="293"/>
      <c r="J377" s="24" t="s">
        <v>3788</v>
      </c>
      <c r="K377" s="292" t="s">
        <v>161</v>
      </c>
      <c r="L377" s="292" t="s">
        <v>3147</v>
      </c>
      <c r="M377" s="436" t="s">
        <v>4177</v>
      </c>
      <c r="N377" s="299"/>
      <c r="O377" s="299" t="s">
        <v>3809</v>
      </c>
      <c r="P377" s="388">
        <v>2.5000000000000001E-2</v>
      </c>
      <c r="Q377" s="311"/>
      <c r="R377" s="417"/>
      <c r="S377" s="292" t="str">
        <f t="shared" si="39"/>
        <v/>
      </c>
      <c r="T377" s="292" t="s">
        <v>145</v>
      </c>
      <c r="U377" s="292" t="s">
        <v>3846</v>
      </c>
      <c r="V377" s="292" t="s">
        <v>46</v>
      </c>
      <c r="W377" s="418"/>
      <c r="X377" s="418"/>
      <c r="Y377" s="350"/>
      <c r="Z377" s="350"/>
      <c r="AA377" s="350"/>
      <c r="AB377" s="350"/>
      <c r="AC377" s="350"/>
      <c r="AD377" s="350"/>
      <c r="AE377" s="350"/>
      <c r="AF377" s="350"/>
      <c r="AG377" s="350"/>
      <c r="AH377" s="418"/>
      <c r="AI377" s="339"/>
      <c r="AJ377" s="339"/>
      <c r="AK377" s="339"/>
      <c r="AL377" s="339"/>
      <c r="AM377" s="339"/>
      <c r="AN377" s="339"/>
      <c r="AO377" s="339"/>
      <c r="AP377" s="339"/>
      <c r="AQ377" s="350"/>
      <c r="AR377" s="339"/>
      <c r="AS377" s="350"/>
      <c r="AT377" s="340"/>
      <c r="AU377" s="340"/>
      <c r="AV377" s="339"/>
      <c r="AW377" s="339"/>
      <c r="AX377" s="339"/>
      <c r="AY377" s="339"/>
      <c r="AZ377" s="339"/>
      <c r="BA377" s="339">
        <v>0</v>
      </c>
      <c r="BB377" s="339">
        <v>0</v>
      </c>
      <c r="BC377" s="339"/>
      <c r="BD377" s="339" t="s">
        <v>2932</v>
      </c>
      <c r="BE377" s="339" t="s">
        <v>2932</v>
      </c>
      <c r="BF377" s="339">
        <v>0</v>
      </c>
      <c r="BG377" s="339">
        <v>0</v>
      </c>
      <c r="BH377" s="339">
        <v>0</v>
      </c>
      <c r="BI377" s="339">
        <v>0</v>
      </c>
      <c r="BJ377" s="339">
        <v>0</v>
      </c>
      <c r="BK377" s="339">
        <v>0</v>
      </c>
      <c r="BL377" s="339">
        <v>0</v>
      </c>
      <c r="BM377" s="339">
        <v>0</v>
      </c>
      <c r="BN377" s="339">
        <v>0</v>
      </c>
      <c r="BO377" s="339">
        <v>0</v>
      </c>
      <c r="BP377" s="339">
        <v>0</v>
      </c>
      <c r="BQ377" s="339">
        <v>0</v>
      </c>
      <c r="BR377" s="339">
        <v>0</v>
      </c>
      <c r="BS377" s="110" t="e">
        <f t="array" aca="1" ref="BS377" ca="1">_xludf.XLOOKUP(D377,'PL TOTAL D0'!N:N,'PL TOTAL D0'!P:P,"")</f>
        <v>#NAME?</v>
      </c>
      <c r="BT377" s="110"/>
    </row>
    <row r="378" spans="1:72" ht="15.75" customHeight="1">
      <c r="A378" s="122" t="s">
        <v>3785</v>
      </c>
      <c r="B378" s="104" t="s">
        <v>4908</v>
      </c>
      <c r="C378" s="390" t="s">
        <v>4909</v>
      </c>
      <c r="D378" s="299">
        <v>5655163</v>
      </c>
      <c r="E378" s="292" t="s">
        <v>19</v>
      </c>
      <c r="F378" s="292" t="s">
        <v>49</v>
      </c>
      <c r="G378" s="292" t="s">
        <v>328</v>
      </c>
      <c r="H378" s="292" t="str">
        <f>IFERROR(VLOOKUP(G378,'Cadastro de assessores'!A:B,2,FALSE),"Não Cadastrado")</f>
        <v>18009</v>
      </c>
      <c r="I378" s="292"/>
      <c r="J378" s="24" t="s">
        <v>143</v>
      </c>
      <c r="K378" s="292" t="s">
        <v>3794</v>
      </c>
      <c r="L378" s="387"/>
      <c r="M378" s="387">
        <v>44369</v>
      </c>
      <c r="N378" s="447">
        <v>44545</v>
      </c>
      <c r="O378" s="299" t="s">
        <v>3809</v>
      </c>
      <c r="P378" s="388">
        <v>2.5000000000000001E-2</v>
      </c>
      <c r="Q378" s="440" t="s">
        <v>4910</v>
      </c>
      <c r="R378" s="417"/>
      <c r="S378" s="292" t="str">
        <f t="shared" si="39"/>
        <v>Não Qualificado</v>
      </c>
      <c r="T378" s="292" t="s">
        <v>145</v>
      </c>
      <c r="U378" s="307" t="s">
        <v>4911</v>
      </c>
      <c r="V378" s="292" t="s">
        <v>46</v>
      </c>
      <c r="W378" s="418"/>
      <c r="X378" s="418"/>
      <c r="Y378" s="350"/>
      <c r="Z378" s="350"/>
      <c r="AA378" s="350"/>
      <c r="AB378" s="350"/>
      <c r="AC378" s="350"/>
      <c r="AD378" s="350"/>
      <c r="AE378" s="350"/>
      <c r="AF378" s="350"/>
      <c r="AG378" s="350"/>
      <c r="AH378" s="350"/>
      <c r="AI378" s="418"/>
      <c r="AJ378" s="339"/>
      <c r="AK378" s="339"/>
      <c r="AL378" s="339"/>
      <c r="AM378" s="339"/>
      <c r="AN378" s="339"/>
      <c r="AO378" s="339"/>
      <c r="AP378" s="339"/>
      <c r="AQ378" s="339"/>
      <c r="AR378" s="350"/>
      <c r="AS378" s="339">
        <v>133106.04</v>
      </c>
      <c r="AT378" s="339">
        <v>126045.16</v>
      </c>
      <c r="AU378" s="339">
        <v>123039.47</v>
      </c>
      <c r="AV378" s="339">
        <v>116166.74</v>
      </c>
      <c r="AW378" s="339">
        <v>105240.49</v>
      </c>
      <c r="AX378" s="339">
        <v>104171.26</v>
      </c>
      <c r="AY378" s="339"/>
      <c r="AZ378" s="339"/>
      <c r="BA378" s="339">
        <v>0</v>
      </c>
      <c r="BB378" s="339">
        <v>0</v>
      </c>
      <c r="BC378" s="339">
        <v>148158.71</v>
      </c>
      <c r="BD378" s="339" t="s">
        <v>2932</v>
      </c>
      <c r="BE378" s="339" t="s">
        <v>2932</v>
      </c>
      <c r="BF378" s="339">
        <v>0</v>
      </c>
      <c r="BG378" s="339">
        <v>0</v>
      </c>
      <c r="BH378" s="339">
        <v>0</v>
      </c>
      <c r="BI378" s="339">
        <v>0</v>
      </c>
      <c r="BJ378" s="339">
        <v>0</v>
      </c>
      <c r="BK378" s="339">
        <v>0</v>
      </c>
      <c r="BL378" s="339">
        <v>0</v>
      </c>
      <c r="BM378" s="339">
        <v>0</v>
      </c>
      <c r="BN378" s="339">
        <v>0</v>
      </c>
      <c r="BO378" s="339">
        <v>0</v>
      </c>
      <c r="BP378" s="339">
        <v>0</v>
      </c>
      <c r="BQ378" s="339">
        <v>0</v>
      </c>
      <c r="BR378" s="339">
        <v>0</v>
      </c>
      <c r="BS378" s="110" t="e">
        <f t="array" aca="1" ref="BS378" ca="1">_xludf.XLOOKUP(D378,'PL TOTAL D0'!N:N,'PL TOTAL D0'!P:P,"")</f>
        <v>#NAME?</v>
      </c>
      <c r="BT378" s="110"/>
    </row>
    <row r="379" spans="1:72" ht="15.75" customHeight="1">
      <c r="A379" s="122" t="s">
        <v>3785</v>
      </c>
      <c r="B379" s="104" t="s">
        <v>4912</v>
      </c>
      <c r="C379" s="441" t="s">
        <v>4913</v>
      </c>
      <c r="D379" s="426">
        <v>7048589</v>
      </c>
      <c r="E379" s="293" t="s">
        <v>19</v>
      </c>
      <c r="F379" s="293" t="s">
        <v>49</v>
      </c>
      <c r="G379" s="293" t="s">
        <v>277</v>
      </c>
      <c r="H379" s="293" t="str">
        <f>IFERROR(VLOOKUP(G379,'Cadastro de assessores'!A:B,2,FALSE),"Não Cadastrado")</f>
        <v>17831</v>
      </c>
      <c r="I379" s="293"/>
      <c r="J379" s="24" t="s">
        <v>3788</v>
      </c>
      <c r="K379" s="292" t="s">
        <v>152</v>
      </c>
      <c r="L379" s="415">
        <v>44508</v>
      </c>
      <c r="M379" s="415">
        <v>44508</v>
      </c>
      <c r="N379" s="299"/>
      <c r="O379" s="299" t="s">
        <v>3805</v>
      </c>
      <c r="P379" s="388">
        <v>1.2E-2</v>
      </c>
      <c r="Q379" s="167"/>
      <c r="R379" s="417"/>
      <c r="S379" s="292" t="str">
        <f t="shared" si="39"/>
        <v>Não Qualificado</v>
      </c>
      <c r="T379" s="292" t="s">
        <v>145</v>
      </c>
      <c r="U379" s="292" t="s">
        <v>3967</v>
      </c>
      <c r="V379" s="292" t="s">
        <v>49</v>
      </c>
      <c r="W379" s="418"/>
      <c r="X379" s="418"/>
      <c r="Y379" s="350"/>
      <c r="Z379" s="350"/>
      <c r="AA379" s="350"/>
      <c r="AB379" s="350"/>
      <c r="AC379" s="350"/>
      <c r="AD379" s="350"/>
      <c r="AE379" s="350"/>
      <c r="AF379" s="350"/>
      <c r="AG379" s="418"/>
      <c r="AH379" s="418"/>
      <c r="AI379" s="418"/>
      <c r="AJ379" s="339"/>
      <c r="AK379" s="339"/>
      <c r="AL379" s="339"/>
      <c r="AM379" s="339"/>
      <c r="AN379" s="339"/>
      <c r="AO379" s="339"/>
      <c r="AP379" s="339"/>
      <c r="AQ379" s="339"/>
      <c r="AR379" s="339"/>
      <c r="AS379" s="339"/>
      <c r="AT379" s="339"/>
      <c r="AU379" s="339"/>
      <c r="AV379" s="339"/>
      <c r="AW379" s="350"/>
      <c r="AX379" s="340"/>
      <c r="AY379" s="340">
        <v>143656.04999999999</v>
      </c>
      <c r="AZ379" s="339">
        <v>229.69</v>
      </c>
      <c r="BA379" s="339">
        <v>231.16</v>
      </c>
      <c r="BB379" s="339">
        <v>235.96</v>
      </c>
      <c r="BC379" s="339">
        <v>251784.73</v>
      </c>
      <c r="BD379" s="339">
        <v>352.23</v>
      </c>
      <c r="BE379" s="339">
        <v>355.46</v>
      </c>
      <c r="BF379" s="339">
        <v>357.11</v>
      </c>
      <c r="BG379" s="339">
        <v>359.09</v>
      </c>
      <c r="BH379" s="339">
        <v>360.63</v>
      </c>
      <c r="BI379" s="339">
        <v>362.5</v>
      </c>
      <c r="BJ379" s="339">
        <v>365.06</v>
      </c>
      <c r="BK379" s="339">
        <v>366.81</v>
      </c>
      <c r="BL379" s="339">
        <v>369.04</v>
      </c>
      <c r="BM379" s="339">
        <v>370.74</v>
      </c>
      <c r="BN379" s="339">
        <v>371.45</v>
      </c>
      <c r="BO379" s="339">
        <v>371.45</v>
      </c>
      <c r="BP379" s="339">
        <v>371.45</v>
      </c>
      <c r="BQ379" s="339">
        <v>371.45</v>
      </c>
      <c r="BR379" s="339">
        <v>371.45</v>
      </c>
      <c r="BS379" s="110" t="e">
        <f t="array" aca="1" ref="BS379" ca="1">_xludf.XLOOKUP(D379,'PL TOTAL D0'!N:N,'PL TOTAL D0'!P:P,"")</f>
        <v>#NAME?</v>
      </c>
      <c r="BT379" s="110"/>
    </row>
    <row r="380" spans="1:72" ht="15.75" customHeight="1">
      <c r="A380" s="122" t="s">
        <v>3785</v>
      </c>
      <c r="B380" s="104" t="s">
        <v>4914</v>
      </c>
      <c r="C380" s="441" t="s">
        <v>4915</v>
      </c>
      <c r="D380" s="293">
        <v>3502759</v>
      </c>
      <c r="E380" s="293" t="s">
        <v>19</v>
      </c>
      <c r="F380" s="293" t="s">
        <v>49</v>
      </c>
      <c r="G380" s="293" t="s">
        <v>50</v>
      </c>
      <c r="H380" s="293"/>
      <c r="I380" s="293"/>
      <c r="J380" s="24" t="s">
        <v>3788</v>
      </c>
      <c r="K380" s="292"/>
      <c r="L380" s="416"/>
      <c r="M380" s="293"/>
      <c r="N380" s="299"/>
      <c r="O380" s="299" t="s">
        <v>3795</v>
      </c>
      <c r="P380" s="388">
        <v>1.4999999999999999E-2</v>
      </c>
      <c r="Q380" s="167"/>
      <c r="R380" s="417"/>
      <c r="S380" s="292"/>
      <c r="T380" s="292"/>
      <c r="U380" s="299"/>
      <c r="V380" s="292" t="s">
        <v>49</v>
      </c>
      <c r="W380" s="418"/>
      <c r="X380" s="418"/>
      <c r="Y380" s="350"/>
      <c r="Z380" s="350"/>
      <c r="AA380" s="350"/>
      <c r="AB380" s="350"/>
      <c r="AC380" s="350"/>
      <c r="AD380" s="350"/>
      <c r="AE380" s="350"/>
      <c r="AF380" s="350"/>
      <c r="AG380" s="418"/>
      <c r="AH380" s="418"/>
      <c r="AI380" s="418"/>
      <c r="AJ380" s="339"/>
      <c r="AK380" s="339"/>
      <c r="AL380" s="339"/>
      <c r="AM380" s="339"/>
      <c r="AN380" s="339"/>
      <c r="AO380" s="339"/>
      <c r="AP380" s="339"/>
      <c r="AQ380" s="339"/>
      <c r="AR380" s="339"/>
      <c r="AS380" s="339"/>
      <c r="AT380" s="339"/>
      <c r="AU380" s="339"/>
      <c r="AV380" s="339"/>
      <c r="AW380" s="350"/>
      <c r="AX380" s="340"/>
      <c r="AY380" s="340"/>
      <c r="AZ380" s="339"/>
      <c r="BA380" s="339"/>
      <c r="BB380" s="339"/>
      <c r="BC380" s="339"/>
      <c r="BD380" s="339"/>
      <c r="BE380" s="339"/>
      <c r="BF380" s="339"/>
      <c r="BG380" s="339"/>
      <c r="BH380" s="339"/>
      <c r="BI380" s="339"/>
      <c r="BJ380" s="339"/>
      <c r="BK380" s="339"/>
      <c r="BL380" s="339">
        <v>190952.18</v>
      </c>
      <c r="BM380" s="339">
        <v>188025.53</v>
      </c>
      <c r="BN380" s="339">
        <v>0</v>
      </c>
      <c r="BO380" s="339">
        <v>0</v>
      </c>
      <c r="BP380" s="339">
        <v>0</v>
      </c>
      <c r="BQ380" s="339">
        <v>0</v>
      </c>
      <c r="BR380" s="339">
        <v>0</v>
      </c>
      <c r="BS380" s="110" t="e">
        <f t="array" aca="1" ref="BS380" ca="1">_xludf.XLOOKUP(D380,'PL TOTAL D0'!N:N,'PL TOTAL D0'!P:P,"")</f>
        <v>#NAME?</v>
      </c>
      <c r="BT380" s="110"/>
    </row>
    <row r="381" spans="1:72" ht="15.75" customHeight="1">
      <c r="A381" s="122" t="s">
        <v>3785</v>
      </c>
      <c r="B381" s="104" t="s">
        <v>4916</v>
      </c>
      <c r="C381" s="441" t="s">
        <v>4917</v>
      </c>
      <c r="D381" s="293">
        <v>9281869</v>
      </c>
      <c r="E381" s="293" t="s">
        <v>19</v>
      </c>
      <c r="F381" s="293" t="s">
        <v>34</v>
      </c>
      <c r="G381" s="293" t="s">
        <v>4918</v>
      </c>
      <c r="H381" s="293">
        <f>IFERROR(VLOOKUP(G381,'Cadastro de assessores'!A:B,2,FALSE),"Não Cadastrado")</f>
        <v>12360</v>
      </c>
      <c r="I381" s="293"/>
      <c r="J381" s="24" t="s">
        <v>143</v>
      </c>
      <c r="K381" s="292"/>
      <c r="L381" s="416">
        <v>44831</v>
      </c>
      <c r="M381" s="416">
        <v>44831</v>
      </c>
      <c r="N381" s="299"/>
      <c r="O381" s="299" t="s">
        <v>3809</v>
      </c>
      <c r="P381" s="388">
        <v>2.5000000000000001E-2</v>
      </c>
      <c r="Q381" s="167" t="s">
        <v>4919</v>
      </c>
      <c r="R381" s="417"/>
      <c r="S381" s="292"/>
      <c r="T381" s="292"/>
      <c r="U381" s="299"/>
      <c r="V381" s="292" t="s">
        <v>49</v>
      </c>
      <c r="W381" s="418"/>
      <c r="X381" s="418"/>
      <c r="Y381" s="350"/>
      <c r="Z381" s="350"/>
      <c r="AA381" s="350"/>
      <c r="AB381" s="350"/>
      <c r="AC381" s="350"/>
      <c r="AD381" s="350"/>
      <c r="AE381" s="350"/>
      <c r="AF381" s="350"/>
      <c r="AG381" s="418"/>
      <c r="AH381" s="418"/>
      <c r="AI381" s="418"/>
      <c r="AJ381" s="339"/>
      <c r="AK381" s="339"/>
      <c r="AL381" s="339"/>
      <c r="AM381" s="339"/>
      <c r="AN381" s="339"/>
      <c r="AO381" s="339"/>
      <c r="AP381" s="339"/>
      <c r="AQ381" s="339"/>
      <c r="AR381" s="339"/>
      <c r="AS381" s="339"/>
      <c r="AT381" s="339"/>
      <c r="AU381" s="339"/>
      <c r="AV381" s="339"/>
      <c r="AW381" s="350"/>
      <c r="AX381" s="340"/>
      <c r="AY381" s="340"/>
      <c r="AZ381" s="339"/>
      <c r="BA381" s="339"/>
      <c r="BB381" s="339"/>
      <c r="BC381" s="339"/>
      <c r="BD381" s="339"/>
      <c r="BE381" s="339"/>
      <c r="BF381" s="339"/>
      <c r="BG381" s="339"/>
      <c r="BH381" s="339">
        <v>99669.71</v>
      </c>
      <c r="BI381" s="339">
        <v>96983.41</v>
      </c>
      <c r="BJ381" s="339">
        <v>0</v>
      </c>
      <c r="BK381" s="339">
        <v>0</v>
      </c>
      <c r="BL381" s="339">
        <v>0</v>
      </c>
      <c r="BM381" s="339">
        <v>0</v>
      </c>
      <c r="BN381" s="339">
        <v>0</v>
      </c>
      <c r="BO381" s="339">
        <v>0</v>
      </c>
      <c r="BP381" s="339">
        <v>0</v>
      </c>
      <c r="BQ381" s="339">
        <v>0</v>
      </c>
      <c r="BR381" s="339">
        <v>0</v>
      </c>
      <c r="BS381" s="110" t="e">
        <f t="array" aca="1" ref="BS381" ca="1">_xludf.XLOOKUP(D381,'PL TOTAL D0'!N:N,'PL TOTAL D0'!P:P,"")</f>
        <v>#NAME?</v>
      </c>
      <c r="BT381" s="110"/>
    </row>
    <row r="382" spans="1:72" ht="15.75" customHeight="1">
      <c r="A382" s="122" t="s">
        <v>3785</v>
      </c>
      <c r="B382" s="104" t="s">
        <v>2074</v>
      </c>
      <c r="C382" s="441" t="s">
        <v>2072</v>
      </c>
      <c r="D382" s="293">
        <v>4006849</v>
      </c>
      <c r="E382" s="293" t="s">
        <v>19</v>
      </c>
      <c r="F382" s="293" t="s">
        <v>49</v>
      </c>
      <c r="G382" s="293" t="s">
        <v>328</v>
      </c>
      <c r="H382" s="293" t="str">
        <f>IFERROR(VLOOKUP(G382,'Cadastro de assessores'!A:B,2,FALSE),"Não Cadastrado")</f>
        <v>18009</v>
      </c>
      <c r="I382" s="293"/>
      <c r="J382" s="24" t="s">
        <v>3788</v>
      </c>
      <c r="K382" s="292" t="s">
        <v>152</v>
      </c>
      <c r="L382" s="416">
        <v>44517</v>
      </c>
      <c r="M382" s="416">
        <v>44517</v>
      </c>
      <c r="N382" s="299"/>
      <c r="O382" s="299" t="s">
        <v>3795</v>
      </c>
      <c r="P382" s="388">
        <v>1.4999999999999999E-2</v>
      </c>
      <c r="Q382" s="167" t="s">
        <v>4076</v>
      </c>
      <c r="R382" s="417"/>
      <c r="S382" s="292" t="str">
        <f t="shared" ref="S382:S385" si="40">IF(BC382&lt;=0,"",IF(BC382&lt;=1000000,"Não Qualificado",IF(AND(BC382&gt;1000000,BC382&lt;=10000000),"Qualificado","Profissional")))</f>
        <v>Não Qualificado</v>
      </c>
      <c r="T382" s="292" t="s">
        <v>145</v>
      </c>
      <c r="U382" s="299" t="s">
        <v>4077</v>
      </c>
      <c r="V382" s="292" t="s">
        <v>49</v>
      </c>
      <c r="W382" s="418"/>
      <c r="X382" s="418"/>
      <c r="Y382" s="350"/>
      <c r="Z382" s="350"/>
      <c r="AA382" s="350"/>
      <c r="AB382" s="350"/>
      <c r="AC382" s="350"/>
      <c r="AD382" s="350"/>
      <c r="AE382" s="350"/>
      <c r="AF382" s="350"/>
      <c r="AG382" s="418"/>
      <c r="AH382" s="418"/>
      <c r="AI382" s="418"/>
      <c r="AJ382" s="339"/>
      <c r="AK382" s="339"/>
      <c r="AL382" s="339"/>
      <c r="AM382" s="339"/>
      <c r="AN382" s="339"/>
      <c r="AO382" s="339"/>
      <c r="AP382" s="339"/>
      <c r="AQ382" s="339"/>
      <c r="AR382" s="339"/>
      <c r="AS382" s="339"/>
      <c r="AT382" s="339"/>
      <c r="AU382" s="339"/>
      <c r="AV382" s="339"/>
      <c r="AW382" s="350"/>
      <c r="AX382" s="340"/>
      <c r="AY382" s="340">
        <v>1154690.82</v>
      </c>
      <c r="AZ382" s="339">
        <v>1185044.8999999999</v>
      </c>
      <c r="BA382" s="339">
        <v>1192460.3500000001</v>
      </c>
      <c r="BB382" s="339">
        <v>1232692.22</v>
      </c>
      <c r="BC382" s="339">
        <v>210796.51</v>
      </c>
      <c r="BD382" s="339">
        <v>1220416.3700000001</v>
      </c>
      <c r="BE382" s="339">
        <v>1218127.27</v>
      </c>
      <c r="BF382" s="339">
        <v>1237671.2</v>
      </c>
      <c r="BG382" s="339">
        <v>1244901.25</v>
      </c>
      <c r="BH382" s="339">
        <v>1248058.23</v>
      </c>
      <c r="BI382" s="339">
        <v>1284223.81</v>
      </c>
      <c r="BJ382" s="339">
        <v>1285944.77</v>
      </c>
      <c r="BK382" s="339">
        <v>1294417.73</v>
      </c>
      <c r="BL382" s="339">
        <v>1303546.17</v>
      </c>
      <c r="BM382" s="339">
        <v>1311574.18</v>
      </c>
      <c r="BN382" s="339">
        <v>1326126.3899999999</v>
      </c>
      <c r="BO382" s="339">
        <v>0</v>
      </c>
      <c r="BP382" s="339">
        <v>0</v>
      </c>
      <c r="BQ382" s="339">
        <v>0</v>
      </c>
      <c r="BR382" s="339">
        <v>0</v>
      </c>
      <c r="BS382" s="110" t="e">
        <f t="array" aca="1" ref="BS382" ca="1">_xludf.XLOOKUP(D382,'PL TOTAL D0'!N:N,'PL TOTAL D0'!P:P,"")</f>
        <v>#NAME?</v>
      </c>
      <c r="BT382" s="110"/>
    </row>
    <row r="383" spans="1:72" ht="15.75" customHeight="1">
      <c r="A383" s="122" t="s">
        <v>3785</v>
      </c>
      <c r="B383" s="104" t="s">
        <v>4920</v>
      </c>
      <c r="C383" s="122" t="s">
        <v>4921</v>
      </c>
      <c r="D383" s="292">
        <v>4017894</v>
      </c>
      <c r="E383" s="292" t="s">
        <v>19</v>
      </c>
      <c r="F383" s="292" t="s">
        <v>20</v>
      </c>
      <c r="G383" s="292" t="s">
        <v>4301</v>
      </c>
      <c r="H383" s="292" t="str">
        <f>IFERROR(VLOOKUP(G383,'Cadastro de assessores'!A:B,2,FALSE),"Não Cadastrado")</f>
        <v>12846</v>
      </c>
      <c r="I383" s="292"/>
      <c r="J383" s="24" t="s">
        <v>143</v>
      </c>
      <c r="K383" s="292" t="s">
        <v>3794</v>
      </c>
      <c r="L383" s="387"/>
      <c r="M383" s="387">
        <v>44291</v>
      </c>
      <c r="N383" s="387">
        <v>44378</v>
      </c>
      <c r="O383" s="292" t="s">
        <v>3809</v>
      </c>
      <c r="P383" s="388">
        <v>0.01</v>
      </c>
      <c r="Q383" s="420" t="s">
        <v>4302</v>
      </c>
      <c r="R383" s="417"/>
      <c r="S383" s="292" t="str">
        <f t="shared" si="40"/>
        <v>Não Qualificado</v>
      </c>
      <c r="T383" s="292" t="s">
        <v>145</v>
      </c>
      <c r="U383" s="292" t="s">
        <v>3967</v>
      </c>
      <c r="V383" s="292" t="s">
        <v>49</v>
      </c>
      <c r="W383" s="418"/>
      <c r="X383" s="418"/>
      <c r="Y383" s="418"/>
      <c r="Z383" s="418"/>
      <c r="AA383" s="418"/>
      <c r="AB383" s="418"/>
      <c r="AC383" s="418"/>
      <c r="AD383" s="418"/>
      <c r="AE383" s="418"/>
      <c r="AF383" s="418"/>
      <c r="AG383" s="418"/>
      <c r="AH383" s="418"/>
      <c r="AI383" s="418"/>
      <c r="AJ383" s="418"/>
      <c r="AK383" s="339"/>
      <c r="AL383" s="339"/>
      <c r="AM383" s="339"/>
      <c r="AN383" s="339"/>
      <c r="AO383" s="339"/>
      <c r="AP383" s="339">
        <v>1281133.42</v>
      </c>
      <c r="AQ383" s="339">
        <v>1293411.05</v>
      </c>
      <c r="AR383" s="339">
        <v>1311526.19</v>
      </c>
      <c r="AS383" s="339">
        <v>1322381.07</v>
      </c>
      <c r="AT383" s="339"/>
      <c r="AU383" s="339"/>
      <c r="AV383" s="339"/>
      <c r="AW383" s="339"/>
      <c r="AX383" s="339"/>
      <c r="AY383" s="339"/>
      <c r="AZ383" s="339"/>
      <c r="BA383" s="339">
        <v>0</v>
      </c>
      <c r="BB383" s="339">
        <v>0</v>
      </c>
      <c r="BC383" s="339">
        <v>233620.35</v>
      </c>
      <c r="BD383" s="339" t="s">
        <v>2932</v>
      </c>
      <c r="BE383" s="339" t="s">
        <v>2932</v>
      </c>
      <c r="BF383" s="339">
        <v>0</v>
      </c>
      <c r="BG383" s="339">
        <v>0</v>
      </c>
      <c r="BH383" s="339">
        <v>0</v>
      </c>
      <c r="BI383" s="339">
        <v>0</v>
      </c>
      <c r="BJ383" s="339">
        <v>0</v>
      </c>
      <c r="BK383" s="339">
        <v>0</v>
      </c>
      <c r="BL383" s="339">
        <v>0</v>
      </c>
      <c r="BM383" s="339">
        <v>0</v>
      </c>
      <c r="BN383" s="339">
        <v>0</v>
      </c>
      <c r="BO383" s="339">
        <v>0</v>
      </c>
      <c r="BP383" s="339">
        <v>0</v>
      </c>
      <c r="BQ383" s="339">
        <v>0</v>
      </c>
      <c r="BR383" s="339">
        <v>0</v>
      </c>
      <c r="BS383" s="110" t="e">
        <f t="array" aca="1" ref="BS383" ca="1">_xludf.XLOOKUP(D383,'PL TOTAL D0'!N:N,'PL TOTAL D0'!P:P,"")</f>
        <v>#NAME?</v>
      </c>
      <c r="BT383" s="110"/>
    </row>
    <row r="384" spans="1:72" ht="15.75" customHeight="1">
      <c r="A384" s="122" t="s">
        <v>3785</v>
      </c>
      <c r="B384" s="104" t="s">
        <v>3079</v>
      </c>
      <c r="C384" s="122" t="s">
        <v>4922</v>
      </c>
      <c r="D384" s="292">
        <v>2172838</v>
      </c>
      <c r="E384" s="292" t="s">
        <v>19</v>
      </c>
      <c r="F384" s="292" t="s">
        <v>20</v>
      </c>
      <c r="G384" s="292" t="s">
        <v>3072</v>
      </c>
      <c r="H384" s="292" t="str">
        <f>IFERROR(VLOOKUP(G384,'Cadastro de assessores'!A:B,2,FALSE),"Não Cadastrado")</f>
        <v>18236</v>
      </c>
      <c r="I384" s="292"/>
      <c r="J384" s="24" t="s">
        <v>143</v>
      </c>
      <c r="K384" s="292" t="s">
        <v>3794</v>
      </c>
      <c r="L384" s="387"/>
      <c r="M384" s="387">
        <v>43671</v>
      </c>
      <c r="N384" s="292" t="s">
        <v>3891</v>
      </c>
      <c r="O384" s="292" t="s">
        <v>3809</v>
      </c>
      <c r="P384" s="388">
        <v>1E-4</v>
      </c>
      <c r="Q384" s="167" t="s">
        <v>3892</v>
      </c>
      <c r="R384" s="417"/>
      <c r="S384" s="292" t="str">
        <f t="shared" si="40"/>
        <v>Não Qualificado</v>
      </c>
      <c r="T384" s="292" t="s">
        <v>187</v>
      </c>
      <c r="U384" s="292" t="s">
        <v>3811</v>
      </c>
      <c r="V384" s="292" t="s">
        <v>20</v>
      </c>
      <c r="W384" s="418" t="s">
        <v>4923</v>
      </c>
      <c r="X384" s="418"/>
      <c r="Y384" s="418" t="s">
        <v>4924</v>
      </c>
      <c r="Z384" s="418" t="s">
        <v>3798</v>
      </c>
      <c r="AA384" s="418" t="s">
        <v>3798</v>
      </c>
      <c r="AB384" s="418" t="s">
        <v>3798</v>
      </c>
      <c r="AC384" s="418" t="s">
        <v>3798</v>
      </c>
      <c r="AD384" s="418" t="s">
        <v>3798</v>
      </c>
      <c r="AE384" s="418" t="s">
        <v>3798</v>
      </c>
      <c r="AF384" s="418" t="s">
        <v>3798</v>
      </c>
      <c r="AG384" s="418" t="s">
        <v>3798</v>
      </c>
      <c r="AH384" s="418"/>
      <c r="AI384" s="418" t="s">
        <v>3798</v>
      </c>
      <c r="AJ384" s="418"/>
      <c r="AK384" s="339"/>
      <c r="AL384" s="339"/>
      <c r="AM384" s="339" t="s">
        <v>3147</v>
      </c>
      <c r="AN384" s="339" t="s">
        <v>3147</v>
      </c>
      <c r="AO384" s="339"/>
      <c r="AP384" s="339"/>
      <c r="AQ384" s="339"/>
      <c r="AR384" s="339"/>
      <c r="AS384" s="339"/>
      <c r="AT384" s="339"/>
      <c r="AU384" s="339"/>
      <c r="AV384" s="339"/>
      <c r="AW384" s="339"/>
      <c r="AX384" s="339"/>
      <c r="AY384" s="339"/>
      <c r="AZ384" s="339"/>
      <c r="BA384" s="339">
        <v>0</v>
      </c>
      <c r="BB384" s="339">
        <v>0</v>
      </c>
      <c r="BC384" s="339">
        <v>700251.99</v>
      </c>
      <c r="BD384" s="339" t="s">
        <v>2932</v>
      </c>
      <c r="BE384" s="339" t="s">
        <v>2932</v>
      </c>
      <c r="BF384" s="339">
        <v>0</v>
      </c>
      <c r="BG384" s="339">
        <v>0</v>
      </c>
      <c r="BH384" s="339">
        <v>0</v>
      </c>
      <c r="BI384" s="339">
        <v>0</v>
      </c>
      <c r="BJ384" s="339">
        <v>0</v>
      </c>
      <c r="BK384" s="339">
        <v>0</v>
      </c>
      <c r="BL384" s="339">
        <v>0</v>
      </c>
      <c r="BM384" s="339">
        <v>0</v>
      </c>
      <c r="BN384" s="339">
        <v>0</v>
      </c>
      <c r="BO384" s="339">
        <v>0</v>
      </c>
      <c r="BP384" s="339">
        <v>0</v>
      </c>
      <c r="BQ384" s="339">
        <v>0</v>
      </c>
      <c r="BR384" s="339">
        <v>0</v>
      </c>
      <c r="BS384" s="110" t="e">
        <f t="array" aca="1" ref="BS384" ca="1">_xludf.XLOOKUP(D384,'PL TOTAL D0'!N:N,'PL TOTAL D0'!P:P,"")</f>
        <v>#NAME?</v>
      </c>
      <c r="BT384" s="110"/>
    </row>
    <row r="385" spans="1:72" ht="15.75" customHeight="1">
      <c r="A385" s="122" t="s">
        <v>3785</v>
      </c>
      <c r="B385" s="104" t="s">
        <v>4925</v>
      </c>
      <c r="C385" s="122" t="s">
        <v>4926</v>
      </c>
      <c r="D385" s="292">
        <v>6683617</v>
      </c>
      <c r="E385" s="292" t="s">
        <v>19</v>
      </c>
      <c r="F385" s="292" t="s">
        <v>49</v>
      </c>
      <c r="G385" s="292" t="s">
        <v>328</v>
      </c>
      <c r="H385" s="292" t="str">
        <f>IFERROR(VLOOKUP(G385,'Cadastro de assessores'!A:B,2,FALSE),"Não Cadastrado")</f>
        <v>18009</v>
      </c>
      <c r="I385" s="292"/>
      <c r="J385" s="24" t="s">
        <v>143</v>
      </c>
      <c r="K385" s="292" t="s">
        <v>3794</v>
      </c>
      <c r="L385" s="387"/>
      <c r="M385" s="387">
        <v>44463</v>
      </c>
      <c r="N385" s="387">
        <v>44678</v>
      </c>
      <c r="O385" s="292" t="s">
        <v>4019</v>
      </c>
      <c r="P385" s="388">
        <v>0.02</v>
      </c>
      <c r="Q385" s="167" t="s">
        <v>4927</v>
      </c>
      <c r="R385" s="417"/>
      <c r="S385" s="292" t="str">
        <f t="shared" si="40"/>
        <v>Não Qualificado</v>
      </c>
      <c r="T385" s="292" t="s">
        <v>145</v>
      </c>
      <c r="U385" s="299" t="s">
        <v>4928</v>
      </c>
      <c r="V385" s="292" t="s">
        <v>3884</v>
      </c>
      <c r="W385" s="418"/>
      <c r="X385" s="350"/>
      <c r="Y385" s="350"/>
      <c r="Z385" s="350"/>
      <c r="AA385" s="350"/>
      <c r="AB385" s="350"/>
      <c r="AC385" s="350"/>
      <c r="AD385" s="350"/>
      <c r="AE385" s="350"/>
      <c r="AF385" s="350"/>
      <c r="AG385" s="418"/>
      <c r="AH385" s="418"/>
      <c r="AI385" s="418"/>
      <c r="AJ385" s="339"/>
      <c r="AK385" s="339"/>
      <c r="AL385" s="339"/>
      <c r="AM385" s="339"/>
      <c r="AN385" s="339"/>
      <c r="AO385" s="339"/>
      <c r="AP385" s="339"/>
      <c r="AQ385" s="339"/>
      <c r="AR385" s="339"/>
      <c r="AS385" s="339"/>
      <c r="AT385" s="339"/>
      <c r="AU385" s="350"/>
      <c r="AV385" s="339"/>
      <c r="AW385" s="339">
        <v>50414.87</v>
      </c>
      <c r="AX385" s="339">
        <v>45721.57</v>
      </c>
      <c r="AY385" s="339">
        <v>46351.95</v>
      </c>
      <c r="AZ385" s="339">
        <v>48129.78</v>
      </c>
      <c r="BA385" s="339">
        <v>49538.29</v>
      </c>
      <c r="BB385" s="339">
        <v>51830.18</v>
      </c>
      <c r="BC385" s="339">
        <v>169257.75</v>
      </c>
      <c r="BD385" s="339" t="s">
        <v>2932</v>
      </c>
      <c r="BE385" s="339" t="s">
        <v>2932</v>
      </c>
      <c r="BF385" s="339">
        <v>0</v>
      </c>
      <c r="BG385" s="339">
        <v>0</v>
      </c>
      <c r="BH385" s="339">
        <v>0</v>
      </c>
      <c r="BI385" s="339">
        <v>0</v>
      </c>
      <c r="BJ385" s="339">
        <v>0</v>
      </c>
      <c r="BK385" s="339">
        <v>0</v>
      </c>
      <c r="BL385" s="339">
        <v>0</v>
      </c>
      <c r="BM385" s="339">
        <v>0</v>
      </c>
      <c r="BN385" s="339">
        <v>0</v>
      </c>
      <c r="BO385" s="339">
        <v>0</v>
      </c>
      <c r="BP385" s="339">
        <v>0</v>
      </c>
      <c r="BQ385" s="339">
        <v>0</v>
      </c>
      <c r="BR385" s="339">
        <v>0</v>
      </c>
      <c r="BS385" s="110" t="e">
        <f t="array" aca="1" ref="BS385" ca="1">_xludf.XLOOKUP(D385,'PL TOTAL D0'!N:N,'PL TOTAL D0'!P:P,"")</f>
        <v>#NAME?</v>
      </c>
      <c r="BT385" s="110"/>
    </row>
    <row r="386" spans="1:72" ht="15.75" customHeight="1">
      <c r="A386" s="122" t="s">
        <v>3785</v>
      </c>
      <c r="B386" s="104" t="s">
        <v>2093</v>
      </c>
      <c r="C386" s="122" t="s">
        <v>4929</v>
      </c>
      <c r="D386" s="292">
        <v>2587496</v>
      </c>
      <c r="E386" s="292" t="s">
        <v>19</v>
      </c>
      <c r="F386" s="292" t="s">
        <v>49</v>
      </c>
      <c r="G386" s="292" t="s">
        <v>277</v>
      </c>
      <c r="H386" s="292"/>
      <c r="I386" s="292"/>
      <c r="J386" s="24" t="s">
        <v>143</v>
      </c>
      <c r="K386" s="292"/>
      <c r="L386" s="387"/>
      <c r="M386" s="387">
        <v>44861</v>
      </c>
      <c r="N386" s="387"/>
      <c r="O386" s="292" t="s">
        <v>4930</v>
      </c>
      <c r="P386" s="388">
        <v>0.01</v>
      </c>
      <c r="Q386" s="420"/>
      <c r="R386" s="417"/>
      <c r="S386" s="292"/>
      <c r="T386" s="292"/>
      <c r="U386" s="299"/>
      <c r="V386" s="292" t="s">
        <v>49</v>
      </c>
      <c r="W386" s="418"/>
      <c r="X386" s="418"/>
      <c r="Y386" s="418"/>
      <c r="Z386" s="418"/>
      <c r="AA386" s="418"/>
      <c r="AB386" s="418"/>
      <c r="AC386" s="418"/>
      <c r="AD386" s="418"/>
      <c r="AE386" s="418"/>
      <c r="AF386" s="418"/>
      <c r="AG386" s="418"/>
      <c r="AH386" s="418"/>
      <c r="AI386" s="418"/>
      <c r="AJ386" s="418"/>
      <c r="AK386" s="339"/>
      <c r="AL386" s="339"/>
      <c r="AM386" s="339"/>
      <c r="AN386" s="339"/>
      <c r="AO386" s="339"/>
      <c r="AP386" s="339"/>
      <c r="AQ386" s="339"/>
      <c r="AR386" s="339"/>
      <c r="AS386" s="339"/>
      <c r="AT386" s="339"/>
      <c r="AU386" s="339"/>
      <c r="AV386" s="339"/>
      <c r="AW386" s="339"/>
      <c r="AX386" s="339"/>
      <c r="AY386" s="339"/>
      <c r="AZ386" s="339"/>
      <c r="BA386" s="339"/>
      <c r="BB386" s="339"/>
      <c r="BC386" s="339"/>
      <c r="BD386" s="339"/>
      <c r="BE386" s="339"/>
      <c r="BF386" s="339"/>
      <c r="BG386" s="339"/>
      <c r="BH386" s="339"/>
      <c r="BI386" s="339">
        <v>200988.51</v>
      </c>
      <c r="BJ386" s="339">
        <v>202983.16</v>
      </c>
      <c r="BK386" s="339">
        <v>204762.79</v>
      </c>
      <c r="BL386" s="339">
        <v>207000.32000000001</v>
      </c>
      <c r="BM386" s="339">
        <v>208764.45</v>
      </c>
      <c r="BN386" s="339">
        <v>211245.87</v>
      </c>
      <c r="BO386" s="339">
        <v>1009.34</v>
      </c>
      <c r="BP386" s="339">
        <v>1068.81</v>
      </c>
      <c r="BQ386" s="339">
        <v>1053.55</v>
      </c>
      <c r="BR386" s="339">
        <v>1073.18</v>
      </c>
      <c r="BS386" s="110" t="e">
        <f t="array" aca="1" ref="BS386" ca="1">_xludf.XLOOKUP(D386,'PL TOTAL D0'!N:N,'PL TOTAL D0'!P:P,"")</f>
        <v>#NAME?</v>
      </c>
      <c r="BT386" s="110"/>
    </row>
    <row r="387" spans="1:72" ht="15.75" customHeight="1">
      <c r="A387" s="122" t="s">
        <v>3785</v>
      </c>
      <c r="B387" s="104" t="s">
        <v>4931</v>
      </c>
      <c r="C387" s="122" t="s">
        <v>4932</v>
      </c>
      <c r="D387" s="292">
        <v>4742129</v>
      </c>
      <c r="E387" s="292" t="s">
        <v>19</v>
      </c>
      <c r="F387" s="292" t="s">
        <v>2051</v>
      </c>
      <c r="G387" s="292" t="s">
        <v>328</v>
      </c>
      <c r="H387" s="292" t="str">
        <f>IFERROR(VLOOKUP(G387,'Cadastro de assessores'!A:B,2,FALSE),"Não Cadastrado")</f>
        <v>18009</v>
      </c>
      <c r="I387" s="292"/>
      <c r="J387" s="24" t="s">
        <v>143</v>
      </c>
      <c r="K387" s="292" t="s">
        <v>3794</v>
      </c>
      <c r="L387" s="387"/>
      <c r="M387" s="387">
        <v>44207</v>
      </c>
      <c r="N387" s="387">
        <v>44648</v>
      </c>
      <c r="O387" s="292" t="s">
        <v>4010</v>
      </c>
      <c r="P387" s="388">
        <v>0.02</v>
      </c>
      <c r="Q387" s="420" t="s">
        <v>4933</v>
      </c>
      <c r="R387" s="417"/>
      <c r="S387" s="292" t="str">
        <f t="shared" ref="S387:S397" si="41">IF(BC387&lt;=0,"",IF(BC387&lt;=1000000,"Não Qualificado",IF(AND(BC387&gt;1000000,BC387&lt;=10000000),"Qualificado","Profissional")))</f>
        <v/>
      </c>
      <c r="T387" s="292" t="s">
        <v>145</v>
      </c>
      <c r="U387" s="299" t="s">
        <v>3846</v>
      </c>
      <c r="V387" s="292" t="s">
        <v>46</v>
      </c>
      <c r="W387" s="418"/>
      <c r="X387" s="418"/>
      <c r="Y387" s="418"/>
      <c r="Z387" s="418"/>
      <c r="AA387" s="418"/>
      <c r="AB387" s="418"/>
      <c r="AC387" s="418"/>
      <c r="AD387" s="418"/>
      <c r="AE387" s="418"/>
      <c r="AF387" s="418"/>
      <c r="AG387" s="418"/>
      <c r="AH387" s="418"/>
      <c r="AI387" s="418"/>
      <c r="AJ387" s="418"/>
      <c r="AK387" s="339"/>
      <c r="AL387" s="339">
        <v>224570.39</v>
      </c>
      <c r="AM387" s="339">
        <v>336721.76</v>
      </c>
      <c r="AN387" s="339">
        <v>337117.81</v>
      </c>
      <c r="AO387" s="339">
        <v>352032.43</v>
      </c>
      <c r="AP387" s="339">
        <v>439774.48</v>
      </c>
      <c r="AQ387" s="339">
        <v>436896.14</v>
      </c>
      <c r="AR387" s="339">
        <v>548573.53</v>
      </c>
      <c r="AS387" s="339">
        <v>685024.87</v>
      </c>
      <c r="AT387" s="339">
        <v>738293.69</v>
      </c>
      <c r="AU387" s="339">
        <v>726507.76</v>
      </c>
      <c r="AV387" s="339">
        <v>701854.81</v>
      </c>
      <c r="AW387" s="339">
        <v>656127.12</v>
      </c>
      <c r="AX387" s="339">
        <v>652318.31000000006</v>
      </c>
      <c r="AY387" s="339">
        <v>663629.19999999995</v>
      </c>
      <c r="AZ387" s="339">
        <v>690477.12</v>
      </c>
      <c r="BA387" s="339">
        <v>697547.68</v>
      </c>
      <c r="BB387" s="339">
        <v>115.53</v>
      </c>
      <c r="BC387" s="339"/>
      <c r="BD387" s="339" t="s">
        <v>2932</v>
      </c>
      <c r="BE387" s="339" t="s">
        <v>2932</v>
      </c>
      <c r="BF387" s="339">
        <v>0</v>
      </c>
      <c r="BG387" s="339">
        <v>0</v>
      </c>
      <c r="BH387" s="339">
        <v>0</v>
      </c>
      <c r="BI387" s="339">
        <v>0</v>
      </c>
      <c r="BJ387" s="339">
        <v>0</v>
      </c>
      <c r="BK387" s="339">
        <v>0</v>
      </c>
      <c r="BL387" s="339">
        <v>0</v>
      </c>
      <c r="BM387" s="339">
        <v>0</v>
      </c>
      <c r="BN387" s="339">
        <v>0</v>
      </c>
      <c r="BO387" s="339">
        <v>0</v>
      </c>
      <c r="BP387" s="339">
        <v>0</v>
      </c>
      <c r="BQ387" s="339">
        <v>0</v>
      </c>
      <c r="BR387" s="339">
        <v>0</v>
      </c>
      <c r="BS387" s="110" t="e">
        <f t="array" aca="1" ref="BS387" ca="1">_xludf.XLOOKUP(D387,'PL TOTAL D0'!N:N,'PL TOTAL D0'!P:P,"")</f>
        <v>#NAME?</v>
      </c>
      <c r="BT387" s="110"/>
    </row>
    <row r="388" spans="1:72" ht="15.75" customHeight="1">
      <c r="A388" s="122" t="s">
        <v>3785</v>
      </c>
      <c r="B388" s="104" t="s">
        <v>4931</v>
      </c>
      <c r="C388" s="122" t="s">
        <v>4932</v>
      </c>
      <c r="D388" s="292">
        <v>4782053</v>
      </c>
      <c r="E388" s="292" t="s">
        <v>19</v>
      </c>
      <c r="F388" s="292" t="s">
        <v>2051</v>
      </c>
      <c r="G388" s="292" t="s">
        <v>328</v>
      </c>
      <c r="H388" s="292" t="str">
        <f>IFERROR(VLOOKUP(G388,'Cadastro de assessores'!A:B,2,FALSE),"Não Cadastrado")</f>
        <v>18009</v>
      </c>
      <c r="I388" s="292"/>
      <c r="J388" s="24" t="s">
        <v>143</v>
      </c>
      <c r="K388" s="292" t="s">
        <v>3794</v>
      </c>
      <c r="L388" s="387"/>
      <c r="M388" s="387">
        <v>44216</v>
      </c>
      <c r="N388" s="387">
        <v>44648</v>
      </c>
      <c r="O388" s="292" t="s">
        <v>3842</v>
      </c>
      <c r="P388" s="388">
        <v>8.0000000000000002E-3</v>
      </c>
      <c r="Q388" s="420" t="s">
        <v>4934</v>
      </c>
      <c r="R388" s="417"/>
      <c r="S388" s="292" t="str">
        <f t="shared" si="41"/>
        <v/>
      </c>
      <c r="T388" s="292" t="s">
        <v>145</v>
      </c>
      <c r="U388" s="299" t="s">
        <v>3846</v>
      </c>
      <c r="V388" s="292" t="s">
        <v>46</v>
      </c>
      <c r="W388" s="418"/>
      <c r="X388" s="350"/>
      <c r="Y388" s="418"/>
      <c r="Z388" s="418"/>
      <c r="AA388" s="418"/>
      <c r="AB388" s="418"/>
      <c r="AC388" s="418"/>
      <c r="AD388" s="418"/>
      <c r="AE388" s="418"/>
      <c r="AF388" s="418"/>
      <c r="AG388" s="418"/>
      <c r="AH388" s="418"/>
      <c r="AI388" s="418"/>
      <c r="AJ388" s="418"/>
      <c r="AK388" s="339"/>
      <c r="AL388" s="339">
        <v>150327.20000000001</v>
      </c>
      <c r="AM388" s="339">
        <v>151542.71</v>
      </c>
      <c r="AN388" s="339">
        <v>146001.16</v>
      </c>
      <c r="AO388" s="339">
        <v>144764.4</v>
      </c>
      <c r="AP388" s="339">
        <v>143692.04</v>
      </c>
      <c r="AQ388" s="339">
        <v>144346.87</v>
      </c>
      <c r="AR388" s="339">
        <v>142014.29</v>
      </c>
      <c r="AS388" s="339">
        <v>140255.92000000001</v>
      </c>
      <c r="AT388" s="339">
        <v>143143.78</v>
      </c>
      <c r="AU388" s="339">
        <v>140273</v>
      </c>
      <c r="AV388" s="339">
        <v>139142.76</v>
      </c>
      <c r="AW388" s="339">
        <v>137257.21</v>
      </c>
      <c r="AX388" s="339">
        <v>130248.82</v>
      </c>
      <c r="AY388" s="339">
        <v>137909.68</v>
      </c>
      <c r="AZ388" s="339">
        <v>138356.51</v>
      </c>
      <c r="BA388" s="339">
        <v>138386.23000000001</v>
      </c>
      <c r="BB388" s="339">
        <v>0</v>
      </c>
      <c r="BC388" s="339"/>
      <c r="BD388" s="339" t="s">
        <v>2932</v>
      </c>
      <c r="BE388" s="339" t="s">
        <v>2932</v>
      </c>
      <c r="BF388" s="339">
        <v>0</v>
      </c>
      <c r="BG388" s="339">
        <v>0</v>
      </c>
      <c r="BH388" s="339">
        <v>0</v>
      </c>
      <c r="BI388" s="339">
        <v>0</v>
      </c>
      <c r="BJ388" s="339">
        <v>0</v>
      </c>
      <c r="BK388" s="339">
        <v>0</v>
      </c>
      <c r="BL388" s="339">
        <v>0</v>
      </c>
      <c r="BM388" s="339">
        <v>0</v>
      </c>
      <c r="BN388" s="339">
        <v>0</v>
      </c>
      <c r="BO388" s="339">
        <v>0</v>
      </c>
      <c r="BP388" s="339">
        <v>0</v>
      </c>
      <c r="BQ388" s="339">
        <v>0</v>
      </c>
      <c r="BR388" s="339">
        <v>0</v>
      </c>
      <c r="BS388" s="110" t="e">
        <f t="array" aca="1" ref="BS388" ca="1">_xludf.XLOOKUP(D388,'PL TOTAL D0'!N:N,'PL TOTAL D0'!P:P,"")</f>
        <v>#NAME?</v>
      </c>
      <c r="BT388" s="110"/>
    </row>
    <row r="389" spans="1:72" ht="15.75" customHeight="1">
      <c r="A389" s="122" t="s">
        <v>3785</v>
      </c>
      <c r="B389" s="104" t="s">
        <v>2114</v>
      </c>
      <c r="C389" s="122" t="s">
        <v>4935</v>
      </c>
      <c r="D389" s="293">
        <v>5663320</v>
      </c>
      <c r="E389" s="293" t="s">
        <v>19</v>
      </c>
      <c r="F389" s="293" t="s">
        <v>20</v>
      </c>
      <c r="G389" s="293" t="s">
        <v>4936</v>
      </c>
      <c r="H389" s="293">
        <f>IFERROR(VLOOKUP(G389,'Cadastro de assessores'!A:B,2,FALSE),"Não Cadastrado")</f>
        <v>12338</v>
      </c>
      <c r="I389" s="293"/>
      <c r="J389" s="24" t="s">
        <v>3788</v>
      </c>
      <c r="K389" s="293" t="s">
        <v>152</v>
      </c>
      <c r="L389" s="415">
        <v>44385</v>
      </c>
      <c r="M389" s="415">
        <v>44385</v>
      </c>
      <c r="N389" s="299"/>
      <c r="O389" s="299" t="s">
        <v>3842</v>
      </c>
      <c r="P389" s="388">
        <v>8.0000000000000002E-3</v>
      </c>
      <c r="Q389" s="311" t="s">
        <v>4937</v>
      </c>
      <c r="R389" s="417"/>
      <c r="S389" s="292" t="str">
        <f t="shared" si="41"/>
        <v>Não Qualificado</v>
      </c>
      <c r="T389" s="292" t="s">
        <v>145</v>
      </c>
      <c r="U389" s="299" t="s">
        <v>3816</v>
      </c>
      <c r="V389" s="292" t="s">
        <v>20</v>
      </c>
      <c r="W389" s="418"/>
      <c r="X389" s="350"/>
      <c r="Y389" s="350"/>
      <c r="Z389" s="350"/>
      <c r="AA389" s="350"/>
      <c r="AB389" s="350"/>
      <c r="AC389" s="350"/>
      <c r="AD389" s="350"/>
      <c r="AE389" s="350"/>
      <c r="AF389" s="350"/>
      <c r="AG389" s="350"/>
      <c r="AH389" s="350"/>
      <c r="AI389" s="350"/>
      <c r="AJ389" s="339"/>
      <c r="AK389" s="339"/>
      <c r="AL389" s="339"/>
      <c r="AM389" s="468"/>
      <c r="AN389" s="468"/>
      <c r="AO389" s="339"/>
      <c r="AP389" s="339"/>
      <c r="AQ389" s="339"/>
      <c r="AR389" s="350"/>
      <c r="AS389" s="339"/>
      <c r="AT389" s="339">
        <v>233890.4</v>
      </c>
      <c r="AU389" s="339">
        <v>226700.52</v>
      </c>
      <c r="AV389" s="339">
        <v>224260.6</v>
      </c>
      <c r="AW389" s="339">
        <v>214936.12</v>
      </c>
      <c r="AX389" s="339">
        <v>210709.05</v>
      </c>
      <c r="AY389" s="339">
        <v>222949.45</v>
      </c>
      <c r="AZ389" s="339">
        <v>223662.39</v>
      </c>
      <c r="BA389" s="339">
        <v>223729.29</v>
      </c>
      <c r="BB389" s="339">
        <v>225909.93</v>
      </c>
      <c r="BC389" s="339">
        <v>219675.44</v>
      </c>
      <c r="BD389" s="339">
        <v>227907.85</v>
      </c>
      <c r="BE389" s="339">
        <v>227733.09</v>
      </c>
      <c r="BF389" s="339">
        <v>230473.63</v>
      </c>
      <c r="BG389" s="339">
        <v>210734.56</v>
      </c>
      <c r="BH389" s="339">
        <v>190593.61</v>
      </c>
      <c r="BI389" s="339">
        <v>192484.43</v>
      </c>
      <c r="BJ389" s="339">
        <v>186696.69</v>
      </c>
      <c r="BK389" s="339">
        <v>186079.9</v>
      </c>
      <c r="BL389" s="339">
        <v>186979.68</v>
      </c>
      <c r="BM389" s="339">
        <v>185506.95</v>
      </c>
      <c r="BN389" s="339">
        <v>0</v>
      </c>
      <c r="BO389" s="339">
        <v>0</v>
      </c>
      <c r="BP389" s="339">
        <v>0</v>
      </c>
      <c r="BQ389" s="339">
        <v>0</v>
      </c>
      <c r="BR389" s="339">
        <v>0</v>
      </c>
      <c r="BS389" s="110" t="e">
        <f t="array" aca="1" ref="BS389" ca="1">_xludf.XLOOKUP(D389,'PL TOTAL D0'!N:N,'PL TOTAL D0'!P:P,"")</f>
        <v>#NAME?</v>
      </c>
      <c r="BT389" s="110"/>
    </row>
    <row r="390" spans="1:72" ht="15.75" customHeight="1">
      <c r="A390" s="122" t="s">
        <v>3785</v>
      </c>
      <c r="B390" s="104" t="s">
        <v>2114</v>
      </c>
      <c r="C390" s="122" t="s">
        <v>4935</v>
      </c>
      <c r="D390" s="292">
        <v>2660830</v>
      </c>
      <c r="E390" s="293" t="s">
        <v>19</v>
      </c>
      <c r="F390" s="293" t="s">
        <v>20</v>
      </c>
      <c r="G390" s="293" t="s">
        <v>21</v>
      </c>
      <c r="H390" s="293">
        <f>IFERROR(VLOOKUP(G390,'Cadastro de assessores'!A:B,2,FALSE),"Não Cadastrado")</f>
        <v>12344</v>
      </c>
      <c r="I390" s="293"/>
      <c r="J390" s="24" t="s">
        <v>3788</v>
      </c>
      <c r="K390" s="293" t="s">
        <v>152</v>
      </c>
      <c r="L390" s="415">
        <v>43741</v>
      </c>
      <c r="M390" s="415">
        <v>43741</v>
      </c>
      <c r="N390" s="292"/>
      <c r="O390" s="292" t="s">
        <v>4494</v>
      </c>
      <c r="P390" s="388">
        <v>7.0000000000000001E-3</v>
      </c>
      <c r="Q390" s="311" t="s">
        <v>4937</v>
      </c>
      <c r="R390" s="417"/>
      <c r="S390" s="292" t="str">
        <f t="shared" si="41"/>
        <v>Não Qualificado</v>
      </c>
      <c r="T390" s="292" t="s">
        <v>145</v>
      </c>
      <c r="U390" s="299" t="s">
        <v>3816</v>
      </c>
      <c r="V390" s="292" t="s">
        <v>20</v>
      </c>
      <c r="W390" s="418" t="s">
        <v>4938</v>
      </c>
      <c r="X390" s="350"/>
      <c r="Y390" s="418" t="s">
        <v>4939</v>
      </c>
      <c r="Z390" s="418" t="s">
        <v>4940</v>
      </c>
      <c r="AA390" s="418" t="s">
        <v>4941</v>
      </c>
      <c r="AB390" s="418" t="s">
        <v>4942</v>
      </c>
      <c r="AC390" s="418" t="s">
        <v>4943</v>
      </c>
      <c r="AD390" s="418" t="s">
        <v>4944</v>
      </c>
      <c r="AE390" s="418" t="s">
        <v>4945</v>
      </c>
      <c r="AF390" s="418" t="s">
        <v>4946</v>
      </c>
      <c r="AG390" s="418" t="s">
        <v>4947</v>
      </c>
      <c r="AH390" s="418" t="s">
        <v>4948</v>
      </c>
      <c r="AI390" s="418" t="s">
        <v>4949</v>
      </c>
      <c r="AJ390" s="418" t="s">
        <v>4950</v>
      </c>
      <c r="AK390" s="339">
        <v>728345.95</v>
      </c>
      <c r="AL390" s="339">
        <v>718046.08</v>
      </c>
      <c r="AM390" s="339">
        <v>699729.73</v>
      </c>
      <c r="AN390" s="468">
        <v>699544.75</v>
      </c>
      <c r="AO390" s="468">
        <v>699877.13</v>
      </c>
      <c r="AP390" s="339">
        <v>704201.8</v>
      </c>
      <c r="AQ390" s="339">
        <v>702602.87</v>
      </c>
      <c r="AR390" s="339">
        <v>731952.87</v>
      </c>
      <c r="AS390" s="339">
        <v>725662.79</v>
      </c>
      <c r="AT390" s="339">
        <v>710371.14</v>
      </c>
      <c r="AU390" s="339">
        <v>706527.23</v>
      </c>
      <c r="AV390" s="339">
        <v>691154.64</v>
      </c>
      <c r="AW390" s="339">
        <v>661580.19999999995</v>
      </c>
      <c r="AX390" s="339">
        <v>659962.36</v>
      </c>
      <c r="AY390" s="339">
        <v>668724.57999999996</v>
      </c>
      <c r="AZ390" s="339">
        <v>688595.25</v>
      </c>
      <c r="BA390" s="339">
        <v>692986.1</v>
      </c>
      <c r="BB390" s="339">
        <v>0</v>
      </c>
      <c r="BC390" s="339">
        <v>205300.29</v>
      </c>
      <c r="BD390" s="339">
        <v>719705.65</v>
      </c>
      <c r="BE390" s="339">
        <v>718062.83</v>
      </c>
      <c r="BF390" s="339">
        <v>732241.88</v>
      </c>
      <c r="BG390" s="339">
        <v>738749.54559999995</v>
      </c>
      <c r="BH390" s="339">
        <v>740720.96</v>
      </c>
      <c r="BI390" s="339">
        <v>761158.89</v>
      </c>
      <c r="BJ390" s="339">
        <v>762447.75</v>
      </c>
      <c r="BK390" s="339">
        <v>1003486.68</v>
      </c>
      <c r="BL390" s="339">
        <v>1115595.03</v>
      </c>
      <c r="BM390" s="339">
        <v>1124836.3500000001</v>
      </c>
      <c r="BN390" s="339">
        <v>2.34</v>
      </c>
      <c r="BO390" s="339">
        <v>0</v>
      </c>
      <c r="BP390" s="339">
        <v>0</v>
      </c>
      <c r="BQ390" s="339">
        <v>0</v>
      </c>
      <c r="BR390" s="339">
        <v>0</v>
      </c>
      <c r="BS390" s="110" t="e">
        <f t="array" aca="1" ref="BS390" ca="1">_xludf.XLOOKUP(D390,'PL TOTAL D0'!N:N,'PL TOTAL D0'!P:P,"")</f>
        <v>#NAME?</v>
      </c>
      <c r="BT390" s="110"/>
    </row>
    <row r="391" spans="1:72" ht="15.75" customHeight="1">
      <c r="A391" s="122" t="s">
        <v>3785</v>
      </c>
      <c r="B391" s="104" t="s">
        <v>2114</v>
      </c>
      <c r="C391" s="122" t="s">
        <v>4935</v>
      </c>
      <c r="D391" s="422">
        <v>7878590</v>
      </c>
      <c r="E391" s="293" t="s">
        <v>19</v>
      </c>
      <c r="F391" s="293" t="s">
        <v>20</v>
      </c>
      <c r="G391" s="293" t="s">
        <v>21</v>
      </c>
      <c r="H391" s="293">
        <f>IFERROR(VLOOKUP(G391,'Cadastro de assessores'!A:B,2,FALSE),"Não Cadastrado")</f>
        <v>12344</v>
      </c>
      <c r="I391" s="293"/>
      <c r="J391" s="24" t="s">
        <v>3788</v>
      </c>
      <c r="K391" s="292" t="s">
        <v>161</v>
      </c>
      <c r="L391" s="292" t="s">
        <v>3147</v>
      </c>
      <c r="M391" s="436" t="s">
        <v>4177</v>
      </c>
      <c r="N391" s="299"/>
      <c r="O391" s="299" t="s">
        <v>4951</v>
      </c>
      <c r="P391" s="388">
        <v>0.01</v>
      </c>
      <c r="Q391" s="311" t="s">
        <v>4937</v>
      </c>
      <c r="R391" s="417"/>
      <c r="S391" s="292" t="str">
        <f t="shared" si="41"/>
        <v>Não Qualificado</v>
      </c>
      <c r="T391" s="292" t="s">
        <v>145</v>
      </c>
      <c r="U391" s="299" t="s">
        <v>3816</v>
      </c>
      <c r="V391" s="292" t="s">
        <v>20</v>
      </c>
      <c r="W391" s="418"/>
      <c r="X391" s="350"/>
      <c r="Y391" s="350"/>
      <c r="Z391" s="350"/>
      <c r="AA391" s="350"/>
      <c r="AB391" s="350"/>
      <c r="AC391" s="350"/>
      <c r="AD391" s="350"/>
      <c r="AE391" s="350"/>
      <c r="AF391" s="350"/>
      <c r="AG391" s="350"/>
      <c r="AH391" s="350"/>
      <c r="AI391" s="350"/>
      <c r="AJ391" s="339"/>
      <c r="AK391" s="339"/>
      <c r="AL391" s="339"/>
      <c r="AM391" s="468"/>
      <c r="AN391" s="468"/>
      <c r="AO391" s="339"/>
      <c r="AP391" s="339"/>
      <c r="AQ391" s="339"/>
      <c r="AR391" s="350"/>
      <c r="AS391" s="339"/>
      <c r="AT391" s="339"/>
      <c r="AU391" s="339"/>
      <c r="AV391" s="339"/>
      <c r="AW391" s="339"/>
      <c r="AX391" s="339"/>
      <c r="AY391" s="339"/>
      <c r="AZ391" s="339"/>
      <c r="BA391" s="339">
        <v>0</v>
      </c>
      <c r="BB391" s="339">
        <v>0</v>
      </c>
      <c r="BC391" s="339">
        <v>586690.75</v>
      </c>
      <c r="BD391" s="339" t="s">
        <v>2932</v>
      </c>
      <c r="BE391" s="339" t="s">
        <v>2932</v>
      </c>
      <c r="BF391" s="339">
        <v>0</v>
      </c>
      <c r="BG391" s="339">
        <v>0</v>
      </c>
      <c r="BH391" s="339">
        <v>0</v>
      </c>
      <c r="BI391" s="339">
        <v>0</v>
      </c>
      <c r="BJ391" s="339">
        <v>0</v>
      </c>
      <c r="BK391" s="339">
        <v>0</v>
      </c>
      <c r="BL391" s="339">
        <v>0</v>
      </c>
      <c r="BM391" s="339">
        <v>0</v>
      </c>
      <c r="BN391" s="339">
        <v>0</v>
      </c>
      <c r="BO391" s="339">
        <v>0</v>
      </c>
      <c r="BP391" s="339">
        <v>0</v>
      </c>
      <c r="BQ391" s="339">
        <v>0</v>
      </c>
      <c r="BR391" s="339">
        <v>0</v>
      </c>
      <c r="BS391" s="110" t="e">
        <f t="array" aca="1" ref="BS391" ca="1">_xludf.XLOOKUP(D391,'PL TOTAL D0'!N:N,'PL TOTAL D0'!P:P,"")</f>
        <v>#NAME?</v>
      </c>
      <c r="BT391" s="110"/>
    </row>
    <row r="392" spans="1:72" ht="15.75" customHeight="1">
      <c r="A392" s="122" t="s">
        <v>3785</v>
      </c>
      <c r="B392" s="104" t="s">
        <v>2121</v>
      </c>
      <c r="C392" s="441" t="s">
        <v>4952</v>
      </c>
      <c r="D392" s="426">
        <v>7273700</v>
      </c>
      <c r="E392" s="293" t="s">
        <v>19</v>
      </c>
      <c r="F392" s="293" t="s">
        <v>49</v>
      </c>
      <c r="G392" s="426" t="s">
        <v>328</v>
      </c>
      <c r="H392" s="293" t="str">
        <f>IFERROR(VLOOKUP(G392,'Cadastro de assessores'!A:B,2,FALSE),"Não Cadastrado")</f>
        <v>18009</v>
      </c>
      <c r="I392" s="293"/>
      <c r="J392" s="24" t="s">
        <v>3788</v>
      </c>
      <c r="K392" s="293" t="s">
        <v>152</v>
      </c>
      <c r="L392" s="415">
        <v>44532</v>
      </c>
      <c r="M392" s="415">
        <v>44536</v>
      </c>
      <c r="N392" s="426"/>
      <c r="O392" s="426" t="s">
        <v>3802</v>
      </c>
      <c r="P392" s="388">
        <v>7.0000000000000001E-3</v>
      </c>
      <c r="Q392" s="167" t="s">
        <v>4953</v>
      </c>
      <c r="R392" s="417"/>
      <c r="S392" s="292" t="str">
        <f t="shared" si="41"/>
        <v/>
      </c>
      <c r="T392" s="292" t="s">
        <v>187</v>
      </c>
      <c r="U392" s="299" t="s">
        <v>4467</v>
      </c>
      <c r="V392" s="292" t="s">
        <v>49</v>
      </c>
      <c r="W392" s="418"/>
      <c r="X392" s="350"/>
      <c r="Y392" s="350"/>
      <c r="Z392" s="350"/>
      <c r="AA392" s="350"/>
      <c r="AB392" s="350"/>
      <c r="AC392" s="350"/>
      <c r="AD392" s="350"/>
      <c r="AE392" s="350"/>
      <c r="AF392" s="350"/>
      <c r="AG392" s="418"/>
      <c r="AH392" s="418"/>
      <c r="AI392" s="418"/>
      <c r="AJ392" s="339"/>
      <c r="AK392" s="339"/>
      <c r="AL392" s="339"/>
      <c r="AM392" s="468"/>
      <c r="AN392" s="468"/>
      <c r="AO392" s="339"/>
      <c r="AP392" s="339"/>
      <c r="AQ392" s="339"/>
      <c r="AR392" s="339"/>
      <c r="AS392" s="339"/>
      <c r="AT392" s="339"/>
      <c r="AU392" s="339"/>
      <c r="AV392" s="339"/>
      <c r="AW392" s="350"/>
      <c r="AX392" s="340"/>
      <c r="AY392" s="340">
        <v>798775.32</v>
      </c>
      <c r="AZ392" s="339">
        <v>806244.44</v>
      </c>
      <c r="BA392" s="339">
        <v>812278.29</v>
      </c>
      <c r="BB392" s="339">
        <v>820892.96</v>
      </c>
      <c r="BC392" s="339"/>
      <c r="BD392" s="339">
        <v>841699.28</v>
      </c>
      <c r="BE392" s="339">
        <v>848852.05</v>
      </c>
      <c r="BF392" s="339">
        <v>855252.84</v>
      </c>
      <c r="BG392" s="339">
        <v>858020.74690000003</v>
      </c>
      <c r="BH392" s="339">
        <v>860727.15</v>
      </c>
      <c r="BI392" s="339">
        <v>866486.11</v>
      </c>
      <c r="BJ392" s="339">
        <v>872301.33</v>
      </c>
      <c r="BK392" s="339">
        <v>876928.48</v>
      </c>
      <c r="BL392" s="339">
        <v>887050.94</v>
      </c>
      <c r="BM392" s="339">
        <v>891525.69</v>
      </c>
      <c r="BN392" s="339">
        <v>900310.16</v>
      </c>
      <c r="BO392" s="339">
        <v>908622.64</v>
      </c>
      <c r="BP392" s="339">
        <v>0</v>
      </c>
      <c r="BQ392" s="339">
        <v>0</v>
      </c>
      <c r="BR392" s="339">
        <v>0</v>
      </c>
      <c r="BS392" s="110" t="e">
        <f t="array" aca="1" ref="BS392" ca="1">_xludf.XLOOKUP(D392,'PL TOTAL D0'!N:N,'PL TOTAL D0'!P:P,"")</f>
        <v>#NAME?</v>
      </c>
      <c r="BT392" s="110"/>
    </row>
    <row r="393" spans="1:72" ht="15.75" customHeight="1">
      <c r="A393" s="122" t="s">
        <v>3785</v>
      </c>
      <c r="B393" s="104" t="s">
        <v>4954</v>
      </c>
      <c r="C393" s="122" t="s">
        <v>4955</v>
      </c>
      <c r="D393" s="292">
        <v>4461414</v>
      </c>
      <c r="E393" s="292" t="s">
        <v>64</v>
      </c>
      <c r="F393" s="292" t="s">
        <v>20</v>
      </c>
      <c r="G393" s="292" t="s">
        <v>3634</v>
      </c>
      <c r="H393" s="292" t="str">
        <f>IFERROR(VLOOKUP(G393,'Cadastro de assessores'!A:B,2,FALSE),"Não Cadastrado")</f>
        <v>14574</v>
      </c>
      <c r="I393" s="292"/>
      <c r="J393" s="24" t="s">
        <v>143</v>
      </c>
      <c r="K393" s="292" t="s">
        <v>3794</v>
      </c>
      <c r="L393" s="387">
        <v>44090</v>
      </c>
      <c r="M393" s="387">
        <v>44090</v>
      </c>
      <c r="N393" s="387">
        <v>44408</v>
      </c>
      <c r="O393" s="292" t="s">
        <v>3805</v>
      </c>
      <c r="P393" s="388">
        <v>1.2E-2</v>
      </c>
      <c r="Q393" s="440" t="s">
        <v>4956</v>
      </c>
      <c r="R393" s="417"/>
      <c r="S393" s="292" t="str">
        <f t="shared" si="41"/>
        <v/>
      </c>
      <c r="T393" s="292" t="s">
        <v>187</v>
      </c>
      <c r="U393" s="292" t="s">
        <v>3803</v>
      </c>
      <c r="V393" s="292" t="s">
        <v>20</v>
      </c>
      <c r="W393" s="418" t="s">
        <v>3798</v>
      </c>
      <c r="X393" s="418" t="s">
        <v>3798</v>
      </c>
      <c r="Y393" s="418" t="s">
        <v>3798</v>
      </c>
      <c r="Z393" s="418" t="s">
        <v>3798</v>
      </c>
      <c r="AA393" s="418" t="s">
        <v>3798</v>
      </c>
      <c r="AB393" s="418" t="s">
        <v>3798</v>
      </c>
      <c r="AC393" s="418" t="s">
        <v>3798</v>
      </c>
      <c r="AD393" s="418" t="s">
        <v>3798</v>
      </c>
      <c r="AE393" s="418" t="s">
        <v>3798</v>
      </c>
      <c r="AF393" s="418" t="s">
        <v>3798</v>
      </c>
      <c r="AG393" s="418" t="s">
        <v>3798</v>
      </c>
      <c r="AH393" s="418" t="s">
        <v>4957</v>
      </c>
      <c r="AI393" s="418" t="s">
        <v>4958</v>
      </c>
      <c r="AJ393" s="418" t="s">
        <v>4959</v>
      </c>
      <c r="AK393" s="339">
        <v>824425.92</v>
      </c>
      <c r="AL393" s="339">
        <v>818157.82</v>
      </c>
      <c r="AM393" s="339">
        <v>797632.2</v>
      </c>
      <c r="AN393" s="339">
        <v>794363.69</v>
      </c>
      <c r="AO393" s="339">
        <v>805332.45</v>
      </c>
      <c r="AP393" s="339">
        <v>807290.9</v>
      </c>
      <c r="AQ393" s="339">
        <v>805671.44</v>
      </c>
      <c r="AR393" s="339">
        <v>816751.5</v>
      </c>
      <c r="AS393" s="339">
        <v>217316.62</v>
      </c>
      <c r="AT393" s="339">
        <v>218141.09</v>
      </c>
      <c r="AU393" s="339"/>
      <c r="AV393" s="339"/>
      <c r="AW393" s="339"/>
      <c r="AX393" s="339"/>
      <c r="AY393" s="339"/>
      <c r="AZ393" s="339"/>
      <c r="BA393" s="339">
        <v>0</v>
      </c>
      <c r="BB393" s="339">
        <v>0</v>
      </c>
      <c r="BC393" s="339"/>
      <c r="BD393" s="339" t="s">
        <v>2932</v>
      </c>
      <c r="BE393" s="339" t="s">
        <v>2932</v>
      </c>
      <c r="BF393" s="339">
        <v>0</v>
      </c>
      <c r="BG393" s="339">
        <v>0</v>
      </c>
      <c r="BH393" s="339">
        <v>0</v>
      </c>
      <c r="BI393" s="339">
        <v>0</v>
      </c>
      <c r="BJ393" s="339">
        <v>0</v>
      </c>
      <c r="BK393" s="339">
        <v>0</v>
      </c>
      <c r="BL393" s="339">
        <v>0</v>
      </c>
      <c r="BM393" s="339">
        <v>0</v>
      </c>
      <c r="BN393" s="339">
        <v>0</v>
      </c>
      <c r="BO393" s="339">
        <v>0</v>
      </c>
      <c r="BP393" s="339">
        <v>0</v>
      </c>
      <c r="BQ393" s="339">
        <v>0</v>
      </c>
      <c r="BR393" s="339">
        <v>0</v>
      </c>
      <c r="BS393" s="110" t="e">
        <f t="array" aca="1" ref="BS393" ca="1">_xludf.XLOOKUP(D393,'PL TOTAL D0'!N:N,'PL TOTAL D0'!P:P,"")</f>
        <v>#NAME?</v>
      </c>
      <c r="BT393" s="110"/>
    </row>
    <row r="394" spans="1:72" ht="18" customHeight="1">
      <c r="A394" s="122" t="s">
        <v>3785</v>
      </c>
      <c r="B394" s="104" t="s">
        <v>2145</v>
      </c>
      <c r="C394" s="441" t="s">
        <v>2141</v>
      </c>
      <c r="D394" s="422">
        <v>3428496</v>
      </c>
      <c r="E394" s="293" t="s">
        <v>19</v>
      </c>
      <c r="F394" s="293" t="s">
        <v>49</v>
      </c>
      <c r="G394" s="293" t="s">
        <v>50</v>
      </c>
      <c r="H394" s="293">
        <f>IFERROR(VLOOKUP(G394,'Cadastro de assessores'!A:B,2,FALSE),"Não Cadastrado")</f>
        <v>12331</v>
      </c>
      <c r="I394" s="293"/>
      <c r="J394" s="24" t="s">
        <v>3788</v>
      </c>
      <c r="K394" s="293" t="s">
        <v>152</v>
      </c>
      <c r="L394" s="423">
        <v>44613</v>
      </c>
      <c r="M394" s="423">
        <v>44613</v>
      </c>
      <c r="N394" s="306"/>
      <c r="O394" s="426" t="s">
        <v>4016</v>
      </c>
      <c r="P394" s="388">
        <v>1.2E-2</v>
      </c>
      <c r="Q394" s="167" t="s">
        <v>4960</v>
      </c>
      <c r="R394" s="417"/>
      <c r="S394" s="292" t="str">
        <f t="shared" si="41"/>
        <v/>
      </c>
      <c r="T394" s="292" t="s">
        <v>145</v>
      </c>
      <c r="U394" s="292" t="s">
        <v>3841</v>
      </c>
      <c r="V394" s="292" t="s">
        <v>49</v>
      </c>
      <c r="W394" s="418"/>
      <c r="X394" s="418"/>
      <c r="Y394" s="418"/>
      <c r="Z394" s="418"/>
      <c r="AA394" s="418"/>
      <c r="AB394" s="418"/>
      <c r="AC394" s="418"/>
      <c r="AD394" s="418"/>
      <c r="AE394" s="418"/>
      <c r="AF394" s="418"/>
      <c r="AG394" s="418"/>
      <c r="AH394" s="418"/>
      <c r="AI394" s="418"/>
      <c r="AJ394" s="418"/>
      <c r="AK394" s="339"/>
      <c r="AL394" s="339"/>
      <c r="AM394" s="339"/>
      <c r="AN394" s="339"/>
      <c r="AO394" s="339"/>
      <c r="AP394" s="339"/>
      <c r="AQ394" s="339"/>
      <c r="AR394" s="339"/>
      <c r="AS394" s="339"/>
      <c r="AT394" s="339"/>
      <c r="AU394" s="339"/>
      <c r="AV394" s="339"/>
      <c r="AW394" s="339"/>
      <c r="AX394" s="339"/>
      <c r="AY394" s="339"/>
      <c r="AZ394" s="339"/>
      <c r="BA394" s="339">
        <v>608764.43000000005</v>
      </c>
      <c r="BB394" s="339">
        <v>764523.03</v>
      </c>
      <c r="BC394" s="339"/>
      <c r="BD394" s="339">
        <v>1476338.36</v>
      </c>
      <c r="BE394" s="339">
        <v>1483477.26</v>
      </c>
      <c r="BF394" s="339">
        <v>1494423.55</v>
      </c>
      <c r="BG394" s="339">
        <v>1499011.9369999999</v>
      </c>
      <c r="BH394" s="339">
        <v>733901.03</v>
      </c>
      <c r="BI394" s="339">
        <v>751791.51</v>
      </c>
      <c r="BJ394" s="339">
        <v>748568.31</v>
      </c>
      <c r="BK394" s="339">
        <v>750256.06</v>
      </c>
      <c r="BL394" s="339">
        <v>757793.14</v>
      </c>
      <c r="BM394" s="339">
        <v>761629.99</v>
      </c>
      <c r="BN394" s="339">
        <v>104791.33</v>
      </c>
      <c r="BO394" s="339">
        <v>0</v>
      </c>
      <c r="BP394" s="339">
        <v>0</v>
      </c>
      <c r="BQ394" s="339">
        <v>0</v>
      </c>
      <c r="BR394" s="339">
        <v>0</v>
      </c>
      <c r="BS394" s="110" t="e">
        <f t="array" aca="1" ref="BS394" ca="1">_xludf.XLOOKUP(D394,'PL TOTAL D0'!N:N,'PL TOTAL D0'!P:P,"")</f>
        <v>#NAME?</v>
      </c>
      <c r="BT394" s="110"/>
    </row>
    <row r="395" spans="1:72" ht="15.75" customHeight="1">
      <c r="A395" s="122" t="s">
        <v>3785</v>
      </c>
      <c r="B395" s="104" t="s">
        <v>2145</v>
      </c>
      <c r="C395" s="390" t="s">
        <v>2141</v>
      </c>
      <c r="D395" s="474">
        <v>8088158</v>
      </c>
      <c r="E395" s="292" t="s">
        <v>19</v>
      </c>
      <c r="F395" s="292" t="s">
        <v>49</v>
      </c>
      <c r="G395" s="292" t="s">
        <v>50</v>
      </c>
      <c r="H395" s="292">
        <f>IFERROR(VLOOKUP(G395,'Cadastro de assessores'!A:B,2,FALSE),"Não Cadastrado")</f>
        <v>12331</v>
      </c>
      <c r="I395" s="292"/>
      <c r="J395" s="24" t="s">
        <v>152</v>
      </c>
      <c r="K395" s="292" t="s">
        <v>152</v>
      </c>
      <c r="L395" s="475">
        <v>44682</v>
      </c>
      <c r="M395" s="475">
        <v>44682</v>
      </c>
      <c r="N395" s="292"/>
      <c r="O395" s="292" t="s">
        <v>3911</v>
      </c>
      <c r="P395" s="388">
        <v>8.0000000000000002E-3</v>
      </c>
      <c r="Q395" s="167" t="s">
        <v>4961</v>
      </c>
      <c r="R395" s="417"/>
      <c r="S395" s="292" t="str">
        <f t="shared" si="41"/>
        <v/>
      </c>
      <c r="T395" s="292" t="s">
        <v>145</v>
      </c>
      <c r="U395" s="292" t="s">
        <v>3841</v>
      </c>
      <c r="V395" s="292" t="s">
        <v>49</v>
      </c>
      <c r="W395" s="418"/>
      <c r="X395" s="350"/>
      <c r="Y395" s="350"/>
      <c r="Z395" s="350"/>
      <c r="AA395" s="350"/>
      <c r="AB395" s="350"/>
      <c r="AC395" s="350"/>
      <c r="AD395" s="350"/>
      <c r="AE395" s="350"/>
      <c r="AF395" s="350"/>
      <c r="AG395" s="350"/>
      <c r="AH395" s="350"/>
      <c r="AI395" s="418"/>
      <c r="AJ395" s="339"/>
      <c r="AK395" s="339"/>
      <c r="AL395" s="339"/>
      <c r="AM395" s="339"/>
      <c r="AN395" s="339"/>
      <c r="AO395" s="339"/>
      <c r="AP395" s="339"/>
      <c r="AQ395" s="339"/>
      <c r="AR395" s="350"/>
      <c r="AS395" s="339"/>
      <c r="AT395" s="339"/>
      <c r="AU395" s="339"/>
      <c r="AV395" s="339"/>
      <c r="AW395" s="339"/>
      <c r="AX395" s="339"/>
      <c r="AY395" s="339"/>
      <c r="AZ395" s="339"/>
      <c r="BA395" s="339">
        <v>0</v>
      </c>
      <c r="BB395" s="339">
        <v>0</v>
      </c>
      <c r="BC395" s="339"/>
      <c r="BD395" s="339">
        <v>210.03</v>
      </c>
      <c r="BE395" s="339">
        <v>408.8</v>
      </c>
      <c r="BF395" s="339">
        <v>161.77000000000001</v>
      </c>
      <c r="BG395" s="339">
        <v>508.42</v>
      </c>
      <c r="BH395" s="339">
        <v>709209.21</v>
      </c>
      <c r="BI395" s="339">
        <v>709760.34</v>
      </c>
      <c r="BJ395" s="339">
        <v>716288.71</v>
      </c>
      <c r="BK395" s="339">
        <v>722106.7</v>
      </c>
      <c r="BL395" s="339">
        <v>729620.86</v>
      </c>
      <c r="BM395" s="339">
        <v>732334.44</v>
      </c>
      <c r="BN395" s="339">
        <v>741505.33</v>
      </c>
      <c r="BO395" s="339">
        <v>311009.90000000002</v>
      </c>
      <c r="BP395" s="339">
        <v>2082.87</v>
      </c>
      <c r="BQ395" s="339">
        <v>2096.38</v>
      </c>
      <c r="BR395" s="339">
        <v>2120.5100000000002</v>
      </c>
      <c r="BS395" s="110" t="e">
        <f t="array" aca="1" ref="BS395" ca="1">_xludf.XLOOKUP(D395,'PL TOTAL D0'!N:N,'PL TOTAL D0'!P:P,"")</f>
        <v>#NAME?</v>
      </c>
      <c r="BT395" s="110"/>
    </row>
    <row r="396" spans="1:72" ht="15.75" customHeight="1">
      <c r="A396" s="122" t="s">
        <v>3785</v>
      </c>
      <c r="B396" s="104" t="s">
        <v>2148</v>
      </c>
      <c r="C396" s="390" t="s">
        <v>4962</v>
      </c>
      <c r="D396" s="293">
        <v>5682953</v>
      </c>
      <c r="E396" s="293" t="s">
        <v>19</v>
      </c>
      <c r="F396" s="293" t="s">
        <v>20</v>
      </c>
      <c r="G396" s="293" t="s">
        <v>3641</v>
      </c>
      <c r="H396" s="293" t="str">
        <f>IFERROR(VLOOKUP(G396,'Cadastro de assessores'!A:B,2,FALSE),"Não Cadastrado")</f>
        <v>14739</v>
      </c>
      <c r="I396" s="293"/>
      <c r="J396" s="24" t="s">
        <v>152</v>
      </c>
      <c r="K396" s="293" t="s">
        <v>152</v>
      </c>
      <c r="L396" s="415">
        <v>44453</v>
      </c>
      <c r="M396" s="415">
        <v>44424</v>
      </c>
      <c r="N396" s="292"/>
      <c r="O396" s="292" t="s">
        <v>3805</v>
      </c>
      <c r="P396" s="388">
        <v>1.2E-2</v>
      </c>
      <c r="Q396" s="167"/>
      <c r="R396" s="417"/>
      <c r="S396" s="292" t="str">
        <f t="shared" si="41"/>
        <v>Não Qualificado</v>
      </c>
      <c r="T396" s="292" t="s">
        <v>145</v>
      </c>
      <c r="U396" s="299" t="s">
        <v>3859</v>
      </c>
      <c r="V396" s="292" t="s">
        <v>20</v>
      </c>
      <c r="W396" s="418"/>
      <c r="X396" s="350"/>
      <c r="Y396" s="350"/>
      <c r="Z396" s="350"/>
      <c r="AA396" s="350"/>
      <c r="AB396" s="350"/>
      <c r="AC396" s="350"/>
      <c r="AD396" s="350"/>
      <c r="AE396" s="350"/>
      <c r="AF396" s="350"/>
      <c r="AG396" s="350"/>
      <c r="AH396" s="350"/>
      <c r="AI396" s="418"/>
      <c r="AJ396" s="339"/>
      <c r="AK396" s="339"/>
      <c r="AL396" s="339"/>
      <c r="AM396" s="468"/>
      <c r="AN396" s="468"/>
      <c r="AO396" s="339"/>
      <c r="AP396" s="339"/>
      <c r="AQ396" s="339"/>
      <c r="AR396" s="350"/>
      <c r="AS396" s="339"/>
      <c r="AT396" s="339">
        <v>50626.879999999997</v>
      </c>
      <c r="AU396" s="339">
        <v>49791.72</v>
      </c>
      <c r="AV396" s="339">
        <v>274812.43</v>
      </c>
      <c r="AW396" s="339">
        <v>271139.99</v>
      </c>
      <c r="AX396" s="339">
        <v>271991.02</v>
      </c>
      <c r="AY396" s="339">
        <v>274371.59999999998</v>
      </c>
      <c r="AZ396" s="339">
        <v>278488.32000000001</v>
      </c>
      <c r="BA396" s="339">
        <v>280398.74</v>
      </c>
      <c r="BB396" s="339">
        <v>285771.86</v>
      </c>
      <c r="BC396" s="339">
        <v>95484.5</v>
      </c>
      <c r="BD396" s="339">
        <v>256322.46</v>
      </c>
      <c r="BE396" s="339">
        <v>256407.7</v>
      </c>
      <c r="BF396" s="339">
        <v>258865.59</v>
      </c>
      <c r="BG396" s="339">
        <v>260173.33840000001</v>
      </c>
      <c r="BH396" s="339">
        <v>251124.35</v>
      </c>
      <c r="BI396" s="339">
        <v>255862.78</v>
      </c>
      <c r="BJ396" s="339">
        <v>235612.79</v>
      </c>
      <c r="BK396" s="339">
        <v>237016.06</v>
      </c>
      <c r="BL396" s="339">
        <v>240008.05</v>
      </c>
      <c r="BM396" s="339">
        <v>242008.9</v>
      </c>
      <c r="BN396" s="339">
        <v>50636.800000000003</v>
      </c>
      <c r="BO396" s="339">
        <v>51371.55</v>
      </c>
      <c r="BP396" s="339">
        <v>52096.28</v>
      </c>
      <c r="BQ396" s="339">
        <v>52327.76</v>
      </c>
      <c r="BR396" s="339">
        <v>8407.58</v>
      </c>
      <c r="BS396" s="110" t="e">
        <f t="array" aca="1" ref="BS396" ca="1">_xludf.XLOOKUP(D396,'PL TOTAL D0'!N:N,'PL TOTAL D0'!P:P,"")</f>
        <v>#NAME?</v>
      </c>
      <c r="BT396" s="110"/>
    </row>
    <row r="397" spans="1:72" ht="15.75" customHeight="1">
      <c r="A397" s="122" t="s">
        <v>3785</v>
      </c>
      <c r="B397" s="104" t="s">
        <v>4963</v>
      </c>
      <c r="C397" s="122" t="s">
        <v>4964</v>
      </c>
      <c r="D397" s="292">
        <v>4719236</v>
      </c>
      <c r="E397" s="292" t="s">
        <v>19</v>
      </c>
      <c r="F397" s="292" t="s">
        <v>20</v>
      </c>
      <c r="G397" s="292" t="s">
        <v>3793</v>
      </c>
      <c r="H397" s="292" t="str">
        <f>IFERROR(VLOOKUP(G397,'Cadastro de assessores'!A:B,2,FALSE),"Não Cadastrado")</f>
        <v>17679</v>
      </c>
      <c r="I397" s="292"/>
      <c r="J397" s="24" t="s">
        <v>143</v>
      </c>
      <c r="K397" s="292" t="s">
        <v>3794</v>
      </c>
      <c r="L397" s="419">
        <v>44196</v>
      </c>
      <c r="M397" s="419">
        <v>44196</v>
      </c>
      <c r="N397" s="387">
        <v>44428</v>
      </c>
      <c r="O397" s="292" t="s">
        <v>3802</v>
      </c>
      <c r="P397" s="388">
        <v>7.0000000000000001E-3</v>
      </c>
      <c r="Q397" s="420" t="s">
        <v>4965</v>
      </c>
      <c r="R397" s="417"/>
      <c r="S397" s="292" t="str">
        <f t="shared" si="41"/>
        <v>Não Qualificado</v>
      </c>
      <c r="T397" s="292" t="s">
        <v>145</v>
      </c>
      <c r="U397" s="292" t="s">
        <v>4223</v>
      </c>
      <c r="V397" s="292" t="s">
        <v>3647</v>
      </c>
      <c r="W397" s="418"/>
      <c r="X397" s="418"/>
      <c r="Y397" s="418"/>
      <c r="Z397" s="418"/>
      <c r="AA397" s="418"/>
      <c r="AB397" s="418"/>
      <c r="AC397" s="418"/>
      <c r="AD397" s="418"/>
      <c r="AE397" s="418"/>
      <c r="AF397" s="418"/>
      <c r="AG397" s="418"/>
      <c r="AH397" s="418"/>
      <c r="AI397" s="418"/>
      <c r="AJ397" s="418"/>
      <c r="AK397" s="339"/>
      <c r="AL397" s="339">
        <v>64189.17</v>
      </c>
      <c r="AM397" s="339">
        <v>78769.929999999993</v>
      </c>
      <c r="AN397" s="339">
        <v>78738.98</v>
      </c>
      <c r="AO397" s="339">
        <v>81266.490000000005</v>
      </c>
      <c r="AP397" s="339">
        <v>80444.929999999993</v>
      </c>
      <c r="AQ397" s="339">
        <v>80135.98</v>
      </c>
      <c r="AR397" s="339">
        <v>81919.73</v>
      </c>
      <c r="AS397" s="339">
        <v>81315.16</v>
      </c>
      <c r="AT397" s="339">
        <v>79432.33</v>
      </c>
      <c r="AU397" s="339"/>
      <c r="AV397" s="339"/>
      <c r="AW397" s="339"/>
      <c r="AX397" s="339"/>
      <c r="AY397" s="339"/>
      <c r="AZ397" s="339"/>
      <c r="BA397" s="339">
        <v>0</v>
      </c>
      <c r="BB397" s="339">
        <v>0</v>
      </c>
      <c r="BC397" s="339">
        <v>59935.9</v>
      </c>
      <c r="BD397" s="339" t="s">
        <v>2932</v>
      </c>
      <c r="BE397" s="339" t="s">
        <v>2932</v>
      </c>
      <c r="BF397" s="339">
        <v>0</v>
      </c>
      <c r="BG397" s="339">
        <v>0</v>
      </c>
      <c r="BH397" s="339">
        <v>0</v>
      </c>
      <c r="BI397" s="339">
        <v>0</v>
      </c>
      <c r="BJ397" s="339">
        <v>0</v>
      </c>
      <c r="BK397" s="339">
        <v>0</v>
      </c>
      <c r="BL397" s="339">
        <v>0</v>
      </c>
      <c r="BM397" s="339">
        <v>0</v>
      </c>
      <c r="BN397" s="339">
        <v>0</v>
      </c>
      <c r="BO397" s="339">
        <v>0</v>
      </c>
      <c r="BP397" s="339">
        <v>0</v>
      </c>
      <c r="BQ397" s="339">
        <v>0</v>
      </c>
      <c r="BR397" s="339">
        <v>0</v>
      </c>
      <c r="BS397" s="110" t="e">
        <f t="array" aca="1" ref="BS397" ca="1">_xludf.XLOOKUP(D397,'PL TOTAL D0'!N:N,'PL TOTAL D0'!P:P,"")</f>
        <v>#NAME?</v>
      </c>
      <c r="BT397" s="110"/>
    </row>
    <row r="398" spans="1:72" ht="15.75" customHeight="1">
      <c r="A398" s="122" t="s">
        <v>3785</v>
      </c>
      <c r="B398" s="104" t="s">
        <v>4966</v>
      </c>
      <c r="C398" s="122" t="s">
        <v>4967</v>
      </c>
      <c r="D398" s="292">
        <v>2749522</v>
      </c>
      <c r="E398" s="292" t="s">
        <v>64</v>
      </c>
      <c r="F398" s="292" t="s">
        <v>20</v>
      </c>
      <c r="G398" s="292" t="s">
        <v>3847</v>
      </c>
      <c r="H398" s="292" t="str">
        <f>IFERROR(VLOOKUP(G398,'Cadastro de assessores'!A:B,2,FALSE),"Não Cadastrado")</f>
        <v>12624</v>
      </c>
      <c r="I398" s="292"/>
      <c r="J398" s="24" t="s">
        <v>152</v>
      </c>
      <c r="K398" s="292" t="s">
        <v>152</v>
      </c>
      <c r="L398" s="419">
        <v>44771</v>
      </c>
      <c r="M398" s="419">
        <v>44771</v>
      </c>
      <c r="N398" s="387"/>
      <c r="O398" s="292" t="s">
        <v>3802</v>
      </c>
      <c r="P398" s="388">
        <v>7.0000000000000001E-3</v>
      </c>
      <c r="Q398" s="420"/>
      <c r="R398" s="417"/>
      <c r="S398" s="292"/>
      <c r="T398" s="292" t="s">
        <v>145</v>
      </c>
      <c r="U398" s="292" t="s">
        <v>4178</v>
      </c>
      <c r="V398" s="292" t="s">
        <v>20</v>
      </c>
      <c r="W398" s="418"/>
      <c r="X398" s="418"/>
      <c r="Y398" s="418"/>
      <c r="Z398" s="418"/>
      <c r="AA398" s="418"/>
      <c r="AB398" s="418"/>
      <c r="AC398" s="418"/>
      <c r="AD398" s="418"/>
      <c r="AE398" s="418"/>
      <c r="AF398" s="418"/>
      <c r="AG398" s="418"/>
      <c r="AH398" s="418"/>
      <c r="AI398" s="418"/>
      <c r="AJ398" s="418"/>
      <c r="AK398" s="339"/>
      <c r="AL398" s="339"/>
      <c r="AM398" s="339"/>
      <c r="AN398" s="339"/>
      <c r="AO398" s="339"/>
      <c r="AP398" s="339"/>
      <c r="AQ398" s="339"/>
      <c r="AR398" s="339"/>
      <c r="AS398" s="339"/>
      <c r="AT398" s="339"/>
      <c r="AU398" s="339"/>
      <c r="AV398" s="339"/>
      <c r="AW398" s="339"/>
      <c r="AX398" s="339"/>
      <c r="AY398" s="339"/>
      <c r="AZ398" s="339"/>
      <c r="BA398" s="339"/>
      <c r="BB398" s="339"/>
      <c r="BC398" s="339"/>
      <c r="BD398" s="339"/>
      <c r="BE398" s="339"/>
      <c r="BF398" s="339">
        <v>682062.64</v>
      </c>
      <c r="BG398" s="339">
        <v>699173.05980000005</v>
      </c>
      <c r="BH398" s="339">
        <v>698099.3</v>
      </c>
      <c r="BI398" s="339">
        <v>706817.1</v>
      </c>
      <c r="BJ398" s="339">
        <v>706887.92</v>
      </c>
      <c r="BK398" s="339">
        <v>713019.99</v>
      </c>
      <c r="BL398" s="339">
        <v>720021.13</v>
      </c>
      <c r="BM398" s="339">
        <v>724235.35</v>
      </c>
      <c r="BN398" s="339">
        <v>733275.55</v>
      </c>
      <c r="BO398" s="339">
        <v>739349.58</v>
      </c>
      <c r="BP398" s="339">
        <v>746938.93</v>
      </c>
      <c r="BQ398" s="339">
        <v>752829.53</v>
      </c>
      <c r="BR398" s="339">
        <v>285145.68</v>
      </c>
      <c r="BS398" s="110" t="e">
        <f t="array" aca="1" ref="BS398" ca="1">_xludf.XLOOKUP(D398,'PL TOTAL D0'!N:N,'PL TOTAL D0'!P:P,"")</f>
        <v>#NAME?</v>
      </c>
      <c r="BT398" s="110"/>
    </row>
    <row r="399" spans="1:72" ht="15.75" customHeight="1">
      <c r="A399" s="122" t="s">
        <v>3785</v>
      </c>
      <c r="B399" s="104" t="s">
        <v>4968</v>
      </c>
      <c r="C399" s="390" t="s">
        <v>4969</v>
      </c>
      <c r="D399" s="292">
        <v>5606475</v>
      </c>
      <c r="E399" s="292" t="s">
        <v>19</v>
      </c>
      <c r="F399" s="292" t="s">
        <v>49</v>
      </c>
      <c r="G399" s="299" t="s">
        <v>4796</v>
      </c>
      <c r="H399" s="299" t="str">
        <f>IFERROR(VLOOKUP(G399,'Cadastro de assessores'!A:B,2,FALSE),"Não Cadastrado")</f>
        <v>1275</v>
      </c>
      <c r="I399" s="299"/>
      <c r="J399" s="24" t="s">
        <v>143</v>
      </c>
      <c r="K399" s="292" t="s">
        <v>3794</v>
      </c>
      <c r="L399" s="387">
        <v>44364</v>
      </c>
      <c r="M399" s="387">
        <v>44364</v>
      </c>
      <c r="N399" s="387">
        <v>44803</v>
      </c>
      <c r="O399" s="292" t="s">
        <v>3795</v>
      </c>
      <c r="P399" s="388">
        <v>1.4999999999999999E-2</v>
      </c>
      <c r="Q399" s="167" t="s">
        <v>4117</v>
      </c>
      <c r="R399" s="417"/>
      <c r="S399" s="292" t="str">
        <f t="shared" ref="S399:S414" si="42">IF(BC399&lt;=0,"",IF(BC399&lt;=1000000,"Não Qualificado",IF(AND(BC399&gt;1000000,BC399&lt;=10000000),"Qualificado","Profissional")))</f>
        <v>Não Qualificado</v>
      </c>
      <c r="T399" s="292" t="s">
        <v>145</v>
      </c>
      <c r="U399" s="299" t="s">
        <v>4970</v>
      </c>
      <c r="V399" s="299" t="s">
        <v>60</v>
      </c>
      <c r="W399" s="350"/>
      <c r="X399" s="350"/>
      <c r="Y399" s="350"/>
      <c r="Z399" s="350"/>
      <c r="AA399" s="350"/>
      <c r="AB399" s="350"/>
      <c r="AC399" s="350"/>
      <c r="AD399" s="350"/>
      <c r="AE399" s="350"/>
      <c r="AF399" s="350"/>
      <c r="AG399" s="350"/>
      <c r="AH399" s="350"/>
      <c r="AI399" s="350"/>
      <c r="AJ399" s="350"/>
      <c r="AK399" s="339"/>
      <c r="AL399" s="339"/>
      <c r="AM399" s="339"/>
      <c r="AN399" s="339"/>
      <c r="AO399" s="339"/>
      <c r="AP399" s="339"/>
      <c r="AQ399" s="350"/>
      <c r="AR399" s="340"/>
      <c r="AS399" s="339">
        <v>493850.64</v>
      </c>
      <c r="AT399" s="339">
        <v>484401.99</v>
      </c>
      <c r="AU399" s="339">
        <v>481150.35</v>
      </c>
      <c r="AV399" s="339">
        <v>472668.29</v>
      </c>
      <c r="AW399" s="339">
        <v>457668.06</v>
      </c>
      <c r="AX399" s="339">
        <v>457278.98</v>
      </c>
      <c r="AY399" s="339">
        <v>462815.38</v>
      </c>
      <c r="AZ399" s="339">
        <v>475308.69</v>
      </c>
      <c r="BA399" s="339">
        <v>480169.18</v>
      </c>
      <c r="BB399" s="339">
        <v>495671.17</v>
      </c>
      <c r="BC399" s="339">
        <v>148192.24</v>
      </c>
      <c r="BD399" s="339">
        <v>492052.54</v>
      </c>
      <c r="BE399" s="339">
        <v>490284.7</v>
      </c>
      <c r="BF399" s="339">
        <v>498174.94</v>
      </c>
      <c r="BG399" s="339">
        <v>500139.36560000002</v>
      </c>
      <c r="BH399" s="339">
        <v>0</v>
      </c>
      <c r="BI399" s="339">
        <v>0</v>
      </c>
      <c r="BJ399" s="339">
        <v>0</v>
      </c>
      <c r="BK399" s="339">
        <v>0</v>
      </c>
      <c r="BL399" s="339">
        <v>0</v>
      </c>
      <c r="BM399" s="339">
        <v>0</v>
      </c>
      <c r="BN399" s="339">
        <v>0</v>
      </c>
      <c r="BO399" s="339">
        <v>0</v>
      </c>
      <c r="BP399" s="339">
        <v>0</v>
      </c>
      <c r="BQ399" s="339">
        <v>0</v>
      </c>
      <c r="BR399" s="339">
        <v>0</v>
      </c>
      <c r="BS399" s="110" t="e">
        <f t="array" aca="1" ref="BS399" ca="1">_xludf.XLOOKUP(D399,'PL TOTAL D0'!N:N,'PL TOTAL D0'!P:P,"")</f>
        <v>#NAME?</v>
      </c>
      <c r="BT399" s="110"/>
    </row>
    <row r="400" spans="1:72" ht="15.75" customHeight="1">
      <c r="A400" s="122" t="s">
        <v>3785</v>
      </c>
      <c r="B400" s="104" t="s">
        <v>4971</v>
      </c>
      <c r="C400" s="122" t="s">
        <v>4972</v>
      </c>
      <c r="D400" s="292">
        <v>2214585</v>
      </c>
      <c r="E400" s="293" t="s">
        <v>64</v>
      </c>
      <c r="F400" s="293" t="s">
        <v>20</v>
      </c>
      <c r="G400" s="293" t="s">
        <v>3973</v>
      </c>
      <c r="H400" s="293" t="str">
        <f>IFERROR(VLOOKUP(G400,'Cadastro de assessores'!A:B,2,FALSE),"Não Cadastrado")</f>
        <v>16459</v>
      </c>
      <c r="I400" s="293"/>
      <c r="J400" s="24" t="s">
        <v>3788</v>
      </c>
      <c r="K400" s="292" t="s">
        <v>152</v>
      </c>
      <c r="L400" s="415">
        <v>44085</v>
      </c>
      <c r="M400" s="415">
        <v>44085</v>
      </c>
      <c r="N400" s="292"/>
      <c r="O400" s="292" t="s">
        <v>3789</v>
      </c>
      <c r="P400" s="388">
        <v>0.02</v>
      </c>
      <c r="Q400" s="167"/>
      <c r="R400" s="417"/>
      <c r="S400" s="292" t="str">
        <f t="shared" si="42"/>
        <v/>
      </c>
      <c r="T400" s="292" t="s">
        <v>145</v>
      </c>
      <c r="U400" s="292" t="s">
        <v>3929</v>
      </c>
      <c r="V400" s="292" t="s">
        <v>20</v>
      </c>
      <c r="W400" s="418" t="s">
        <v>3798</v>
      </c>
      <c r="X400" s="418" t="s">
        <v>3798</v>
      </c>
      <c r="Y400" s="418" t="s">
        <v>3798</v>
      </c>
      <c r="Z400" s="418" t="s">
        <v>3798</v>
      </c>
      <c r="AA400" s="418" t="s">
        <v>3798</v>
      </c>
      <c r="AB400" s="418" t="s">
        <v>3798</v>
      </c>
      <c r="AC400" s="418" t="s">
        <v>3798</v>
      </c>
      <c r="AD400" s="418" t="s">
        <v>3798</v>
      </c>
      <c r="AE400" s="418" t="s">
        <v>3798</v>
      </c>
      <c r="AF400" s="418" t="s">
        <v>3798</v>
      </c>
      <c r="AG400" s="418" t="s">
        <v>3798</v>
      </c>
      <c r="AH400" s="418" t="s">
        <v>4973</v>
      </c>
      <c r="AI400" s="418" t="s">
        <v>4974</v>
      </c>
      <c r="AJ400" s="418" t="s">
        <v>4975</v>
      </c>
      <c r="AK400" s="339">
        <v>329541.59000000003</v>
      </c>
      <c r="AL400" s="339">
        <v>323910.37</v>
      </c>
      <c r="AM400" s="339">
        <v>305618.18</v>
      </c>
      <c r="AN400" s="468">
        <v>304591.92</v>
      </c>
      <c r="AO400" s="468">
        <v>314935.94</v>
      </c>
      <c r="AP400" s="339">
        <v>316992.38</v>
      </c>
      <c r="AQ400" s="339">
        <v>315428.74</v>
      </c>
      <c r="AR400" s="339">
        <v>324334.32</v>
      </c>
      <c r="AS400" s="339">
        <v>320763.01</v>
      </c>
      <c r="AT400" s="339">
        <v>310131.46999999997</v>
      </c>
      <c r="AU400" s="339">
        <v>305413.59999999998</v>
      </c>
      <c r="AV400" s="339">
        <v>298473.23</v>
      </c>
      <c r="AW400" s="339">
        <v>280092.53999999998</v>
      </c>
      <c r="AX400" s="339">
        <v>279487.43</v>
      </c>
      <c r="AY400" s="339">
        <v>283761.34000000003</v>
      </c>
      <c r="AZ400" s="339">
        <v>296042.05</v>
      </c>
      <c r="BA400" s="339">
        <v>298101.98</v>
      </c>
      <c r="BB400" s="339">
        <v>312974.65000000002</v>
      </c>
      <c r="BC400" s="339"/>
      <c r="BD400" s="339">
        <v>3535.64</v>
      </c>
      <c r="BE400" s="339">
        <v>141.94999999999999</v>
      </c>
      <c r="BF400" s="339">
        <v>141.97</v>
      </c>
      <c r="BG400" s="339">
        <v>383.17</v>
      </c>
      <c r="BH400" s="339">
        <v>383.17</v>
      </c>
      <c r="BI400" s="339">
        <v>383.17</v>
      </c>
      <c r="BJ400" s="339">
        <v>383.17</v>
      </c>
      <c r="BK400" s="339">
        <v>383.17</v>
      </c>
      <c r="BL400" s="339">
        <v>1030.73</v>
      </c>
      <c r="BM400" s="339">
        <v>1038.73</v>
      </c>
      <c r="BN400" s="339">
        <v>1047.58</v>
      </c>
      <c r="BO400" s="339">
        <v>1057.58</v>
      </c>
      <c r="BP400" s="339">
        <v>0</v>
      </c>
      <c r="BQ400" s="339">
        <v>0</v>
      </c>
      <c r="BR400" s="339">
        <v>0</v>
      </c>
      <c r="BS400" s="110" t="e">
        <f t="array" aca="1" ref="BS400" ca="1">_xludf.XLOOKUP(D400,'PL TOTAL D0'!N:N,'PL TOTAL D0'!P:P,"")</f>
        <v>#NAME?</v>
      </c>
      <c r="BT400" s="110"/>
    </row>
    <row r="401" spans="1:72" ht="15.75" customHeight="1">
      <c r="A401" s="122" t="s">
        <v>3785</v>
      </c>
      <c r="B401" s="104" t="s">
        <v>4976</v>
      </c>
      <c r="C401" s="122" t="s">
        <v>4977</v>
      </c>
      <c r="D401" s="292">
        <v>4911406</v>
      </c>
      <c r="E401" s="293" t="s">
        <v>64</v>
      </c>
      <c r="F401" s="293" t="s">
        <v>20</v>
      </c>
      <c r="G401" s="293" t="s">
        <v>3634</v>
      </c>
      <c r="H401" s="293" t="str">
        <f>IFERROR(VLOOKUP(G401,'Cadastro de assessores'!A:B,2,FALSE),"Não Cadastrado")</f>
        <v>14574</v>
      </c>
      <c r="I401" s="293"/>
      <c r="J401" s="24" t="s">
        <v>3788</v>
      </c>
      <c r="K401" s="292" t="s">
        <v>161</v>
      </c>
      <c r="L401" s="292" t="s">
        <v>3147</v>
      </c>
      <c r="M401" s="436" t="s">
        <v>3638</v>
      </c>
      <c r="N401" s="299"/>
      <c r="O401" s="299" t="s">
        <v>3842</v>
      </c>
      <c r="P401" s="388">
        <v>8.0000000000000002E-3</v>
      </c>
      <c r="Q401" s="167"/>
      <c r="R401" s="417"/>
      <c r="S401" s="292" t="str">
        <f t="shared" si="42"/>
        <v>Não Qualificado</v>
      </c>
      <c r="T401" s="292" t="s">
        <v>145</v>
      </c>
      <c r="U401" s="292" t="s">
        <v>3929</v>
      </c>
      <c r="V401" s="292" t="s">
        <v>20</v>
      </c>
      <c r="W401" s="418"/>
      <c r="X401" s="418"/>
      <c r="Y401" s="418"/>
      <c r="Z401" s="418"/>
      <c r="AA401" s="418"/>
      <c r="AB401" s="418"/>
      <c r="AC401" s="418"/>
      <c r="AD401" s="418"/>
      <c r="AE401" s="418"/>
      <c r="AF401" s="418"/>
      <c r="AG401" s="418"/>
      <c r="AH401" s="418"/>
      <c r="AI401" s="418"/>
      <c r="AJ401" s="418"/>
      <c r="AK401" s="339"/>
      <c r="AL401" s="339"/>
      <c r="AM401" s="339"/>
      <c r="AN401" s="339" t="s">
        <v>3147</v>
      </c>
      <c r="AO401" s="339"/>
      <c r="AP401" s="339"/>
      <c r="AQ401" s="339"/>
      <c r="AR401" s="339"/>
      <c r="AS401" s="339"/>
      <c r="AT401" s="339"/>
      <c r="AU401" s="339"/>
      <c r="AV401" s="339"/>
      <c r="AW401" s="339"/>
      <c r="AX401" s="339"/>
      <c r="AY401" s="339"/>
      <c r="AZ401" s="339"/>
      <c r="BA401" s="339">
        <v>0</v>
      </c>
      <c r="BB401" s="339">
        <v>0</v>
      </c>
      <c r="BC401" s="339">
        <v>71853.02</v>
      </c>
      <c r="BD401" s="339" t="s">
        <v>2932</v>
      </c>
      <c r="BE401" s="339" t="s">
        <v>2932</v>
      </c>
      <c r="BF401" s="339">
        <v>0</v>
      </c>
      <c r="BG401" s="339">
        <v>0</v>
      </c>
      <c r="BH401" s="339">
        <v>0</v>
      </c>
      <c r="BI401" s="339">
        <v>0</v>
      </c>
      <c r="BJ401" s="339">
        <v>0</v>
      </c>
      <c r="BK401" s="339">
        <v>0</v>
      </c>
      <c r="BL401" s="339">
        <v>0</v>
      </c>
      <c r="BM401" s="339">
        <v>0</v>
      </c>
      <c r="BN401" s="339">
        <v>0</v>
      </c>
      <c r="BO401" s="339">
        <v>0</v>
      </c>
      <c r="BP401" s="339">
        <v>0</v>
      </c>
      <c r="BQ401" s="339">
        <v>0</v>
      </c>
      <c r="BR401" s="339">
        <v>0</v>
      </c>
      <c r="BS401" s="110" t="e">
        <f t="array" aca="1" ref="BS401" ca="1">_xludf.XLOOKUP(D401,'PL TOTAL D0'!N:N,'PL TOTAL D0'!P:P,"")</f>
        <v>#NAME?</v>
      </c>
      <c r="BT401" s="110"/>
    </row>
    <row r="402" spans="1:72" ht="15.75" customHeight="1">
      <c r="A402" s="122" t="s">
        <v>3785</v>
      </c>
      <c r="B402" s="104" t="s">
        <v>4976</v>
      </c>
      <c r="C402" s="122" t="s">
        <v>4977</v>
      </c>
      <c r="D402" s="292">
        <v>4886679</v>
      </c>
      <c r="E402" s="292" t="s">
        <v>64</v>
      </c>
      <c r="F402" s="292" t="s">
        <v>20</v>
      </c>
      <c r="G402" s="292" t="s">
        <v>3634</v>
      </c>
      <c r="H402" s="292" t="str">
        <f>IFERROR(VLOOKUP(G402,'Cadastro de assessores'!A:B,2,FALSE),"Não Cadastrado")</f>
        <v>14574</v>
      </c>
      <c r="I402" s="292"/>
      <c r="J402" s="24" t="s">
        <v>143</v>
      </c>
      <c r="K402" s="292" t="s">
        <v>3794</v>
      </c>
      <c r="L402" s="387">
        <v>44256</v>
      </c>
      <c r="M402" s="387">
        <v>44256</v>
      </c>
      <c r="N402" s="387">
        <v>44691</v>
      </c>
      <c r="O402" s="292" t="s">
        <v>3795</v>
      </c>
      <c r="P402" s="388">
        <v>1.4999999999999999E-2</v>
      </c>
      <c r="Q402" s="167" t="s">
        <v>4978</v>
      </c>
      <c r="R402" s="417"/>
      <c r="S402" s="292" t="str">
        <f t="shared" si="42"/>
        <v/>
      </c>
      <c r="T402" s="292" t="s">
        <v>145</v>
      </c>
      <c r="U402" s="292" t="s">
        <v>3929</v>
      </c>
      <c r="V402" s="292" t="s">
        <v>20</v>
      </c>
      <c r="W402" s="418"/>
      <c r="X402" s="418"/>
      <c r="Y402" s="418"/>
      <c r="Z402" s="418"/>
      <c r="AA402" s="418"/>
      <c r="AB402" s="418"/>
      <c r="AC402" s="418"/>
      <c r="AD402" s="418"/>
      <c r="AE402" s="418"/>
      <c r="AF402" s="418"/>
      <c r="AG402" s="418"/>
      <c r="AH402" s="418"/>
      <c r="AI402" s="418"/>
      <c r="AJ402" s="418"/>
      <c r="AK402" s="339"/>
      <c r="AL402" s="339"/>
      <c r="AM402" s="339"/>
      <c r="AN402" s="339">
        <v>99936.81</v>
      </c>
      <c r="AO402" s="339">
        <v>103199.15</v>
      </c>
      <c r="AP402" s="339">
        <v>193479.34</v>
      </c>
      <c r="AQ402" s="339">
        <v>192699.12</v>
      </c>
      <c r="AR402" s="339">
        <v>196844.75</v>
      </c>
      <c r="AS402" s="339">
        <v>195050.44</v>
      </c>
      <c r="AT402" s="339">
        <v>191427.57</v>
      </c>
      <c r="AU402" s="339">
        <v>190365.51</v>
      </c>
      <c r="AV402" s="339">
        <v>188354.5</v>
      </c>
      <c r="AW402" s="339">
        <v>182255.57</v>
      </c>
      <c r="AX402" s="339">
        <v>181424.57</v>
      </c>
      <c r="AY402" s="339">
        <v>183609.21</v>
      </c>
      <c r="AZ402" s="339">
        <v>188784.73</v>
      </c>
      <c r="BA402" s="339">
        <v>189811.14</v>
      </c>
      <c r="BB402" s="339">
        <v>196985.34</v>
      </c>
      <c r="BC402" s="339"/>
      <c r="BD402" s="339" t="s">
        <v>2932</v>
      </c>
      <c r="BE402" s="339" t="s">
        <v>2932</v>
      </c>
      <c r="BF402" s="339">
        <v>0</v>
      </c>
      <c r="BG402" s="339">
        <v>0</v>
      </c>
      <c r="BH402" s="339">
        <v>0</v>
      </c>
      <c r="BI402" s="339">
        <v>0</v>
      </c>
      <c r="BJ402" s="339">
        <v>0</v>
      </c>
      <c r="BK402" s="339">
        <v>0</v>
      </c>
      <c r="BL402" s="339">
        <v>0</v>
      </c>
      <c r="BM402" s="339">
        <v>0</v>
      </c>
      <c r="BN402" s="339">
        <v>0</v>
      </c>
      <c r="BO402" s="339">
        <v>0</v>
      </c>
      <c r="BP402" s="339">
        <v>0</v>
      </c>
      <c r="BQ402" s="339">
        <v>0</v>
      </c>
      <c r="BR402" s="339">
        <v>0</v>
      </c>
      <c r="BS402" s="110" t="e">
        <f t="array" aca="1" ref="BS402" ca="1">_xludf.XLOOKUP(D402,'PL TOTAL D0'!N:N,'PL TOTAL D0'!P:P,"")</f>
        <v>#NAME?</v>
      </c>
      <c r="BT402" s="110"/>
    </row>
    <row r="403" spans="1:72" ht="15.75" customHeight="1">
      <c r="A403" s="122" t="s">
        <v>3785</v>
      </c>
      <c r="B403" s="104" t="s">
        <v>2184</v>
      </c>
      <c r="C403" s="390" t="s">
        <v>2181</v>
      </c>
      <c r="D403" s="299">
        <v>6675462</v>
      </c>
      <c r="E403" s="293" t="s">
        <v>19</v>
      </c>
      <c r="F403" s="293" t="s">
        <v>49</v>
      </c>
      <c r="G403" s="299" t="s">
        <v>166</v>
      </c>
      <c r="H403" s="293" t="str">
        <f>IFERROR(VLOOKUP(G403,'Cadastro de assessores'!A:B,2,FALSE),"Não Cadastrado")</f>
        <v>18890</v>
      </c>
      <c r="I403" s="293"/>
      <c r="J403" s="24" t="s">
        <v>3788</v>
      </c>
      <c r="K403" s="292" t="s">
        <v>152</v>
      </c>
      <c r="L403" s="415">
        <v>44684</v>
      </c>
      <c r="M403" s="415">
        <v>44686</v>
      </c>
      <c r="N403" s="299"/>
      <c r="O403" s="299" t="s">
        <v>3805</v>
      </c>
      <c r="P403" s="388">
        <v>1.2E-2</v>
      </c>
      <c r="Q403" s="167" t="s">
        <v>3908</v>
      </c>
      <c r="R403" s="417"/>
      <c r="S403" s="292" t="str">
        <f t="shared" si="42"/>
        <v>Não Qualificado</v>
      </c>
      <c r="T403" s="292" t="s">
        <v>145</v>
      </c>
      <c r="U403" s="292" t="s">
        <v>3841</v>
      </c>
      <c r="V403" s="292" t="s">
        <v>49</v>
      </c>
      <c r="W403" s="418"/>
      <c r="X403" s="418"/>
      <c r="Y403" s="418"/>
      <c r="Z403" s="418"/>
      <c r="AA403" s="418"/>
      <c r="AB403" s="418"/>
      <c r="AC403" s="418"/>
      <c r="AD403" s="418"/>
      <c r="AE403" s="418"/>
      <c r="AF403" s="418"/>
      <c r="AG403" s="418"/>
      <c r="AH403" s="418"/>
      <c r="AI403" s="418"/>
      <c r="AJ403" s="418"/>
      <c r="AK403" s="339"/>
      <c r="AL403" s="339"/>
      <c r="AM403" s="339"/>
      <c r="AN403" s="468"/>
      <c r="AO403" s="468"/>
      <c r="AP403" s="339"/>
      <c r="AQ403" s="339"/>
      <c r="AR403" s="339"/>
      <c r="AS403" s="339"/>
      <c r="AT403" s="339"/>
      <c r="AU403" s="339"/>
      <c r="AV403" s="339"/>
      <c r="AW403" s="339"/>
      <c r="AX403" s="339"/>
      <c r="AY403" s="339"/>
      <c r="AZ403" s="339"/>
      <c r="BA403" s="339"/>
      <c r="BB403" s="339"/>
      <c r="BC403" s="339">
        <v>142663.04999999999</v>
      </c>
      <c r="BD403" s="339">
        <v>101010.38</v>
      </c>
      <c r="BE403" s="339">
        <v>202531.59</v>
      </c>
      <c r="BF403" s="339">
        <v>224769.31</v>
      </c>
      <c r="BG403" s="339">
        <v>276830.15250000003</v>
      </c>
      <c r="BH403" s="339">
        <v>288757.71999999997</v>
      </c>
      <c r="BI403" s="339">
        <v>291977.32</v>
      </c>
      <c r="BJ403" s="339">
        <v>294469.48</v>
      </c>
      <c r="BK403" s="339">
        <v>297078.7</v>
      </c>
      <c r="BL403" s="339">
        <v>46636.41</v>
      </c>
      <c r="BM403" s="339">
        <v>7.06</v>
      </c>
      <c r="BN403" s="339">
        <v>4.29</v>
      </c>
      <c r="BO403" s="339">
        <v>4.29</v>
      </c>
      <c r="BP403" s="339">
        <v>4.29</v>
      </c>
      <c r="BQ403" s="339">
        <v>4.29</v>
      </c>
      <c r="BR403" s="339">
        <v>4.29</v>
      </c>
      <c r="BS403" s="110" t="e">
        <f t="array" aca="1" ref="BS403" ca="1">_xludf.XLOOKUP(D403,'PL TOTAL D0'!N:N,'PL TOTAL D0'!P:P,"")</f>
        <v>#NAME?</v>
      </c>
      <c r="BT403" s="110"/>
    </row>
    <row r="404" spans="1:72" ht="15.75" customHeight="1">
      <c r="A404" s="122" t="s">
        <v>3785</v>
      </c>
      <c r="B404" s="104" t="s">
        <v>3413</v>
      </c>
      <c r="C404" s="122" t="s">
        <v>3412</v>
      </c>
      <c r="D404" s="292">
        <v>4457777</v>
      </c>
      <c r="E404" s="292" t="s">
        <v>2923</v>
      </c>
      <c r="F404" s="292" t="s">
        <v>20</v>
      </c>
      <c r="G404" s="292" t="s">
        <v>2923</v>
      </c>
      <c r="H404" s="292" t="str">
        <f>IFERROR(VLOOKUP(G404,'Cadastro de assessores'!A:B,2,FALSE),"Não Cadastrado")</f>
        <v>18986</v>
      </c>
      <c r="I404" s="292"/>
      <c r="J404" s="24" t="s">
        <v>143</v>
      </c>
      <c r="K404" s="292" t="s">
        <v>3794</v>
      </c>
      <c r="L404" s="419">
        <v>44151</v>
      </c>
      <c r="M404" s="419">
        <v>44151</v>
      </c>
      <c r="N404" s="419">
        <v>44543</v>
      </c>
      <c r="O404" s="292" t="s">
        <v>3795</v>
      </c>
      <c r="P404" s="388">
        <v>1.4999999999999999E-2</v>
      </c>
      <c r="Q404" s="167" t="s">
        <v>4979</v>
      </c>
      <c r="R404" s="417"/>
      <c r="S404" s="292" t="str">
        <f t="shared" si="42"/>
        <v>Não Qualificado</v>
      </c>
      <c r="T404" s="292" t="s">
        <v>145</v>
      </c>
      <c r="U404" s="292" t="s">
        <v>3790</v>
      </c>
      <c r="V404" s="292" t="s">
        <v>49</v>
      </c>
      <c r="W404" s="418" t="s">
        <v>3798</v>
      </c>
      <c r="X404" s="418" t="s">
        <v>3798</v>
      </c>
      <c r="Y404" s="418" t="s">
        <v>3798</v>
      </c>
      <c r="Z404" s="418" t="s">
        <v>3798</v>
      </c>
      <c r="AA404" s="418" t="s">
        <v>3798</v>
      </c>
      <c r="AB404" s="418" t="s">
        <v>3798</v>
      </c>
      <c r="AC404" s="418" t="s">
        <v>3798</v>
      </c>
      <c r="AD404" s="418" t="s">
        <v>3798</v>
      </c>
      <c r="AE404" s="418" t="s">
        <v>3798</v>
      </c>
      <c r="AF404" s="418" t="s">
        <v>3798</v>
      </c>
      <c r="AG404" s="418" t="s">
        <v>3798</v>
      </c>
      <c r="AH404" s="418" t="s">
        <v>3798</v>
      </c>
      <c r="AI404" s="418" t="s">
        <v>3798</v>
      </c>
      <c r="AJ404" s="418" t="s">
        <v>4980</v>
      </c>
      <c r="AK404" s="339">
        <v>77147.06</v>
      </c>
      <c r="AL404" s="339">
        <v>98750.86</v>
      </c>
      <c r="AM404" s="339">
        <v>95541.36</v>
      </c>
      <c r="AN404" s="339">
        <v>95598.63</v>
      </c>
      <c r="AO404" s="339">
        <v>98267.16</v>
      </c>
      <c r="AP404" s="339">
        <v>98765.11</v>
      </c>
      <c r="AQ404" s="339">
        <v>98364.61</v>
      </c>
      <c r="AR404" s="339">
        <v>100527.93</v>
      </c>
      <c r="AS404" s="339">
        <v>101374.6</v>
      </c>
      <c r="AT404" s="339">
        <v>99517.119999999995</v>
      </c>
      <c r="AU404" s="339">
        <v>99949.7</v>
      </c>
      <c r="AV404" s="339">
        <v>98292.38</v>
      </c>
      <c r="AW404" s="339">
        <v>94877.06</v>
      </c>
      <c r="AX404" s="339">
        <v>76660.539999999994</v>
      </c>
      <c r="AY404" s="339"/>
      <c r="AZ404" s="339"/>
      <c r="BA404" s="339">
        <v>0</v>
      </c>
      <c r="BB404" s="339">
        <v>0</v>
      </c>
      <c r="BC404" s="339">
        <v>312735.03999999998</v>
      </c>
      <c r="BD404" s="339" t="s">
        <v>2932</v>
      </c>
      <c r="BE404" s="339" t="s">
        <v>2932</v>
      </c>
      <c r="BF404" s="339">
        <v>0</v>
      </c>
      <c r="BG404" s="339">
        <v>0</v>
      </c>
      <c r="BH404" s="339">
        <v>0</v>
      </c>
      <c r="BI404" s="339">
        <v>0</v>
      </c>
      <c r="BJ404" s="339">
        <v>0</v>
      </c>
      <c r="BK404" s="339">
        <v>0</v>
      </c>
      <c r="BL404" s="339">
        <v>0</v>
      </c>
      <c r="BM404" s="339">
        <v>0</v>
      </c>
      <c r="BN404" s="339">
        <v>0</v>
      </c>
      <c r="BO404" s="339">
        <v>0</v>
      </c>
      <c r="BP404" s="339">
        <v>0</v>
      </c>
      <c r="BQ404" s="339">
        <v>0</v>
      </c>
      <c r="BR404" s="339">
        <v>0</v>
      </c>
      <c r="BS404" s="110" t="e">
        <f t="array" aca="1" ref="BS404" ca="1">_xludf.XLOOKUP(D404,'PL TOTAL D0'!N:N,'PL TOTAL D0'!P:P,"")</f>
        <v>#NAME?</v>
      </c>
      <c r="BT404" s="110"/>
    </row>
    <row r="405" spans="1:72" ht="15.75" customHeight="1">
      <c r="A405" s="122" t="s">
        <v>3785</v>
      </c>
      <c r="B405" s="104" t="s">
        <v>2204</v>
      </c>
      <c r="C405" s="441" t="s">
        <v>2201</v>
      </c>
      <c r="D405" s="299">
        <v>7514118</v>
      </c>
      <c r="E405" s="293" t="s">
        <v>19</v>
      </c>
      <c r="F405" s="293" t="s">
        <v>49</v>
      </c>
      <c r="G405" s="426" t="s">
        <v>328</v>
      </c>
      <c r="H405" s="299" t="str">
        <f>IFERROR(VLOOKUP(G405,'Cadastro de assessores'!A:B,2,FALSE),"Não Cadastrado")</f>
        <v>18009</v>
      </c>
      <c r="I405" s="299"/>
      <c r="J405" s="24" t="s">
        <v>3788</v>
      </c>
      <c r="K405" s="292" t="s">
        <v>152</v>
      </c>
      <c r="L405" s="415">
        <v>44564</v>
      </c>
      <c r="M405" s="415">
        <v>44572</v>
      </c>
      <c r="N405" s="299"/>
      <c r="O405" s="299" t="s">
        <v>3802</v>
      </c>
      <c r="P405" s="388">
        <v>7.0000000000000001E-3</v>
      </c>
      <c r="Q405" s="167"/>
      <c r="R405" s="417"/>
      <c r="S405" s="292" t="str">
        <f t="shared" si="42"/>
        <v/>
      </c>
      <c r="T405" s="292" t="s">
        <v>187</v>
      </c>
      <c r="U405" s="292" t="s">
        <v>3841</v>
      </c>
      <c r="V405" s="292" t="s">
        <v>49</v>
      </c>
      <c r="W405" s="418"/>
      <c r="X405" s="418"/>
      <c r="Y405" s="350"/>
      <c r="Z405" s="350"/>
      <c r="AA405" s="350"/>
      <c r="AB405" s="350"/>
      <c r="AC405" s="350"/>
      <c r="AD405" s="350"/>
      <c r="AE405" s="350"/>
      <c r="AF405" s="350"/>
      <c r="AG405" s="350"/>
      <c r="AH405" s="350"/>
      <c r="AI405" s="350"/>
      <c r="AJ405" s="339"/>
      <c r="AK405" s="339"/>
      <c r="AL405" s="468"/>
      <c r="AM405" s="468"/>
      <c r="AN405" s="339"/>
      <c r="AO405" s="339"/>
      <c r="AP405" s="350"/>
      <c r="AQ405" s="340"/>
      <c r="AR405" s="339"/>
      <c r="AS405" s="339"/>
      <c r="AT405" s="339"/>
      <c r="AU405" s="339"/>
      <c r="AV405" s="339"/>
      <c r="AW405" s="339"/>
      <c r="AX405" s="350"/>
      <c r="AY405" s="350"/>
      <c r="AZ405" s="431">
        <v>281805.65999999997</v>
      </c>
      <c r="BA405" s="431">
        <v>1010363.11</v>
      </c>
      <c r="BB405" s="431">
        <v>1023239.7</v>
      </c>
      <c r="BC405" s="431"/>
      <c r="BD405" s="339">
        <v>1134569.05</v>
      </c>
      <c r="BE405" s="339">
        <v>1208265.8999999999</v>
      </c>
      <c r="BF405" s="339">
        <v>1220736.3999999999</v>
      </c>
      <c r="BG405" s="339">
        <v>1227981.5919999999</v>
      </c>
      <c r="BH405" s="339">
        <v>1233107.77</v>
      </c>
      <c r="BI405" s="339">
        <v>1305804.06</v>
      </c>
      <c r="BJ405" s="339">
        <v>1317450.8799999999</v>
      </c>
      <c r="BK405" s="339">
        <v>1328926.45</v>
      </c>
      <c r="BL405" s="339">
        <v>1339751.03</v>
      </c>
      <c r="BM405" s="339">
        <v>545.21</v>
      </c>
      <c r="BN405" s="339">
        <v>506.66</v>
      </c>
      <c r="BO405" s="339">
        <v>0</v>
      </c>
      <c r="BP405" s="339">
        <v>0</v>
      </c>
      <c r="BQ405" s="339">
        <v>0</v>
      </c>
      <c r="BR405" s="339">
        <v>0</v>
      </c>
      <c r="BS405" s="110" t="e">
        <f t="array" aca="1" ref="BS405" ca="1">_xludf.XLOOKUP(D405,'PL TOTAL D0'!N:N,'PL TOTAL D0'!P:P,"")</f>
        <v>#NAME?</v>
      </c>
      <c r="BT405" s="110"/>
    </row>
    <row r="406" spans="1:72" ht="15.75" customHeight="1">
      <c r="A406" s="122" t="s">
        <v>3785</v>
      </c>
      <c r="B406" s="104" t="s">
        <v>2204</v>
      </c>
      <c r="C406" s="390" t="s">
        <v>2201</v>
      </c>
      <c r="D406" s="422">
        <v>7605641</v>
      </c>
      <c r="E406" s="293" t="s">
        <v>19</v>
      </c>
      <c r="F406" s="293" t="s">
        <v>49</v>
      </c>
      <c r="G406" s="426" t="s">
        <v>328</v>
      </c>
      <c r="H406" s="299" t="str">
        <f>IFERROR(VLOOKUP(G406,'Cadastro de assessores'!A:B,2,FALSE),"Não Cadastrado")</f>
        <v>18009</v>
      </c>
      <c r="I406" s="299"/>
      <c r="J406" s="24" t="s">
        <v>3788</v>
      </c>
      <c r="K406" s="292" t="s">
        <v>152</v>
      </c>
      <c r="L406" s="423">
        <v>44669</v>
      </c>
      <c r="M406" s="423">
        <v>44669</v>
      </c>
      <c r="N406" s="299"/>
      <c r="O406" s="299" t="s">
        <v>3802</v>
      </c>
      <c r="P406" s="388">
        <v>7.0000000000000001E-3</v>
      </c>
      <c r="Q406" s="167"/>
      <c r="R406" s="417"/>
      <c r="S406" s="292" t="str">
        <f t="shared" si="42"/>
        <v>Não Qualificado</v>
      </c>
      <c r="T406" s="292" t="s">
        <v>187</v>
      </c>
      <c r="U406" s="292" t="s">
        <v>3841</v>
      </c>
      <c r="V406" s="292" t="s">
        <v>49</v>
      </c>
      <c r="W406" s="418"/>
      <c r="X406" s="418"/>
      <c r="Y406" s="350"/>
      <c r="Z406" s="350"/>
      <c r="AA406" s="350"/>
      <c r="AB406" s="350"/>
      <c r="AC406" s="350"/>
      <c r="AD406" s="350"/>
      <c r="AE406" s="350"/>
      <c r="AF406" s="350"/>
      <c r="AG406" s="350"/>
      <c r="AH406" s="350"/>
      <c r="AI406" s="350"/>
      <c r="AJ406" s="350"/>
      <c r="AK406" s="339"/>
      <c r="AL406" s="339"/>
      <c r="AM406" s="468"/>
      <c r="AN406" s="468"/>
      <c r="AO406" s="339"/>
      <c r="AP406" s="339"/>
      <c r="AQ406" s="350"/>
      <c r="AR406" s="340"/>
      <c r="AS406" s="339"/>
      <c r="AT406" s="339"/>
      <c r="AU406" s="339"/>
      <c r="AV406" s="339"/>
      <c r="AW406" s="339"/>
      <c r="AX406" s="339"/>
      <c r="AY406" s="339"/>
      <c r="AZ406" s="339"/>
      <c r="BA406" s="339"/>
      <c r="BB406" s="339">
        <v>0</v>
      </c>
      <c r="BC406" s="339">
        <v>353922.44</v>
      </c>
      <c r="BD406" s="339">
        <v>1516608.45</v>
      </c>
      <c r="BE406" s="339">
        <v>1532582.45</v>
      </c>
      <c r="BF406" s="339">
        <v>1544067.12</v>
      </c>
      <c r="BG406" s="339">
        <v>1554830.861</v>
      </c>
      <c r="BH406" s="339">
        <v>1564026.26</v>
      </c>
      <c r="BI406" s="339">
        <v>1576162.9</v>
      </c>
      <c r="BJ406" s="339">
        <v>1590647.67</v>
      </c>
      <c r="BK406" s="339">
        <v>1604475.64</v>
      </c>
      <c r="BL406" s="339">
        <v>1623294.72</v>
      </c>
      <c r="BM406" s="339">
        <v>0.35</v>
      </c>
      <c r="BN406" s="339">
        <v>1.67</v>
      </c>
      <c r="BO406" s="339">
        <v>0</v>
      </c>
      <c r="BP406" s="339">
        <v>0</v>
      </c>
      <c r="BQ406" s="339">
        <v>0</v>
      </c>
      <c r="BR406" s="339">
        <v>0</v>
      </c>
      <c r="BS406" s="110" t="e">
        <f t="array" aca="1" ref="BS406" ca="1">_xludf.XLOOKUP(D406,'PL TOTAL D0'!N:N,'PL TOTAL D0'!P:P,"")</f>
        <v>#NAME?</v>
      </c>
      <c r="BT406" s="110"/>
    </row>
    <row r="407" spans="1:72" ht="15.75" customHeight="1">
      <c r="A407" s="122" t="s">
        <v>3785</v>
      </c>
      <c r="B407" s="104" t="s">
        <v>4981</v>
      </c>
      <c r="C407" s="390" t="s">
        <v>4982</v>
      </c>
      <c r="D407" s="299">
        <v>515215</v>
      </c>
      <c r="E407" s="293" t="s">
        <v>19</v>
      </c>
      <c r="F407" s="293" t="s">
        <v>49</v>
      </c>
      <c r="G407" s="293" t="s">
        <v>328</v>
      </c>
      <c r="H407" s="299" t="str">
        <f>IFERROR(VLOOKUP(G407,'Cadastro de assessores'!A:B,2,FALSE),"Não Cadastrado")</f>
        <v>18009</v>
      </c>
      <c r="I407" s="299"/>
      <c r="J407" s="24" t="s">
        <v>3788</v>
      </c>
      <c r="K407" s="292" t="s">
        <v>161</v>
      </c>
      <c r="L407" s="415">
        <v>44349</v>
      </c>
      <c r="M407" s="415">
        <v>44349</v>
      </c>
      <c r="N407" s="292"/>
      <c r="O407" s="292" t="s">
        <v>4010</v>
      </c>
      <c r="P407" s="388">
        <v>0.02</v>
      </c>
      <c r="Q407" s="167" t="s">
        <v>4983</v>
      </c>
      <c r="R407" s="417"/>
      <c r="S407" s="292" t="str">
        <f t="shared" si="42"/>
        <v/>
      </c>
      <c r="T407" s="299" t="s">
        <v>145</v>
      </c>
      <c r="U407" s="299" t="s">
        <v>4094</v>
      </c>
      <c r="V407" s="299" t="s">
        <v>46</v>
      </c>
      <c r="W407" s="350"/>
      <c r="X407" s="350"/>
      <c r="Y407" s="350"/>
      <c r="Z407" s="350"/>
      <c r="AA407" s="350"/>
      <c r="AB407" s="350"/>
      <c r="AC407" s="350"/>
      <c r="AD407" s="350"/>
      <c r="AE407" s="350"/>
      <c r="AF407" s="350"/>
      <c r="AG407" s="350"/>
      <c r="AH407" s="350"/>
      <c r="AI407" s="350"/>
      <c r="AJ407" s="350"/>
      <c r="AK407" s="339"/>
      <c r="AL407" s="339"/>
      <c r="AM407" s="468"/>
      <c r="AN407" s="468"/>
      <c r="AO407" s="339"/>
      <c r="AP407" s="339"/>
      <c r="AQ407" s="350"/>
      <c r="AR407" s="340"/>
      <c r="AS407" s="339">
        <v>74917.16</v>
      </c>
      <c r="AT407" s="339">
        <v>74785.83</v>
      </c>
      <c r="AU407" s="339">
        <v>0.02</v>
      </c>
      <c r="AV407" s="339">
        <v>-29.5</v>
      </c>
      <c r="AW407" s="339"/>
      <c r="AX407" s="339"/>
      <c r="AY407" s="339"/>
      <c r="AZ407" s="339"/>
      <c r="BA407" s="339">
        <v>0</v>
      </c>
      <c r="BB407" s="339">
        <v>0</v>
      </c>
      <c r="BC407" s="339"/>
      <c r="BD407" s="339">
        <v>-29.5</v>
      </c>
      <c r="BE407" s="339" t="s">
        <v>2932</v>
      </c>
      <c r="BF407" s="339">
        <v>-29.5</v>
      </c>
      <c r="BG407" s="339">
        <v>20.5</v>
      </c>
      <c r="BH407" s="339">
        <v>20.5</v>
      </c>
      <c r="BI407" s="339">
        <v>20.5</v>
      </c>
      <c r="BJ407" s="339">
        <v>20.5</v>
      </c>
      <c r="BK407" s="339">
        <v>20.5</v>
      </c>
      <c r="BL407" s="339">
        <v>20.5</v>
      </c>
      <c r="BM407" s="339">
        <v>20.5</v>
      </c>
      <c r="BN407" s="339">
        <v>0</v>
      </c>
      <c r="BO407" s="339">
        <v>20.5</v>
      </c>
      <c r="BP407" s="339">
        <v>20.5</v>
      </c>
      <c r="BQ407" s="339">
        <v>20.5</v>
      </c>
      <c r="BR407" s="339">
        <v>20.5</v>
      </c>
      <c r="BS407" s="110" t="e">
        <f t="array" aca="1" ref="BS407" ca="1">_xludf.XLOOKUP(D407,'PL TOTAL D0'!N:N,'PL TOTAL D0'!P:P,"")</f>
        <v>#NAME?</v>
      </c>
      <c r="BT407" s="110"/>
    </row>
    <row r="408" spans="1:72" ht="15.75" customHeight="1">
      <c r="A408" s="122" t="s">
        <v>3785</v>
      </c>
      <c r="B408" s="104" t="s">
        <v>4984</v>
      </c>
      <c r="C408" s="390" t="s">
        <v>4985</v>
      </c>
      <c r="D408" s="299">
        <v>6403193</v>
      </c>
      <c r="E408" s="292" t="s">
        <v>19</v>
      </c>
      <c r="F408" s="292" t="s">
        <v>20</v>
      </c>
      <c r="G408" s="292" t="s">
        <v>4343</v>
      </c>
      <c r="H408" s="292" t="str">
        <f>IFERROR(VLOOKUP(G408,'Cadastro de assessores'!A:B,2,FALSE),"Não Cadastrado")</f>
        <v>16130</v>
      </c>
      <c r="I408" s="292"/>
      <c r="J408" s="24" t="s">
        <v>143</v>
      </c>
      <c r="K408" s="292" t="s">
        <v>3794</v>
      </c>
      <c r="L408" s="391">
        <v>44434</v>
      </c>
      <c r="M408" s="391">
        <v>44434</v>
      </c>
      <c r="N408" s="391">
        <v>44764</v>
      </c>
      <c r="O408" s="299" t="s">
        <v>3802</v>
      </c>
      <c r="P408" s="388">
        <v>7.0000000000000001E-3</v>
      </c>
      <c r="Q408" s="167" t="s">
        <v>4986</v>
      </c>
      <c r="R408" s="417"/>
      <c r="S408" s="292" t="str">
        <f t="shared" si="42"/>
        <v>Qualificado</v>
      </c>
      <c r="T408" s="299" t="s">
        <v>145</v>
      </c>
      <c r="U408" s="299" t="s">
        <v>3832</v>
      </c>
      <c r="V408" s="292" t="s">
        <v>49</v>
      </c>
      <c r="W408" s="350"/>
      <c r="X408" s="350"/>
      <c r="Y408" s="350"/>
      <c r="Z408" s="350"/>
      <c r="AA408" s="350"/>
      <c r="AB408" s="350"/>
      <c r="AC408" s="350"/>
      <c r="AD408" s="350"/>
      <c r="AE408" s="350"/>
      <c r="AF408" s="350"/>
      <c r="AG408" s="350"/>
      <c r="AH408" s="418"/>
      <c r="AI408" s="418"/>
      <c r="AJ408" s="339"/>
      <c r="AK408" s="339"/>
      <c r="AL408" s="339"/>
      <c r="AM408" s="339"/>
      <c r="AN408" s="339"/>
      <c r="AO408" s="339"/>
      <c r="AP408" s="339"/>
      <c r="AQ408" s="339"/>
      <c r="AR408" s="339"/>
      <c r="AS408" s="431"/>
      <c r="AT408" s="340"/>
      <c r="AU408" s="340">
        <v>100081.55</v>
      </c>
      <c r="AV408" s="339">
        <v>401052.66</v>
      </c>
      <c r="AW408" s="339">
        <v>404053.61</v>
      </c>
      <c r="AX408" s="339">
        <v>407585.7</v>
      </c>
      <c r="AY408" s="339">
        <v>511876.18</v>
      </c>
      <c r="AZ408" s="339">
        <v>516222.95</v>
      </c>
      <c r="BA408" s="339">
        <v>519805.21</v>
      </c>
      <c r="BB408" s="339">
        <v>525820.66</v>
      </c>
      <c r="BC408" s="339">
        <v>1602506.14</v>
      </c>
      <c r="BD408" s="339">
        <v>537710.93999999994</v>
      </c>
      <c r="BE408" s="339">
        <v>542394.89</v>
      </c>
      <c r="BF408" s="339">
        <v>0</v>
      </c>
      <c r="BG408" s="339">
        <v>0</v>
      </c>
      <c r="BH408" s="339">
        <v>0</v>
      </c>
      <c r="BI408" s="339">
        <v>0</v>
      </c>
      <c r="BJ408" s="339">
        <v>0</v>
      </c>
      <c r="BK408" s="339">
        <v>0</v>
      </c>
      <c r="BL408" s="339">
        <v>0</v>
      </c>
      <c r="BM408" s="339">
        <v>0</v>
      </c>
      <c r="BN408" s="339">
        <v>0</v>
      </c>
      <c r="BO408" s="339">
        <v>0</v>
      </c>
      <c r="BP408" s="339">
        <v>0</v>
      </c>
      <c r="BQ408" s="339">
        <v>0</v>
      </c>
      <c r="BR408" s="339">
        <v>0</v>
      </c>
      <c r="BS408" s="110" t="e">
        <f t="array" aca="1" ref="BS408" ca="1">_xludf.XLOOKUP(D408,'PL TOTAL D0'!N:N,'PL TOTAL D0'!P:P,"")</f>
        <v>#NAME?</v>
      </c>
      <c r="BT408" s="110"/>
    </row>
    <row r="409" spans="1:72" ht="15.75" customHeight="1">
      <c r="A409" s="122" t="s">
        <v>3785</v>
      </c>
      <c r="B409" s="104" t="s">
        <v>3416</v>
      </c>
      <c r="C409" s="122" t="s">
        <v>3414</v>
      </c>
      <c r="D409" s="292">
        <v>490973</v>
      </c>
      <c r="E409" s="293" t="s">
        <v>19</v>
      </c>
      <c r="F409" s="293" t="s">
        <v>20</v>
      </c>
      <c r="G409" s="293" t="s">
        <v>800</v>
      </c>
      <c r="H409" s="293" t="str">
        <f>IFERROR(VLOOKUP(G409,'Cadastro de assessores'!A:B,2,FALSE),"Não Cadastrado")</f>
        <v>18467</v>
      </c>
      <c r="I409" s="293"/>
      <c r="J409" s="24" t="s">
        <v>3788</v>
      </c>
      <c r="K409" s="292" t="s">
        <v>152</v>
      </c>
      <c r="L409" s="415">
        <v>43685</v>
      </c>
      <c r="M409" s="415">
        <v>43690</v>
      </c>
      <c r="N409" s="292"/>
      <c r="O409" s="292" t="s">
        <v>3789</v>
      </c>
      <c r="P409" s="388">
        <v>0.02</v>
      </c>
      <c r="Q409" s="420" t="s">
        <v>4987</v>
      </c>
      <c r="R409" s="417"/>
      <c r="S409" s="292" t="str">
        <f t="shared" si="42"/>
        <v/>
      </c>
      <c r="T409" s="292" t="s">
        <v>145</v>
      </c>
      <c r="U409" s="292" t="s">
        <v>3967</v>
      </c>
      <c r="V409" s="292" t="s">
        <v>49</v>
      </c>
      <c r="W409" s="418" t="s">
        <v>4988</v>
      </c>
      <c r="X409" s="418"/>
      <c r="Y409" s="418" t="s">
        <v>4989</v>
      </c>
      <c r="Z409" s="418" t="s">
        <v>4990</v>
      </c>
      <c r="AA409" s="418" t="s">
        <v>4991</v>
      </c>
      <c r="AB409" s="418" t="s">
        <v>4992</v>
      </c>
      <c r="AC409" s="418" t="s">
        <v>4993</v>
      </c>
      <c r="AD409" s="418" t="s">
        <v>4994</v>
      </c>
      <c r="AE409" s="418" t="s">
        <v>4995</v>
      </c>
      <c r="AF409" s="418" t="s">
        <v>4996</v>
      </c>
      <c r="AG409" s="418" t="s">
        <v>4997</v>
      </c>
      <c r="AH409" s="418" t="s">
        <v>4998</v>
      </c>
      <c r="AI409" s="418" t="s">
        <v>4999</v>
      </c>
      <c r="AJ409" s="418" t="s">
        <v>5000</v>
      </c>
      <c r="AK409" s="339">
        <v>377277.63</v>
      </c>
      <c r="AL409" s="339">
        <v>372342.05</v>
      </c>
      <c r="AM409" s="339">
        <v>365886.79</v>
      </c>
      <c r="AN409" s="468">
        <v>367375.02</v>
      </c>
      <c r="AO409" s="468">
        <v>388099.18</v>
      </c>
      <c r="AP409" s="339">
        <v>411909.35</v>
      </c>
      <c r="AQ409" s="339">
        <v>408810.09</v>
      </c>
      <c r="AR409" s="339">
        <v>423220.96</v>
      </c>
      <c r="AS409" s="339">
        <v>437157.42</v>
      </c>
      <c r="AT409" s="339">
        <v>423777.84</v>
      </c>
      <c r="AU409" s="339">
        <v>421472.39</v>
      </c>
      <c r="AV409" s="339">
        <v>408110.15</v>
      </c>
      <c r="AW409" s="339">
        <v>392185.47</v>
      </c>
      <c r="AX409" s="339">
        <v>395919.73</v>
      </c>
      <c r="AY409" s="339">
        <v>401064.3</v>
      </c>
      <c r="AZ409" s="339">
        <v>415573.85</v>
      </c>
      <c r="BA409" s="339">
        <v>534553.85</v>
      </c>
      <c r="BB409" s="339">
        <v>563642.78</v>
      </c>
      <c r="BC409" s="339"/>
      <c r="BD409" s="339">
        <v>572089.55000000005</v>
      </c>
      <c r="BE409" s="339">
        <v>559168.46</v>
      </c>
      <c r="BF409" s="339">
        <v>578620.56000000006</v>
      </c>
      <c r="BG409" s="339">
        <v>586081.27379999997</v>
      </c>
      <c r="BH409" s="339">
        <v>602471.68000000005</v>
      </c>
      <c r="BI409" s="339">
        <v>733172.77</v>
      </c>
      <c r="BJ409" s="339">
        <v>909125.09</v>
      </c>
      <c r="BK409" s="339">
        <v>912564.68</v>
      </c>
      <c r="BL409" s="339">
        <v>941665.15</v>
      </c>
      <c r="BM409" s="339">
        <v>938391.97</v>
      </c>
      <c r="BN409" s="339">
        <v>322653.23</v>
      </c>
      <c r="BO409" s="339">
        <v>243391.24</v>
      </c>
      <c r="BP409" s="339">
        <v>0</v>
      </c>
      <c r="BQ409" s="339">
        <v>0</v>
      </c>
      <c r="BR409" s="339">
        <v>0</v>
      </c>
      <c r="BS409" s="110" t="e">
        <f t="array" aca="1" ref="BS409" ca="1">_xludf.XLOOKUP(D409,'PL TOTAL D0'!N:N,'PL TOTAL D0'!P:P,"")</f>
        <v>#NAME?</v>
      </c>
      <c r="BT409" s="110"/>
    </row>
    <row r="410" spans="1:72" ht="15.75" customHeight="1">
      <c r="A410" s="122" t="s">
        <v>3785</v>
      </c>
      <c r="B410" s="104" t="s">
        <v>5001</v>
      </c>
      <c r="C410" s="122" t="s">
        <v>5002</v>
      </c>
      <c r="D410" s="299">
        <v>3318900</v>
      </c>
      <c r="E410" s="293" t="s">
        <v>2923</v>
      </c>
      <c r="F410" s="293" t="s">
        <v>20</v>
      </c>
      <c r="G410" s="293" t="s">
        <v>2923</v>
      </c>
      <c r="H410" s="293" t="str">
        <f>IFERROR(VLOOKUP(G410,'Cadastro de assessores'!A:B,2,FALSE),"Não Cadastrado")</f>
        <v>18986</v>
      </c>
      <c r="I410" s="293"/>
      <c r="J410" s="24" t="s">
        <v>3788</v>
      </c>
      <c r="K410" s="292" t="s">
        <v>152</v>
      </c>
      <c r="L410" s="415">
        <v>44449</v>
      </c>
      <c r="M410" s="415">
        <v>44452</v>
      </c>
      <c r="N410" s="299"/>
      <c r="O410" s="299" t="s">
        <v>3795</v>
      </c>
      <c r="P410" s="388">
        <v>1.4999999999999999E-2</v>
      </c>
      <c r="Q410" s="420"/>
      <c r="R410" s="417"/>
      <c r="S410" s="292" t="str">
        <f t="shared" si="42"/>
        <v>Não Qualificado</v>
      </c>
      <c r="T410" s="292" t="s">
        <v>145</v>
      </c>
      <c r="U410" s="299" t="s">
        <v>3823</v>
      </c>
      <c r="V410" s="292" t="s">
        <v>20</v>
      </c>
      <c r="W410" s="350"/>
      <c r="X410" s="350"/>
      <c r="Y410" s="350"/>
      <c r="Z410" s="350"/>
      <c r="AA410" s="350"/>
      <c r="AB410" s="350"/>
      <c r="AC410" s="350"/>
      <c r="AD410" s="350"/>
      <c r="AE410" s="350"/>
      <c r="AF410" s="350"/>
      <c r="AG410" s="350"/>
      <c r="AH410" s="418"/>
      <c r="AI410" s="418"/>
      <c r="AJ410" s="339"/>
      <c r="AK410" s="339"/>
      <c r="AL410" s="339"/>
      <c r="AM410" s="468"/>
      <c r="AN410" s="468"/>
      <c r="AO410" s="339"/>
      <c r="AP410" s="339"/>
      <c r="AQ410" s="339"/>
      <c r="AR410" s="339"/>
      <c r="AS410" s="431"/>
      <c r="AT410" s="340"/>
      <c r="AU410" s="340"/>
      <c r="AV410" s="339">
        <v>83087.47</v>
      </c>
      <c r="AW410" s="339">
        <v>80381.740000000005</v>
      </c>
      <c r="AX410" s="339">
        <v>54054.559999999998</v>
      </c>
      <c r="AY410" s="339">
        <v>54159.89</v>
      </c>
      <c r="AZ410" s="339">
        <v>53598.77</v>
      </c>
      <c r="BA410" s="339">
        <v>53833.71</v>
      </c>
      <c r="BB410" s="339">
        <v>55172.41</v>
      </c>
      <c r="BC410" s="339">
        <v>155896.65</v>
      </c>
      <c r="BD410" s="339">
        <v>52790.19</v>
      </c>
      <c r="BE410" s="339">
        <v>31022.45</v>
      </c>
      <c r="BF410" s="339">
        <v>12549.41</v>
      </c>
      <c r="BG410" s="339">
        <v>12773.99</v>
      </c>
      <c r="BH410" s="339">
        <v>12801.12</v>
      </c>
      <c r="BI410" s="339">
        <v>14291.24</v>
      </c>
      <c r="BJ410" s="339">
        <v>13612.7</v>
      </c>
      <c r="BK410" s="339">
        <v>12</v>
      </c>
      <c r="BL410" s="339">
        <v>-4.93</v>
      </c>
      <c r="BM410" s="339">
        <v>-4.93</v>
      </c>
      <c r="BN410" s="339">
        <v>-4.92</v>
      </c>
      <c r="BO410" s="339">
        <v>-4.92</v>
      </c>
      <c r="BP410" s="339">
        <v>-4.92</v>
      </c>
      <c r="BQ410" s="339">
        <v>-4.92</v>
      </c>
      <c r="BR410" s="339">
        <v>-4.92</v>
      </c>
      <c r="BS410" s="110" t="e">
        <f t="array" aca="1" ref="BS410" ca="1">_xludf.XLOOKUP(D410,'PL TOTAL D0'!N:N,'PL TOTAL D0'!P:P,"")</f>
        <v>#NAME?</v>
      </c>
      <c r="BT410" s="110"/>
    </row>
    <row r="411" spans="1:72" ht="15.75" customHeight="1">
      <c r="A411" s="122" t="s">
        <v>3785</v>
      </c>
      <c r="B411" s="104" t="s">
        <v>2219</v>
      </c>
      <c r="C411" s="122" t="s">
        <v>5003</v>
      </c>
      <c r="D411" s="292">
        <v>4634086</v>
      </c>
      <c r="E411" s="293" t="s">
        <v>64</v>
      </c>
      <c r="F411" s="293" t="s">
        <v>20</v>
      </c>
      <c r="G411" s="293" t="s">
        <v>73</v>
      </c>
      <c r="H411" s="293" t="str">
        <f>IFERROR(VLOOKUP(G411,'Cadastro de assessores'!A:B,2,FALSE),"Não Cadastrado")</f>
        <v>17243</v>
      </c>
      <c r="I411" s="293"/>
      <c r="J411" s="24" t="s">
        <v>3788</v>
      </c>
      <c r="K411" s="292" t="s">
        <v>152</v>
      </c>
      <c r="L411" s="415">
        <v>44167</v>
      </c>
      <c r="M411" s="415">
        <v>44167</v>
      </c>
      <c r="N411" s="292"/>
      <c r="O411" s="292" t="s">
        <v>3805</v>
      </c>
      <c r="P411" s="388">
        <v>1.2E-2</v>
      </c>
      <c r="Q411" s="420"/>
      <c r="R411" s="417"/>
      <c r="S411" s="292" t="str">
        <f t="shared" si="42"/>
        <v>Não Qualificado</v>
      </c>
      <c r="T411" s="292" t="s">
        <v>145</v>
      </c>
      <c r="U411" s="306" t="s">
        <v>3797</v>
      </c>
      <c r="V411" s="292" t="s">
        <v>20</v>
      </c>
      <c r="W411" s="418" t="s">
        <v>3798</v>
      </c>
      <c r="X411" s="418" t="s">
        <v>3798</v>
      </c>
      <c r="Y411" s="418" t="s">
        <v>3798</v>
      </c>
      <c r="Z411" s="418" t="s">
        <v>3798</v>
      </c>
      <c r="AA411" s="418" t="s">
        <v>3798</v>
      </c>
      <c r="AB411" s="418" t="s">
        <v>3798</v>
      </c>
      <c r="AC411" s="418" t="s">
        <v>3798</v>
      </c>
      <c r="AD411" s="418" t="s">
        <v>3798</v>
      </c>
      <c r="AE411" s="418" t="s">
        <v>3798</v>
      </c>
      <c r="AF411" s="418" t="s">
        <v>3798</v>
      </c>
      <c r="AG411" s="418" t="s">
        <v>3798</v>
      </c>
      <c r="AH411" s="418" t="s">
        <v>3798</v>
      </c>
      <c r="AI411" s="418" t="s">
        <v>3798</v>
      </c>
      <c r="AJ411" s="418" t="s">
        <v>3798</v>
      </c>
      <c r="AK411" s="339">
        <v>301774.78000000003</v>
      </c>
      <c r="AL411" s="339">
        <v>299630.37</v>
      </c>
      <c r="AM411" s="339">
        <v>295142.77</v>
      </c>
      <c r="AN411" s="468">
        <v>294852.26</v>
      </c>
      <c r="AO411" s="468">
        <v>299097.05</v>
      </c>
      <c r="AP411" s="339">
        <v>299720.39</v>
      </c>
      <c r="AQ411" s="339">
        <v>299174.73</v>
      </c>
      <c r="AR411" s="339">
        <v>302561.65999999997</v>
      </c>
      <c r="AS411" s="339">
        <v>302085.63</v>
      </c>
      <c r="AT411" s="339">
        <v>299974.36</v>
      </c>
      <c r="AU411" s="339">
        <v>299840.38</v>
      </c>
      <c r="AV411" s="339">
        <v>297669.93</v>
      </c>
      <c r="AW411" s="339">
        <v>291660.96999999997</v>
      </c>
      <c r="AX411" s="339">
        <v>293641.96999999997</v>
      </c>
      <c r="AY411" s="339">
        <v>296463.38</v>
      </c>
      <c r="AZ411" s="339">
        <v>300048.21999999997</v>
      </c>
      <c r="BA411" s="339">
        <v>301397.40999999997</v>
      </c>
      <c r="BB411" s="339">
        <v>308707.90999999997</v>
      </c>
      <c r="BC411" s="339">
        <v>34169.089999999997</v>
      </c>
      <c r="BD411" s="339">
        <v>313067.03000000003</v>
      </c>
      <c r="BE411" s="339">
        <v>313758.26</v>
      </c>
      <c r="BF411" s="339">
        <v>317221.37</v>
      </c>
      <c r="BG411" s="339">
        <v>318508.43819999998</v>
      </c>
      <c r="BH411" s="339">
        <v>320011.96999999997</v>
      </c>
      <c r="BI411" s="339">
        <v>325067.59999999998</v>
      </c>
      <c r="BJ411" s="339">
        <v>326531.48</v>
      </c>
      <c r="BK411" s="339">
        <v>328934.3</v>
      </c>
      <c r="BL411" s="339">
        <v>36691.699999999997</v>
      </c>
      <c r="BM411" s="339">
        <v>36894.54</v>
      </c>
      <c r="BN411" s="339">
        <v>5.88</v>
      </c>
      <c r="BO411" s="339">
        <v>5.88</v>
      </c>
      <c r="BP411" s="339">
        <v>5.88</v>
      </c>
      <c r="BQ411" s="339">
        <v>5.88</v>
      </c>
      <c r="BR411" s="339">
        <v>5.88</v>
      </c>
      <c r="BS411" s="110" t="e">
        <f t="array" aca="1" ref="BS411" ca="1">_xludf.XLOOKUP(D411,'PL TOTAL D0'!N:N,'PL TOTAL D0'!P:P,"")</f>
        <v>#NAME?</v>
      </c>
      <c r="BT411" s="110"/>
    </row>
    <row r="412" spans="1:72" ht="15.75" customHeight="1">
      <c r="A412" s="122" t="s">
        <v>3785</v>
      </c>
      <c r="B412" s="104" t="s">
        <v>2227</v>
      </c>
      <c r="C412" s="86" t="s">
        <v>2224</v>
      </c>
      <c r="D412" s="426">
        <v>7047969</v>
      </c>
      <c r="E412" s="293" t="s">
        <v>19</v>
      </c>
      <c r="F412" s="293" t="s">
        <v>20</v>
      </c>
      <c r="G412" s="293" t="s">
        <v>2226</v>
      </c>
      <c r="H412" s="293">
        <f>IFERROR(VLOOKUP(G412,'Cadastro de assessores'!A:B,2,FALSE),"Não Cadastrado")</f>
        <v>12343</v>
      </c>
      <c r="I412" s="293"/>
      <c r="J412" s="24" t="s">
        <v>3788</v>
      </c>
      <c r="K412" s="292" t="s">
        <v>152</v>
      </c>
      <c r="L412" s="416">
        <v>44510</v>
      </c>
      <c r="M412" s="416">
        <v>44511</v>
      </c>
      <c r="N412" s="299"/>
      <c r="O412" s="299" t="s">
        <v>3802</v>
      </c>
      <c r="P412" s="388">
        <v>7.0000000000000001E-3</v>
      </c>
      <c r="Q412" s="420"/>
      <c r="R412" s="417"/>
      <c r="S412" s="292" t="str">
        <f t="shared" si="42"/>
        <v>Não Qualificado</v>
      </c>
      <c r="T412" s="292" t="s">
        <v>145</v>
      </c>
      <c r="U412" s="307" t="s">
        <v>3816</v>
      </c>
      <c r="V412" s="292" t="s">
        <v>20</v>
      </c>
      <c r="W412" s="350"/>
      <c r="X412" s="350"/>
      <c r="Y412" s="350"/>
      <c r="Z412" s="350"/>
      <c r="AA412" s="350"/>
      <c r="AB412" s="350"/>
      <c r="AC412" s="350"/>
      <c r="AD412" s="350"/>
      <c r="AE412" s="350"/>
      <c r="AF412" s="350"/>
      <c r="AG412" s="418"/>
      <c r="AH412" s="418"/>
      <c r="AI412" s="418"/>
      <c r="AJ412" s="339"/>
      <c r="AK412" s="339"/>
      <c r="AL412" s="339"/>
      <c r="AM412" s="339"/>
      <c r="AN412" s="339"/>
      <c r="AO412" s="339"/>
      <c r="AP412" s="339"/>
      <c r="AQ412" s="339"/>
      <c r="AR412" s="339"/>
      <c r="AS412" s="339"/>
      <c r="AT412" s="339"/>
      <c r="AU412" s="339"/>
      <c r="AV412" s="339"/>
      <c r="AW412" s="350"/>
      <c r="AX412" s="340"/>
      <c r="AY412" s="340">
        <v>101631.51</v>
      </c>
      <c r="AZ412" s="339">
        <v>101963.6</v>
      </c>
      <c r="BA412" s="339">
        <v>102696.02</v>
      </c>
      <c r="BB412" s="339">
        <v>104407.62</v>
      </c>
      <c r="BC412" s="339">
        <v>267830.76</v>
      </c>
      <c r="BD412" s="339">
        <v>105663.93</v>
      </c>
      <c r="BE412" s="339">
        <v>106448.84</v>
      </c>
      <c r="BF412" s="339">
        <v>106365.27</v>
      </c>
      <c r="BG412" s="339">
        <v>107805.12</v>
      </c>
      <c r="BH412" s="339">
        <v>108546.23</v>
      </c>
      <c r="BI412" s="339">
        <v>109615.26</v>
      </c>
      <c r="BJ412" s="339">
        <v>99446.05</v>
      </c>
      <c r="BK412" s="339">
        <v>100431.51</v>
      </c>
      <c r="BL412" s="339">
        <v>101790.79</v>
      </c>
      <c r="BM412" s="339">
        <v>163236.43</v>
      </c>
      <c r="BN412" s="339">
        <v>8.1199999999999992</v>
      </c>
      <c r="BO412" s="339">
        <v>0</v>
      </c>
      <c r="BP412" s="339">
        <v>0</v>
      </c>
      <c r="BQ412" s="339">
        <v>0</v>
      </c>
      <c r="BR412" s="339">
        <v>0</v>
      </c>
      <c r="BS412" s="110" t="e">
        <f t="array" aca="1" ref="BS412" ca="1">_xludf.XLOOKUP(D412,'PL TOTAL D0'!N:N,'PL TOTAL D0'!P:P,"")</f>
        <v>#NAME?</v>
      </c>
      <c r="BT412" s="110"/>
    </row>
    <row r="413" spans="1:72" ht="15.75" customHeight="1">
      <c r="A413" s="122" t="s">
        <v>3785</v>
      </c>
      <c r="B413" s="104" t="s">
        <v>3433</v>
      </c>
      <c r="C413" s="122" t="s">
        <v>3431</v>
      </c>
      <c r="D413" s="292">
        <v>4679169</v>
      </c>
      <c r="E413" s="293" t="s">
        <v>19</v>
      </c>
      <c r="F413" s="293" t="s">
        <v>20</v>
      </c>
      <c r="G413" s="293" t="s">
        <v>3072</v>
      </c>
      <c r="H413" s="293" t="str">
        <f>IFERROR(VLOOKUP(G413,'Cadastro de assessores'!A:B,2,FALSE),"Não Cadastrado")</f>
        <v>18236</v>
      </c>
      <c r="I413" s="293"/>
      <c r="J413" s="24" t="s">
        <v>3788</v>
      </c>
      <c r="K413" s="292" t="s">
        <v>161</v>
      </c>
      <c r="L413" s="292" t="s">
        <v>3147</v>
      </c>
      <c r="M413" s="436" t="s">
        <v>4177</v>
      </c>
      <c r="N413" s="299"/>
      <c r="O413" s="299" t="s">
        <v>3842</v>
      </c>
      <c r="P413" s="388">
        <v>8.0000000000000002E-3</v>
      </c>
      <c r="Q413" s="420"/>
      <c r="R413" s="417"/>
      <c r="S413" s="292" t="str">
        <f t="shared" si="42"/>
        <v>Não Qualificado</v>
      </c>
      <c r="T413" s="292" t="s">
        <v>145</v>
      </c>
      <c r="U413" s="292" t="s">
        <v>3797</v>
      </c>
      <c r="V413" s="292" t="s">
        <v>20</v>
      </c>
      <c r="W413" s="418" t="s">
        <v>3798</v>
      </c>
      <c r="X413" s="418" t="s">
        <v>3798</v>
      </c>
      <c r="Y413" s="418" t="s">
        <v>3798</v>
      </c>
      <c r="Z413" s="418" t="s">
        <v>3798</v>
      </c>
      <c r="AA413" s="418" t="s">
        <v>3798</v>
      </c>
      <c r="AB413" s="418" t="s">
        <v>3798</v>
      </c>
      <c r="AC413" s="418" t="s">
        <v>3798</v>
      </c>
      <c r="AD413" s="418" t="s">
        <v>3798</v>
      </c>
      <c r="AE413" s="418" t="s">
        <v>3798</v>
      </c>
      <c r="AF413" s="418" t="s">
        <v>3798</v>
      </c>
      <c r="AG413" s="418" t="s">
        <v>3798</v>
      </c>
      <c r="AH413" s="418" t="s">
        <v>3798</v>
      </c>
      <c r="AI413" s="418" t="s">
        <v>3798</v>
      </c>
      <c r="AJ413" s="418" t="s">
        <v>3798</v>
      </c>
      <c r="AK413" s="339" t="s">
        <v>3147</v>
      </c>
      <c r="AL413" s="339"/>
      <c r="AM413" s="339" t="s">
        <v>3147</v>
      </c>
      <c r="AN413" s="339"/>
      <c r="AO413" s="339"/>
      <c r="AP413" s="339"/>
      <c r="AQ413" s="339"/>
      <c r="AR413" s="339"/>
      <c r="AS413" s="339"/>
      <c r="AT413" s="339"/>
      <c r="AU413" s="339"/>
      <c r="AV413" s="339"/>
      <c r="AW413" s="339"/>
      <c r="AX413" s="339"/>
      <c r="AY413" s="339"/>
      <c r="AZ413" s="339"/>
      <c r="BA413" s="339">
        <v>0</v>
      </c>
      <c r="BB413" s="339">
        <v>0</v>
      </c>
      <c r="BC413" s="339">
        <v>112.96</v>
      </c>
      <c r="BD413" s="339" t="s">
        <v>2932</v>
      </c>
      <c r="BE413" s="339" t="s">
        <v>2932</v>
      </c>
      <c r="BF413" s="339">
        <v>0</v>
      </c>
      <c r="BG413" s="339">
        <v>0</v>
      </c>
      <c r="BH413" s="339">
        <v>0</v>
      </c>
      <c r="BI413" s="339">
        <v>0</v>
      </c>
      <c r="BJ413" s="339">
        <v>0</v>
      </c>
      <c r="BK413" s="339">
        <v>0</v>
      </c>
      <c r="BL413" s="339">
        <v>0</v>
      </c>
      <c r="BM413" s="339">
        <v>0</v>
      </c>
      <c r="BN413" s="339">
        <v>0</v>
      </c>
      <c r="BO413" s="339">
        <v>0</v>
      </c>
      <c r="BP413" s="339">
        <v>0</v>
      </c>
      <c r="BQ413" s="339">
        <v>0</v>
      </c>
      <c r="BR413" s="339">
        <v>0</v>
      </c>
      <c r="BS413" s="110" t="e">
        <f t="array" aca="1" ref="BS413" ca="1">_xludf.XLOOKUP(D413,'PL TOTAL D0'!N:N,'PL TOTAL D0'!P:P,"")</f>
        <v>#NAME?</v>
      </c>
      <c r="BT413" s="110"/>
    </row>
    <row r="414" spans="1:72" ht="15.75" customHeight="1">
      <c r="A414" s="122" t="s">
        <v>3785</v>
      </c>
      <c r="B414" s="104" t="s">
        <v>3433</v>
      </c>
      <c r="C414" s="122" t="s">
        <v>3431</v>
      </c>
      <c r="D414" s="292">
        <v>2096281</v>
      </c>
      <c r="E414" s="293" t="s">
        <v>19</v>
      </c>
      <c r="F414" s="293" t="s">
        <v>20</v>
      </c>
      <c r="G414" s="293" t="s">
        <v>3072</v>
      </c>
      <c r="H414" s="293" t="str">
        <f>IFERROR(VLOOKUP(G414,'Cadastro de assessores'!A:B,2,FALSE),"Não Cadastrado")</f>
        <v>18236</v>
      </c>
      <c r="I414" s="293"/>
      <c r="J414" s="24" t="s">
        <v>152</v>
      </c>
      <c r="K414" s="292" t="s">
        <v>152</v>
      </c>
      <c r="L414" s="415">
        <v>44294</v>
      </c>
      <c r="M414" s="415">
        <v>44294</v>
      </c>
      <c r="N414" s="292"/>
      <c r="O414" s="292" t="s">
        <v>3809</v>
      </c>
      <c r="P414" s="388">
        <v>0.02</v>
      </c>
      <c r="Q414" s="420"/>
      <c r="R414" s="417"/>
      <c r="S414" s="292" t="str">
        <f t="shared" si="42"/>
        <v>Não Qualificado</v>
      </c>
      <c r="T414" s="292" t="s">
        <v>145</v>
      </c>
      <c r="U414" s="292" t="s">
        <v>3797</v>
      </c>
      <c r="V414" s="292" t="s">
        <v>20</v>
      </c>
      <c r="W414" s="418"/>
      <c r="X414" s="418"/>
      <c r="Y414" s="418"/>
      <c r="Z414" s="418"/>
      <c r="AA414" s="418"/>
      <c r="AB414" s="418"/>
      <c r="AC414" s="418"/>
      <c r="AD414" s="418"/>
      <c r="AE414" s="418"/>
      <c r="AF414" s="418"/>
      <c r="AG414" s="418"/>
      <c r="AH414" s="418"/>
      <c r="AI414" s="418"/>
      <c r="AJ414" s="418"/>
      <c r="AK414" s="339"/>
      <c r="AL414" s="339"/>
      <c r="AM414" s="339"/>
      <c r="AN414" s="468">
        <v>3752150.03</v>
      </c>
      <c r="AO414" s="468"/>
      <c r="AP414" s="339">
        <v>3984072.13</v>
      </c>
      <c r="AQ414" s="339">
        <v>3952997.39</v>
      </c>
      <c r="AR414" s="339">
        <v>4073997.31</v>
      </c>
      <c r="AS414" s="339">
        <v>3992156.26</v>
      </c>
      <c r="AT414" s="339">
        <v>3819312.89</v>
      </c>
      <c r="AU414" s="339">
        <v>3754041.04</v>
      </c>
      <c r="AV414" s="339">
        <v>4235811.18</v>
      </c>
      <c r="AW414" s="339">
        <v>3347547.01</v>
      </c>
      <c r="AX414" s="339">
        <v>3311474.3</v>
      </c>
      <c r="AY414" s="339">
        <v>3375579.18</v>
      </c>
      <c r="AZ414" s="339">
        <v>3570905.22</v>
      </c>
      <c r="BA414" s="339">
        <v>3586642.03</v>
      </c>
      <c r="BB414" s="339">
        <v>3801306.08</v>
      </c>
      <c r="BC414" s="339">
        <v>6.89</v>
      </c>
      <c r="BD414" s="339">
        <v>4349976.96</v>
      </c>
      <c r="BE414" s="339">
        <v>4191688.29</v>
      </c>
      <c r="BF414" s="339">
        <v>4383914.28</v>
      </c>
      <c r="BG414" s="339">
        <v>4403819.68</v>
      </c>
      <c r="BH414" s="339">
        <v>4367841.78</v>
      </c>
      <c r="BI414" s="339">
        <v>4694580.1100000003</v>
      </c>
      <c r="BJ414" s="339">
        <v>4621282.9400000004</v>
      </c>
      <c r="BK414" s="339">
        <v>4598452.5999999996</v>
      </c>
      <c r="BL414" s="339">
        <v>4687501.2699999996</v>
      </c>
      <c r="BM414" s="339">
        <v>4303766.62</v>
      </c>
      <c r="BN414" s="339">
        <v>1925384.58</v>
      </c>
      <c r="BO414" s="339">
        <v>645002.80000000005</v>
      </c>
      <c r="BP414" s="339">
        <v>649620.09</v>
      </c>
      <c r="BQ414" s="339">
        <v>437940.9</v>
      </c>
      <c r="BR414" s="339">
        <v>417595.95</v>
      </c>
      <c r="BS414" s="110" t="e">
        <f t="array" aca="1" ref="BS414" ca="1">_xludf.XLOOKUP(D414,'PL TOTAL D0'!N:N,'PL TOTAL D0'!P:P,"")</f>
        <v>#NAME?</v>
      </c>
      <c r="BT414" s="110"/>
    </row>
    <row r="415" spans="1:72" ht="15.75" customHeight="1">
      <c r="A415" s="122" t="s">
        <v>3785</v>
      </c>
      <c r="B415" s="104" t="s">
        <v>2263</v>
      </c>
      <c r="C415" s="122" t="s">
        <v>2261</v>
      </c>
      <c r="D415" s="292">
        <v>6199853</v>
      </c>
      <c r="E415" s="292" t="s">
        <v>19</v>
      </c>
      <c r="F415" s="292" t="s">
        <v>49</v>
      </c>
      <c r="G415" s="292" t="s">
        <v>50</v>
      </c>
      <c r="H415" s="293">
        <f>IFERROR(VLOOKUP(G415,'Cadastro de assessores'!A:B,2,FALSE),"Não Cadastrado")</f>
        <v>12331</v>
      </c>
      <c r="I415" s="292"/>
      <c r="J415" s="24" t="s">
        <v>3788</v>
      </c>
      <c r="K415" s="292"/>
      <c r="L415" s="419"/>
      <c r="M415" s="419">
        <v>44851</v>
      </c>
      <c r="N415" s="387"/>
      <c r="O415" s="292" t="s">
        <v>3795</v>
      </c>
      <c r="P415" s="388">
        <v>1.4999999999999999E-2</v>
      </c>
      <c r="Q415" s="420" t="s">
        <v>4079</v>
      </c>
      <c r="R415" s="417"/>
      <c r="S415" s="292"/>
      <c r="T415" s="292"/>
      <c r="U415" s="292"/>
      <c r="V415" s="292" t="s">
        <v>49</v>
      </c>
      <c r="W415" s="418"/>
      <c r="X415" s="418"/>
      <c r="Y415" s="418"/>
      <c r="Z415" s="418"/>
      <c r="AA415" s="418"/>
      <c r="AB415" s="418"/>
      <c r="AC415" s="418"/>
      <c r="AD415" s="418"/>
      <c r="AE415" s="418"/>
      <c r="AF415" s="418"/>
      <c r="AG415" s="418"/>
      <c r="AH415" s="418"/>
      <c r="AI415" s="418"/>
      <c r="AJ415" s="418"/>
      <c r="AK415" s="339"/>
      <c r="AL415" s="339"/>
      <c r="AM415" s="339"/>
      <c r="AN415" s="339"/>
      <c r="AO415" s="339"/>
      <c r="AP415" s="339"/>
      <c r="AQ415" s="339"/>
      <c r="AR415" s="339"/>
      <c r="AS415" s="339"/>
      <c r="AT415" s="339"/>
      <c r="AU415" s="339"/>
      <c r="AV415" s="339"/>
      <c r="AW415" s="339"/>
      <c r="AX415" s="339"/>
      <c r="AY415" s="339"/>
      <c r="AZ415" s="339"/>
      <c r="BA415" s="339"/>
      <c r="BB415" s="339"/>
      <c r="BC415" s="339"/>
      <c r="BD415" s="339"/>
      <c r="BE415" s="339"/>
      <c r="BF415" s="339"/>
      <c r="BG415" s="339"/>
      <c r="BH415" s="339"/>
      <c r="BI415" s="339">
        <v>100475.74</v>
      </c>
      <c r="BJ415" s="339">
        <v>101193.93</v>
      </c>
      <c r="BK415" s="339">
        <v>101927.08</v>
      </c>
      <c r="BL415" s="339">
        <v>102982.85</v>
      </c>
      <c r="BM415" s="339">
        <v>103754.03</v>
      </c>
      <c r="BN415" s="339">
        <v>0</v>
      </c>
      <c r="BO415" s="339">
        <v>0</v>
      </c>
      <c r="BP415" s="339">
        <v>0</v>
      </c>
      <c r="BQ415" s="339">
        <v>0</v>
      </c>
      <c r="BR415" s="339">
        <v>0</v>
      </c>
      <c r="BS415" s="110" t="e">
        <f t="array" aca="1" ref="BS415" ca="1">_xludf.XLOOKUP(D415,'PL TOTAL D0'!N:N,'PL TOTAL D0'!P:P,"")</f>
        <v>#NAME?</v>
      </c>
      <c r="BT415" s="110"/>
    </row>
    <row r="416" spans="1:72" ht="15.75" customHeight="1">
      <c r="A416" s="122" t="s">
        <v>3785</v>
      </c>
      <c r="B416" s="104" t="s">
        <v>5004</v>
      </c>
      <c r="C416" s="122" t="s">
        <v>5005</v>
      </c>
      <c r="D416" s="292">
        <v>528568</v>
      </c>
      <c r="E416" s="292" t="s">
        <v>64</v>
      </c>
      <c r="F416" s="292" t="s">
        <v>20</v>
      </c>
      <c r="G416" s="292" t="s">
        <v>337</v>
      </c>
      <c r="H416" s="292" t="str">
        <f>IFERROR(VLOOKUP(G416,'Cadastro de assessores'!A:B,2,FALSE),"Não Cadastrado")</f>
        <v>17896</v>
      </c>
      <c r="I416" s="292"/>
      <c r="J416" s="24" t="s">
        <v>143</v>
      </c>
      <c r="K416" s="292" t="s">
        <v>3794</v>
      </c>
      <c r="L416" s="419">
        <v>44183</v>
      </c>
      <c r="M416" s="419">
        <v>44183</v>
      </c>
      <c r="N416" s="387">
        <v>44315</v>
      </c>
      <c r="O416" s="292" t="s">
        <v>3789</v>
      </c>
      <c r="P416" s="388">
        <v>0.02</v>
      </c>
      <c r="Q416" s="420" t="s">
        <v>5006</v>
      </c>
      <c r="R416" s="417"/>
      <c r="S416" s="292" t="str">
        <f t="shared" ref="S416:S419" si="43">IF(BC416&lt;=0,"",IF(BC416&lt;=1000000,"Não Qualificado",IF(AND(BC416&gt;1000000,BC416&lt;=10000000),"Qualificado","Profissional")))</f>
        <v>Não Qualificado</v>
      </c>
      <c r="T416" s="292" t="s">
        <v>145</v>
      </c>
      <c r="U416" s="292" t="s">
        <v>3797</v>
      </c>
      <c r="V416" s="292" t="s">
        <v>20</v>
      </c>
      <c r="W416" s="418" t="s">
        <v>3798</v>
      </c>
      <c r="X416" s="418" t="s">
        <v>3798</v>
      </c>
      <c r="Y416" s="418" t="s">
        <v>3798</v>
      </c>
      <c r="Z416" s="418" t="s">
        <v>3798</v>
      </c>
      <c r="AA416" s="418" t="s">
        <v>3798</v>
      </c>
      <c r="AB416" s="418" t="s">
        <v>3798</v>
      </c>
      <c r="AC416" s="418" t="s">
        <v>3798</v>
      </c>
      <c r="AD416" s="418" t="s">
        <v>3798</v>
      </c>
      <c r="AE416" s="418" t="s">
        <v>3798</v>
      </c>
      <c r="AF416" s="418" t="s">
        <v>3798</v>
      </c>
      <c r="AG416" s="418" t="s">
        <v>3798</v>
      </c>
      <c r="AH416" s="418" t="s">
        <v>3798</v>
      </c>
      <c r="AI416" s="418" t="s">
        <v>3798</v>
      </c>
      <c r="AJ416" s="418" t="s">
        <v>3798</v>
      </c>
      <c r="AK416" s="339">
        <v>198992.23</v>
      </c>
      <c r="AL416" s="339">
        <v>193698.3</v>
      </c>
      <c r="AM416" s="339">
        <v>186081.09</v>
      </c>
      <c r="AN416" s="339">
        <v>186177.67</v>
      </c>
      <c r="AO416" s="339">
        <v>193917.59</v>
      </c>
      <c r="AP416" s="339">
        <v>195556.91</v>
      </c>
      <c r="AQ416" s="339">
        <v>194902.6</v>
      </c>
      <c r="AR416" s="339"/>
      <c r="AS416" s="339"/>
      <c r="AT416" s="339"/>
      <c r="AU416" s="339"/>
      <c r="AV416" s="339"/>
      <c r="AW416" s="339"/>
      <c r="AX416" s="339"/>
      <c r="AY416" s="339"/>
      <c r="AZ416" s="339"/>
      <c r="BA416" s="339">
        <v>0</v>
      </c>
      <c r="BB416" s="339">
        <v>0</v>
      </c>
      <c r="BC416" s="339">
        <v>78438.23</v>
      </c>
      <c r="BD416" s="339" t="s">
        <v>2932</v>
      </c>
      <c r="BE416" s="339" t="s">
        <v>2932</v>
      </c>
      <c r="BF416" s="339">
        <v>0</v>
      </c>
      <c r="BG416" s="339">
        <v>0</v>
      </c>
      <c r="BH416" s="339">
        <v>0</v>
      </c>
      <c r="BI416" s="339">
        <v>0</v>
      </c>
      <c r="BJ416" s="339">
        <v>0</v>
      </c>
      <c r="BK416" s="339">
        <v>0</v>
      </c>
      <c r="BL416" s="339">
        <v>0</v>
      </c>
      <c r="BM416" s="339">
        <v>0</v>
      </c>
      <c r="BN416" s="339">
        <v>0</v>
      </c>
      <c r="BO416" s="339">
        <v>0</v>
      </c>
      <c r="BP416" s="339">
        <v>0</v>
      </c>
      <c r="BQ416" s="339">
        <v>0</v>
      </c>
      <c r="BR416" s="339">
        <v>0</v>
      </c>
      <c r="BS416" s="110" t="e">
        <f t="array" aca="1" ref="BS416" ca="1">_xludf.XLOOKUP(D416,'PL TOTAL D0'!N:N,'PL TOTAL D0'!P:P,"")</f>
        <v>#NAME?</v>
      </c>
      <c r="BT416" s="110"/>
    </row>
    <row r="417" spans="1:72" ht="15.75" customHeight="1">
      <c r="A417" s="122" t="s">
        <v>3785</v>
      </c>
      <c r="B417" s="104" t="s">
        <v>5007</v>
      </c>
      <c r="C417" s="390" t="s">
        <v>5008</v>
      </c>
      <c r="D417" s="299">
        <v>7388997</v>
      </c>
      <c r="E417" s="293" t="s">
        <v>19</v>
      </c>
      <c r="F417" s="293" t="s">
        <v>20</v>
      </c>
      <c r="G417" s="426" t="s">
        <v>942</v>
      </c>
      <c r="H417" s="293">
        <f>IFERROR(VLOOKUP(G417,'Cadastro de assessores'!A:B,2,FALSE),"Não Cadastrado")</f>
        <v>12342</v>
      </c>
      <c r="I417" s="293"/>
      <c r="J417" s="24" t="s">
        <v>143</v>
      </c>
      <c r="K417" s="292" t="s">
        <v>152</v>
      </c>
      <c r="L417" s="416">
        <v>44539</v>
      </c>
      <c r="M417" s="416">
        <v>44543</v>
      </c>
      <c r="N417" s="426"/>
      <c r="O417" s="426" t="s">
        <v>3802</v>
      </c>
      <c r="P417" s="388">
        <v>7.0000000000000001E-3</v>
      </c>
      <c r="Q417" s="311"/>
      <c r="R417" s="417"/>
      <c r="S417" s="292" t="str">
        <f t="shared" si="43"/>
        <v/>
      </c>
      <c r="T417" s="292" t="s">
        <v>145</v>
      </c>
      <c r="U417" s="292" t="s">
        <v>4049</v>
      </c>
      <c r="V417" s="292" t="s">
        <v>886</v>
      </c>
      <c r="W417" s="350"/>
      <c r="X417" s="350"/>
      <c r="Y417" s="350"/>
      <c r="Z417" s="350"/>
      <c r="AA417" s="350"/>
      <c r="AB417" s="350"/>
      <c r="AC417" s="350"/>
      <c r="AD417" s="350"/>
      <c r="AE417" s="350"/>
      <c r="AF417" s="350"/>
      <c r="AG417" s="418"/>
      <c r="AH417" s="418"/>
      <c r="AI417" s="418"/>
      <c r="AJ417" s="339"/>
      <c r="AK417" s="339"/>
      <c r="AL417" s="339"/>
      <c r="AM417" s="468"/>
      <c r="AN417" s="468"/>
      <c r="AO417" s="339"/>
      <c r="AP417" s="339"/>
      <c r="AQ417" s="339"/>
      <c r="AR417" s="339"/>
      <c r="AS417" s="339"/>
      <c r="AT417" s="339"/>
      <c r="AU417" s="339"/>
      <c r="AV417" s="339"/>
      <c r="AW417" s="339"/>
      <c r="AX417" s="350"/>
      <c r="AY417" s="350"/>
      <c r="AZ417" s="418"/>
      <c r="BA417" s="418">
        <v>0</v>
      </c>
      <c r="BB417" s="418">
        <v>155247.01999999999</v>
      </c>
      <c r="BC417" s="418"/>
      <c r="BD417" s="339">
        <v>204753.49</v>
      </c>
      <c r="BE417" s="339">
        <v>206673.78</v>
      </c>
      <c r="BF417" s="339">
        <v>208311.42</v>
      </c>
      <c r="BG417" s="339">
        <v>209379.4007</v>
      </c>
      <c r="BH417" s="339">
        <v>210570.18</v>
      </c>
      <c r="BI417" s="339">
        <v>212101.64</v>
      </c>
      <c r="BJ417" s="339">
        <v>214005.76000000001</v>
      </c>
      <c r="BK417" s="339">
        <v>215830.17</v>
      </c>
      <c r="BL417" s="339">
        <v>218227</v>
      </c>
      <c r="BM417" s="339">
        <v>219651.65</v>
      </c>
      <c r="BN417" s="339">
        <v>221356.13</v>
      </c>
      <c r="BO417" s="339">
        <v>214825.95</v>
      </c>
      <c r="BP417" s="339">
        <v>212871.18</v>
      </c>
      <c r="BQ417" s="339">
        <v>209431.54</v>
      </c>
      <c r="BR417" s="339">
        <v>206209.21</v>
      </c>
      <c r="BS417" s="110" t="e">
        <f t="array" aca="1" ref="BS417" ca="1">_xludf.XLOOKUP(D417,'PL TOTAL D0'!N:N,'PL TOTAL D0'!P:P,"")</f>
        <v>#NAME?</v>
      </c>
      <c r="BT417" s="110"/>
    </row>
    <row r="418" spans="1:72" ht="15.75" customHeight="1">
      <c r="A418" s="122" t="s">
        <v>3785</v>
      </c>
      <c r="B418" s="104" t="s">
        <v>5009</v>
      </c>
      <c r="C418" s="122" t="s">
        <v>5010</v>
      </c>
      <c r="D418" s="292">
        <v>3445098</v>
      </c>
      <c r="E418" s="293" t="s">
        <v>2923</v>
      </c>
      <c r="F418" s="293" t="s">
        <v>20</v>
      </c>
      <c r="G418" s="293" t="s">
        <v>2923</v>
      </c>
      <c r="H418" s="293" t="str">
        <f>IFERROR(VLOOKUP(G418,'Cadastro de assessores'!A:B,2,FALSE),"Não Cadastrado")</f>
        <v>18986</v>
      </c>
      <c r="I418" s="293"/>
      <c r="J418" s="24" t="s">
        <v>3788</v>
      </c>
      <c r="K418" s="292" t="s">
        <v>161</v>
      </c>
      <c r="L418" s="415">
        <v>44036</v>
      </c>
      <c r="M418" s="415">
        <v>44043</v>
      </c>
      <c r="N418" s="292"/>
      <c r="O418" s="292" t="s">
        <v>3795</v>
      </c>
      <c r="P418" s="388">
        <v>1.4999999999999999E-2</v>
      </c>
      <c r="Q418" s="420"/>
      <c r="R418" s="417"/>
      <c r="S418" s="292" t="str">
        <f t="shared" si="43"/>
        <v>Não Qualificado</v>
      </c>
      <c r="T418" s="292" t="s">
        <v>145</v>
      </c>
      <c r="U418" s="292" t="s">
        <v>3967</v>
      </c>
      <c r="V418" s="292" t="s">
        <v>49</v>
      </c>
      <c r="W418" s="418" t="s">
        <v>3798</v>
      </c>
      <c r="X418" s="418" t="s">
        <v>3798</v>
      </c>
      <c r="Y418" s="418" t="s">
        <v>3798</v>
      </c>
      <c r="Z418" s="418" t="s">
        <v>3798</v>
      </c>
      <c r="AA418" s="418" t="s">
        <v>3798</v>
      </c>
      <c r="AB418" s="418" t="s">
        <v>3798</v>
      </c>
      <c r="AC418" s="418" t="s">
        <v>3798</v>
      </c>
      <c r="AD418" s="418" t="s">
        <v>3798</v>
      </c>
      <c r="AE418" s="418" t="s">
        <v>3798</v>
      </c>
      <c r="AF418" s="418" t="s">
        <v>5011</v>
      </c>
      <c r="AG418" s="418" t="s">
        <v>5012</v>
      </c>
      <c r="AH418" s="418" t="s">
        <v>5013</v>
      </c>
      <c r="AI418" s="418" t="s">
        <v>5014</v>
      </c>
      <c r="AJ418" s="418" t="s">
        <v>5015</v>
      </c>
      <c r="AK418" s="339">
        <v>230034.47</v>
      </c>
      <c r="AL418" s="339">
        <v>164120.99</v>
      </c>
      <c r="AM418" s="339">
        <v>49992.45</v>
      </c>
      <c r="AN418" s="468">
        <v>9340.9500000000007</v>
      </c>
      <c r="AO418" s="468">
        <v>766.32</v>
      </c>
      <c r="AP418" s="339">
        <v>765.72</v>
      </c>
      <c r="AQ418" s="339">
        <v>765.52</v>
      </c>
      <c r="AR418" s="339">
        <v>764.47</v>
      </c>
      <c r="AS418" s="339">
        <v>763.42</v>
      </c>
      <c r="AT418" s="339">
        <v>762.32</v>
      </c>
      <c r="AU418" s="339">
        <v>761.22</v>
      </c>
      <c r="AV418" s="339">
        <v>603.78</v>
      </c>
      <c r="AW418" s="339">
        <v>759.17</v>
      </c>
      <c r="AX418" s="339">
        <v>758.17</v>
      </c>
      <c r="AY418" s="339"/>
      <c r="AZ418" s="339"/>
      <c r="BA418" s="339">
        <v>0</v>
      </c>
      <c r="BB418" s="339">
        <v>0</v>
      </c>
      <c r="BC418" s="339">
        <v>100974.27</v>
      </c>
      <c r="BD418" s="339">
        <v>6.72</v>
      </c>
      <c r="BE418" s="339">
        <v>6.72</v>
      </c>
      <c r="BF418" s="339">
        <v>6.73</v>
      </c>
      <c r="BG418" s="339">
        <v>6.73</v>
      </c>
      <c r="BH418" s="339">
        <v>6.73</v>
      </c>
      <c r="BI418" s="339">
        <v>6.73</v>
      </c>
      <c r="BJ418" s="339">
        <v>6.73</v>
      </c>
      <c r="BK418" s="339">
        <v>6.73</v>
      </c>
      <c r="BL418" s="339">
        <v>6.73</v>
      </c>
      <c r="BM418" s="339">
        <v>6.73</v>
      </c>
      <c r="BN418" s="339">
        <v>6.73</v>
      </c>
      <c r="BO418" s="339">
        <v>6.73</v>
      </c>
      <c r="BP418" s="339">
        <v>6.73</v>
      </c>
      <c r="BQ418" s="339">
        <v>6.73</v>
      </c>
      <c r="BR418" s="339">
        <v>6.73</v>
      </c>
      <c r="BS418" s="110" t="e">
        <f t="array" aca="1" ref="BS418" ca="1">_xludf.XLOOKUP(D418,'PL TOTAL D0'!N:N,'PL TOTAL D0'!P:P,"")</f>
        <v>#NAME?</v>
      </c>
      <c r="BT418" s="110"/>
    </row>
    <row r="419" spans="1:72" ht="15.75" customHeight="1">
      <c r="A419" s="122" t="s">
        <v>3785</v>
      </c>
      <c r="B419" s="104" t="s">
        <v>5016</v>
      </c>
      <c r="C419" s="390" t="s">
        <v>5017</v>
      </c>
      <c r="D419" s="432">
        <v>7709062</v>
      </c>
      <c r="E419" s="292" t="s">
        <v>19</v>
      </c>
      <c r="F419" s="292" t="s">
        <v>49</v>
      </c>
      <c r="G419" s="292" t="s">
        <v>5018</v>
      </c>
      <c r="H419" s="292" t="str">
        <f>IFERROR(VLOOKUP(G419,'Cadastro de assessores'!A:B,2,FALSE),"Não Cadastrado")</f>
        <v>15544</v>
      </c>
      <c r="I419" s="292"/>
      <c r="J419" s="24" t="s">
        <v>143</v>
      </c>
      <c r="K419" s="292" t="s">
        <v>161</v>
      </c>
      <c r="L419" s="387">
        <v>44615</v>
      </c>
      <c r="M419" s="387">
        <v>44623</v>
      </c>
      <c r="N419" s="391">
        <v>44820</v>
      </c>
      <c r="O419" s="299" t="s">
        <v>4150</v>
      </c>
      <c r="P419" s="388">
        <v>0.01</v>
      </c>
      <c r="Q419" s="420" t="s">
        <v>5019</v>
      </c>
      <c r="R419" s="417"/>
      <c r="S419" s="292" t="str">
        <f t="shared" si="43"/>
        <v>Não Qualificado</v>
      </c>
      <c r="T419" s="292" t="s">
        <v>145</v>
      </c>
      <c r="U419" s="292" t="s">
        <v>3841</v>
      </c>
      <c r="V419" s="292" t="s">
        <v>49</v>
      </c>
      <c r="W419" s="418"/>
      <c r="X419" s="418"/>
      <c r="Y419" s="418"/>
      <c r="Z419" s="418"/>
      <c r="AA419" s="418"/>
      <c r="AB419" s="418"/>
      <c r="AC419" s="418"/>
      <c r="AD419" s="418"/>
      <c r="AE419" s="418"/>
      <c r="AF419" s="418"/>
      <c r="AG419" s="418"/>
      <c r="AH419" s="418"/>
      <c r="AI419" s="418"/>
      <c r="AJ419" s="418"/>
      <c r="AK419" s="339"/>
      <c r="AL419" s="339"/>
      <c r="AM419" s="339"/>
      <c r="AN419" s="339"/>
      <c r="AO419" s="339"/>
      <c r="AP419" s="339"/>
      <c r="AQ419" s="339"/>
      <c r="AR419" s="339"/>
      <c r="AS419" s="339"/>
      <c r="AT419" s="339"/>
      <c r="AU419" s="339"/>
      <c r="AV419" s="339"/>
      <c r="AW419" s="339"/>
      <c r="AX419" s="339"/>
      <c r="AY419" s="339"/>
      <c r="AZ419" s="339"/>
      <c r="BA419" s="339"/>
      <c r="BB419" s="339">
        <v>424475.61</v>
      </c>
      <c r="BC419" s="339">
        <v>964.67</v>
      </c>
      <c r="BD419" s="339">
        <v>421105.59</v>
      </c>
      <c r="BE419" s="339">
        <v>418513.57</v>
      </c>
      <c r="BF419" s="339">
        <v>427884.57</v>
      </c>
      <c r="BG419" s="339">
        <v>31955.279999999999</v>
      </c>
      <c r="BH419" s="339">
        <v>0</v>
      </c>
      <c r="BI419" s="339">
        <v>0</v>
      </c>
      <c r="BJ419" s="339">
        <v>0</v>
      </c>
      <c r="BK419" s="339">
        <v>0</v>
      </c>
      <c r="BL419" s="339">
        <v>0</v>
      </c>
      <c r="BM419" s="339">
        <v>0</v>
      </c>
      <c r="BN419" s="339">
        <v>0</v>
      </c>
      <c r="BO419" s="339">
        <v>0</v>
      </c>
      <c r="BP419" s="339">
        <v>0</v>
      </c>
      <c r="BQ419" s="339">
        <v>0</v>
      </c>
      <c r="BR419" s="339">
        <v>0</v>
      </c>
      <c r="BS419" s="110" t="e">
        <f t="array" aca="1" ref="BS419" ca="1">_xludf.XLOOKUP(D419,'PL TOTAL D0'!N:N,'PL TOTAL D0'!P:P,"")</f>
        <v>#NAME?</v>
      </c>
      <c r="BT419" s="110"/>
    </row>
    <row r="420" spans="1:72" ht="15.75" customHeight="1">
      <c r="A420" s="122" t="s">
        <v>3785</v>
      </c>
      <c r="B420" s="104" t="s">
        <v>5020</v>
      </c>
      <c r="C420" s="390" t="s">
        <v>5021</v>
      </c>
      <c r="D420" s="319">
        <v>5577</v>
      </c>
      <c r="E420" s="293" t="s">
        <v>19</v>
      </c>
      <c r="F420" s="293" t="s">
        <v>20</v>
      </c>
      <c r="G420" s="293" t="s">
        <v>21</v>
      </c>
      <c r="H420" s="293">
        <f>IFERROR(VLOOKUP(G420,'Cadastro de assessores'!A:B,2,FALSE),"Não Cadastrado")</f>
        <v>12344</v>
      </c>
      <c r="I420" s="293"/>
      <c r="J420" s="24" t="s">
        <v>3788</v>
      </c>
      <c r="K420" s="293" t="s">
        <v>152</v>
      </c>
      <c r="L420" s="423">
        <v>44760</v>
      </c>
      <c r="M420" s="423">
        <v>44764</v>
      </c>
      <c r="N420" s="299"/>
      <c r="O420" s="299" t="s">
        <v>3805</v>
      </c>
      <c r="P420" s="388">
        <v>1.2E-2</v>
      </c>
      <c r="Q420" s="167"/>
      <c r="R420" s="417"/>
      <c r="S420" s="292"/>
      <c r="T420" s="292" t="s">
        <v>145</v>
      </c>
      <c r="U420" s="299"/>
      <c r="V420" s="299" t="s">
        <v>60</v>
      </c>
      <c r="W420" s="350"/>
      <c r="X420" s="350"/>
      <c r="Y420" s="350"/>
      <c r="Z420" s="350"/>
      <c r="AA420" s="350"/>
      <c r="AB420" s="350"/>
      <c r="AC420" s="350"/>
      <c r="AD420" s="350"/>
      <c r="AE420" s="350"/>
      <c r="AF420" s="350"/>
      <c r="AG420" s="350"/>
      <c r="AH420" s="350"/>
      <c r="AI420" s="350"/>
      <c r="AJ420" s="350"/>
      <c r="AK420" s="339"/>
      <c r="AL420" s="339"/>
      <c r="AM420" s="468"/>
      <c r="AN420" s="468"/>
      <c r="AO420" s="339"/>
      <c r="AP420" s="339"/>
      <c r="AQ420" s="339"/>
      <c r="AR420" s="350"/>
      <c r="AS420" s="339"/>
      <c r="AT420" s="339"/>
      <c r="AU420" s="339"/>
      <c r="AV420" s="339"/>
      <c r="AW420" s="339"/>
      <c r="AX420" s="339"/>
      <c r="AY420" s="339"/>
      <c r="AZ420" s="339"/>
      <c r="BA420" s="339"/>
      <c r="BB420" s="339"/>
      <c r="BC420" s="339"/>
      <c r="BD420" s="339"/>
      <c r="BE420" s="339"/>
      <c r="BF420" s="339">
        <v>150452.47</v>
      </c>
      <c r="BG420" s="339">
        <v>255396.9278</v>
      </c>
      <c r="BH420" s="339">
        <v>257973.14</v>
      </c>
      <c r="BI420" s="339">
        <v>262330.57</v>
      </c>
      <c r="BJ420" s="339">
        <v>263258.57</v>
      </c>
      <c r="BK420" s="339">
        <v>285879.14</v>
      </c>
      <c r="BL420" s="339">
        <v>389043.01</v>
      </c>
      <c r="BM420" s="339">
        <v>392301.38</v>
      </c>
      <c r="BN420" s="339">
        <v>0</v>
      </c>
      <c r="BO420" s="339">
        <v>0</v>
      </c>
      <c r="BP420" s="339">
        <v>0</v>
      </c>
      <c r="BQ420" s="339">
        <v>0</v>
      </c>
      <c r="BR420" s="339">
        <v>0</v>
      </c>
      <c r="BS420" s="110" t="e">
        <f t="array" aca="1" ref="BS420" ca="1">_xludf.XLOOKUP(D420,'PL TOTAL D0'!N:N,'PL TOTAL D0'!P:P,"")</f>
        <v>#NAME?</v>
      </c>
      <c r="BT420" s="110"/>
    </row>
    <row r="421" spans="1:72" ht="15.75" customHeight="1">
      <c r="A421" s="122" t="s">
        <v>3785</v>
      </c>
      <c r="B421" s="104" t="s">
        <v>2278</v>
      </c>
      <c r="C421" s="390" t="s">
        <v>5022</v>
      </c>
      <c r="D421" s="422">
        <v>2284049</v>
      </c>
      <c r="E421" s="293" t="s">
        <v>19</v>
      </c>
      <c r="F421" s="293" t="s">
        <v>20</v>
      </c>
      <c r="G421" s="293" t="s">
        <v>21</v>
      </c>
      <c r="H421" s="293">
        <f>IFERROR(VLOOKUP(G421,'Cadastro de assessores'!A:B,2,FALSE),"Não Cadastrado")</f>
        <v>12344</v>
      </c>
      <c r="I421" s="293"/>
      <c r="J421" s="24" t="s">
        <v>3788</v>
      </c>
      <c r="K421" s="293" t="s">
        <v>152</v>
      </c>
      <c r="L421" s="423">
        <v>44636</v>
      </c>
      <c r="M421" s="423">
        <v>44645</v>
      </c>
      <c r="N421" s="299"/>
      <c r="O421" s="299" t="s">
        <v>3802</v>
      </c>
      <c r="P421" s="388">
        <v>7.0000000000000001E-3</v>
      </c>
      <c r="Q421" s="167"/>
      <c r="R421" s="417"/>
      <c r="S421" s="292" t="str">
        <f t="shared" ref="S421:S428" si="44">IF(BC421&lt;=0,"",IF(BC421&lt;=1000000,"Não Qualificado",IF(AND(BC421&gt;1000000,BC421&lt;=10000000),"Qualificado","Profissional")))</f>
        <v>Não Qualificado</v>
      </c>
      <c r="T421" s="292" t="s">
        <v>145</v>
      </c>
      <c r="U421" s="299" t="s">
        <v>4661</v>
      </c>
      <c r="V421" s="299" t="s">
        <v>20</v>
      </c>
      <c r="W421" s="350"/>
      <c r="X421" s="350"/>
      <c r="Y421" s="350"/>
      <c r="Z421" s="350"/>
      <c r="AA421" s="350"/>
      <c r="AB421" s="350"/>
      <c r="AC421" s="350"/>
      <c r="AD421" s="350"/>
      <c r="AE421" s="350"/>
      <c r="AF421" s="350"/>
      <c r="AG421" s="350"/>
      <c r="AH421" s="350"/>
      <c r="AI421" s="350"/>
      <c r="AJ421" s="350"/>
      <c r="AK421" s="339"/>
      <c r="AL421" s="339"/>
      <c r="AM421" s="468"/>
      <c r="AN421" s="468"/>
      <c r="AO421" s="339"/>
      <c r="AP421" s="339"/>
      <c r="AQ421" s="339"/>
      <c r="AR421" s="350"/>
      <c r="AS421" s="339"/>
      <c r="AT421" s="339"/>
      <c r="AU421" s="339"/>
      <c r="AV421" s="339"/>
      <c r="AW421" s="339"/>
      <c r="AX421" s="339"/>
      <c r="AY421" s="339"/>
      <c r="AZ421" s="339"/>
      <c r="BA421" s="339"/>
      <c r="BB421" s="339">
        <v>77144.95</v>
      </c>
      <c r="BC421" s="339">
        <v>8178.93</v>
      </c>
      <c r="BD421" s="339">
        <v>95150.09</v>
      </c>
      <c r="BE421" s="339">
        <v>94945.35</v>
      </c>
      <c r="BF421" s="339">
        <v>95631.23</v>
      </c>
      <c r="BG421" s="339">
        <v>97307.959690000003</v>
      </c>
      <c r="BH421" s="339">
        <v>97831.77</v>
      </c>
      <c r="BI421" s="339">
        <v>98500.44</v>
      </c>
      <c r="BJ421" s="339">
        <v>98453.759999999995</v>
      </c>
      <c r="BK421" s="339">
        <v>99020.15</v>
      </c>
      <c r="BL421" s="339">
        <v>99457.3</v>
      </c>
      <c r="BM421" s="339">
        <v>100191.32</v>
      </c>
      <c r="BN421" s="339">
        <v>66.069999999999993</v>
      </c>
      <c r="BO421" s="339">
        <v>66.069999999999993</v>
      </c>
      <c r="BP421" s="339">
        <v>66.069999999999993</v>
      </c>
      <c r="BQ421" s="339">
        <v>66.069999999999993</v>
      </c>
      <c r="BR421" s="339">
        <v>66.069999999999993</v>
      </c>
      <c r="BS421" s="110" t="e">
        <f t="array" aca="1" ref="BS421" ca="1">_xludf.XLOOKUP(D421,'PL TOTAL D0'!N:N,'PL TOTAL D0'!P:P,"")</f>
        <v>#NAME?</v>
      </c>
      <c r="BT421" s="110"/>
    </row>
    <row r="422" spans="1:72" ht="15.75" customHeight="1">
      <c r="A422" s="122" t="s">
        <v>3785</v>
      </c>
      <c r="B422" s="104" t="s">
        <v>5023</v>
      </c>
      <c r="C422" s="390" t="s">
        <v>5024</v>
      </c>
      <c r="D422" s="299">
        <v>5603037</v>
      </c>
      <c r="E422" s="292" t="s">
        <v>2923</v>
      </c>
      <c r="F422" s="292" t="s">
        <v>20</v>
      </c>
      <c r="G422" s="299" t="s">
        <v>2923</v>
      </c>
      <c r="H422" s="299" t="str">
        <f>IFERROR(VLOOKUP(G422,'Cadastro de assessores'!A:B,2,FALSE),"Não Cadastrado")</f>
        <v>18986</v>
      </c>
      <c r="I422" s="299"/>
      <c r="J422" s="24" t="s">
        <v>143</v>
      </c>
      <c r="K422" s="476" t="s">
        <v>152</v>
      </c>
      <c r="L422" s="387">
        <v>44358</v>
      </c>
      <c r="M422" s="387">
        <v>44361</v>
      </c>
      <c r="N422" s="387">
        <v>44831</v>
      </c>
      <c r="O422" s="292" t="s">
        <v>3805</v>
      </c>
      <c r="P422" s="388">
        <v>1.2E-2</v>
      </c>
      <c r="Q422" s="167" t="s">
        <v>5025</v>
      </c>
      <c r="R422" s="417"/>
      <c r="S422" s="292" t="str">
        <f t="shared" si="44"/>
        <v/>
      </c>
      <c r="T422" s="292" t="s">
        <v>145</v>
      </c>
      <c r="U422" s="299" t="s">
        <v>4178</v>
      </c>
      <c r="V422" s="299" t="s">
        <v>20</v>
      </c>
      <c r="W422" s="350"/>
      <c r="X422" s="350"/>
      <c r="Y422" s="350"/>
      <c r="Z422" s="350"/>
      <c r="AA422" s="350"/>
      <c r="AB422" s="350"/>
      <c r="AC422" s="350"/>
      <c r="AD422" s="350"/>
      <c r="AE422" s="350"/>
      <c r="AF422" s="350"/>
      <c r="AG422" s="350"/>
      <c r="AH422" s="350"/>
      <c r="AI422" s="350"/>
      <c r="AJ422" s="350"/>
      <c r="AK422" s="339"/>
      <c r="AL422" s="339"/>
      <c r="AM422" s="468"/>
      <c r="AN422" s="468"/>
      <c r="AO422" s="339"/>
      <c r="AP422" s="339"/>
      <c r="AQ422" s="339"/>
      <c r="AR422" s="350"/>
      <c r="AS422" s="339">
        <v>179080.44</v>
      </c>
      <c r="AT422" s="339">
        <v>177667.68</v>
      </c>
      <c r="AU422" s="339">
        <v>177390.63</v>
      </c>
      <c r="AV422" s="339">
        <v>176513.25</v>
      </c>
      <c r="AW422" s="339">
        <v>174540.56</v>
      </c>
      <c r="AX422" s="339">
        <v>175051.04</v>
      </c>
      <c r="AY422" s="339">
        <v>176221.37</v>
      </c>
      <c r="AZ422" s="339">
        <v>179778.6</v>
      </c>
      <c r="BA422" s="339">
        <v>181123.17</v>
      </c>
      <c r="BB422" s="339">
        <v>185286.7</v>
      </c>
      <c r="BC422" s="339"/>
      <c r="BD422" s="339">
        <v>186279.26</v>
      </c>
      <c r="BE422" s="339">
        <v>186726.57</v>
      </c>
      <c r="BF422" s="339">
        <v>189154.18</v>
      </c>
      <c r="BG422" s="339">
        <v>190267.4228</v>
      </c>
      <c r="BH422" s="339">
        <v>0</v>
      </c>
      <c r="BI422" s="339">
        <v>0</v>
      </c>
      <c r="BJ422" s="339">
        <v>0</v>
      </c>
      <c r="BK422" s="339">
        <v>0</v>
      </c>
      <c r="BL422" s="339">
        <v>0</v>
      </c>
      <c r="BM422" s="339">
        <v>0</v>
      </c>
      <c r="BN422" s="339">
        <v>0</v>
      </c>
      <c r="BO422" s="339">
        <v>0</v>
      </c>
      <c r="BP422" s="339">
        <v>0</v>
      </c>
      <c r="BQ422" s="339">
        <v>0</v>
      </c>
      <c r="BR422" s="339">
        <v>0</v>
      </c>
      <c r="BS422" s="110" t="e">
        <f t="array" aca="1" ref="BS422" ca="1">_xludf.XLOOKUP(D422,'PL TOTAL D0'!N:N,'PL TOTAL D0'!P:P,"")</f>
        <v>#NAME?</v>
      </c>
      <c r="BT422" s="110"/>
    </row>
    <row r="423" spans="1:72" ht="15.75" customHeight="1">
      <c r="A423" s="122" t="s">
        <v>3785</v>
      </c>
      <c r="B423" s="104" t="s">
        <v>5026</v>
      </c>
      <c r="C423" s="390" t="s">
        <v>5027</v>
      </c>
      <c r="D423" s="292">
        <v>5646446</v>
      </c>
      <c r="E423" s="292" t="s">
        <v>64</v>
      </c>
      <c r="F423" s="292" t="s">
        <v>20</v>
      </c>
      <c r="G423" s="292" t="s">
        <v>2803</v>
      </c>
      <c r="H423" s="293">
        <f>IFERROR(VLOOKUP(G423,'Cadastro de assessores'!A:B,2,FALSE),"Não Cadastrado")</f>
        <v>12347</v>
      </c>
      <c r="I423" s="293"/>
      <c r="J423" s="24" t="s">
        <v>3788</v>
      </c>
      <c r="K423" s="293" t="s">
        <v>152</v>
      </c>
      <c r="L423" s="415">
        <v>44361</v>
      </c>
      <c r="M423" s="415">
        <v>44361</v>
      </c>
      <c r="N423" s="292"/>
      <c r="O423" s="292" t="s">
        <v>3805</v>
      </c>
      <c r="P423" s="388">
        <v>1.2E-2</v>
      </c>
      <c r="Q423" s="421" t="s">
        <v>5028</v>
      </c>
      <c r="R423" s="417"/>
      <c r="S423" s="292" t="str">
        <f t="shared" si="44"/>
        <v/>
      </c>
      <c r="T423" s="292" t="s">
        <v>145</v>
      </c>
      <c r="U423" s="299" t="s">
        <v>4209</v>
      </c>
      <c r="V423" s="299" t="s">
        <v>20</v>
      </c>
      <c r="W423" s="350"/>
      <c r="X423" s="350"/>
      <c r="Y423" s="350"/>
      <c r="Z423" s="350"/>
      <c r="AA423" s="350"/>
      <c r="AB423" s="350"/>
      <c r="AC423" s="350"/>
      <c r="AD423" s="350"/>
      <c r="AE423" s="350"/>
      <c r="AF423" s="350"/>
      <c r="AG423" s="350"/>
      <c r="AH423" s="350"/>
      <c r="AI423" s="350"/>
      <c r="AJ423" s="350"/>
      <c r="AK423" s="339"/>
      <c r="AL423" s="339"/>
      <c r="AM423" s="468"/>
      <c r="AN423" s="468"/>
      <c r="AO423" s="339"/>
      <c r="AP423" s="339"/>
      <c r="AQ423" s="339"/>
      <c r="AR423" s="350"/>
      <c r="AS423" s="339">
        <v>99486.96</v>
      </c>
      <c r="AT423" s="339">
        <v>98741.88</v>
      </c>
      <c r="AU423" s="339">
        <v>98622.080000000002</v>
      </c>
      <c r="AV423" s="339">
        <v>97992.65</v>
      </c>
      <c r="AW423" s="339">
        <v>96580</v>
      </c>
      <c r="AX423" s="339">
        <v>96741.63</v>
      </c>
      <c r="AY423" s="339">
        <v>97588.61</v>
      </c>
      <c r="AZ423" s="339">
        <v>99675.81</v>
      </c>
      <c r="BA423" s="339">
        <v>100420.04</v>
      </c>
      <c r="BB423" s="339">
        <v>102689.98</v>
      </c>
      <c r="BC423" s="339"/>
      <c r="BD423" s="339">
        <v>103368.06</v>
      </c>
      <c r="BE423" s="339">
        <v>103599.96</v>
      </c>
      <c r="BF423" s="339">
        <v>104929.58</v>
      </c>
      <c r="BG423" s="339">
        <v>105561.3726</v>
      </c>
      <c r="BH423" s="339">
        <v>105848.05</v>
      </c>
      <c r="BI423" s="339">
        <v>107710.65</v>
      </c>
      <c r="BJ423" s="339">
        <v>107750.06</v>
      </c>
      <c r="BK423" s="339">
        <v>139.04</v>
      </c>
      <c r="BL423" s="339">
        <v>138.75</v>
      </c>
      <c r="BM423" s="339">
        <v>138.75</v>
      </c>
      <c r="BN423" s="339">
        <v>0</v>
      </c>
      <c r="BO423" s="339">
        <v>0</v>
      </c>
      <c r="BP423" s="339">
        <v>0</v>
      </c>
      <c r="BQ423" s="339">
        <v>0</v>
      </c>
      <c r="BR423" s="339">
        <v>0</v>
      </c>
      <c r="BS423" s="110" t="e">
        <f t="array" aca="1" ref="BS423" ca="1">_xludf.XLOOKUP(D423,'PL TOTAL D0'!N:N,'PL TOTAL D0'!P:P,"")</f>
        <v>#NAME?</v>
      </c>
      <c r="BT423" s="110"/>
    </row>
    <row r="424" spans="1:72" ht="15.75" customHeight="1">
      <c r="A424" s="122" t="s">
        <v>3785</v>
      </c>
      <c r="B424" s="104" t="s">
        <v>3438</v>
      </c>
      <c r="C424" s="122" t="s">
        <v>5029</v>
      </c>
      <c r="D424" s="292">
        <v>3768368</v>
      </c>
      <c r="E424" s="293" t="s">
        <v>19</v>
      </c>
      <c r="F424" s="293" t="s">
        <v>20</v>
      </c>
      <c r="G424" s="293" t="s">
        <v>2955</v>
      </c>
      <c r="H424" s="293" t="str">
        <f>IFERROR(VLOOKUP(G424,'Cadastro de assessores'!A:B,2,FALSE),"Não Cadastrado")</f>
        <v>18836</v>
      </c>
      <c r="I424" s="293"/>
      <c r="J424" s="24" t="s">
        <v>3788</v>
      </c>
      <c r="K424" s="293" t="s">
        <v>152</v>
      </c>
      <c r="L424" s="416">
        <v>44138</v>
      </c>
      <c r="M424" s="416">
        <v>44151</v>
      </c>
      <c r="N424" s="299"/>
      <c r="O424" s="299" t="s">
        <v>3842</v>
      </c>
      <c r="P424" s="388">
        <v>8.0000000000000002E-3</v>
      </c>
      <c r="Q424" s="420"/>
      <c r="R424" s="417"/>
      <c r="S424" s="292" t="str">
        <f t="shared" si="44"/>
        <v/>
      </c>
      <c r="T424" s="292" t="s">
        <v>145</v>
      </c>
      <c r="U424" s="292" t="s">
        <v>4049</v>
      </c>
      <c r="V424" s="292" t="s">
        <v>886</v>
      </c>
      <c r="W424" s="418" t="s">
        <v>3798</v>
      </c>
      <c r="X424" s="418" t="s">
        <v>3798</v>
      </c>
      <c r="Y424" s="418" t="s">
        <v>3798</v>
      </c>
      <c r="Z424" s="418" t="s">
        <v>3798</v>
      </c>
      <c r="AA424" s="418" t="s">
        <v>3798</v>
      </c>
      <c r="AB424" s="418" t="s">
        <v>3798</v>
      </c>
      <c r="AC424" s="418" t="s">
        <v>3798</v>
      </c>
      <c r="AD424" s="418" t="s">
        <v>3798</v>
      </c>
      <c r="AE424" s="418" t="s">
        <v>3798</v>
      </c>
      <c r="AF424" s="418" t="s">
        <v>3798</v>
      </c>
      <c r="AG424" s="418" t="s">
        <v>3798</v>
      </c>
      <c r="AH424" s="418" t="s">
        <v>3798</v>
      </c>
      <c r="AI424" s="418" t="s">
        <v>3798</v>
      </c>
      <c r="AJ424" s="418" t="s">
        <v>5030</v>
      </c>
      <c r="AK424" s="339">
        <v>184047.01</v>
      </c>
      <c r="AL424" s="339">
        <v>185599.02</v>
      </c>
      <c r="AM424" s="339">
        <v>192943.12</v>
      </c>
      <c r="AN424" s="468">
        <v>186927.29</v>
      </c>
      <c r="AO424" s="468">
        <v>187877.53</v>
      </c>
      <c r="AP424" s="339">
        <v>188044.73</v>
      </c>
      <c r="AQ424" s="339">
        <v>193084.91</v>
      </c>
      <c r="AR424" s="339">
        <v>193593.09</v>
      </c>
      <c r="AS424" s="339">
        <v>193457.96</v>
      </c>
      <c r="AT424" s="339">
        <v>199267.25</v>
      </c>
      <c r="AU424" s="339">
        <v>193341.29</v>
      </c>
      <c r="AV424" s="339">
        <v>191535.03</v>
      </c>
      <c r="AW424" s="339">
        <v>187466.74</v>
      </c>
      <c r="AX424" s="339">
        <v>175512.59</v>
      </c>
      <c r="AY424" s="339">
        <v>183520.45</v>
      </c>
      <c r="AZ424" s="339">
        <v>186195</v>
      </c>
      <c r="BA424" s="339">
        <v>188387.74</v>
      </c>
      <c r="BB424" s="339">
        <v>188617.9</v>
      </c>
      <c r="BC424" s="339"/>
      <c r="BD424" s="339">
        <v>195352.51</v>
      </c>
      <c r="BE424" s="339">
        <v>195450.77</v>
      </c>
      <c r="BF424" s="339">
        <v>197563.01</v>
      </c>
      <c r="BG424" s="339">
        <v>202898.63</v>
      </c>
      <c r="BH424" s="339">
        <v>202815.16</v>
      </c>
      <c r="BI424" s="339">
        <v>207841.93</v>
      </c>
      <c r="BJ424" s="339">
        <v>201561.60000000001</v>
      </c>
      <c r="BK424" s="339">
        <v>201031.41</v>
      </c>
      <c r="BL424" s="339">
        <v>202277.88</v>
      </c>
      <c r="BM424" s="339">
        <v>200845.23</v>
      </c>
      <c r="BN424" s="339">
        <v>0</v>
      </c>
      <c r="BO424" s="339">
        <v>0</v>
      </c>
      <c r="BP424" s="339">
        <v>0</v>
      </c>
      <c r="BQ424" s="339">
        <v>0</v>
      </c>
      <c r="BR424" s="339">
        <v>0</v>
      </c>
      <c r="BS424" s="110" t="e">
        <f t="array" aca="1" ref="BS424" ca="1">_xludf.XLOOKUP(D424,'PL TOTAL D0'!N:N,'PL TOTAL D0'!P:P,"")</f>
        <v>#NAME?</v>
      </c>
      <c r="BT424" s="110"/>
    </row>
    <row r="425" spans="1:72" ht="15.75" customHeight="1">
      <c r="A425" s="122" t="s">
        <v>3785</v>
      </c>
      <c r="B425" s="104" t="s">
        <v>3438</v>
      </c>
      <c r="C425" s="122" t="s">
        <v>5029</v>
      </c>
      <c r="D425" s="292">
        <v>4587723</v>
      </c>
      <c r="E425" s="293" t="s">
        <v>19</v>
      </c>
      <c r="F425" s="293" t="s">
        <v>20</v>
      </c>
      <c r="G425" s="293" t="s">
        <v>2955</v>
      </c>
      <c r="H425" s="293" t="str">
        <f>IFERROR(VLOOKUP(G425,'Cadastro de assessores'!A:B,2,FALSE),"Não Cadastrado")</f>
        <v>18836</v>
      </c>
      <c r="I425" s="293"/>
      <c r="J425" s="24" t="s">
        <v>3788</v>
      </c>
      <c r="K425" s="293" t="s">
        <v>152</v>
      </c>
      <c r="L425" s="416">
        <v>44151</v>
      </c>
      <c r="M425" s="416">
        <v>44151</v>
      </c>
      <c r="N425" s="292"/>
      <c r="O425" s="292" t="s">
        <v>3809</v>
      </c>
      <c r="P425" s="388">
        <v>2.5000000000000001E-2</v>
      </c>
      <c r="Q425" s="420"/>
      <c r="R425" s="417"/>
      <c r="S425" s="292" t="str">
        <f t="shared" si="44"/>
        <v/>
      </c>
      <c r="T425" s="292" t="s">
        <v>145</v>
      </c>
      <c r="U425" s="292" t="s">
        <v>4049</v>
      </c>
      <c r="V425" s="292" t="s">
        <v>886</v>
      </c>
      <c r="W425" s="418" t="s">
        <v>3798</v>
      </c>
      <c r="X425" s="418" t="s">
        <v>3798</v>
      </c>
      <c r="Y425" s="418" t="s">
        <v>3798</v>
      </c>
      <c r="Z425" s="418" t="s">
        <v>3798</v>
      </c>
      <c r="AA425" s="418" t="s">
        <v>3798</v>
      </c>
      <c r="AB425" s="418" t="s">
        <v>3798</v>
      </c>
      <c r="AC425" s="418" t="s">
        <v>3798</v>
      </c>
      <c r="AD425" s="418" t="s">
        <v>3798</v>
      </c>
      <c r="AE425" s="418" t="s">
        <v>3798</v>
      </c>
      <c r="AF425" s="418" t="s">
        <v>3798</v>
      </c>
      <c r="AG425" s="418" t="s">
        <v>3798</v>
      </c>
      <c r="AH425" s="418" t="s">
        <v>3798</v>
      </c>
      <c r="AI425" s="418" t="s">
        <v>3798</v>
      </c>
      <c r="AJ425" s="418" t="s">
        <v>5031</v>
      </c>
      <c r="AK425" s="339">
        <v>15676.76</v>
      </c>
      <c r="AL425" s="339">
        <v>24612.3</v>
      </c>
      <c r="AM425" s="339">
        <v>33703.22</v>
      </c>
      <c r="AN425" s="468">
        <v>33680.959999999999</v>
      </c>
      <c r="AO425" s="468">
        <v>45797.09</v>
      </c>
      <c r="AP425" s="339">
        <v>46396</v>
      </c>
      <c r="AQ425" s="339">
        <v>51829.96</v>
      </c>
      <c r="AR425" s="339">
        <v>64245.73</v>
      </c>
      <c r="AS425" s="339">
        <v>70964.86</v>
      </c>
      <c r="AT425" s="339">
        <v>67196.11</v>
      </c>
      <c r="AU425" s="339">
        <v>85891.04</v>
      </c>
      <c r="AV425" s="339">
        <v>80647.259999999995</v>
      </c>
      <c r="AW425" s="339">
        <v>83487.95</v>
      </c>
      <c r="AX425" s="339">
        <v>92608.39</v>
      </c>
      <c r="AY425" s="339">
        <v>104133.22</v>
      </c>
      <c r="AZ425" s="339">
        <v>119622.19</v>
      </c>
      <c r="BA425" s="339">
        <v>128875.88</v>
      </c>
      <c r="BB425" s="339">
        <v>137140.29</v>
      </c>
      <c r="BC425" s="339"/>
      <c r="BD425" s="339">
        <v>137549.93</v>
      </c>
      <c r="BE425" s="339">
        <v>131729.25</v>
      </c>
      <c r="BF425" s="339">
        <v>137512.70000000001</v>
      </c>
      <c r="BG425" s="339">
        <v>138136.74</v>
      </c>
      <c r="BH425" s="339">
        <v>136969.75</v>
      </c>
      <c r="BI425" s="339">
        <v>158847.79999999999</v>
      </c>
      <c r="BJ425" s="339">
        <v>154876.32999999999</v>
      </c>
      <c r="BK425" s="339">
        <v>154678.89000000001</v>
      </c>
      <c r="BL425" s="339">
        <v>168123.34</v>
      </c>
      <c r="BM425" s="339">
        <v>161244.16</v>
      </c>
      <c r="BN425" s="339">
        <v>0</v>
      </c>
      <c r="BO425" s="339">
        <v>0</v>
      </c>
      <c r="BP425" s="339">
        <v>0</v>
      </c>
      <c r="BQ425" s="339">
        <v>12.98</v>
      </c>
      <c r="BR425" s="339">
        <v>12.98</v>
      </c>
      <c r="BS425" s="110" t="e">
        <f t="array" aca="1" ref="BS425" ca="1">_xludf.XLOOKUP(D425,'PL TOTAL D0'!N:N,'PL TOTAL D0'!P:P,"")</f>
        <v>#NAME?</v>
      </c>
      <c r="BT425" s="110"/>
    </row>
    <row r="426" spans="1:72" ht="15.75" customHeight="1">
      <c r="A426" s="122" t="s">
        <v>3785</v>
      </c>
      <c r="B426" s="104" t="s">
        <v>5032</v>
      </c>
      <c r="C426" s="390" t="s">
        <v>5033</v>
      </c>
      <c r="D426" s="299">
        <v>5563710</v>
      </c>
      <c r="E426" s="292" t="s">
        <v>19</v>
      </c>
      <c r="F426" s="292" t="s">
        <v>49</v>
      </c>
      <c r="G426" s="292" t="s">
        <v>328</v>
      </c>
      <c r="H426" s="292" t="str">
        <f>IFERROR(VLOOKUP(G426,'Cadastro de assessores'!A:B,2,FALSE),"Não Cadastrado")</f>
        <v>18009</v>
      </c>
      <c r="I426" s="292"/>
      <c r="J426" s="24" t="s">
        <v>143</v>
      </c>
      <c r="K426" s="292" t="s">
        <v>3794</v>
      </c>
      <c r="L426" s="387">
        <v>44362</v>
      </c>
      <c r="M426" s="387">
        <v>44362</v>
      </c>
      <c r="N426" s="391">
        <v>44714</v>
      </c>
      <c r="O426" s="299" t="s">
        <v>3789</v>
      </c>
      <c r="P426" s="388">
        <v>0.02</v>
      </c>
      <c r="Q426" s="420" t="s">
        <v>4763</v>
      </c>
      <c r="R426" s="417"/>
      <c r="S426" s="292" t="str">
        <f t="shared" si="44"/>
        <v>Não Qualificado</v>
      </c>
      <c r="T426" s="292" t="s">
        <v>145</v>
      </c>
      <c r="U426" s="292" t="s">
        <v>3846</v>
      </c>
      <c r="V426" s="292" t="s">
        <v>46</v>
      </c>
      <c r="W426" s="350"/>
      <c r="X426" s="350"/>
      <c r="Y426" s="350"/>
      <c r="Z426" s="350"/>
      <c r="AA426" s="350"/>
      <c r="AB426" s="350"/>
      <c r="AC426" s="350"/>
      <c r="AD426" s="350"/>
      <c r="AE426" s="350"/>
      <c r="AF426" s="350"/>
      <c r="AG426" s="350"/>
      <c r="AH426" s="350"/>
      <c r="AI426" s="350"/>
      <c r="AJ426" s="350"/>
      <c r="AK426" s="339"/>
      <c r="AL426" s="339"/>
      <c r="AM426" s="339"/>
      <c r="AN426" s="339"/>
      <c r="AO426" s="339"/>
      <c r="AP426" s="339"/>
      <c r="AQ426" s="350"/>
      <c r="AR426" s="340"/>
      <c r="AS426" s="339">
        <v>137240.56</v>
      </c>
      <c r="AT426" s="339">
        <v>142568.01999999999</v>
      </c>
      <c r="AU426" s="339">
        <v>155404.07</v>
      </c>
      <c r="AV426" s="339">
        <v>165764.79999999999</v>
      </c>
      <c r="AW426" s="339">
        <v>157071.65</v>
      </c>
      <c r="AX426" s="339">
        <v>156313.53</v>
      </c>
      <c r="AY426" s="339">
        <v>158236.32999999999</v>
      </c>
      <c r="AZ426" s="339">
        <v>176018.59</v>
      </c>
      <c r="BA426" s="339">
        <v>187598.03</v>
      </c>
      <c r="BB426" s="339">
        <v>195810.51</v>
      </c>
      <c r="BC426" s="339">
        <v>127064.87</v>
      </c>
      <c r="BD426" s="339">
        <v>270352.33</v>
      </c>
      <c r="BE426" s="339" t="s">
        <v>2932</v>
      </c>
      <c r="BF426" s="339">
        <v>0</v>
      </c>
      <c r="BG426" s="339">
        <v>0</v>
      </c>
      <c r="BH426" s="339">
        <v>0</v>
      </c>
      <c r="BI426" s="339">
        <v>0</v>
      </c>
      <c r="BJ426" s="339">
        <v>0</v>
      </c>
      <c r="BK426" s="339">
        <v>0</v>
      </c>
      <c r="BL426" s="339">
        <v>0</v>
      </c>
      <c r="BM426" s="339">
        <v>0</v>
      </c>
      <c r="BN426" s="339">
        <v>0</v>
      </c>
      <c r="BO426" s="339">
        <v>0</v>
      </c>
      <c r="BP426" s="339">
        <v>0</v>
      </c>
      <c r="BQ426" s="339">
        <v>0</v>
      </c>
      <c r="BR426" s="339">
        <v>0</v>
      </c>
      <c r="BS426" s="110" t="e">
        <f t="array" aca="1" ref="BS426" ca="1">_xludf.XLOOKUP(D426,'PL TOTAL D0'!N:N,'PL TOTAL D0'!P:P,"")</f>
        <v>#NAME?</v>
      </c>
      <c r="BT426" s="110"/>
    </row>
    <row r="427" spans="1:72" ht="15.75" customHeight="1">
      <c r="A427" s="122" t="s">
        <v>3785</v>
      </c>
      <c r="B427" s="104" t="s">
        <v>5034</v>
      </c>
      <c r="C427" s="122" t="s">
        <v>5035</v>
      </c>
      <c r="D427" s="292">
        <v>5709377</v>
      </c>
      <c r="E427" s="292" t="s">
        <v>19</v>
      </c>
      <c r="F427" s="292" t="s">
        <v>20</v>
      </c>
      <c r="G427" s="292" t="s">
        <v>5036</v>
      </c>
      <c r="H427" s="292" t="str">
        <f>IFERROR(VLOOKUP(G427,'Cadastro de assessores'!A:B,2,FALSE),"Não Cadastrado")</f>
        <v>17109</v>
      </c>
      <c r="I427" s="292"/>
      <c r="J427" s="24" t="s">
        <v>143</v>
      </c>
      <c r="K427" s="292" t="s">
        <v>3794</v>
      </c>
      <c r="L427" s="292" t="s">
        <v>3147</v>
      </c>
      <c r="M427" s="292" t="s">
        <v>3147</v>
      </c>
      <c r="N427" s="387">
        <v>44384</v>
      </c>
      <c r="O427" s="292" t="s">
        <v>3805</v>
      </c>
      <c r="P427" s="388">
        <v>1.2E-2</v>
      </c>
      <c r="Q427" s="420" t="s">
        <v>5037</v>
      </c>
      <c r="R427" s="417"/>
      <c r="S427" s="292" t="str">
        <f t="shared" si="44"/>
        <v>Não Qualificado</v>
      </c>
      <c r="T427" s="292" t="s">
        <v>145</v>
      </c>
      <c r="U427" s="292"/>
      <c r="V427" s="292" t="s">
        <v>3147</v>
      </c>
      <c r="W427" s="418"/>
      <c r="X427" s="418"/>
      <c r="Y427" s="418"/>
      <c r="Z427" s="418"/>
      <c r="AA427" s="418"/>
      <c r="AB427" s="418"/>
      <c r="AC427" s="418"/>
      <c r="AD427" s="418"/>
      <c r="AE427" s="418"/>
      <c r="AF427" s="418"/>
      <c r="AG427" s="418"/>
      <c r="AH427" s="418"/>
      <c r="AI427" s="418"/>
      <c r="AJ427" s="418"/>
      <c r="AK427" s="339"/>
      <c r="AL427" s="339"/>
      <c r="AM427" s="339"/>
      <c r="AN427" s="339"/>
      <c r="AO427" s="339"/>
      <c r="AP427" s="339"/>
      <c r="AQ427" s="339"/>
      <c r="AR427" s="339"/>
      <c r="AS427" s="339">
        <v>999.9</v>
      </c>
      <c r="AT427" s="339"/>
      <c r="AU427" s="339"/>
      <c r="AV427" s="339"/>
      <c r="AW427" s="339"/>
      <c r="AX427" s="339"/>
      <c r="AY427" s="339"/>
      <c r="AZ427" s="339">
        <v>0</v>
      </c>
      <c r="BA427" s="339">
        <v>0</v>
      </c>
      <c r="BB427" s="339">
        <v>0</v>
      </c>
      <c r="BC427" s="339">
        <v>209385.67</v>
      </c>
      <c r="BD427" s="339" t="s">
        <v>2932</v>
      </c>
      <c r="BE427" s="339" t="s">
        <v>2932</v>
      </c>
      <c r="BF427" s="339">
        <v>0</v>
      </c>
      <c r="BG427" s="339">
        <v>0</v>
      </c>
      <c r="BH427" s="339">
        <v>0</v>
      </c>
      <c r="BI427" s="339">
        <v>0</v>
      </c>
      <c r="BJ427" s="339">
        <v>0</v>
      </c>
      <c r="BK427" s="339">
        <v>0</v>
      </c>
      <c r="BL427" s="339">
        <v>0</v>
      </c>
      <c r="BM427" s="339">
        <v>0</v>
      </c>
      <c r="BN427" s="339">
        <v>0</v>
      </c>
      <c r="BO427" s="339">
        <v>0</v>
      </c>
      <c r="BP427" s="339">
        <v>0</v>
      </c>
      <c r="BQ427" s="339">
        <v>0</v>
      </c>
      <c r="BR427" s="339">
        <v>0</v>
      </c>
      <c r="BS427" s="110" t="e">
        <f t="array" aca="1" ref="BS427" ca="1">_xludf.XLOOKUP(D427,'PL TOTAL D0'!N:N,'PL TOTAL D0'!P:P,"")</f>
        <v>#NAME?</v>
      </c>
      <c r="BT427" s="110"/>
    </row>
    <row r="428" spans="1:72" ht="15.75" customHeight="1">
      <c r="A428" s="122" t="s">
        <v>3785</v>
      </c>
      <c r="B428" s="104" t="s">
        <v>5038</v>
      </c>
      <c r="C428" s="390" t="s">
        <v>5039</v>
      </c>
      <c r="D428" s="299">
        <v>2545354</v>
      </c>
      <c r="E428" s="293" t="s">
        <v>19</v>
      </c>
      <c r="F428" s="293" t="s">
        <v>49</v>
      </c>
      <c r="G428" s="293" t="s">
        <v>328</v>
      </c>
      <c r="H428" s="293" t="str">
        <f>IFERROR(VLOOKUP(G428,'Cadastro de assessores'!A:B,2,FALSE),"Não Cadastrado")</f>
        <v>18009</v>
      </c>
      <c r="I428" s="293"/>
      <c r="J428" s="24" t="s">
        <v>3788</v>
      </c>
      <c r="K428" s="299" t="s">
        <v>152</v>
      </c>
      <c r="L428" s="477">
        <v>44355</v>
      </c>
      <c r="M428" s="477">
        <v>44355</v>
      </c>
      <c r="N428" s="458"/>
      <c r="O428" s="292" t="s">
        <v>3795</v>
      </c>
      <c r="P428" s="388">
        <v>1.4999999999999999E-2</v>
      </c>
      <c r="Q428" s="167"/>
      <c r="R428" s="417"/>
      <c r="S428" s="292" t="str">
        <f t="shared" si="44"/>
        <v>Não Qualificado</v>
      </c>
      <c r="T428" s="292" t="s">
        <v>145</v>
      </c>
      <c r="U428" s="299" t="s">
        <v>4094</v>
      </c>
      <c r="V428" s="299" t="s">
        <v>46</v>
      </c>
      <c r="W428" s="350"/>
      <c r="X428" s="350"/>
      <c r="Y428" s="350"/>
      <c r="Z428" s="350"/>
      <c r="AA428" s="350"/>
      <c r="AB428" s="350"/>
      <c r="AC428" s="350"/>
      <c r="AD428" s="350"/>
      <c r="AE428" s="350"/>
      <c r="AF428" s="350"/>
      <c r="AG428" s="350"/>
      <c r="AH428" s="350"/>
      <c r="AI428" s="350"/>
      <c r="AJ428" s="350"/>
      <c r="AK428" s="339"/>
      <c r="AL428" s="339"/>
      <c r="AM428" s="468"/>
      <c r="AN428" s="468"/>
      <c r="AO428" s="339"/>
      <c r="AP428" s="339"/>
      <c r="AQ428" s="350"/>
      <c r="AR428" s="340">
        <v>106043.2</v>
      </c>
      <c r="AS428" s="339">
        <v>105556.23</v>
      </c>
      <c r="AT428" s="339">
        <v>103419.67</v>
      </c>
      <c r="AU428" s="339">
        <v>102651.87</v>
      </c>
      <c r="AV428" s="339">
        <v>101005.98</v>
      </c>
      <c r="AW428" s="339">
        <v>97830.85</v>
      </c>
      <c r="AX428" s="339">
        <v>97916.9</v>
      </c>
      <c r="AY428" s="339">
        <v>99553.4</v>
      </c>
      <c r="AZ428" s="339">
        <v>102375.85</v>
      </c>
      <c r="BA428" s="339">
        <v>103712.78</v>
      </c>
      <c r="BB428" s="339">
        <v>107291.42</v>
      </c>
      <c r="BC428" s="339">
        <v>425951.26</v>
      </c>
      <c r="BD428" s="339">
        <v>106911.84</v>
      </c>
      <c r="BE428" s="339">
        <v>106914.33</v>
      </c>
      <c r="BF428" s="339">
        <v>108805.46</v>
      </c>
      <c r="BG428" s="339">
        <v>109470.7346</v>
      </c>
      <c r="BH428" s="339">
        <v>110235.43</v>
      </c>
      <c r="BI428" s="339">
        <v>113933.09</v>
      </c>
      <c r="BJ428" s="339">
        <v>113898.02</v>
      </c>
      <c r="BK428" s="339">
        <v>64741.32</v>
      </c>
      <c r="BL428" s="339">
        <v>35329.14</v>
      </c>
      <c r="BM428" s="339">
        <v>23545.26</v>
      </c>
      <c r="BN428" s="339">
        <v>19034.5</v>
      </c>
      <c r="BO428" s="339">
        <v>110.2</v>
      </c>
      <c r="BP428" s="339">
        <v>111.03</v>
      </c>
      <c r="BQ428" s="339">
        <v>111.55</v>
      </c>
      <c r="BR428" s="339">
        <v>112.37</v>
      </c>
      <c r="BS428" s="110" t="e">
        <f t="array" aca="1" ref="BS428" ca="1">_xludf.XLOOKUP(D428,'PL TOTAL D0'!N:N,'PL TOTAL D0'!P:P,"")</f>
        <v>#NAME?</v>
      </c>
      <c r="BT428" s="110"/>
    </row>
    <row r="429" spans="1:72" ht="15.75" customHeight="1">
      <c r="A429" s="122" t="s">
        <v>3785</v>
      </c>
      <c r="B429" s="104" t="s">
        <v>2326</v>
      </c>
      <c r="C429" s="441" t="s">
        <v>5040</v>
      </c>
      <c r="D429" s="422">
        <v>2751241</v>
      </c>
      <c r="E429" s="293" t="s">
        <v>19</v>
      </c>
      <c r="F429" s="293" t="s">
        <v>49</v>
      </c>
      <c r="G429" s="293" t="s">
        <v>50</v>
      </c>
      <c r="H429" s="293">
        <f>IFERROR(VLOOKUP(G429,'Cadastro de assessores'!A:B,2,FALSE),"Não Cadastrado")</f>
        <v>12331</v>
      </c>
      <c r="I429" s="293"/>
      <c r="J429" s="24" t="s">
        <v>152</v>
      </c>
      <c r="K429" s="299"/>
      <c r="L429" s="478"/>
      <c r="M429" s="478">
        <v>44851</v>
      </c>
      <c r="N429" s="462"/>
      <c r="O429" s="293" t="s">
        <v>3795</v>
      </c>
      <c r="P429" s="428">
        <v>1.4999999999999999E-2</v>
      </c>
      <c r="Q429" s="479" t="s">
        <v>5041</v>
      </c>
      <c r="R429" s="417"/>
      <c r="S429" s="292"/>
      <c r="T429" s="292"/>
      <c r="U429" s="292"/>
      <c r="V429" s="292" t="s">
        <v>49</v>
      </c>
      <c r="W429" s="464"/>
      <c r="X429" s="463"/>
      <c r="Y429" s="463"/>
      <c r="Z429" s="463"/>
      <c r="AA429" s="350"/>
      <c r="AB429" s="480"/>
      <c r="AC429" s="464"/>
      <c r="AD429" s="463"/>
      <c r="AE429" s="463"/>
      <c r="AF429" s="463"/>
      <c r="AG429" s="350"/>
      <c r="AH429" s="480"/>
      <c r="AI429" s="464"/>
      <c r="AJ429" s="463"/>
      <c r="AK429" s="463"/>
      <c r="AL429" s="463"/>
      <c r="AM429" s="350"/>
      <c r="AN429" s="480"/>
      <c r="AO429" s="464"/>
      <c r="AP429" s="463"/>
      <c r="AQ429" s="463"/>
      <c r="AR429" s="463"/>
      <c r="AS429" s="350"/>
      <c r="AT429" s="480"/>
      <c r="AU429" s="464"/>
      <c r="AV429" s="463"/>
      <c r="AW429" s="463"/>
      <c r="AX429" s="463"/>
      <c r="AY429" s="339"/>
      <c r="AZ429" s="339"/>
      <c r="BA429" s="339"/>
      <c r="BB429" s="339"/>
      <c r="BC429" s="339"/>
      <c r="BD429" s="339"/>
      <c r="BE429" s="339"/>
      <c r="BF429" s="339"/>
      <c r="BG429" s="339"/>
      <c r="BH429" s="339"/>
      <c r="BI429" s="339">
        <v>103928.57</v>
      </c>
      <c r="BJ429" s="339">
        <v>104574.15</v>
      </c>
      <c r="BK429" s="339">
        <v>105303.12</v>
      </c>
      <c r="BL429" s="339">
        <v>106512.7</v>
      </c>
      <c r="BM429" s="339">
        <v>107317.66</v>
      </c>
      <c r="BN429" s="339">
        <v>3678.58</v>
      </c>
      <c r="BO429" s="339">
        <v>3729.81</v>
      </c>
      <c r="BP429" s="339">
        <v>3778.8</v>
      </c>
      <c r="BQ429" s="339">
        <v>3809</v>
      </c>
      <c r="BR429" s="339">
        <v>3896.42</v>
      </c>
      <c r="BS429" s="110" t="e">
        <f t="array" aca="1" ref="BS429" ca="1">_xludf.XLOOKUP(D429,'PL TOTAL D0'!N:N,'PL TOTAL D0'!P:P,"")</f>
        <v>#NAME?</v>
      </c>
      <c r="BT429" s="110"/>
    </row>
    <row r="430" spans="1:72" ht="15.75" customHeight="1">
      <c r="A430" s="122" t="s">
        <v>3785</v>
      </c>
      <c r="B430" s="104" t="s">
        <v>2333</v>
      </c>
      <c r="C430" s="441" t="s">
        <v>2331</v>
      </c>
      <c r="D430" s="422">
        <v>6029791</v>
      </c>
      <c r="E430" s="293" t="s">
        <v>19</v>
      </c>
      <c r="F430" s="293" t="s">
        <v>49</v>
      </c>
      <c r="G430" s="293" t="s">
        <v>166</v>
      </c>
      <c r="H430" s="293" t="str">
        <f>IFERROR(VLOOKUP(G430,'Cadastro de assessores'!A:B,2,FALSE),"Não Cadastrado")</f>
        <v>18890</v>
      </c>
      <c r="I430" s="293"/>
      <c r="J430" s="24" t="s">
        <v>3788</v>
      </c>
      <c r="K430" s="299" t="s">
        <v>152</v>
      </c>
      <c r="L430" s="391">
        <v>44600</v>
      </c>
      <c r="M430" s="391">
        <v>44605</v>
      </c>
      <c r="N430" s="293"/>
      <c r="O430" s="293" t="s">
        <v>3802</v>
      </c>
      <c r="P430" s="428">
        <v>7.0000000000000001E-3</v>
      </c>
      <c r="Q430" s="167" t="s">
        <v>3908</v>
      </c>
      <c r="R430" s="417"/>
      <c r="S430" s="292" t="str">
        <f>IF(BC430&lt;=0,"",IF(BC430&lt;=1000000,"Não Qualificado",IF(AND(BC430&gt;1000000,BC430&lt;=10000000),"Qualificado","Profissional")))</f>
        <v/>
      </c>
      <c r="T430" s="292" t="s">
        <v>145</v>
      </c>
      <c r="U430" s="292" t="s">
        <v>3841</v>
      </c>
      <c r="V430" s="292" t="s">
        <v>49</v>
      </c>
      <c r="W430" s="464"/>
      <c r="X430" s="463"/>
      <c r="Y430" s="463"/>
      <c r="Z430" s="463"/>
      <c r="AA430" s="350"/>
      <c r="AB430" s="480"/>
      <c r="AC430" s="464"/>
      <c r="AD430" s="463"/>
      <c r="AE430" s="463"/>
      <c r="AF430" s="463"/>
      <c r="AG430" s="350"/>
      <c r="AH430" s="480"/>
      <c r="AI430" s="464"/>
      <c r="AJ430" s="463"/>
      <c r="AK430" s="463"/>
      <c r="AL430" s="463"/>
      <c r="AM430" s="350"/>
      <c r="AN430" s="480"/>
      <c r="AO430" s="464"/>
      <c r="AP430" s="463"/>
      <c r="AQ430" s="463"/>
      <c r="AR430" s="463"/>
      <c r="AS430" s="350"/>
      <c r="AT430" s="480"/>
      <c r="AU430" s="464"/>
      <c r="AV430" s="463"/>
      <c r="AW430" s="463"/>
      <c r="AX430" s="463"/>
      <c r="AY430" s="339"/>
      <c r="AZ430" s="339"/>
      <c r="BA430" s="339">
        <v>501012.16</v>
      </c>
      <c r="BB430" s="339">
        <v>0</v>
      </c>
      <c r="BC430" s="339"/>
      <c r="BD430" s="339">
        <v>792611.83</v>
      </c>
      <c r="BE430" s="339">
        <v>811748.8</v>
      </c>
      <c r="BF430" s="339">
        <v>832161.41</v>
      </c>
      <c r="BG430" s="339">
        <v>843701.78729999997</v>
      </c>
      <c r="BH430" s="339">
        <v>848714.19</v>
      </c>
      <c r="BI430" s="339">
        <v>859225.54</v>
      </c>
      <c r="BJ430" s="339">
        <v>866398.89</v>
      </c>
      <c r="BK430" s="339">
        <v>865501.09</v>
      </c>
      <c r="BL430" s="339">
        <v>460233.63</v>
      </c>
      <c r="BM430" s="339">
        <v>0</v>
      </c>
      <c r="BN430" s="339">
        <v>0</v>
      </c>
      <c r="BO430" s="339">
        <v>0</v>
      </c>
      <c r="BP430" s="339">
        <v>0</v>
      </c>
      <c r="BQ430" s="339">
        <v>0</v>
      </c>
      <c r="BR430" s="339">
        <v>0</v>
      </c>
      <c r="BS430" s="110" t="e">
        <f t="array" aca="1" ref="BS430" ca="1">_xludf.XLOOKUP(D430,'PL TOTAL D0'!N:N,'PL TOTAL D0'!P:P,"")</f>
        <v>#NAME?</v>
      </c>
      <c r="BT430" s="110"/>
    </row>
    <row r="431" spans="1:72" ht="15.75" customHeight="1">
      <c r="A431" s="122" t="s">
        <v>3785</v>
      </c>
      <c r="B431" s="104" t="s">
        <v>2339</v>
      </c>
      <c r="C431" s="122" t="s">
        <v>5042</v>
      </c>
      <c r="D431" s="292">
        <v>8698050</v>
      </c>
      <c r="E431" s="292" t="s">
        <v>19</v>
      </c>
      <c r="F431" s="292" t="s">
        <v>49</v>
      </c>
      <c r="G431" s="292" t="s">
        <v>277</v>
      </c>
      <c r="H431" s="292" t="s">
        <v>5043</v>
      </c>
      <c r="I431" s="292"/>
      <c r="J431" s="24" t="s">
        <v>3788</v>
      </c>
      <c r="K431" s="292" t="s">
        <v>152</v>
      </c>
      <c r="L431" s="387">
        <v>44715</v>
      </c>
      <c r="M431" s="387">
        <v>44719</v>
      </c>
      <c r="N431" s="387"/>
      <c r="O431" s="292" t="s">
        <v>4465</v>
      </c>
      <c r="P431" s="388">
        <v>1.2E-2</v>
      </c>
      <c r="Q431" s="167" t="s">
        <v>5044</v>
      </c>
      <c r="R431" s="417"/>
      <c r="S431" s="292"/>
      <c r="T431" s="292" t="s">
        <v>145</v>
      </c>
      <c r="U431" s="292" t="s">
        <v>3967</v>
      </c>
      <c r="V431" s="292" t="s">
        <v>49</v>
      </c>
      <c r="W431" s="418"/>
      <c r="X431" s="418"/>
      <c r="Y431" s="418"/>
      <c r="Z431" s="418"/>
      <c r="AA431" s="418"/>
      <c r="AB431" s="418"/>
      <c r="AC431" s="418"/>
      <c r="AD431" s="418"/>
      <c r="AE431" s="418"/>
      <c r="AF431" s="418"/>
      <c r="AG431" s="418"/>
      <c r="AH431" s="418"/>
      <c r="AI431" s="418"/>
      <c r="AJ431" s="418"/>
      <c r="AK431" s="339"/>
      <c r="AL431" s="339"/>
      <c r="AM431" s="339"/>
      <c r="AN431" s="339"/>
      <c r="AO431" s="339"/>
      <c r="AP431" s="339"/>
      <c r="AQ431" s="339"/>
      <c r="AR431" s="339"/>
      <c r="AS431" s="339"/>
      <c r="AT431" s="339"/>
      <c r="AU431" s="339"/>
      <c r="AV431" s="339"/>
      <c r="AW431" s="339"/>
      <c r="AX431" s="339"/>
      <c r="AY431" s="339"/>
      <c r="AZ431" s="339"/>
      <c r="BA431" s="339"/>
      <c r="BB431" s="339"/>
      <c r="BC431" s="339"/>
      <c r="BD431" s="339" t="s">
        <v>2932</v>
      </c>
      <c r="BE431" s="339">
        <v>400567.54</v>
      </c>
      <c r="BF431" s="339">
        <v>404175.89</v>
      </c>
      <c r="BG431" s="339">
        <v>408754.98420000001</v>
      </c>
      <c r="BH431" s="339">
        <v>411443.97</v>
      </c>
      <c r="BI431" s="339">
        <v>416900.56</v>
      </c>
      <c r="BJ431" s="339">
        <v>414884.17</v>
      </c>
      <c r="BK431" s="339">
        <v>419341.93</v>
      </c>
      <c r="BL431" s="339">
        <v>424662.69</v>
      </c>
      <c r="BM431" s="339">
        <v>429028.78</v>
      </c>
      <c r="BN431" s="339">
        <v>435770.27</v>
      </c>
      <c r="BO431" s="339">
        <v>440120.83</v>
      </c>
      <c r="BP431" s="339">
        <v>445753.76</v>
      </c>
      <c r="BQ431" s="339">
        <v>16.93</v>
      </c>
      <c r="BR431" s="339">
        <v>16.93</v>
      </c>
      <c r="BS431" s="110" t="e">
        <f t="array" aca="1" ref="BS431" ca="1">_xludf.XLOOKUP(D431,'PL TOTAL D0'!N:N,'PL TOTAL D0'!P:P,"")</f>
        <v>#NAME?</v>
      </c>
      <c r="BT431" s="110"/>
    </row>
    <row r="432" spans="1:72" ht="15.75" customHeight="1">
      <c r="A432" s="122" t="s">
        <v>3785</v>
      </c>
      <c r="B432" s="104" t="s">
        <v>2346</v>
      </c>
      <c r="C432" s="433" t="s">
        <v>5045</v>
      </c>
      <c r="D432" s="434">
        <v>495561</v>
      </c>
      <c r="E432" s="292" t="s">
        <v>19</v>
      </c>
      <c r="F432" s="292" t="s">
        <v>20</v>
      </c>
      <c r="G432" s="292" t="s">
        <v>199</v>
      </c>
      <c r="H432" s="292"/>
      <c r="I432" s="292"/>
      <c r="J432" s="24" t="s">
        <v>152</v>
      </c>
      <c r="K432" s="292"/>
      <c r="L432" s="419"/>
      <c r="M432" s="419">
        <v>44918</v>
      </c>
      <c r="N432" s="387"/>
      <c r="O432" s="292" t="s">
        <v>3805</v>
      </c>
      <c r="P432" s="388">
        <v>8.0000000000000002E-3</v>
      </c>
      <c r="Q432" s="481" t="s">
        <v>5046</v>
      </c>
      <c r="R432" s="417"/>
      <c r="S432" s="292"/>
      <c r="T432" s="292"/>
      <c r="U432" s="292"/>
      <c r="V432" s="292" t="s">
        <v>20</v>
      </c>
      <c r="W432" s="418"/>
      <c r="X432" s="418"/>
      <c r="Y432" s="418"/>
      <c r="Z432" s="418"/>
      <c r="AA432" s="418"/>
      <c r="AB432" s="418"/>
      <c r="AC432" s="418"/>
      <c r="AD432" s="418"/>
      <c r="AE432" s="418"/>
      <c r="AF432" s="418"/>
      <c r="AG432" s="418"/>
      <c r="AH432" s="418"/>
      <c r="AI432" s="418"/>
      <c r="AJ432" s="418"/>
      <c r="AK432" s="339"/>
      <c r="AL432" s="339"/>
      <c r="AM432" s="339"/>
      <c r="AN432" s="339"/>
      <c r="AO432" s="339"/>
      <c r="AP432" s="339"/>
      <c r="AQ432" s="339"/>
      <c r="AR432" s="339"/>
      <c r="AS432" s="339"/>
      <c r="AT432" s="339"/>
      <c r="AU432" s="339"/>
      <c r="AV432" s="339"/>
      <c r="AW432" s="339"/>
      <c r="AX432" s="339"/>
      <c r="AY432" s="339"/>
      <c r="AZ432" s="339"/>
      <c r="BA432" s="339"/>
      <c r="BB432" s="339"/>
      <c r="BC432" s="339"/>
      <c r="BD432" s="339"/>
      <c r="BE432" s="339"/>
      <c r="BF432" s="339"/>
      <c r="BG432" s="339"/>
      <c r="BH432" s="339"/>
      <c r="BI432" s="339"/>
      <c r="BJ432" s="339">
        <v>0</v>
      </c>
      <c r="BK432" s="339">
        <v>2209492.2000000002</v>
      </c>
      <c r="BL432" s="339">
        <v>2265115.96</v>
      </c>
      <c r="BM432" s="339">
        <v>2268079.33</v>
      </c>
      <c r="BN432" s="339">
        <v>381003.93</v>
      </c>
      <c r="BO432" s="339">
        <v>153048.14000000001</v>
      </c>
      <c r="BP432" s="339">
        <v>169346.56</v>
      </c>
      <c r="BQ432" s="339">
        <v>190755.02</v>
      </c>
      <c r="BR432" s="339">
        <v>193409.92000000001</v>
      </c>
      <c r="BS432" s="110" t="e">
        <f t="array" aca="1" ref="BS432" ca="1">_xludf.XLOOKUP(D432,'PL TOTAL D0'!N:N,'PL TOTAL D0'!P:P,"")</f>
        <v>#NAME?</v>
      </c>
      <c r="BT432" s="110"/>
    </row>
    <row r="433" spans="1:72" ht="15.75" customHeight="1">
      <c r="A433" s="122" t="s">
        <v>3785</v>
      </c>
      <c r="B433" s="104" t="s">
        <v>5047</v>
      </c>
      <c r="C433" s="122" t="s">
        <v>5048</v>
      </c>
      <c r="D433" s="292">
        <v>3520517</v>
      </c>
      <c r="E433" s="292" t="s">
        <v>2923</v>
      </c>
      <c r="F433" s="292" t="s">
        <v>20</v>
      </c>
      <c r="G433" s="292" t="s">
        <v>2923</v>
      </c>
      <c r="H433" s="292" t="str">
        <f>IFERROR(VLOOKUP(G433,'Cadastro de assessores'!A:B,2,FALSE),"Não Cadastrado")</f>
        <v>18986</v>
      </c>
      <c r="I433" s="292"/>
      <c r="J433" s="24" t="s">
        <v>143</v>
      </c>
      <c r="K433" s="292" t="s">
        <v>3794</v>
      </c>
      <c r="L433" s="419">
        <v>43749</v>
      </c>
      <c r="M433" s="419">
        <v>43749</v>
      </c>
      <c r="N433" s="387">
        <v>44305</v>
      </c>
      <c r="O433" s="292" t="s">
        <v>4188</v>
      </c>
      <c r="P433" s="388">
        <v>0.01</v>
      </c>
      <c r="Q433" s="167" t="s">
        <v>5049</v>
      </c>
      <c r="R433" s="417"/>
      <c r="S433" s="292" t="str">
        <f t="shared" ref="S433:S436" si="45">IF(BC433&lt;=0,"",IF(BC433&lt;=1000000,"Não Qualificado",IF(AND(BC433&gt;1000000,BC433&lt;=10000000),"Qualificado","Profissional")))</f>
        <v/>
      </c>
      <c r="T433" s="292" t="s">
        <v>145</v>
      </c>
      <c r="U433" s="292" t="s">
        <v>3929</v>
      </c>
      <c r="V433" s="292" t="s">
        <v>20</v>
      </c>
      <c r="W433" s="418" t="s">
        <v>5050</v>
      </c>
      <c r="X433" s="418"/>
      <c r="Y433" s="418" t="s">
        <v>5051</v>
      </c>
      <c r="Z433" s="418" t="s">
        <v>5052</v>
      </c>
      <c r="AA433" s="418" t="s">
        <v>5053</v>
      </c>
      <c r="AB433" s="418" t="s">
        <v>5054</v>
      </c>
      <c r="AC433" s="418" t="s">
        <v>5055</v>
      </c>
      <c r="AD433" s="418" t="s">
        <v>5056</v>
      </c>
      <c r="AE433" s="418" t="s">
        <v>5057</v>
      </c>
      <c r="AF433" s="418" t="s">
        <v>5058</v>
      </c>
      <c r="AG433" s="418" t="s">
        <v>5059</v>
      </c>
      <c r="AH433" s="418" t="s">
        <v>5060</v>
      </c>
      <c r="AI433" s="418" t="s">
        <v>5061</v>
      </c>
      <c r="AJ433" s="418" t="s">
        <v>5062</v>
      </c>
      <c r="AK433" s="339">
        <v>156787.51999999999</v>
      </c>
      <c r="AL433" s="339">
        <v>140528.20000000001</v>
      </c>
      <c r="AM433" s="339">
        <v>94313.919999999998</v>
      </c>
      <c r="AN433" s="339">
        <v>93972.49</v>
      </c>
      <c r="AO433" s="339">
        <v>95592.52</v>
      </c>
      <c r="AP433" s="339"/>
      <c r="AQ433" s="339"/>
      <c r="AR433" s="339"/>
      <c r="AS433" s="339"/>
      <c r="AT433" s="339"/>
      <c r="AU433" s="339"/>
      <c r="AV433" s="339"/>
      <c r="AW433" s="339"/>
      <c r="AX433" s="339"/>
      <c r="AY433" s="339"/>
      <c r="AZ433" s="339">
        <v>0</v>
      </c>
      <c r="BA433" s="339">
        <v>0</v>
      </c>
      <c r="BB433" s="339">
        <v>0</v>
      </c>
      <c r="BC433" s="339"/>
      <c r="BD433" s="339" t="s">
        <v>2932</v>
      </c>
      <c r="BE433" s="339" t="s">
        <v>2932</v>
      </c>
      <c r="BF433" s="339">
        <v>0</v>
      </c>
      <c r="BG433" s="339">
        <v>0</v>
      </c>
      <c r="BH433" s="339">
        <v>0</v>
      </c>
      <c r="BI433" s="339">
        <v>0</v>
      </c>
      <c r="BJ433" s="339">
        <v>0</v>
      </c>
      <c r="BK433" s="339">
        <v>0</v>
      </c>
      <c r="BL433" s="339">
        <v>0</v>
      </c>
      <c r="BM433" s="339">
        <v>0</v>
      </c>
      <c r="BN433" s="339">
        <v>0</v>
      </c>
      <c r="BO433" s="339">
        <v>0</v>
      </c>
      <c r="BP433" s="339">
        <v>0</v>
      </c>
      <c r="BQ433" s="339">
        <v>0</v>
      </c>
      <c r="BR433" s="339">
        <v>0</v>
      </c>
      <c r="BS433" s="110" t="e">
        <f t="array" aca="1" ref="BS433" ca="1">_xludf.XLOOKUP(D433,'PL TOTAL D0'!N:N,'PL TOTAL D0'!P:P,"")</f>
        <v>#NAME?</v>
      </c>
      <c r="BT433" s="110"/>
    </row>
    <row r="434" spans="1:72" ht="15.75" customHeight="1">
      <c r="A434" s="122" t="s">
        <v>3785</v>
      </c>
      <c r="B434" s="104" t="s">
        <v>2360</v>
      </c>
      <c r="C434" s="441" t="s">
        <v>5063</v>
      </c>
      <c r="D434" s="293">
        <v>6579987</v>
      </c>
      <c r="E434" s="293" t="s">
        <v>19</v>
      </c>
      <c r="F434" s="293" t="s">
        <v>49</v>
      </c>
      <c r="G434" s="293" t="s">
        <v>328</v>
      </c>
      <c r="H434" s="293" t="str">
        <f>IFERROR(VLOOKUP(G434,'Cadastro de assessores'!A:B,2,FALSE),"Não Cadastrado")</f>
        <v>18009</v>
      </c>
      <c r="I434" s="293"/>
      <c r="J434" s="24" t="s">
        <v>143</v>
      </c>
      <c r="K434" s="293" t="s">
        <v>152</v>
      </c>
      <c r="L434" s="415">
        <v>44452</v>
      </c>
      <c r="M434" s="415">
        <v>44469</v>
      </c>
      <c r="N434" s="391">
        <v>44960</v>
      </c>
      <c r="O434" s="299" t="s">
        <v>3789</v>
      </c>
      <c r="P434" s="428">
        <v>0.02</v>
      </c>
      <c r="Q434" s="167" t="s">
        <v>5064</v>
      </c>
      <c r="R434" s="417"/>
      <c r="S434" s="292" t="str">
        <f t="shared" si="45"/>
        <v/>
      </c>
      <c r="T434" s="292" t="s">
        <v>145</v>
      </c>
      <c r="U434" s="292" t="s">
        <v>3933</v>
      </c>
      <c r="V434" s="292" t="s">
        <v>20</v>
      </c>
      <c r="W434" s="350"/>
      <c r="X434" s="350"/>
      <c r="Y434" s="350"/>
      <c r="Z434" s="350"/>
      <c r="AA434" s="350"/>
      <c r="AB434" s="350"/>
      <c r="AC434" s="350"/>
      <c r="AD434" s="350"/>
      <c r="AE434" s="350"/>
      <c r="AF434" s="350"/>
      <c r="AG434" s="418"/>
      <c r="AH434" s="418"/>
      <c r="AI434" s="418"/>
      <c r="AJ434" s="339"/>
      <c r="AK434" s="339"/>
      <c r="AL434" s="339"/>
      <c r="AM434" s="468"/>
      <c r="AN434" s="468"/>
      <c r="AO434" s="339"/>
      <c r="AP434" s="339"/>
      <c r="AQ434" s="339"/>
      <c r="AR434" s="339"/>
      <c r="AS434" s="339"/>
      <c r="AT434" s="339"/>
      <c r="AU434" s="350"/>
      <c r="AV434" s="339"/>
      <c r="AW434" s="339">
        <v>95889.91</v>
      </c>
      <c r="AX434" s="339">
        <v>104385.97</v>
      </c>
      <c r="AY434" s="339">
        <v>105809.93</v>
      </c>
      <c r="AZ434" s="339">
        <v>110725.69</v>
      </c>
      <c r="BA434" s="339">
        <v>111698.64</v>
      </c>
      <c r="BB434" s="339">
        <v>135099.81</v>
      </c>
      <c r="BC434" s="339"/>
      <c r="BD434" s="339">
        <v>130259.66</v>
      </c>
      <c r="BE434" s="339">
        <v>126546.16</v>
      </c>
      <c r="BF434" s="339">
        <v>130164.5</v>
      </c>
      <c r="BG434" s="339">
        <v>131824.5453</v>
      </c>
      <c r="BH434" s="339">
        <v>130119.83</v>
      </c>
      <c r="BI434" s="339">
        <v>143244.26</v>
      </c>
      <c r="BJ434" s="339">
        <v>143875.76999999999</v>
      </c>
      <c r="BK434" s="339">
        <v>144431.71</v>
      </c>
      <c r="BL434" s="339">
        <v>15785.3</v>
      </c>
      <c r="BM434" s="339">
        <v>0</v>
      </c>
      <c r="BN434" s="339">
        <v>0</v>
      </c>
      <c r="BO434" s="339">
        <v>0</v>
      </c>
      <c r="BP434" s="339">
        <v>0</v>
      </c>
      <c r="BQ434" s="339">
        <v>0</v>
      </c>
      <c r="BR434" s="339">
        <v>0</v>
      </c>
      <c r="BS434" s="110" t="e">
        <f t="array" aca="1" ref="BS434" ca="1">_xludf.XLOOKUP(D434,'PL TOTAL D0'!N:N,'PL TOTAL D0'!P:P,"")</f>
        <v>#NAME?</v>
      </c>
      <c r="BT434" s="110"/>
    </row>
    <row r="435" spans="1:72" ht="15.75" customHeight="1">
      <c r="A435" s="122" t="s">
        <v>3785</v>
      </c>
      <c r="B435" s="104" t="s">
        <v>2364</v>
      </c>
      <c r="C435" s="122" t="s">
        <v>5065</v>
      </c>
      <c r="D435" s="292">
        <v>306126</v>
      </c>
      <c r="E435" s="293" t="s">
        <v>2923</v>
      </c>
      <c r="F435" s="293" t="s">
        <v>20</v>
      </c>
      <c r="G435" s="293" t="s">
        <v>2923</v>
      </c>
      <c r="H435" s="293" t="str">
        <f>IFERROR(VLOOKUP(G435,'Cadastro de assessores'!A:B,2,FALSE),"Não Cadastrado")</f>
        <v>18986</v>
      </c>
      <c r="I435" s="293"/>
      <c r="J435" s="24" t="s">
        <v>3788</v>
      </c>
      <c r="K435" s="293" t="s">
        <v>152</v>
      </c>
      <c r="L435" s="415">
        <v>44172</v>
      </c>
      <c r="M435" s="415">
        <v>44210</v>
      </c>
      <c r="N435" s="299"/>
      <c r="O435" s="299" t="s">
        <v>3789</v>
      </c>
      <c r="P435" s="428">
        <v>0.02</v>
      </c>
      <c r="Q435" s="420"/>
      <c r="R435" s="417"/>
      <c r="S435" s="292" t="str">
        <f t="shared" si="45"/>
        <v/>
      </c>
      <c r="T435" s="292" t="s">
        <v>145</v>
      </c>
      <c r="U435" s="292" t="s">
        <v>3797</v>
      </c>
      <c r="V435" s="292" t="s">
        <v>20</v>
      </c>
      <c r="W435" s="418"/>
      <c r="X435" s="418"/>
      <c r="Y435" s="418"/>
      <c r="Z435" s="418"/>
      <c r="AA435" s="418"/>
      <c r="AB435" s="418"/>
      <c r="AC435" s="418"/>
      <c r="AD435" s="418"/>
      <c r="AE435" s="418"/>
      <c r="AF435" s="418"/>
      <c r="AG435" s="418"/>
      <c r="AH435" s="418"/>
      <c r="AI435" s="418"/>
      <c r="AJ435" s="418"/>
      <c r="AK435" s="339"/>
      <c r="AL435" s="339">
        <v>587928.44999999995</v>
      </c>
      <c r="AM435" s="339">
        <v>559968.71</v>
      </c>
      <c r="AN435" s="468">
        <v>560943.35</v>
      </c>
      <c r="AO435" s="468">
        <v>583217.03</v>
      </c>
      <c r="AP435" s="339">
        <v>587751.01</v>
      </c>
      <c r="AQ435" s="339">
        <v>584026.68999999994</v>
      </c>
      <c r="AR435" s="339">
        <v>604804.19999999995</v>
      </c>
      <c r="AS435" s="339">
        <v>596951.49</v>
      </c>
      <c r="AT435" s="339">
        <v>578458.86</v>
      </c>
      <c r="AU435" s="339">
        <v>572205.69999999995</v>
      </c>
      <c r="AV435" s="339">
        <v>552858.06000000006</v>
      </c>
      <c r="AW435" s="339">
        <v>522351.84</v>
      </c>
      <c r="AX435" s="339">
        <v>521112.27</v>
      </c>
      <c r="AY435" s="339">
        <v>530378.59</v>
      </c>
      <c r="AZ435" s="339">
        <v>548111.69999999995</v>
      </c>
      <c r="BA435" s="339">
        <v>553398.15</v>
      </c>
      <c r="BB435" s="339">
        <v>578369.71</v>
      </c>
      <c r="BC435" s="339"/>
      <c r="BD435" s="339">
        <v>567706</v>
      </c>
      <c r="BE435" s="339">
        <v>556107.94999999995</v>
      </c>
      <c r="BF435" s="339">
        <v>572752.07999999996</v>
      </c>
      <c r="BG435" s="339">
        <v>582905.95790000004</v>
      </c>
      <c r="BH435" s="339">
        <v>577830.48</v>
      </c>
      <c r="BI435" s="339">
        <v>604248.69999999995</v>
      </c>
      <c r="BJ435" s="339">
        <v>607648.4</v>
      </c>
      <c r="BK435" s="339">
        <v>609587.5</v>
      </c>
      <c r="BL435" s="339">
        <v>611407.73</v>
      </c>
      <c r="BM435" s="339">
        <v>608633.16</v>
      </c>
      <c r="BN435" s="339">
        <v>118488.77</v>
      </c>
      <c r="BO435" s="339">
        <v>183.01</v>
      </c>
      <c r="BP435" s="339">
        <v>183.01</v>
      </c>
      <c r="BQ435" s="339">
        <v>183.01</v>
      </c>
      <c r="BR435" s="339">
        <v>183.01</v>
      </c>
      <c r="BS435" s="110" t="e">
        <f t="array" aca="1" ref="BS435" ca="1">_xludf.XLOOKUP(D435,'PL TOTAL D0'!N:N,'PL TOTAL D0'!P:P,"")</f>
        <v>#NAME?</v>
      </c>
      <c r="BT435" s="110"/>
    </row>
    <row r="436" spans="1:72" ht="15.75" customHeight="1">
      <c r="A436" s="122" t="s">
        <v>3785</v>
      </c>
      <c r="B436" s="104" t="s">
        <v>2383</v>
      </c>
      <c r="C436" s="390" t="s">
        <v>5066</v>
      </c>
      <c r="D436" s="299">
        <v>2997463</v>
      </c>
      <c r="E436" s="293" t="s">
        <v>19</v>
      </c>
      <c r="F436" s="293" t="s">
        <v>20</v>
      </c>
      <c r="G436" s="293" t="s">
        <v>199</v>
      </c>
      <c r="H436" s="293">
        <f>IFERROR(VLOOKUP(G436,'Cadastro de assessores'!A:B,2,FALSE),"Não Cadastrado")</f>
        <v>12332</v>
      </c>
      <c r="I436" s="293"/>
      <c r="J436" s="24" t="s">
        <v>3788</v>
      </c>
      <c r="K436" s="299" t="s">
        <v>152</v>
      </c>
      <c r="L436" s="415">
        <v>44496</v>
      </c>
      <c r="M436" s="415">
        <v>44503</v>
      </c>
      <c r="N436" s="299"/>
      <c r="O436" s="299" t="s">
        <v>3802</v>
      </c>
      <c r="P436" s="388">
        <v>7.0000000000000001E-3</v>
      </c>
      <c r="Q436" s="167"/>
      <c r="R436" s="417"/>
      <c r="S436" s="292" t="str">
        <f t="shared" si="45"/>
        <v/>
      </c>
      <c r="T436" s="292" t="s">
        <v>145</v>
      </c>
      <c r="U436" s="299" t="s">
        <v>3832</v>
      </c>
      <c r="V436" s="292" t="s">
        <v>20</v>
      </c>
      <c r="W436" s="350"/>
      <c r="X436" s="350"/>
      <c r="Y436" s="350"/>
      <c r="Z436" s="350"/>
      <c r="AA436" s="350"/>
      <c r="AB436" s="350"/>
      <c r="AC436" s="350"/>
      <c r="AD436" s="350"/>
      <c r="AE436" s="350"/>
      <c r="AF436" s="350"/>
      <c r="AG436" s="418"/>
      <c r="AH436" s="418"/>
      <c r="AI436" s="418"/>
      <c r="AJ436" s="339"/>
      <c r="AK436" s="339"/>
      <c r="AL436" s="339"/>
      <c r="AM436" s="468"/>
      <c r="AN436" s="468"/>
      <c r="AO436" s="339"/>
      <c r="AP436" s="339"/>
      <c r="AQ436" s="339"/>
      <c r="AR436" s="339"/>
      <c r="AS436" s="339"/>
      <c r="AT436" s="339"/>
      <c r="AU436" s="339"/>
      <c r="AV436" s="339"/>
      <c r="AW436" s="339"/>
      <c r="AX436" s="339">
        <v>101078.2</v>
      </c>
      <c r="AY436" s="339">
        <v>116356.65</v>
      </c>
      <c r="AZ436" s="339">
        <v>123264.46</v>
      </c>
      <c r="BA436" s="339">
        <v>124208.69</v>
      </c>
      <c r="BB436" s="339">
        <v>129574.91</v>
      </c>
      <c r="BC436" s="339"/>
      <c r="BD436" s="339">
        <v>127342.89</v>
      </c>
      <c r="BE436" s="339">
        <v>128456.36</v>
      </c>
      <c r="BF436" s="339">
        <v>109092.5</v>
      </c>
      <c r="BG436" s="339">
        <v>109503.617</v>
      </c>
      <c r="BH436" s="339">
        <v>113595.31</v>
      </c>
      <c r="BI436" s="339">
        <v>114416.34</v>
      </c>
      <c r="BJ436" s="339">
        <v>115438.73</v>
      </c>
      <c r="BK436" s="339">
        <v>116341.96</v>
      </c>
      <c r="BL436" s="339">
        <v>117581.13</v>
      </c>
      <c r="BM436" s="339">
        <v>118295.62</v>
      </c>
      <c r="BN436" s="339">
        <v>119731.39</v>
      </c>
      <c r="BO436" s="339">
        <v>9309.15</v>
      </c>
      <c r="BP436" s="339">
        <v>9419.35</v>
      </c>
      <c r="BQ436" s="339">
        <v>9499.36</v>
      </c>
      <c r="BR436" s="339">
        <v>132.41</v>
      </c>
      <c r="BS436" s="110" t="e">
        <f t="array" aca="1" ref="BS436" ca="1">_xludf.XLOOKUP(D436,'PL TOTAL D0'!N:N,'PL TOTAL D0'!P:P,"")</f>
        <v>#NAME?</v>
      </c>
      <c r="BT436" s="110"/>
    </row>
    <row r="437" spans="1:72" ht="15.75" customHeight="1">
      <c r="A437" s="122" t="s">
        <v>3785</v>
      </c>
      <c r="B437" s="104" t="s">
        <v>2383</v>
      </c>
      <c r="C437" s="390" t="s">
        <v>5066</v>
      </c>
      <c r="D437" s="293">
        <v>9129986</v>
      </c>
      <c r="E437" s="293" t="s">
        <v>19</v>
      </c>
      <c r="F437" s="293" t="s">
        <v>20</v>
      </c>
      <c r="G437" s="293" t="s">
        <v>199</v>
      </c>
      <c r="H437" s="293">
        <f>IFERROR(VLOOKUP(G437,'Cadastro de assessores'!A:B,2,FALSE),"Não Cadastrado")</f>
        <v>12332</v>
      </c>
      <c r="I437" s="293"/>
      <c r="J437" s="24" t="s">
        <v>3788</v>
      </c>
      <c r="K437" s="292" t="s">
        <v>161</v>
      </c>
      <c r="L437" s="415">
        <v>44817</v>
      </c>
      <c r="M437" s="415">
        <v>44825</v>
      </c>
      <c r="N437" s="292"/>
      <c r="O437" s="292" t="s">
        <v>3809</v>
      </c>
      <c r="P437" s="428">
        <v>2.5000000000000001E-2</v>
      </c>
      <c r="Q437" s="304"/>
      <c r="R437" s="417"/>
      <c r="S437" s="292"/>
      <c r="T437" s="292"/>
      <c r="U437" s="292"/>
      <c r="V437" s="292" t="s">
        <v>3147</v>
      </c>
      <c r="W437" s="418"/>
      <c r="X437" s="418"/>
      <c r="Y437" s="418"/>
      <c r="Z437" s="418"/>
      <c r="AA437" s="418"/>
      <c r="AB437" s="418"/>
      <c r="AC437" s="418"/>
      <c r="AD437" s="418"/>
      <c r="AE437" s="418"/>
      <c r="AF437" s="418"/>
      <c r="AG437" s="418"/>
      <c r="AH437" s="418"/>
      <c r="AI437" s="418"/>
      <c r="AJ437" s="418"/>
      <c r="AK437" s="339"/>
      <c r="AL437" s="339"/>
      <c r="AM437" s="339"/>
      <c r="AN437" s="468"/>
      <c r="AO437" s="468"/>
      <c r="AP437" s="339"/>
      <c r="AQ437" s="339"/>
      <c r="AR437" s="339"/>
      <c r="AS437" s="339"/>
      <c r="AT437" s="339"/>
      <c r="AU437" s="339"/>
      <c r="AV437" s="339"/>
      <c r="AW437" s="339"/>
      <c r="AX437" s="339"/>
      <c r="AY437" s="339"/>
      <c r="AZ437" s="339"/>
      <c r="BA437" s="339"/>
      <c r="BB437" s="339"/>
      <c r="BC437" s="339"/>
      <c r="BD437" s="339"/>
      <c r="BE437" s="339"/>
      <c r="BF437" s="339"/>
      <c r="BG437" s="339">
        <v>0</v>
      </c>
      <c r="BH437" s="339">
        <v>11703.43</v>
      </c>
      <c r="BI437" s="339">
        <v>12539.47</v>
      </c>
      <c r="BJ437" s="339">
        <v>12068.04</v>
      </c>
      <c r="BK437" s="339">
        <v>12067.31</v>
      </c>
      <c r="BL437" s="339">
        <v>12268.09</v>
      </c>
      <c r="BM437" s="339">
        <v>11255.97</v>
      </c>
      <c r="BN437" s="339">
        <v>10981.6</v>
      </c>
      <c r="BO437" s="339">
        <v>10434.74</v>
      </c>
      <c r="BP437" s="339">
        <v>11097.81</v>
      </c>
      <c r="BQ437" s="339">
        <v>12035.22</v>
      </c>
      <c r="BR437" s="339">
        <v>12568.2</v>
      </c>
      <c r="BS437" s="110" t="e">
        <f t="array" aca="1" ref="BS437" ca="1">_xludf.XLOOKUP(D437,'PL TOTAL D0'!N:N,'PL TOTAL D0'!P:P,"")</f>
        <v>#NAME?</v>
      </c>
      <c r="BT437" s="110"/>
    </row>
    <row r="438" spans="1:72" ht="15.75" customHeight="1">
      <c r="A438" s="122" t="s">
        <v>3785</v>
      </c>
      <c r="B438" s="104" t="s">
        <v>5067</v>
      </c>
      <c r="C438" s="122" t="s">
        <v>5068</v>
      </c>
      <c r="D438" s="293">
        <v>4837612</v>
      </c>
      <c r="E438" s="293" t="s">
        <v>64</v>
      </c>
      <c r="F438" s="293" t="s">
        <v>20</v>
      </c>
      <c r="G438" s="293" t="s">
        <v>337</v>
      </c>
      <c r="H438" s="293" t="str">
        <f>IFERROR(VLOOKUP(G438,'Cadastro de assessores'!A:B,2,FALSE),"Não Cadastrado")</f>
        <v>17896</v>
      </c>
      <c r="I438" s="293"/>
      <c r="J438" s="24" t="s">
        <v>143</v>
      </c>
      <c r="K438" s="293" t="s">
        <v>152</v>
      </c>
      <c r="L438" s="415">
        <v>44232</v>
      </c>
      <c r="M438" s="415">
        <v>44250</v>
      </c>
      <c r="N438" s="387">
        <v>44984</v>
      </c>
      <c r="O438" s="292" t="s">
        <v>3795</v>
      </c>
      <c r="P438" s="428">
        <v>1.4999999999999999E-2</v>
      </c>
      <c r="Q438" s="304" t="s">
        <v>5069</v>
      </c>
      <c r="R438" s="417"/>
      <c r="S438" s="292" t="str">
        <f t="shared" ref="S438:S445" si="46">IF(BC438&lt;=0,"",IF(BC438&lt;=1000000,"Não Qualificado",IF(AND(BC438&gt;1000000,BC438&lt;=10000000),"Qualificado","Profissional")))</f>
        <v>Não Qualificado</v>
      </c>
      <c r="T438" s="292" t="s">
        <v>145</v>
      </c>
      <c r="U438" s="292" t="s">
        <v>3933</v>
      </c>
      <c r="V438" s="292" t="s">
        <v>20</v>
      </c>
      <c r="W438" s="418"/>
      <c r="X438" s="418"/>
      <c r="Y438" s="418"/>
      <c r="Z438" s="418"/>
      <c r="AA438" s="418"/>
      <c r="AB438" s="418"/>
      <c r="AC438" s="418"/>
      <c r="AD438" s="418"/>
      <c r="AE438" s="418"/>
      <c r="AF438" s="418"/>
      <c r="AG438" s="418"/>
      <c r="AH438" s="418"/>
      <c r="AI438" s="418"/>
      <c r="AJ438" s="418"/>
      <c r="AK438" s="339"/>
      <c r="AL438" s="339"/>
      <c r="AM438" s="339">
        <v>201365.72</v>
      </c>
      <c r="AN438" s="468">
        <v>560943.35</v>
      </c>
      <c r="AO438" s="468">
        <v>216054.67</v>
      </c>
      <c r="AP438" s="339">
        <v>227328.75</v>
      </c>
      <c r="AQ438" s="339">
        <v>226533.87</v>
      </c>
      <c r="AR438" s="339">
        <v>243192.57</v>
      </c>
      <c r="AS438" s="339">
        <v>289504.38</v>
      </c>
      <c r="AT438" s="339">
        <v>306110.09000000003</v>
      </c>
      <c r="AU438" s="339">
        <v>304091.96999999997</v>
      </c>
      <c r="AV438" s="339">
        <v>299048.75</v>
      </c>
      <c r="AW438" s="339">
        <v>316076.75</v>
      </c>
      <c r="AX438" s="339">
        <v>315702.89</v>
      </c>
      <c r="AY438" s="339">
        <v>319238.37</v>
      </c>
      <c r="AZ438" s="339">
        <v>379118.37</v>
      </c>
      <c r="BA438" s="339">
        <v>400159.43</v>
      </c>
      <c r="BB438" s="339">
        <v>465481.65</v>
      </c>
      <c r="BC438" s="339">
        <v>153664.18</v>
      </c>
      <c r="BD438" s="339">
        <v>504452.89</v>
      </c>
      <c r="BE438" s="339">
        <v>504436.09</v>
      </c>
      <c r="BF438" s="339">
        <v>514010.85</v>
      </c>
      <c r="BG438" s="339">
        <v>517079.12640000001</v>
      </c>
      <c r="BH438" s="339">
        <v>523071.33</v>
      </c>
      <c r="BI438" s="339">
        <v>537094.81999999995</v>
      </c>
      <c r="BJ438" s="339">
        <v>538169.16</v>
      </c>
      <c r="BK438" s="339">
        <v>541049.94999999995</v>
      </c>
      <c r="BL438" s="339">
        <v>545480.5</v>
      </c>
      <c r="BM438" s="339">
        <v>548740.43000000005</v>
      </c>
      <c r="BN438" s="339">
        <v>0</v>
      </c>
      <c r="BO438" s="339">
        <v>0</v>
      </c>
      <c r="BP438" s="339">
        <v>0</v>
      </c>
      <c r="BQ438" s="339">
        <v>0</v>
      </c>
      <c r="BR438" s="339">
        <v>0</v>
      </c>
      <c r="BS438" s="110" t="e">
        <f t="array" aca="1" ref="BS438" ca="1">_xludf.XLOOKUP(D438,'PL TOTAL D0'!N:N,'PL TOTAL D0'!P:P,"")</f>
        <v>#NAME?</v>
      </c>
      <c r="BT438" s="110"/>
    </row>
    <row r="439" spans="1:72" ht="15.75" customHeight="1">
      <c r="A439" s="122" t="s">
        <v>3785</v>
      </c>
      <c r="B439" s="104" t="s">
        <v>5070</v>
      </c>
      <c r="C439" s="122" t="s">
        <v>5071</v>
      </c>
      <c r="D439" s="292">
        <v>4617147</v>
      </c>
      <c r="E439" s="292" t="s">
        <v>19</v>
      </c>
      <c r="F439" s="292" t="s">
        <v>20</v>
      </c>
      <c r="G439" s="292" t="s">
        <v>3793</v>
      </c>
      <c r="H439" s="292" t="str">
        <f>IFERROR(VLOOKUP(G439,'Cadastro de assessores'!A:B,2,FALSE),"Não Cadastrado")</f>
        <v>17679</v>
      </c>
      <c r="I439" s="292"/>
      <c r="J439" s="24" t="s">
        <v>143</v>
      </c>
      <c r="K439" s="292" t="s">
        <v>3794</v>
      </c>
      <c r="L439" s="387">
        <v>44166</v>
      </c>
      <c r="M439" s="387">
        <v>44166</v>
      </c>
      <c r="N439" s="387">
        <v>44390</v>
      </c>
      <c r="O439" s="292" t="s">
        <v>3795</v>
      </c>
      <c r="P439" s="388">
        <v>1.4999999999999999E-2</v>
      </c>
      <c r="Q439" s="420" t="s">
        <v>5072</v>
      </c>
      <c r="R439" s="417"/>
      <c r="S439" s="292" t="str">
        <f t="shared" si="46"/>
        <v>Não Qualificado</v>
      </c>
      <c r="T439" s="292" t="s">
        <v>145</v>
      </c>
      <c r="U439" s="292" t="s">
        <v>4049</v>
      </c>
      <c r="V439" s="292" t="s">
        <v>886</v>
      </c>
      <c r="W439" s="418" t="s">
        <v>3798</v>
      </c>
      <c r="X439" s="418" t="s">
        <v>3798</v>
      </c>
      <c r="Y439" s="418" t="s">
        <v>3798</v>
      </c>
      <c r="Z439" s="418" t="s">
        <v>3798</v>
      </c>
      <c r="AA439" s="418" t="s">
        <v>3798</v>
      </c>
      <c r="AB439" s="418" t="s">
        <v>3798</v>
      </c>
      <c r="AC439" s="418" t="s">
        <v>3798</v>
      </c>
      <c r="AD439" s="418" t="s">
        <v>3798</v>
      </c>
      <c r="AE439" s="418" t="s">
        <v>3798</v>
      </c>
      <c r="AF439" s="418" t="s">
        <v>3798</v>
      </c>
      <c r="AG439" s="418" t="s">
        <v>3798</v>
      </c>
      <c r="AH439" s="418" t="s">
        <v>3798</v>
      </c>
      <c r="AI439" s="418" t="s">
        <v>3798</v>
      </c>
      <c r="AJ439" s="418" t="s">
        <v>3798</v>
      </c>
      <c r="AK439" s="339">
        <v>145902.15</v>
      </c>
      <c r="AL439" s="339">
        <v>203277.95</v>
      </c>
      <c r="AM439" s="339">
        <v>197221.31</v>
      </c>
      <c r="AN439" s="339">
        <v>198226.84</v>
      </c>
      <c r="AO439" s="339">
        <v>203687.97</v>
      </c>
      <c r="AP439" s="339">
        <v>194987.16</v>
      </c>
      <c r="AQ439" s="339">
        <v>204139.66</v>
      </c>
      <c r="AR439" s="339">
        <v>209125.79</v>
      </c>
      <c r="AS439" s="339">
        <v>207398.62</v>
      </c>
      <c r="AT439" s="339"/>
      <c r="AU439" s="339"/>
      <c r="AV439" s="339"/>
      <c r="AW439" s="339"/>
      <c r="AX439" s="339"/>
      <c r="AY439" s="339"/>
      <c r="AZ439" s="339"/>
      <c r="BA439" s="339">
        <v>0</v>
      </c>
      <c r="BB439" s="339">
        <v>0</v>
      </c>
      <c r="BC439" s="339">
        <v>786619.56</v>
      </c>
      <c r="BD439" s="339" t="s">
        <v>2932</v>
      </c>
      <c r="BE439" s="339" t="s">
        <v>2932</v>
      </c>
      <c r="BF439" s="339">
        <v>0</v>
      </c>
      <c r="BG439" s="339">
        <v>0</v>
      </c>
      <c r="BH439" s="339">
        <v>0</v>
      </c>
      <c r="BI439" s="339">
        <v>0</v>
      </c>
      <c r="BJ439" s="339">
        <v>0</v>
      </c>
      <c r="BK439" s="339">
        <v>0</v>
      </c>
      <c r="BL439" s="339">
        <v>0</v>
      </c>
      <c r="BM439" s="339">
        <v>0</v>
      </c>
      <c r="BN439" s="339">
        <v>0</v>
      </c>
      <c r="BO439" s="339">
        <v>0</v>
      </c>
      <c r="BP439" s="339">
        <v>0</v>
      </c>
      <c r="BQ439" s="339">
        <v>0</v>
      </c>
      <c r="BR439" s="339">
        <v>0</v>
      </c>
      <c r="BS439" s="110" t="e">
        <f t="array" aca="1" ref="BS439" ca="1">_xludf.XLOOKUP(D439,'PL TOTAL D0'!N:N,'PL TOTAL D0'!P:P,"")</f>
        <v>#NAME?</v>
      </c>
      <c r="BT439" s="110"/>
    </row>
    <row r="440" spans="1:72" ht="15.75" customHeight="1">
      <c r="A440" s="122" t="s">
        <v>3785</v>
      </c>
      <c r="B440" s="104" t="s">
        <v>5073</v>
      </c>
      <c r="C440" s="390" t="s">
        <v>5074</v>
      </c>
      <c r="D440" s="299">
        <v>355180</v>
      </c>
      <c r="E440" s="292" t="s">
        <v>19</v>
      </c>
      <c r="F440" s="292" t="s">
        <v>49</v>
      </c>
      <c r="G440" s="292" t="s">
        <v>328</v>
      </c>
      <c r="H440" s="292" t="str">
        <f>IFERROR(VLOOKUP(G440,'Cadastro de assessores'!A:B,2,FALSE),"Não Cadastrado")</f>
        <v>18009</v>
      </c>
      <c r="I440" s="292"/>
      <c r="J440" s="24" t="s">
        <v>143</v>
      </c>
      <c r="K440" s="292" t="s">
        <v>3794</v>
      </c>
      <c r="L440" s="387">
        <v>44362</v>
      </c>
      <c r="M440" s="387">
        <v>44362</v>
      </c>
      <c r="N440" s="447">
        <v>44489</v>
      </c>
      <c r="O440" s="299" t="s">
        <v>3789</v>
      </c>
      <c r="P440" s="388">
        <v>0.02</v>
      </c>
      <c r="Q440" s="420" t="s">
        <v>5075</v>
      </c>
      <c r="R440" s="417"/>
      <c r="S440" s="292" t="str">
        <f t="shared" si="46"/>
        <v>Não Qualificado</v>
      </c>
      <c r="T440" s="292" t="s">
        <v>145</v>
      </c>
      <c r="U440" s="299" t="s">
        <v>4551</v>
      </c>
      <c r="V440" s="299" t="s">
        <v>60</v>
      </c>
      <c r="W440" s="350"/>
      <c r="X440" s="350"/>
      <c r="Y440" s="350"/>
      <c r="Z440" s="350"/>
      <c r="AA440" s="350"/>
      <c r="AB440" s="350"/>
      <c r="AC440" s="350"/>
      <c r="AD440" s="350"/>
      <c r="AE440" s="350"/>
      <c r="AF440" s="350"/>
      <c r="AG440" s="350"/>
      <c r="AH440" s="350"/>
      <c r="AI440" s="350"/>
      <c r="AJ440" s="350"/>
      <c r="AK440" s="339"/>
      <c r="AL440" s="339"/>
      <c r="AM440" s="339"/>
      <c r="AN440" s="339"/>
      <c r="AO440" s="339"/>
      <c r="AP440" s="339"/>
      <c r="AQ440" s="339"/>
      <c r="AR440" s="350"/>
      <c r="AS440" s="339">
        <v>101488.65</v>
      </c>
      <c r="AT440" s="339">
        <v>95947.73</v>
      </c>
      <c r="AU440" s="339">
        <v>95046.38</v>
      </c>
      <c r="AV440" s="339">
        <v>91628.14</v>
      </c>
      <c r="AW440" s="339">
        <v>87386.49</v>
      </c>
      <c r="AX440" s="339"/>
      <c r="AY440" s="339"/>
      <c r="AZ440" s="339"/>
      <c r="BA440" s="339">
        <v>0</v>
      </c>
      <c r="BB440" s="339">
        <v>0</v>
      </c>
      <c r="BC440" s="339">
        <v>23934.39</v>
      </c>
      <c r="BD440" s="339" t="s">
        <v>2932</v>
      </c>
      <c r="BE440" s="339" t="s">
        <v>2932</v>
      </c>
      <c r="BF440" s="339">
        <v>0</v>
      </c>
      <c r="BG440" s="339">
        <v>0</v>
      </c>
      <c r="BH440" s="339">
        <v>0</v>
      </c>
      <c r="BI440" s="339">
        <v>0</v>
      </c>
      <c r="BJ440" s="339">
        <v>0</v>
      </c>
      <c r="BK440" s="339">
        <v>0</v>
      </c>
      <c r="BL440" s="339">
        <v>0</v>
      </c>
      <c r="BM440" s="339">
        <v>0</v>
      </c>
      <c r="BN440" s="339">
        <v>0</v>
      </c>
      <c r="BO440" s="339">
        <v>0</v>
      </c>
      <c r="BP440" s="339">
        <v>0</v>
      </c>
      <c r="BQ440" s="339">
        <v>0</v>
      </c>
      <c r="BR440" s="339">
        <v>0</v>
      </c>
      <c r="BS440" s="110" t="e">
        <f t="array" aca="1" ref="BS440" ca="1">_xludf.XLOOKUP(D440,'PL TOTAL D0'!N:N,'PL TOTAL D0'!P:P,"")</f>
        <v>#NAME?</v>
      </c>
      <c r="BT440" s="110"/>
    </row>
    <row r="441" spans="1:72" ht="15.75" customHeight="1">
      <c r="A441" s="122" t="s">
        <v>3785</v>
      </c>
      <c r="B441" s="104" t="s">
        <v>5076</v>
      </c>
      <c r="C441" s="122" t="s">
        <v>5077</v>
      </c>
      <c r="D441" s="293">
        <v>396107</v>
      </c>
      <c r="E441" s="293" t="s">
        <v>2923</v>
      </c>
      <c r="F441" s="293" t="s">
        <v>20</v>
      </c>
      <c r="G441" s="293" t="s">
        <v>2923</v>
      </c>
      <c r="H441" s="293" t="str">
        <f>IFERROR(VLOOKUP(G441,'Cadastro de assessores'!A:B,2,FALSE),"Não Cadastrado")</f>
        <v>18986</v>
      </c>
      <c r="I441" s="293"/>
      <c r="J441" s="24" t="s">
        <v>152</v>
      </c>
      <c r="K441" s="293" t="s">
        <v>152</v>
      </c>
      <c r="L441" s="415">
        <v>44193</v>
      </c>
      <c r="M441" s="415">
        <v>44250</v>
      </c>
      <c r="N441" s="292"/>
      <c r="O441" s="292" t="s">
        <v>3795</v>
      </c>
      <c r="P441" s="388">
        <v>1.4999999999999999E-2</v>
      </c>
      <c r="Q441" s="420"/>
      <c r="R441" s="417"/>
      <c r="S441" s="292" t="str">
        <f t="shared" si="46"/>
        <v>Não Qualificado</v>
      </c>
      <c r="T441" s="292" t="s">
        <v>145</v>
      </c>
      <c r="U441" s="292" t="s">
        <v>3967</v>
      </c>
      <c r="V441" s="292" t="s">
        <v>49</v>
      </c>
      <c r="W441" s="418"/>
      <c r="X441" s="418"/>
      <c r="Y441" s="418"/>
      <c r="Z441" s="418"/>
      <c r="AA441" s="418"/>
      <c r="AB441" s="418"/>
      <c r="AC441" s="418"/>
      <c r="AD441" s="418"/>
      <c r="AE441" s="418"/>
      <c r="AF441" s="418"/>
      <c r="AG441" s="418"/>
      <c r="AH441" s="418"/>
      <c r="AI441" s="418"/>
      <c r="AJ441" s="418"/>
      <c r="AK441" s="339"/>
      <c r="AL441" s="339"/>
      <c r="AM441" s="339">
        <v>157087.57999999999</v>
      </c>
      <c r="AN441" s="339">
        <v>154576.69</v>
      </c>
      <c r="AO441" s="339">
        <v>158171.95000000001</v>
      </c>
      <c r="AP441" s="339">
        <v>159062.67000000001</v>
      </c>
      <c r="AQ441" s="339">
        <v>158437.32</v>
      </c>
      <c r="AR441" s="339">
        <v>162461.68</v>
      </c>
      <c r="AS441" s="339">
        <v>149736.56</v>
      </c>
      <c r="AT441" s="339">
        <v>158170.82999999999</v>
      </c>
      <c r="AU441" s="339">
        <v>157308.25</v>
      </c>
      <c r="AV441" s="339">
        <v>36166.559999999998</v>
      </c>
      <c r="AW441" s="339">
        <v>36408.04</v>
      </c>
      <c r="AX441" s="339">
        <v>36570.81</v>
      </c>
      <c r="AY441" s="339">
        <v>36551.39</v>
      </c>
      <c r="AZ441" s="339">
        <v>36671.040000000001</v>
      </c>
      <c r="BA441" s="339">
        <v>31743.1</v>
      </c>
      <c r="BB441" s="339">
        <v>33183.07</v>
      </c>
      <c r="BC441" s="339">
        <v>114269.59</v>
      </c>
      <c r="BD441" s="339">
        <v>32233.66</v>
      </c>
      <c r="BE441" s="339">
        <v>16126.55</v>
      </c>
      <c r="BF441" s="339">
        <v>16449.669999999998</v>
      </c>
      <c r="BG441" s="339">
        <v>16733.810000000001</v>
      </c>
      <c r="BH441" s="339">
        <v>16911.099999999999</v>
      </c>
      <c r="BI441" s="339">
        <v>17298.09</v>
      </c>
      <c r="BJ441" s="339">
        <v>17322.98</v>
      </c>
      <c r="BK441" s="339">
        <v>17484.490000000002</v>
      </c>
      <c r="BL441" s="339">
        <v>17626.810000000001</v>
      </c>
      <c r="BM441" s="339">
        <v>17639.330000000002</v>
      </c>
      <c r="BN441" s="339">
        <v>27513.919999999998</v>
      </c>
      <c r="BO441" s="339">
        <v>38906.089999999997</v>
      </c>
      <c r="BP441" s="339">
        <v>42025.16</v>
      </c>
      <c r="BQ441" s="339">
        <v>42403.86</v>
      </c>
      <c r="BR441" s="339">
        <v>45645.34</v>
      </c>
      <c r="BS441" s="110" t="e">
        <f t="array" aca="1" ref="BS441" ca="1">_xludf.XLOOKUP(D441,'PL TOTAL D0'!N:N,'PL TOTAL D0'!P:P,"")</f>
        <v>#NAME?</v>
      </c>
      <c r="BT441" s="110"/>
    </row>
    <row r="442" spans="1:72" ht="15.75" customHeight="1">
      <c r="A442" s="122" t="s">
        <v>3785</v>
      </c>
      <c r="B442" s="104" t="s">
        <v>5078</v>
      </c>
      <c r="C442" s="122" t="s">
        <v>5079</v>
      </c>
      <c r="D442" s="292">
        <v>4836917</v>
      </c>
      <c r="E442" s="292" t="s">
        <v>2923</v>
      </c>
      <c r="F442" s="292" t="s">
        <v>20</v>
      </c>
      <c r="G442" s="292" t="s">
        <v>2923</v>
      </c>
      <c r="H442" s="292" t="str">
        <f>IFERROR(VLOOKUP(G442,'Cadastro de assessores'!A:B,2,FALSE),"Não Cadastrado")</f>
        <v>18986</v>
      </c>
      <c r="I442" s="292"/>
      <c r="J442" s="24" t="s">
        <v>143</v>
      </c>
      <c r="K442" s="292" t="s">
        <v>3794</v>
      </c>
      <c r="L442" s="387">
        <v>44244</v>
      </c>
      <c r="M442" s="387">
        <v>44244</v>
      </c>
      <c r="N442" s="387">
        <v>44270</v>
      </c>
      <c r="O442" s="292" t="s">
        <v>3795</v>
      </c>
      <c r="P442" s="388">
        <v>1.4999999999999999E-2</v>
      </c>
      <c r="Q442" s="420" t="s">
        <v>4473</v>
      </c>
      <c r="R442" s="417"/>
      <c r="S442" s="292" t="str">
        <f t="shared" si="46"/>
        <v/>
      </c>
      <c r="T442" s="292" t="s">
        <v>145</v>
      </c>
      <c r="U442" s="299" t="s">
        <v>4209</v>
      </c>
      <c r="V442" s="299" t="s">
        <v>20</v>
      </c>
      <c r="W442" s="418"/>
      <c r="X442" s="418"/>
      <c r="Y442" s="418"/>
      <c r="Z442" s="418"/>
      <c r="AA442" s="418"/>
      <c r="AB442" s="418"/>
      <c r="AC442" s="418"/>
      <c r="AD442" s="418"/>
      <c r="AE442" s="418"/>
      <c r="AF442" s="418"/>
      <c r="AG442" s="418"/>
      <c r="AH442" s="418"/>
      <c r="AI442" s="418"/>
      <c r="AJ442" s="418"/>
      <c r="AK442" s="339"/>
      <c r="AL442" s="339"/>
      <c r="AM442" s="339">
        <v>376120.08</v>
      </c>
      <c r="AN442" s="339">
        <v>378053.96</v>
      </c>
      <c r="AO442" s="339"/>
      <c r="AP442" s="339"/>
      <c r="AQ442" s="339"/>
      <c r="AR442" s="339"/>
      <c r="AS442" s="339"/>
      <c r="AT442" s="339"/>
      <c r="AU442" s="339"/>
      <c r="AV442" s="339"/>
      <c r="AW442" s="339"/>
      <c r="AX442" s="339"/>
      <c r="AY442" s="339"/>
      <c r="AZ442" s="339"/>
      <c r="BA442" s="339">
        <v>0</v>
      </c>
      <c r="BB442" s="339">
        <v>0</v>
      </c>
      <c r="BC442" s="339"/>
      <c r="BD442" s="339" t="s">
        <v>2932</v>
      </c>
      <c r="BE442" s="339" t="s">
        <v>2932</v>
      </c>
      <c r="BF442" s="339">
        <v>0</v>
      </c>
      <c r="BG442" s="339">
        <v>0</v>
      </c>
      <c r="BH442" s="339">
        <v>0</v>
      </c>
      <c r="BI442" s="339">
        <v>0</v>
      </c>
      <c r="BJ442" s="339">
        <v>0</v>
      </c>
      <c r="BK442" s="339">
        <v>0</v>
      </c>
      <c r="BL442" s="339">
        <v>0</v>
      </c>
      <c r="BM442" s="339">
        <v>0</v>
      </c>
      <c r="BN442" s="339">
        <v>0</v>
      </c>
      <c r="BO442" s="339">
        <v>0</v>
      </c>
      <c r="BP442" s="339">
        <v>0</v>
      </c>
      <c r="BQ442" s="339">
        <v>0</v>
      </c>
      <c r="BR442" s="339">
        <v>0</v>
      </c>
      <c r="BS442" s="110" t="e">
        <f t="array" aca="1" ref="BS442" ca="1">_xludf.XLOOKUP(D442,'PL TOTAL D0'!N:N,'PL TOTAL D0'!P:P,"")</f>
        <v>#NAME?</v>
      </c>
      <c r="BT442" s="110"/>
    </row>
    <row r="443" spans="1:72" ht="15.75" customHeight="1">
      <c r="A443" s="122" t="s">
        <v>3785</v>
      </c>
      <c r="B443" s="104" t="s">
        <v>5080</v>
      </c>
      <c r="C443" s="122" t="s">
        <v>5081</v>
      </c>
      <c r="D443" s="292">
        <v>4425136</v>
      </c>
      <c r="E443" s="292" t="s">
        <v>19</v>
      </c>
      <c r="F443" s="292" t="s">
        <v>20</v>
      </c>
      <c r="G443" s="292" t="s">
        <v>3793</v>
      </c>
      <c r="H443" s="292" t="str">
        <f>IFERROR(VLOOKUP(G443,'Cadastro de assessores'!A:B,2,FALSE),"Não Cadastrado")</f>
        <v>17679</v>
      </c>
      <c r="I443" s="292"/>
      <c r="J443" s="24" t="s">
        <v>143</v>
      </c>
      <c r="K443" s="292" t="s">
        <v>3794</v>
      </c>
      <c r="L443" s="387">
        <v>44096</v>
      </c>
      <c r="M443" s="387">
        <v>44096</v>
      </c>
      <c r="N443" s="387">
        <v>44448</v>
      </c>
      <c r="O443" s="292" t="s">
        <v>3795</v>
      </c>
      <c r="P443" s="388">
        <v>1.4999999999999999E-2</v>
      </c>
      <c r="Q443" s="420" t="s">
        <v>5082</v>
      </c>
      <c r="R443" s="417"/>
      <c r="S443" s="292" t="str">
        <f t="shared" si="46"/>
        <v/>
      </c>
      <c r="T443" s="292" t="s">
        <v>145</v>
      </c>
      <c r="U443" s="292" t="s">
        <v>3823</v>
      </c>
      <c r="V443" s="292" t="s">
        <v>20</v>
      </c>
      <c r="W443" s="418" t="s">
        <v>3798</v>
      </c>
      <c r="X443" s="418" t="s">
        <v>3798</v>
      </c>
      <c r="Y443" s="418" t="s">
        <v>3798</v>
      </c>
      <c r="Z443" s="418" t="s">
        <v>3798</v>
      </c>
      <c r="AA443" s="418" t="s">
        <v>3798</v>
      </c>
      <c r="AB443" s="418" t="s">
        <v>3798</v>
      </c>
      <c r="AC443" s="418" t="s">
        <v>3798</v>
      </c>
      <c r="AD443" s="418" t="s">
        <v>3798</v>
      </c>
      <c r="AE443" s="418" t="s">
        <v>3798</v>
      </c>
      <c r="AF443" s="418" t="s">
        <v>3798</v>
      </c>
      <c r="AG443" s="418" t="s">
        <v>3798</v>
      </c>
      <c r="AH443" s="418" t="s">
        <v>5083</v>
      </c>
      <c r="AI443" s="418" t="s">
        <v>5084</v>
      </c>
      <c r="AJ443" s="418" t="s">
        <v>5085</v>
      </c>
      <c r="AK443" s="339">
        <v>116448.42</v>
      </c>
      <c r="AL443" s="339">
        <v>114005.63</v>
      </c>
      <c r="AM443" s="339">
        <v>110864.65</v>
      </c>
      <c r="AN443" s="339">
        <v>110873.34</v>
      </c>
      <c r="AO443" s="339">
        <v>113167.14</v>
      </c>
      <c r="AP443" s="339">
        <v>113921.69</v>
      </c>
      <c r="AQ443" s="339">
        <v>113422.14</v>
      </c>
      <c r="AR443" s="339">
        <v>116303.22</v>
      </c>
      <c r="AS443" s="339">
        <v>115312.93</v>
      </c>
      <c r="AT443" s="339">
        <v>112813.67</v>
      </c>
      <c r="AU443" s="339">
        <v>112027</v>
      </c>
      <c r="AV443" s="339"/>
      <c r="AW443" s="339"/>
      <c r="AX443" s="339"/>
      <c r="AY443" s="339"/>
      <c r="AZ443" s="339"/>
      <c r="BA443" s="339">
        <v>0</v>
      </c>
      <c r="BB443" s="339">
        <v>0</v>
      </c>
      <c r="BC443" s="339"/>
      <c r="BD443" s="339" t="s">
        <v>2932</v>
      </c>
      <c r="BE443" s="339" t="s">
        <v>2932</v>
      </c>
      <c r="BF443" s="339">
        <v>0</v>
      </c>
      <c r="BG443" s="339">
        <v>0</v>
      </c>
      <c r="BH443" s="339">
        <v>0</v>
      </c>
      <c r="BI443" s="339">
        <v>0</v>
      </c>
      <c r="BJ443" s="339">
        <v>0</v>
      </c>
      <c r="BK443" s="339">
        <v>0</v>
      </c>
      <c r="BL443" s="339">
        <v>0</v>
      </c>
      <c r="BM443" s="339">
        <v>0</v>
      </c>
      <c r="BN443" s="339">
        <v>0</v>
      </c>
      <c r="BO443" s="339">
        <v>0</v>
      </c>
      <c r="BP443" s="339">
        <v>0</v>
      </c>
      <c r="BQ443" s="339">
        <v>0</v>
      </c>
      <c r="BR443" s="339">
        <v>0</v>
      </c>
      <c r="BS443" s="110" t="e">
        <f t="array" aca="1" ref="BS443" ca="1">_xludf.XLOOKUP(D443,'PL TOTAL D0'!N:N,'PL TOTAL D0'!P:P,"")</f>
        <v>#NAME?</v>
      </c>
      <c r="BT443" s="110"/>
    </row>
    <row r="444" spans="1:72" ht="15.75" customHeight="1">
      <c r="A444" s="122" t="s">
        <v>3785</v>
      </c>
      <c r="B444" s="104" t="s">
        <v>5086</v>
      </c>
      <c r="C444" s="122" t="s">
        <v>5087</v>
      </c>
      <c r="D444" s="292">
        <v>4655754</v>
      </c>
      <c r="E444" s="293" t="s">
        <v>64</v>
      </c>
      <c r="F444" s="293" t="s">
        <v>20</v>
      </c>
      <c r="G444" s="293" t="s">
        <v>4472</v>
      </c>
      <c r="H444" s="293" t="str">
        <f>IFERROR(VLOOKUP(G444,'Cadastro de assessores'!A:B,2,FALSE),"Não Cadastrado")</f>
        <v>14244</v>
      </c>
      <c r="I444" s="293"/>
      <c r="J444" s="24" t="s">
        <v>3788</v>
      </c>
      <c r="K444" s="293" t="s">
        <v>152</v>
      </c>
      <c r="L444" s="416">
        <v>44173</v>
      </c>
      <c r="M444" s="416">
        <v>44180</v>
      </c>
      <c r="N444" s="292"/>
      <c r="O444" s="292" t="s">
        <v>3795</v>
      </c>
      <c r="P444" s="388">
        <v>1.4999999999999999E-2</v>
      </c>
      <c r="Q444" s="420"/>
      <c r="R444" s="417"/>
      <c r="S444" s="292" t="str">
        <f t="shared" si="46"/>
        <v/>
      </c>
      <c r="T444" s="292" t="s">
        <v>145</v>
      </c>
      <c r="U444" s="292" t="s">
        <v>3929</v>
      </c>
      <c r="V444" s="292" t="s">
        <v>20</v>
      </c>
      <c r="W444" s="418" t="s">
        <v>3798</v>
      </c>
      <c r="X444" s="418" t="s">
        <v>3798</v>
      </c>
      <c r="Y444" s="418" t="s">
        <v>3798</v>
      </c>
      <c r="Z444" s="418" t="s">
        <v>3798</v>
      </c>
      <c r="AA444" s="418" t="s">
        <v>3798</v>
      </c>
      <c r="AB444" s="418" t="s">
        <v>3798</v>
      </c>
      <c r="AC444" s="418" t="s">
        <v>3798</v>
      </c>
      <c r="AD444" s="418" t="s">
        <v>3798</v>
      </c>
      <c r="AE444" s="418" t="s">
        <v>3798</v>
      </c>
      <c r="AF444" s="418" t="s">
        <v>3798</v>
      </c>
      <c r="AG444" s="418" t="s">
        <v>3798</v>
      </c>
      <c r="AH444" s="418" t="s">
        <v>3798</v>
      </c>
      <c r="AI444" s="418" t="s">
        <v>3798</v>
      </c>
      <c r="AJ444" s="418" t="s">
        <v>3798</v>
      </c>
      <c r="AK444" s="339">
        <v>293621.33</v>
      </c>
      <c r="AL444" s="339">
        <v>289262.8</v>
      </c>
      <c r="AM444" s="339">
        <v>282238.95</v>
      </c>
      <c r="AN444" s="339">
        <v>282408.96999999997</v>
      </c>
      <c r="AO444" s="339">
        <v>289242.76</v>
      </c>
      <c r="AP444" s="339">
        <v>285986.24</v>
      </c>
      <c r="AQ444" s="339">
        <v>273810.39</v>
      </c>
      <c r="AR444" s="339">
        <v>280671.12</v>
      </c>
      <c r="AS444" s="339">
        <v>261361.17</v>
      </c>
      <c r="AT444" s="339">
        <v>225654.66</v>
      </c>
      <c r="AU444" s="339">
        <v>195877.82</v>
      </c>
      <c r="AV444" s="339">
        <v>173675.51</v>
      </c>
      <c r="AW444" s="339">
        <v>154705.63</v>
      </c>
      <c r="AX444" s="339">
        <v>134581.1</v>
      </c>
      <c r="AY444" s="339">
        <v>129709.93</v>
      </c>
      <c r="AZ444" s="339">
        <v>119877.92</v>
      </c>
      <c r="BA444" s="339">
        <v>99631.17</v>
      </c>
      <c r="BB444" s="339">
        <v>103551.12</v>
      </c>
      <c r="BC444" s="339"/>
      <c r="BD444" s="339">
        <v>94181.04</v>
      </c>
      <c r="BE444" s="339">
        <v>93591.31</v>
      </c>
      <c r="BF444" s="339">
        <v>95292.79</v>
      </c>
      <c r="BG444" s="339">
        <v>95601.653080000004</v>
      </c>
      <c r="BH444" s="339">
        <v>95839.71</v>
      </c>
      <c r="BI444" s="339">
        <v>99380.01</v>
      </c>
      <c r="BJ444" s="339">
        <v>98805.98</v>
      </c>
      <c r="BK444" s="339">
        <v>99474.59</v>
      </c>
      <c r="BL444" s="339">
        <v>943.21</v>
      </c>
      <c r="BM444" s="339">
        <v>831.1</v>
      </c>
      <c r="BN444" s="339">
        <v>831.1</v>
      </c>
      <c r="BO444" s="339">
        <v>831.1</v>
      </c>
      <c r="BP444" s="339">
        <v>831.1</v>
      </c>
      <c r="BQ444" s="339">
        <v>831.1</v>
      </c>
      <c r="BR444" s="339">
        <v>0</v>
      </c>
      <c r="BS444" s="110" t="e">
        <f t="array" aca="1" ref="BS444" ca="1">_xludf.XLOOKUP(D444,'PL TOTAL D0'!N:N,'PL TOTAL D0'!P:P,"")</f>
        <v>#NAME?</v>
      </c>
      <c r="BT444" s="110"/>
    </row>
    <row r="445" spans="1:72" ht="15.75" customHeight="1">
      <c r="A445" s="122" t="s">
        <v>3785</v>
      </c>
      <c r="B445" s="104" t="s">
        <v>5088</v>
      </c>
      <c r="C445" s="122" t="s">
        <v>5089</v>
      </c>
      <c r="D445" s="292">
        <v>7782720</v>
      </c>
      <c r="E445" s="293" t="s">
        <v>64</v>
      </c>
      <c r="F445" s="293" t="s">
        <v>20</v>
      </c>
      <c r="G445" s="293" t="s">
        <v>4267</v>
      </c>
      <c r="H445" s="293">
        <f>IFERROR(VLOOKUP(G445,'Cadastro de assessores'!A:B,2,FALSE),"Não Cadastrado")</f>
        <v>12330</v>
      </c>
      <c r="I445" s="293"/>
      <c r="J445" s="24" t="s">
        <v>3788</v>
      </c>
      <c r="K445" s="293" t="s">
        <v>152</v>
      </c>
      <c r="L445" s="423">
        <v>44588</v>
      </c>
      <c r="M445" s="423">
        <v>44595</v>
      </c>
      <c r="N445" s="292"/>
      <c r="O445" s="292" t="s">
        <v>3802</v>
      </c>
      <c r="P445" s="388">
        <v>7.0000000000000001E-3</v>
      </c>
      <c r="Q445" s="420"/>
      <c r="R445" s="417"/>
      <c r="S445" s="292" t="str">
        <f t="shared" si="46"/>
        <v>Não Qualificado</v>
      </c>
      <c r="T445" s="292" t="s">
        <v>145</v>
      </c>
      <c r="U445" s="292" t="s">
        <v>3923</v>
      </c>
      <c r="V445" s="292" t="s">
        <v>20</v>
      </c>
      <c r="W445" s="418"/>
      <c r="X445" s="418"/>
      <c r="Y445" s="418"/>
      <c r="Z445" s="418"/>
      <c r="AA445" s="418"/>
      <c r="AB445" s="418"/>
      <c r="AC445" s="418"/>
      <c r="AD445" s="418"/>
      <c r="AE445" s="418"/>
      <c r="AF445" s="418"/>
      <c r="AG445" s="418"/>
      <c r="AH445" s="418"/>
      <c r="AI445" s="418"/>
      <c r="AJ445" s="418"/>
      <c r="AK445" s="339"/>
      <c r="AL445" s="339"/>
      <c r="AM445" s="339"/>
      <c r="AN445" s="339"/>
      <c r="AO445" s="339"/>
      <c r="AP445" s="339"/>
      <c r="AQ445" s="339"/>
      <c r="AR445" s="339"/>
      <c r="AS445" s="339"/>
      <c r="AT445" s="339"/>
      <c r="AU445" s="339"/>
      <c r="AV445" s="339"/>
      <c r="AW445" s="339"/>
      <c r="AX445" s="339"/>
      <c r="AY445" s="339"/>
      <c r="AZ445" s="339"/>
      <c r="BA445" s="339">
        <v>100697.8</v>
      </c>
      <c r="BB445" s="339">
        <v>101876.02</v>
      </c>
      <c r="BC445" s="339">
        <v>126550.51</v>
      </c>
      <c r="BD445" s="339">
        <v>104166.72</v>
      </c>
      <c r="BE445" s="339">
        <v>105095.06</v>
      </c>
      <c r="BF445" s="339">
        <v>105890.06</v>
      </c>
      <c r="BG445" s="339">
        <v>106312.713</v>
      </c>
      <c r="BH445" s="339">
        <v>106835.73</v>
      </c>
      <c r="BI445" s="339">
        <v>107515.93</v>
      </c>
      <c r="BJ445" s="339">
        <v>108440.44</v>
      </c>
      <c r="BK445" s="339">
        <v>109280.88</v>
      </c>
      <c r="BL445" s="339">
        <v>110426.5</v>
      </c>
      <c r="BM445" s="339">
        <v>0</v>
      </c>
      <c r="BN445" s="339">
        <v>-21.91</v>
      </c>
      <c r="BO445" s="339">
        <v>-21.91</v>
      </c>
      <c r="BP445" s="339">
        <v>-21.91</v>
      </c>
      <c r="BQ445" s="339">
        <v>-21.91</v>
      </c>
      <c r="BR445" s="339">
        <v>-21.91</v>
      </c>
      <c r="BS445" s="110" t="e">
        <f t="array" aca="1" ref="BS445" ca="1">_xludf.XLOOKUP(D445,'PL TOTAL D0'!N:N,'PL TOTAL D0'!P:P,"")</f>
        <v>#NAME?</v>
      </c>
      <c r="BT445" s="110"/>
    </row>
    <row r="446" spans="1:72" ht="15.75" customHeight="1">
      <c r="A446" s="122" t="s">
        <v>3785</v>
      </c>
      <c r="B446" s="104" t="s">
        <v>2405</v>
      </c>
      <c r="C446" s="122" t="s">
        <v>5090</v>
      </c>
      <c r="D446" s="292">
        <v>475798</v>
      </c>
      <c r="E446" s="292" t="s">
        <v>19</v>
      </c>
      <c r="F446" s="292" t="s">
        <v>49</v>
      </c>
      <c r="G446" s="292" t="s">
        <v>50</v>
      </c>
      <c r="H446" s="299">
        <v>12331</v>
      </c>
      <c r="I446" s="299"/>
      <c r="J446" s="24" t="s">
        <v>3788</v>
      </c>
      <c r="K446" s="292" t="s">
        <v>152</v>
      </c>
      <c r="L446" s="423">
        <v>44715</v>
      </c>
      <c r="M446" s="423">
        <v>44715</v>
      </c>
      <c r="N446" s="387"/>
      <c r="O446" s="292" t="s">
        <v>3805</v>
      </c>
      <c r="P446" s="388">
        <v>1.2E-2</v>
      </c>
      <c r="Q446" s="420" t="s">
        <v>4084</v>
      </c>
      <c r="R446" s="417"/>
      <c r="S446" s="292"/>
      <c r="T446" s="292" t="s">
        <v>145</v>
      </c>
      <c r="U446" s="292" t="s">
        <v>3841</v>
      </c>
      <c r="V446" s="292" t="s">
        <v>49</v>
      </c>
      <c r="W446" s="418"/>
      <c r="X446" s="418"/>
      <c r="Y446" s="418"/>
      <c r="Z446" s="418"/>
      <c r="AA446" s="418"/>
      <c r="AB446" s="418"/>
      <c r="AC446" s="418"/>
      <c r="AD446" s="418"/>
      <c r="AE446" s="418"/>
      <c r="AF446" s="418"/>
      <c r="AG446" s="418"/>
      <c r="AH446" s="418"/>
      <c r="AI446" s="418"/>
      <c r="AJ446" s="418"/>
      <c r="AK446" s="339"/>
      <c r="AL446" s="339"/>
      <c r="AM446" s="339"/>
      <c r="AN446" s="339"/>
      <c r="AO446" s="339"/>
      <c r="AP446" s="339"/>
      <c r="AQ446" s="339"/>
      <c r="AR446" s="339"/>
      <c r="AS446" s="339"/>
      <c r="AT446" s="339"/>
      <c r="AU446" s="339"/>
      <c r="AV446" s="339"/>
      <c r="AW446" s="339"/>
      <c r="AX446" s="339"/>
      <c r="AY446" s="339"/>
      <c r="AZ446" s="339"/>
      <c r="BA446" s="339"/>
      <c r="BB446" s="339"/>
      <c r="BC446" s="339"/>
      <c r="BD446" s="339" t="s">
        <v>2932</v>
      </c>
      <c r="BE446" s="339">
        <v>789633.81</v>
      </c>
      <c r="BF446" s="339">
        <v>766890.05</v>
      </c>
      <c r="BG446" s="339">
        <v>779279.05729999999</v>
      </c>
      <c r="BH446" s="339">
        <v>779969.45</v>
      </c>
      <c r="BI446" s="339">
        <v>787891.46</v>
      </c>
      <c r="BJ446" s="339">
        <v>796251.98</v>
      </c>
      <c r="BK446" s="339">
        <v>851704.45</v>
      </c>
      <c r="BL446" s="339">
        <v>220013.09</v>
      </c>
      <c r="BM446" s="339">
        <v>26478.63</v>
      </c>
      <c r="BN446" s="339">
        <v>26818.01</v>
      </c>
      <c r="BO446" s="339">
        <v>27030.62</v>
      </c>
      <c r="BP446" s="339">
        <v>0</v>
      </c>
      <c r="BQ446" s="339">
        <v>0</v>
      </c>
      <c r="BR446" s="339">
        <v>0</v>
      </c>
      <c r="BS446" s="110" t="e">
        <f t="array" aca="1" ref="BS446" ca="1">_xludf.XLOOKUP(D446,'PL TOTAL D0'!N:N,'PL TOTAL D0'!P:P,"")</f>
        <v>#NAME?</v>
      </c>
      <c r="BT446" s="110"/>
    </row>
    <row r="447" spans="1:72" ht="15.75" customHeight="1">
      <c r="A447" s="122" t="s">
        <v>3785</v>
      </c>
      <c r="B447" s="104" t="s">
        <v>5091</v>
      </c>
      <c r="C447" s="122" t="s">
        <v>5092</v>
      </c>
      <c r="D447" s="292">
        <v>4493392</v>
      </c>
      <c r="E447" s="292" t="s">
        <v>19</v>
      </c>
      <c r="F447" s="292" t="s">
        <v>20</v>
      </c>
      <c r="G447" s="292" t="s">
        <v>3793</v>
      </c>
      <c r="H447" s="292" t="str">
        <f>IFERROR(VLOOKUP(G447,'Cadastro de assessores'!A:B,2,FALSE),"Não Cadastrado")</f>
        <v>17679</v>
      </c>
      <c r="I447" s="292"/>
      <c r="J447" s="24" t="s">
        <v>143</v>
      </c>
      <c r="K447" s="292" t="s">
        <v>3794</v>
      </c>
      <c r="L447" s="419">
        <v>44147</v>
      </c>
      <c r="M447" s="419">
        <v>44147</v>
      </c>
      <c r="N447" s="387">
        <v>44445</v>
      </c>
      <c r="O447" s="292" t="s">
        <v>3805</v>
      </c>
      <c r="P447" s="388">
        <v>1.2E-2</v>
      </c>
      <c r="Q447" s="420" t="s">
        <v>5093</v>
      </c>
      <c r="R447" s="417"/>
      <c r="S447" s="292" t="str">
        <f t="shared" ref="S447:S454" si="47">IF(BC447&lt;=0,"",IF(BC447&lt;=1000000,"Não Qualificado",IF(AND(BC447&gt;1000000,BC447&lt;=10000000),"Qualificado","Profissional")))</f>
        <v>Não Qualificado</v>
      </c>
      <c r="T447" s="292" t="s">
        <v>145</v>
      </c>
      <c r="U447" s="292" t="s">
        <v>4223</v>
      </c>
      <c r="V447" s="292" t="s">
        <v>3647</v>
      </c>
      <c r="W447" s="418" t="s">
        <v>3798</v>
      </c>
      <c r="X447" s="418" t="s">
        <v>3798</v>
      </c>
      <c r="Y447" s="418" t="s">
        <v>3798</v>
      </c>
      <c r="Z447" s="418" t="s">
        <v>3798</v>
      </c>
      <c r="AA447" s="418" t="s">
        <v>3798</v>
      </c>
      <c r="AB447" s="418" t="s">
        <v>3798</v>
      </c>
      <c r="AC447" s="418" t="s">
        <v>3798</v>
      </c>
      <c r="AD447" s="418" t="s">
        <v>3798</v>
      </c>
      <c r="AE447" s="418" t="s">
        <v>3798</v>
      </c>
      <c r="AF447" s="418" t="s">
        <v>3798</v>
      </c>
      <c r="AG447" s="418" t="s">
        <v>3798</v>
      </c>
      <c r="AH447" s="418" t="s">
        <v>3798</v>
      </c>
      <c r="AI447" s="418" t="s">
        <v>3798</v>
      </c>
      <c r="AJ447" s="418" t="s">
        <v>5094</v>
      </c>
      <c r="AK447" s="339">
        <v>199070.43</v>
      </c>
      <c r="AL447" s="339">
        <v>257304.22</v>
      </c>
      <c r="AM447" s="339">
        <v>314260.32</v>
      </c>
      <c r="AN447" s="339">
        <v>314578.5</v>
      </c>
      <c r="AO447" s="339">
        <v>318918.40999999997</v>
      </c>
      <c r="AP447" s="339">
        <v>420295.45</v>
      </c>
      <c r="AQ447" s="339">
        <v>419261.52</v>
      </c>
      <c r="AR447" s="339">
        <v>465937.22</v>
      </c>
      <c r="AS447" s="339">
        <v>524682.30000000005</v>
      </c>
      <c r="AT447" s="339">
        <v>539973.39</v>
      </c>
      <c r="AU447" s="339">
        <v>605680.82999999996</v>
      </c>
      <c r="AV447" s="339"/>
      <c r="AW447" s="339"/>
      <c r="AX447" s="339"/>
      <c r="AY447" s="339"/>
      <c r="AZ447" s="339"/>
      <c r="BA447" s="339">
        <v>0</v>
      </c>
      <c r="BB447" s="339">
        <v>0</v>
      </c>
      <c r="BC447" s="339">
        <v>159.76</v>
      </c>
      <c r="BD447" s="339" t="s">
        <v>2932</v>
      </c>
      <c r="BE447" s="339" t="s">
        <v>2932</v>
      </c>
      <c r="BF447" s="339">
        <v>0</v>
      </c>
      <c r="BG447" s="339">
        <v>0</v>
      </c>
      <c r="BH447" s="339">
        <v>0</v>
      </c>
      <c r="BI447" s="339">
        <v>0</v>
      </c>
      <c r="BJ447" s="339">
        <v>0</v>
      </c>
      <c r="BK447" s="339">
        <v>0</v>
      </c>
      <c r="BL447" s="339">
        <v>0</v>
      </c>
      <c r="BM447" s="339">
        <v>0</v>
      </c>
      <c r="BN447" s="339">
        <v>0</v>
      </c>
      <c r="BO447" s="339">
        <v>0</v>
      </c>
      <c r="BP447" s="339">
        <v>0</v>
      </c>
      <c r="BQ447" s="339">
        <v>0</v>
      </c>
      <c r="BR447" s="339">
        <v>0</v>
      </c>
      <c r="BS447" s="110" t="e">
        <f t="array" aca="1" ref="BS447" ca="1">_xludf.XLOOKUP(D447,'PL TOTAL D0'!N:N,'PL TOTAL D0'!P:P,"")</f>
        <v>#NAME?</v>
      </c>
      <c r="BT447" s="110"/>
    </row>
    <row r="448" spans="1:72" ht="15.75" customHeight="1">
      <c r="A448" s="122" t="s">
        <v>3785</v>
      </c>
      <c r="B448" s="104" t="s">
        <v>5095</v>
      </c>
      <c r="C448" s="122" t="s">
        <v>5096</v>
      </c>
      <c r="D448" s="292">
        <v>4757223</v>
      </c>
      <c r="E448" s="293" t="s">
        <v>19</v>
      </c>
      <c r="F448" s="293" t="s">
        <v>49</v>
      </c>
      <c r="G448" s="293" t="s">
        <v>328</v>
      </c>
      <c r="H448" s="293" t="str">
        <f>IFERROR(VLOOKUP(G448,'Cadastro de assessores'!A:B,2,FALSE),"Não Cadastrado")</f>
        <v>18009</v>
      </c>
      <c r="I448" s="293"/>
      <c r="J448" s="24" t="s">
        <v>3788</v>
      </c>
      <c r="K448" s="293" t="s">
        <v>152</v>
      </c>
      <c r="L448" s="415">
        <v>44210</v>
      </c>
      <c r="M448" s="415">
        <v>44210</v>
      </c>
      <c r="N448" s="292"/>
      <c r="O448" s="292" t="s">
        <v>3795</v>
      </c>
      <c r="P448" s="388">
        <v>1.4999999999999999E-2</v>
      </c>
      <c r="Q448" s="420"/>
      <c r="R448" s="417"/>
      <c r="S448" s="292" t="str">
        <f t="shared" si="47"/>
        <v/>
      </c>
      <c r="T448" s="292" t="s">
        <v>145</v>
      </c>
      <c r="U448" s="292" t="s">
        <v>4049</v>
      </c>
      <c r="V448" s="292" t="s">
        <v>886</v>
      </c>
      <c r="W448" s="418"/>
      <c r="X448" s="418"/>
      <c r="Y448" s="418"/>
      <c r="Z448" s="418"/>
      <c r="AA448" s="418"/>
      <c r="AB448" s="418"/>
      <c r="AC448" s="418"/>
      <c r="AD448" s="418"/>
      <c r="AE448" s="418"/>
      <c r="AF448" s="418"/>
      <c r="AG448" s="418"/>
      <c r="AH448" s="418"/>
      <c r="AI448" s="418"/>
      <c r="AJ448" s="418"/>
      <c r="AK448" s="339"/>
      <c r="AL448" s="339">
        <v>48755.63</v>
      </c>
      <c r="AM448" s="339">
        <v>47323.65</v>
      </c>
      <c r="AN448" s="339">
        <v>47558.49</v>
      </c>
      <c r="AO448" s="339">
        <v>48849.440000000002</v>
      </c>
      <c r="AP448" s="339">
        <v>49134.61</v>
      </c>
      <c r="AQ448" s="339">
        <v>48927.71</v>
      </c>
      <c r="AR448" s="339">
        <v>50071.6</v>
      </c>
      <c r="AS448" s="339">
        <v>49729.17</v>
      </c>
      <c r="AT448" s="339">
        <v>48769.14</v>
      </c>
      <c r="AU448" s="339">
        <v>48499.44</v>
      </c>
      <c r="AV448" s="339">
        <v>47658.1</v>
      </c>
      <c r="AW448" s="339">
        <v>46017.56</v>
      </c>
      <c r="AX448" s="339">
        <v>46010.28</v>
      </c>
      <c r="AY448" s="339">
        <v>46554.11</v>
      </c>
      <c r="AZ448" s="339">
        <v>47950.79</v>
      </c>
      <c r="BA448" s="339">
        <v>48340.53</v>
      </c>
      <c r="BB448" s="339">
        <v>50064.639999999999</v>
      </c>
      <c r="BC448" s="339"/>
      <c r="BD448" s="339">
        <v>49618.98</v>
      </c>
      <c r="BE448" s="339">
        <v>49406.27</v>
      </c>
      <c r="BF448" s="339">
        <v>50551.6</v>
      </c>
      <c r="BG448" s="339">
        <v>51056.363210000003</v>
      </c>
      <c r="BH448" s="339">
        <v>51066.43</v>
      </c>
      <c r="BI448" s="339">
        <v>63152.38</v>
      </c>
      <c r="BJ448" s="339">
        <v>62985.31</v>
      </c>
      <c r="BK448" s="339">
        <v>63455.16</v>
      </c>
      <c r="BL448" s="339">
        <v>64092.78</v>
      </c>
      <c r="BM448" s="339">
        <v>40610.22</v>
      </c>
      <c r="BN448" s="339">
        <v>0</v>
      </c>
      <c r="BO448" s="339">
        <v>0</v>
      </c>
      <c r="BP448" s="339">
        <v>0</v>
      </c>
      <c r="BQ448" s="339">
        <v>0</v>
      </c>
      <c r="BR448" s="339">
        <v>0</v>
      </c>
      <c r="BS448" s="110" t="e">
        <f t="array" aca="1" ref="BS448" ca="1">_xludf.XLOOKUP(D448,'PL TOTAL D0'!N:N,'PL TOTAL D0'!P:P,"")</f>
        <v>#NAME?</v>
      </c>
      <c r="BT448" s="110"/>
    </row>
    <row r="449" spans="1:72" ht="15.75" customHeight="1">
      <c r="A449" s="122" t="s">
        <v>3785</v>
      </c>
      <c r="B449" s="104" t="s">
        <v>5097</v>
      </c>
      <c r="C449" s="122" t="s">
        <v>5098</v>
      </c>
      <c r="D449" s="292">
        <v>4491063</v>
      </c>
      <c r="E449" s="292" t="s">
        <v>19</v>
      </c>
      <c r="F449" s="292" t="s">
        <v>20</v>
      </c>
      <c r="G449" s="292" t="s">
        <v>3793</v>
      </c>
      <c r="H449" s="292" t="str">
        <f>IFERROR(VLOOKUP(G449,'Cadastro de assessores'!A:B,2,FALSE),"Não Cadastrado")</f>
        <v>17679</v>
      </c>
      <c r="I449" s="292"/>
      <c r="J449" s="24" t="s">
        <v>143</v>
      </c>
      <c r="K449" s="292" t="s">
        <v>3794</v>
      </c>
      <c r="L449" s="419">
        <v>44120</v>
      </c>
      <c r="M449" s="419">
        <v>44120</v>
      </c>
      <c r="N449" s="387">
        <v>44452</v>
      </c>
      <c r="O449" s="292" t="s">
        <v>3795</v>
      </c>
      <c r="P449" s="388">
        <v>1.4999999999999999E-2</v>
      </c>
      <c r="Q449" s="420" t="s">
        <v>5099</v>
      </c>
      <c r="R449" s="417"/>
      <c r="S449" s="292" t="str">
        <f t="shared" si="47"/>
        <v>Não Qualificado</v>
      </c>
      <c r="T449" s="292" t="s">
        <v>145</v>
      </c>
      <c r="U449" s="292" t="s">
        <v>3929</v>
      </c>
      <c r="V449" s="292" t="s">
        <v>20</v>
      </c>
      <c r="W449" s="418" t="s">
        <v>3798</v>
      </c>
      <c r="X449" s="418" t="s">
        <v>3798</v>
      </c>
      <c r="Y449" s="418" t="s">
        <v>3798</v>
      </c>
      <c r="Z449" s="418" t="s">
        <v>3798</v>
      </c>
      <c r="AA449" s="418" t="s">
        <v>3798</v>
      </c>
      <c r="AB449" s="418" t="s">
        <v>3798</v>
      </c>
      <c r="AC449" s="418" t="s">
        <v>3798</v>
      </c>
      <c r="AD449" s="418" t="s">
        <v>3798</v>
      </c>
      <c r="AE449" s="418" t="s">
        <v>3798</v>
      </c>
      <c r="AF449" s="418" t="s">
        <v>3798</v>
      </c>
      <c r="AG449" s="418" t="s">
        <v>3798</v>
      </c>
      <c r="AH449" s="418" t="s">
        <v>3798</v>
      </c>
      <c r="AI449" s="418" t="s">
        <v>5100</v>
      </c>
      <c r="AJ449" s="418" t="s">
        <v>5101</v>
      </c>
      <c r="AK449" s="339">
        <v>121972.54</v>
      </c>
      <c r="AL449" s="339">
        <v>119090.45</v>
      </c>
      <c r="AM449" s="339">
        <v>115342.26</v>
      </c>
      <c r="AN449" s="339">
        <v>115338.67</v>
      </c>
      <c r="AO449" s="339">
        <v>118445.78</v>
      </c>
      <c r="AP449" s="339">
        <v>119144.48</v>
      </c>
      <c r="AQ449" s="339">
        <v>118660.97</v>
      </c>
      <c r="AR449" s="339">
        <v>121488.08</v>
      </c>
      <c r="AS449" s="339">
        <v>120563.64</v>
      </c>
      <c r="AT449" s="339">
        <v>118396.34</v>
      </c>
      <c r="AU449" s="339">
        <v>117576.07</v>
      </c>
      <c r="AV449" s="339"/>
      <c r="AW449" s="339"/>
      <c r="AX449" s="339"/>
      <c r="AY449" s="339"/>
      <c r="AZ449" s="339"/>
      <c r="BA449" s="339">
        <v>0</v>
      </c>
      <c r="BB449" s="339">
        <v>0</v>
      </c>
      <c r="BC449" s="339">
        <v>26288.44</v>
      </c>
      <c r="BD449" s="339" t="s">
        <v>2932</v>
      </c>
      <c r="BE449" s="339" t="s">
        <v>2932</v>
      </c>
      <c r="BF449" s="339">
        <v>0</v>
      </c>
      <c r="BG449" s="339">
        <v>0</v>
      </c>
      <c r="BH449" s="339">
        <v>0</v>
      </c>
      <c r="BI449" s="339">
        <v>0</v>
      </c>
      <c r="BJ449" s="339">
        <v>0</v>
      </c>
      <c r="BK449" s="339">
        <v>0</v>
      </c>
      <c r="BL449" s="339">
        <v>0</v>
      </c>
      <c r="BM449" s="339">
        <v>0</v>
      </c>
      <c r="BN449" s="339">
        <v>0</v>
      </c>
      <c r="BO449" s="339">
        <v>0</v>
      </c>
      <c r="BP449" s="339">
        <v>0</v>
      </c>
      <c r="BQ449" s="339">
        <v>0</v>
      </c>
      <c r="BR449" s="339">
        <v>0</v>
      </c>
      <c r="BS449" s="110" t="e">
        <f t="array" aca="1" ref="BS449" ca="1">_xludf.XLOOKUP(D449,'PL TOTAL D0'!N:N,'PL TOTAL D0'!P:P,"")</f>
        <v>#NAME?</v>
      </c>
      <c r="BT449" s="110"/>
    </row>
    <row r="450" spans="1:72" ht="15.75" customHeight="1">
      <c r="A450" s="122" t="s">
        <v>3785</v>
      </c>
      <c r="B450" s="104" t="s">
        <v>5102</v>
      </c>
      <c r="C450" s="390" t="s">
        <v>5103</v>
      </c>
      <c r="D450" s="299">
        <v>4740849</v>
      </c>
      <c r="E450" s="292" t="s">
        <v>64</v>
      </c>
      <c r="F450" s="292" t="s">
        <v>20</v>
      </c>
      <c r="G450" s="292" t="s">
        <v>4128</v>
      </c>
      <c r="H450" s="292" t="str">
        <f>IFERROR(VLOOKUP(G450,'Cadastro de assessores'!A:B,2,FALSE),"Não Cadastrado")</f>
        <v>17489</v>
      </c>
      <c r="I450" s="292"/>
      <c r="J450" s="24" t="s">
        <v>143</v>
      </c>
      <c r="K450" s="292" t="s">
        <v>3794</v>
      </c>
      <c r="L450" s="387">
        <v>44320</v>
      </c>
      <c r="M450" s="387">
        <v>44320</v>
      </c>
      <c r="N450" s="387">
        <v>44684</v>
      </c>
      <c r="O450" s="292" t="s">
        <v>3789</v>
      </c>
      <c r="P450" s="388">
        <v>0.02</v>
      </c>
      <c r="Q450" s="167" t="s">
        <v>5104</v>
      </c>
      <c r="R450" s="417"/>
      <c r="S450" s="292" t="str">
        <f t="shared" si="47"/>
        <v/>
      </c>
      <c r="T450" s="292" t="s">
        <v>145</v>
      </c>
      <c r="U450" s="299" t="s">
        <v>3816</v>
      </c>
      <c r="V450" s="299" t="s">
        <v>20</v>
      </c>
      <c r="W450" s="350"/>
      <c r="X450" s="350"/>
      <c r="Y450" s="350"/>
      <c r="Z450" s="350"/>
      <c r="AA450" s="350"/>
      <c r="AB450" s="350"/>
      <c r="AC450" s="350"/>
      <c r="AD450" s="350"/>
      <c r="AE450" s="350"/>
      <c r="AF450" s="350"/>
      <c r="AG450" s="350"/>
      <c r="AH450" s="350"/>
      <c r="AI450" s="350"/>
      <c r="AJ450" s="350"/>
      <c r="AK450" s="350"/>
      <c r="AL450" s="339"/>
      <c r="AM450" s="339"/>
      <c r="AN450" s="339"/>
      <c r="AO450" s="339"/>
      <c r="AP450" s="339"/>
      <c r="AQ450" s="339"/>
      <c r="AR450" s="339">
        <v>212137.89</v>
      </c>
      <c r="AS450" s="339">
        <v>207292.2</v>
      </c>
      <c r="AT450" s="339">
        <v>196230.02</v>
      </c>
      <c r="AU450" s="339">
        <v>192094.3</v>
      </c>
      <c r="AV450" s="339">
        <v>181731.71</v>
      </c>
      <c r="AW450" s="339">
        <v>167371.93</v>
      </c>
      <c r="AX450" s="339">
        <v>165773.6</v>
      </c>
      <c r="AY450" s="339">
        <v>169095.2</v>
      </c>
      <c r="AZ450" s="339">
        <v>179967.17</v>
      </c>
      <c r="BA450" s="339">
        <v>181999.83</v>
      </c>
      <c r="BB450" s="339">
        <v>190657.24</v>
      </c>
      <c r="BC450" s="339"/>
      <c r="BD450" s="339" t="s">
        <v>2932</v>
      </c>
      <c r="BE450" s="339" t="s">
        <v>2932</v>
      </c>
      <c r="BF450" s="339">
        <v>0</v>
      </c>
      <c r="BG450" s="339">
        <v>0</v>
      </c>
      <c r="BH450" s="339">
        <v>0</v>
      </c>
      <c r="BI450" s="339">
        <v>0</v>
      </c>
      <c r="BJ450" s="339">
        <v>0</v>
      </c>
      <c r="BK450" s="339">
        <v>0</v>
      </c>
      <c r="BL450" s="339">
        <v>0</v>
      </c>
      <c r="BM450" s="339">
        <v>0</v>
      </c>
      <c r="BN450" s="339">
        <v>0</v>
      </c>
      <c r="BO450" s="339">
        <v>0</v>
      </c>
      <c r="BP450" s="339">
        <v>0</v>
      </c>
      <c r="BQ450" s="339">
        <v>0</v>
      </c>
      <c r="BR450" s="339">
        <v>0</v>
      </c>
      <c r="BS450" s="110" t="e">
        <f t="array" aca="1" ref="BS450" ca="1">_xludf.XLOOKUP(D450,'PL TOTAL D0'!N:N,'PL TOTAL D0'!P:P,"")</f>
        <v>#NAME?</v>
      </c>
      <c r="BT450" s="110"/>
    </row>
    <row r="451" spans="1:72" ht="15.75" customHeight="1">
      <c r="A451" s="122" t="s">
        <v>3785</v>
      </c>
      <c r="B451" s="104" t="s">
        <v>5105</v>
      </c>
      <c r="C451" s="122" t="s">
        <v>5106</v>
      </c>
      <c r="D451" s="292">
        <v>4441540</v>
      </c>
      <c r="E451" s="292" t="s">
        <v>19</v>
      </c>
      <c r="F451" s="292" t="s">
        <v>20</v>
      </c>
      <c r="G451" s="292" t="s">
        <v>3793</v>
      </c>
      <c r="H451" s="292" t="str">
        <f>IFERROR(VLOOKUP(G451,'Cadastro de assessores'!A:B,2,FALSE),"Não Cadastrado")</f>
        <v>17679</v>
      </c>
      <c r="I451" s="292"/>
      <c r="J451" s="24" t="s">
        <v>143</v>
      </c>
      <c r="K451" s="292" t="s">
        <v>3794</v>
      </c>
      <c r="L451" s="419">
        <v>44133</v>
      </c>
      <c r="M451" s="419">
        <v>44133</v>
      </c>
      <c r="N451" s="387">
        <v>44438</v>
      </c>
      <c r="O451" s="292" t="s">
        <v>3805</v>
      </c>
      <c r="P451" s="388">
        <v>1.2E-2</v>
      </c>
      <c r="Q451" s="420" t="s">
        <v>5107</v>
      </c>
      <c r="R451" s="417"/>
      <c r="S451" s="292" t="str">
        <f t="shared" si="47"/>
        <v>Não Qualificado</v>
      </c>
      <c r="T451" s="292" t="s">
        <v>145</v>
      </c>
      <c r="U451" s="292" t="s">
        <v>3846</v>
      </c>
      <c r="V451" s="292" t="s">
        <v>46</v>
      </c>
      <c r="W451" s="418" t="s">
        <v>3798</v>
      </c>
      <c r="X451" s="418" t="s">
        <v>3798</v>
      </c>
      <c r="Y451" s="418" t="s">
        <v>3798</v>
      </c>
      <c r="Z451" s="418" t="s">
        <v>3798</v>
      </c>
      <c r="AA451" s="418" t="s">
        <v>3798</v>
      </c>
      <c r="AB451" s="418" t="s">
        <v>3798</v>
      </c>
      <c r="AC451" s="418" t="s">
        <v>3798</v>
      </c>
      <c r="AD451" s="418" t="s">
        <v>3798</v>
      </c>
      <c r="AE451" s="418" t="s">
        <v>3798</v>
      </c>
      <c r="AF451" s="418" t="s">
        <v>3798</v>
      </c>
      <c r="AG451" s="418" t="s">
        <v>3798</v>
      </c>
      <c r="AH451" s="418" t="s">
        <v>3798</v>
      </c>
      <c r="AI451" s="418" t="s">
        <v>5108</v>
      </c>
      <c r="AJ451" s="418" t="s">
        <v>5109</v>
      </c>
      <c r="AK451" s="339">
        <v>156342.29</v>
      </c>
      <c r="AL451" s="339">
        <v>154699.32</v>
      </c>
      <c r="AM451" s="339">
        <v>152719.32999999999</v>
      </c>
      <c r="AN451" s="339">
        <v>152891.15</v>
      </c>
      <c r="AO451" s="339">
        <v>154355.21</v>
      </c>
      <c r="AP451" s="339">
        <v>154878.9</v>
      </c>
      <c r="AQ451" s="339">
        <v>154569.93</v>
      </c>
      <c r="AR451" s="339">
        <v>156423.12</v>
      </c>
      <c r="AS451" s="339">
        <v>156036.41</v>
      </c>
      <c r="AT451" s="339">
        <v>153642.09</v>
      </c>
      <c r="AU451" s="339">
        <v>116138.07</v>
      </c>
      <c r="AV451" s="339"/>
      <c r="AW451" s="339"/>
      <c r="AX451" s="339"/>
      <c r="AY451" s="339"/>
      <c r="AZ451" s="339"/>
      <c r="BA451" s="339">
        <v>0</v>
      </c>
      <c r="BB451" s="339">
        <v>0</v>
      </c>
      <c r="BC451" s="339">
        <v>99795.8</v>
      </c>
      <c r="BD451" s="339" t="s">
        <v>2932</v>
      </c>
      <c r="BE451" s="339" t="s">
        <v>2932</v>
      </c>
      <c r="BF451" s="339">
        <v>0</v>
      </c>
      <c r="BG451" s="339">
        <v>0</v>
      </c>
      <c r="BH451" s="339">
        <v>0</v>
      </c>
      <c r="BI451" s="339">
        <v>0</v>
      </c>
      <c r="BJ451" s="339">
        <v>0</v>
      </c>
      <c r="BK451" s="339">
        <v>0</v>
      </c>
      <c r="BL451" s="339">
        <v>0</v>
      </c>
      <c r="BM451" s="339">
        <v>0</v>
      </c>
      <c r="BN451" s="339">
        <v>0</v>
      </c>
      <c r="BO451" s="339">
        <v>0</v>
      </c>
      <c r="BP451" s="339">
        <v>0</v>
      </c>
      <c r="BQ451" s="339">
        <v>0</v>
      </c>
      <c r="BR451" s="339">
        <v>0</v>
      </c>
      <c r="BS451" s="110" t="e">
        <f t="array" aca="1" ref="BS451" ca="1">_xludf.XLOOKUP(D451,'PL TOTAL D0'!N:N,'PL TOTAL D0'!P:P,"")</f>
        <v>#NAME?</v>
      </c>
      <c r="BT451" s="110"/>
    </row>
    <row r="452" spans="1:72" ht="15.75" customHeight="1">
      <c r="A452" s="122" t="s">
        <v>3785</v>
      </c>
      <c r="B452" s="104" t="s">
        <v>5110</v>
      </c>
      <c r="C452" s="122" t="s">
        <v>5111</v>
      </c>
      <c r="D452" s="292">
        <v>3615656</v>
      </c>
      <c r="E452" s="292" t="s">
        <v>2923</v>
      </c>
      <c r="F452" s="292" t="s">
        <v>20</v>
      </c>
      <c r="G452" s="292" t="s">
        <v>2923</v>
      </c>
      <c r="H452" s="292" t="str">
        <f>IFERROR(VLOOKUP(G452,'Cadastro de assessores'!A:B,2,FALSE),"Não Cadastrado")</f>
        <v>18986</v>
      </c>
      <c r="I452" s="292"/>
      <c r="J452" s="24" t="s">
        <v>143</v>
      </c>
      <c r="K452" s="292" t="s">
        <v>3794</v>
      </c>
      <c r="L452" s="387">
        <v>43859</v>
      </c>
      <c r="M452" s="387">
        <v>43859</v>
      </c>
      <c r="N452" s="387">
        <v>44305</v>
      </c>
      <c r="O452" s="292" t="s">
        <v>3795</v>
      </c>
      <c r="P452" s="388">
        <v>1.4999999999999999E-2</v>
      </c>
      <c r="Q452" s="420" t="s">
        <v>5049</v>
      </c>
      <c r="R452" s="417"/>
      <c r="S452" s="292" t="str">
        <f t="shared" si="47"/>
        <v>Não Qualificado</v>
      </c>
      <c r="T452" s="292" t="s">
        <v>145</v>
      </c>
      <c r="U452" s="292" t="s">
        <v>5112</v>
      </c>
      <c r="V452" s="292" t="s">
        <v>20</v>
      </c>
      <c r="W452" s="418" t="s">
        <v>3798</v>
      </c>
      <c r="X452" s="418" t="s">
        <v>3798</v>
      </c>
      <c r="Y452" s="418" t="s">
        <v>3798</v>
      </c>
      <c r="Z452" s="418" t="s">
        <v>5113</v>
      </c>
      <c r="AA452" s="418" t="s">
        <v>5114</v>
      </c>
      <c r="AB452" s="418" t="s">
        <v>5115</v>
      </c>
      <c r="AC452" s="418" t="s">
        <v>5116</v>
      </c>
      <c r="AD452" s="418" t="s">
        <v>5117</v>
      </c>
      <c r="AE452" s="418" t="s">
        <v>5118</v>
      </c>
      <c r="AF452" s="418" t="s">
        <v>5119</v>
      </c>
      <c r="AG452" s="418" t="s">
        <v>5120</v>
      </c>
      <c r="AH452" s="418" t="s">
        <v>5121</v>
      </c>
      <c r="AI452" s="418" t="s">
        <v>5122</v>
      </c>
      <c r="AJ452" s="418" t="s">
        <v>5123</v>
      </c>
      <c r="AK452" s="339">
        <v>845622.72</v>
      </c>
      <c r="AL452" s="339">
        <v>823975.03</v>
      </c>
      <c r="AM452" s="339">
        <v>721960.02</v>
      </c>
      <c r="AN452" s="339">
        <v>723425.43</v>
      </c>
      <c r="AO452" s="339">
        <v>5328.73</v>
      </c>
      <c r="AP452" s="339"/>
      <c r="AQ452" s="339"/>
      <c r="AR452" s="339"/>
      <c r="AS452" s="339"/>
      <c r="AT452" s="339"/>
      <c r="AU452" s="339"/>
      <c r="AV452" s="339"/>
      <c r="AW452" s="339"/>
      <c r="AX452" s="339"/>
      <c r="AY452" s="339"/>
      <c r="AZ452" s="339"/>
      <c r="BA452" s="339">
        <v>0</v>
      </c>
      <c r="BB452" s="339">
        <v>0</v>
      </c>
      <c r="BC452" s="339">
        <v>453.21</v>
      </c>
      <c r="BD452" s="339" t="s">
        <v>2932</v>
      </c>
      <c r="BE452" s="339" t="s">
        <v>2932</v>
      </c>
      <c r="BF452" s="339">
        <v>0</v>
      </c>
      <c r="BG452" s="339">
        <v>0</v>
      </c>
      <c r="BH452" s="339">
        <v>0</v>
      </c>
      <c r="BI452" s="339">
        <v>0</v>
      </c>
      <c r="BJ452" s="339">
        <v>0</v>
      </c>
      <c r="BK452" s="339">
        <v>0</v>
      </c>
      <c r="BL452" s="339">
        <v>0</v>
      </c>
      <c r="BM452" s="339">
        <v>0</v>
      </c>
      <c r="BN452" s="339">
        <v>0</v>
      </c>
      <c r="BO452" s="339">
        <v>0</v>
      </c>
      <c r="BP452" s="339">
        <v>0</v>
      </c>
      <c r="BQ452" s="339">
        <v>0</v>
      </c>
      <c r="BR452" s="339">
        <v>0</v>
      </c>
      <c r="BS452" s="110" t="e">
        <f t="array" aca="1" ref="BS452" ca="1">_xludf.XLOOKUP(D452,'PL TOTAL D0'!N:N,'PL TOTAL D0'!P:P,"")</f>
        <v>#NAME?</v>
      </c>
      <c r="BT452" s="110"/>
    </row>
    <row r="453" spans="1:72" ht="15.75" customHeight="1">
      <c r="A453" s="122" t="s">
        <v>3785</v>
      </c>
      <c r="B453" s="104" t="s">
        <v>5124</v>
      </c>
      <c r="C453" s="390" t="s">
        <v>5125</v>
      </c>
      <c r="D453" s="292">
        <v>5892424</v>
      </c>
      <c r="E453" s="292" t="s">
        <v>19</v>
      </c>
      <c r="F453" s="292" t="s">
        <v>49</v>
      </c>
      <c r="G453" s="292" t="s">
        <v>4134</v>
      </c>
      <c r="H453" s="292" t="str">
        <f>IFERROR(VLOOKUP(G453,'Cadastro de assessores'!A:B,2,FALSE),"Não Cadastrado")</f>
        <v>14294</v>
      </c>
      <c r="I453" s="292" t="str">
        <f ca="1">IFERROR(VLOOKUP(H453,'Cadastro de assessores'!B:C,2,FALSE),"Não Cadastrado")</f>
        <v>Regular</v>
      </c>
      <c r="J453" s="24" t="s">
        <v>143</v>
      </c>
      <c r="K453" s="292" t="s">
        <v>3794</v>
      </c>
      <c r="L453" s="387">
        <v>44421</v>
      </c>
      <c r="M453" s="387">
        <v>44421</v>
      </c>
      <c r="N453" s="391">
        <v>44817</v>
      </c>
      <c r="O453" s="299" t="s">
        <v>3802</v>
      </c>
      <c r="P453" s="388">
        <v>7.0000000000000001E-3</v>
      </c>
      <c r="Q453" s="167" t="s">
        <v>5126</v>
      </c>
      <c r="R453" s="417"/>
      <c r="S453" s="292" t="str">
        <f t="shared" si="47"/>
        <v>Não Qualificado</v>
      </c>
      <c r="T453" s="292" t="s">
        <v>145</v>
      </c>
      <c r="U453" s="299" t="s">
        <v>5127</v>
      </c>
      <c r="V453" s="299" t="s">
        <v>60</v>
      </c>
      <c r="W453" s="350"/>
      <c r="X453" s="350"/>
      <c r="Y453" s="350"/>
      <c r="Z453" s="350"/>
      <c r="AA453" s="350"/>
      <c r="AB453" s="350"/>
      <c r="AC453" s="350"/>
      <c r="AD453" s="350"/>
      <c r="AE453" s="350"/>
      <c r="AF453" s="350"/>
      <c r="AG453" s="350"/>
      <c r="AH453" s="418"/>
      <c r="AI453" s="418"/>
      <c r="AJ453" s="339"/>
      <c r="AK453" s="339"/>
      <c r="AL453" s="339"/>
      <c r="AM453" s="339"/>
      <c r="AN453" s="339"/>
      <c r="AO453" s="339"/>
      <c r="AP453" s="339"/>
      <c r="AQ453" s="339"/>
      <c r="AR453" s="339"/>
      <c r="AS453" s="431"/>
      <c r="AT453" s="340"/>
      <c r="AU453" s="340">
        <v>417499.24</v>
      </c>
      <c r="AV453" s="339">
        <v>409645.54</v>
      </c>
      <c r="AW453" s="339">
        <v>404630.79</v>
      </c>
      <c r="AX453" s="339">
        <v>406481.35</v>
      </c>
      <c r="AY453" s="339">
        <v>411529.31</v>
      </c>
      <c r="AZ453" s="339">
        <v>416852.53</v>
      </c>
      <c r="BA453" s="339">
        <v>419705.44</v>
      </c>
      <c r="BB453" s="339">
        <v>424052.25</v>
      </c>
      <c r="BC453" s="339">
        <v>87676.78</v>
      </c>
      <c r="BD453" s="339">
        <v>433093.14</v>
      </c>
      <c r="BE453" s="339">
        <v>436919.72</v>
      </c>
      <c r="BF453" s="339">
        <v>440425.61</v>
      </c>
      <c r="BG453" s="339">
        <v>443087.98109999998</v>
      </c>
      <c r="BH453" s="339">
        <v>0</v>
      </c>
      <c r="BI453" s="339">
        <v>0</v>
      </c>
      <c r="BJ453" s="339">
        <v>0</v>
      </c>
      <c r="BK453" s="339">
        <v>0</v>
      </c>
      <c r="BL453" s="339">
        <v>0</v>
      </c>
      <c r="BM453" s="339">
        <v>0</v>
      </c>
      <c r="BN453" s="339">
        <v>0</v>
      </c>
      <c r="BO453" s="339">
        <v>0</v>
      </c>
      <c r="BP453" s="339">
        <v>0</v>
      </c>
      <c r="BQ453" s="339">
        <v>0</v>
      </c>
      <c r="BR453" s="339">
        <v>0</v>
      </c>
      <c r="BS453" s="110" t="e">
        <f t="array" aca="1" ref="BS453" ca="1">_xludf.XLOOKUP(D453,'PL TOTAL D0'!N:N,'PL TOTAL D0'!P:P,"")</f>
        <v>#NAME?</v>
      </c>
      <c r="BT453" s="110"/>
    </row>
    <row r="454" spans="1:72" ht="15.75" customHeight="1">
      <c r="A454" s="122" t="s">
        <v>3785</v>
      </c>
      <c r="B454" s="104" t="s">
        <v>5128</v>
      </c>
      <c r="C454" s="122" t="s">
        <v>5129</v>
      </c>
      <c r="D454" s="292">
        <v>4362832</v>
      </c>
      <c r="E454" s="292" t="s">
        <v>64</v>
      </c>
      <c r="F454" s="292" t="s">
        <v>20</v>
      </c>
      <c r="G454" s="292" t="s">
        <v>3973</v>
      </c>
      <c r="H454" s="292" t="str">
        <f>IFERROR(VLOOKUP(G454,'Cadastro de assessores'!A:B,2,FALSE),"Não Cadastrado")</f>
        <v>16459</v>
      </c>
      <c r="I454" s="292"/>
      <c r="J454" s="24" t="s">
        <v>143</v>
      </c>
      <c r="K454" s="292" t="s">
        <v>3794</v>
      </c>
      <c r="L454" s="387">
        <v>44078</v>
      </c>
      <c r="M454" s="387">
        <v>44078</v>
      </c>
      <c r="N454" s="391">
        <v>44424</v>
      </c>
      <c r="O454" s="299" t="s">
        <v>3789</v>
      </c>
      <c r="P454" s="388">
        <v>0.02</v>
      </c>
      <c r="Q454" s="420" t="s">
        <v>5130</v>
      </c>
      <c r="R454" s="417"/>
      <c r="S454" s="292" t="str">
        <f t="shared" si="47"/>
        <v>Não Qualificado</v>
      </c>
      <c r="T454" s="292" t="s">
        <v>145</v>
      </c>
      <c r="U454" s="292" t="s">
        <v>3811</v>
      </c>
      <c r="V454" s="292" t="s">
        <v>20</v>
      </c>
      <c r="W454" s="418" t="s">
        <v>3798</v>
      </c>
      <c r="X454" s="418" t="s">
        <v>3798</v>
      </c>
      <c r="Y454" s="418" t="s">
        <v>3798</v>
      </c>
      <c r="Z454" s="418" t="s">
        <v>3798</v>
      </c>
      <c r="AA454" s="418" t="s">
        <v>3798</v>
      </c>
      <c r="AB454" s="418" t="s">
        <v>3798</v>
      </c>
      <c r="AC454" s="418" t="s">
        <v>3798</v>
      </c>
      <c r="AD454" s="418" t="s">
        <v>3798</v>
      </c>
      <c r="AE454" s="418" t="s">
        <v>3798</v>
      </c>
      <c r="AF454" s="418" t="s">
        <v>3798</v>
      </c>
      <c r="AG454" s="418" t="s">
        <v>5131</v>
      </c>
      <c r="AH454" s="418" t="s">
        <v>5132</v>
      </c>
      <c r="AI454" s="418" t="s">
        <v>5133</v>
      </c>
      <c r="AJ454" s="418" t="s">
        <v>5134</v>
      </c>
      <c r="AK454" s="339">
        <v>1109306.8</v>
      </c>
      <c r="AL454" s="339">
        <v>1084143.76</v>
      </c>
      <c r="AM454" s="339">
        <v>1013252.43</v>
      </c>
      <c r="AN454" s="339">
        <v>1021421.54</v>
      </c>
      <c r="AO454" s="339">
        <v>1057583.06</v>
      </c>
      <c r="AP454" s="339">
        <v>1066222.67</v>
      </c>
      <c r="AQ454" s="339">
        <v>1057853.4099999999</v>
      </c>
      <c r="AR454" s="339">
        <v>1095878.6299999999</v>
      </c>
      <c r="AS454" s="339">
        <v>1069580.17</v>
      </c>
      <c r="AT454" s="339">
        <v>1047871.57</v>
      </c>
      <c r="AU454" s="339"/>
      <c r="AV454" s="339"/>
      <c r="AW454" s="339"/>
      <c r="AX454" s="339"/>
      <c r="AY454" s="339"/>
      <c r="AZ454" s="339"/>
      <c r="BA454" s="339">
        <v>0</v>
      </c>
      <c r="BB454" s="339">
        <v>0</v>
      </c>
      <c r="BC454" s="339">
        <v>170355.35</v>
      </c>
      <c r="BD454" s="339" t="s">
        <v>2932</v>
      </c>
      <c r="BE454" s="339" t="s">
        <v>2932</v>
      </c>
      <c r="BF454" s="339">
        <v>0</v>
      </c>
      <c r="BG454" s="339">
        <v>0</v>
      </c>
      <c r="BH454" s="339">
        <v>0</v>
      </c>
      <c r="BI454" s="339">
        <v>0</v>
      </c>
      <c r="BJ454" s="339">
        <v>0</v>
      </c>
      <c r="BK454" s="339">
        <v>0</v>
      </c>
      <c r="BL454" s="339">
        <v>0</v>
      </c>
      <c r="BM454" s="339">
        <v>0</v>
      </c>
      <c r="BN454" s="339">
        <v>0</v>
      </c>
      <c r="BO454" s="339">
        <v>0</v>
      </c>
      <c r="BP454" s="339">
        <v>0</v>
      </c>
      <c r="BQ454" s="339">
        <v>0</v>
      </c>
      <c r="BR454" s="339">
        <v>0</v>
      </c>
      <c r="BS454" s="110" t="e">
        <f t="array" aca="1" ref="BS454" ca="1">_xludf.XLOOKUP(D454,'PL TOTAL D0'!N:N,'PL TOTAL D0'!P:P,"")</f>
        <v>#NAME?</v>
      </c>
      <c r="BT454" s="110"/>
    </row>
    <row r="455" spans="1:72" ht="15.75" customHeight="1">
      <c r="A455" s="122" t="s">
        <v>3785</v>
      </c>
      <c r="B455" s="104" t="s">
        <v>2450</v>
      </c>
      <c r="C455" s="122" t="s">
        <v>5135</v>
      </c>
      <c r="D455" s="292">
        <v>2365107</v>
      </c>
      <c r="E455" s="292" t="s">
        <v>19</v>
      </c>
      <c r="F455" s="292" t="s">
        <v>49</v>
      </c>
      <c r="G455" s="292" t="s">
        <v>2036</v>
      </c>
      <c r="H455" s="292">
        <f>IFERROR(VLOOKUP(G455,'Cadastro de assessores'!A:B,2,FALSE),"Não Cadastrado")</f>
        <v>12350</v>
      </c>
      <c r="I455" s="292"/>
      <c r="J455" s="24" t="s">
        <v>143</v>
      </c>
      <c r="K455" s="292" t="s">
        <v>161</v>
      </c>
      <c r="L455" s="387">
        <v>44817</v>
      </c>
      <c r="M455" s="387">
        <v>44824</v>
      </c>
      <c r="N455" s="391"/>
      <c r="O455" s="299" t="s">
        <v>3795</v>
      </c>
      <c r="P455" s="388">
        <v>1.4999999999999999E-2</v>
      </c>
      <c r="Q455" s="420" t="s">
        <v>5136</v>
      </c>
      <c r="R455" s="417"/>
      <c r="S455" s="292"/>
      <c r="T455" s="292"/>
      <c r="U455" s="292"/>
      <c r="V455" s="292" t="s">
        <v>60</v>
      </c>
      <c r="W455" s="418"/>
      <c r="X455" s="418"/>
      <c r="Y455" s="418"/>
      <c r="Z455" s="418"/>
      <c r="AA455" s="418"/>
      <c r="AB455" s="418"/>
      <c r="AC455" s="418"/>
      <c r="AD455" s="418"/>
      <c r="AE455" s="418"/>
      <c r="AF455" s="418"/>
      <c r="AG455" s="418"/>
      <c r="AH455" s="418"/>
      <c r="AI455" s="418"/>
      <c r="AJ455" s="418"/>
      <c r="AK455" s="339"/>
      <c r="AL455" s="339"/>
      <c r="AM455" s="339"/>
      <c r="AN455" s="339"/>
      <c r="AO455" s="339"/>
      <c r="AP455" s="339"/>
      <c r="AQ455" s="339"/>
      <c r="AR455" s="339"/>
      <c r="AS455" s="339"/>
      <c r="AT455" s="339"/>
      <c r="AU455" s="339"/>
      <c r="AV455" s="339"/>
      <c r="AW455" s="339"/>
      <c r="AX455" s="339"/>
      <c r="AY455" s="339"/>
      <c r="AZ455" s="339"/>
      <c r="BA455" s="339"/>
      <c r="BB455" s="339"/>
      <c r="BC455" s="339"/>
      <c r="BD455" s="339"/>
      <c r="BE455" s="339"/>
      <c r="BF455" s="339"/>
      <c r="BG455" s="339"/>
      <c r="BH455" s="339">
        <v>532705.93999999994</v>
      </c>
      <c r="BI455" s="339">
        <v>637077.6</v>
      </c>
      <c r="BJ455" s="339">
        <v>670875.03</v>
      </c>
      <c r="BK455" s="339">
        <v>675107.6</v>
      </c>
      <c r="BL455" s="339">
        <v>198604.53</v>
      </c>
      <c r="BM455" s="339">
        <v>159866.01</v>
      </c>
      <c r="BN455" s="339">
        <v>161204.47</v>
      </c>
      <c r="BO455" s="339">
        <v>154468.9</v>
      </c>
      <c r="BP455" s="339">
        <v>156870.97</v>
      </c>
      <c r="BQ455" s="339">
        <v>155582.99</v>
      </c>
      <c r="BR455" s="339">
        <v>155523.92000000001</v>
      </c>
      <c r="BS455" s="110" t="e">
        <f t="array" aca="1" ref="BS455" ca="1">_xludf.XLOOKUP(D455,'PL TOTAL D0'!N:N,'PL TOTAL D0'!P:P,"")</f>
        <v>#NAME?</v>
      </c>
      <c r="BT455" s="110"/>
    </row>
    <row r="456" spans="1:72" ht="15.75" customHeight="1">
      <c r="A456" s="122" t="s">
        <v>3785</v>
      </c>
      <c r="B456" s="104" t="s">
        <v>2456</v>
      </c>
      <c r="C456" s="390" t="s">
        <v>2454</v>
      </c>
      <c r="D456" s="299">
        <v>2293219</v>
      </c>
      <c r="E456" s="293" t="s">
        <v>19</v>
      </c>
      <c r="F456" s="293" t="s">
        <v>20</v>
      </c>
      <c r="G456" s="293" t="s">
        <v>3072</v>
      </c>
      <c r="H456" s="293" t="str">
        <f>IFERROR(VLOOKUP(G456,'Cadastro de assessores'!A:B,2,FALSE),"Não Cadastrado")</f>
        <v>18236</v>
      </c>
      <c r="I456" s="293"/>
      <c r="J456" s="24" t="s">
        <v>3788</v>
      </c>
      <c r="K456" s="293" t="s">
        <v>152</v>
      </c>
      <c r="L456" s="415">
        <v>44210</v>
      </c>
      <c r="M456" s="415">
        <v>44293</v>
      </c>
      <c r="N456" s="299"/>
      <c r="O456" s="299" t="s">
        <v>3789</v>
      </c>
      <c r="P456" s="388">
        <v>0.02</v>
      </c>
      <c r="Q456" s="167" t="s">
        <v>5137</v>
      </c>
      <c r="R456" s="417"/>
      <c r="S456" s="292" t="str">
        <f>IF(BC456&lt;=0,"",IF(BC456&lt;=1000000,"Não Qualificado",IF(AND(BC456&gt;1000000,BC456&lt;=10000000),"Qualificado","Profissional")))</f>
        <v/>
      </c>
      <c r="T456" s="292" t="s">
        <v>145</v>
      </c>
      <c r="U456" s="299" t="s">
        <v>5138</v>
      </c>
      <c r="V456" s="299" t="s">
        <v>20</v>
      </c>
      <c r="W456" s="350"/>
      <c r="X456" s="350"/>
      <c r="Y456" s="350"/>
      <c r="Z456" s="350"/>
      <c r="AA456" s="350"/>
      <c r="AB456" s="350"/>
      <c r="AC456" s="350"/>
      <c r="AD456" s="350"/>
      <c r="AE456" s="350"/>
      <c r="AF456" s="350"/>
      <c r="AG456" s="350"/>
      <c r="AH456" s="350"/>
      <c r="AI456" s="350"/>
      <c r="AJ456" s="350"/>
      <c r="AK456" s="350"/>
      <c r="AL456" s="339"/>
      <c r="AM456" s="339"/>
      <c r="AN456" s="339"/>
      <c r="AO456" s="339"/>
      <c r="AP456" s="339">
        <v>117034.46</v>
      </c>
      <c r="AQ456" s="339">
        <v>156292.5</v>
      </c>
      <c r="AR456" s="339">
        <v>160728.53</v>
      </c>
      <c r="AS456" s="339">
        <v>159023.66</v>
      </c>
      <c r="AT456" s="339">
        <v>154024.74</v>
      </c>
      <c r="AU456" s="339">
        <v>152300.03</v>
      </c>
      <c r="AV456" s="339">
        <v>148314.88</v>
      </c>
      <c r="AW456" s="339">
        <v>140718.88</v>
      </c>
      <c r="AX456" s="339">
        <v>139883.93</v>
      </c>
      <c r="AY456" s="339">
        <v>124978.4</v>
      </c>
      <c r="AZ456" s="339">
        <v>129978.11</v>
      </c>
      <c r="BA456" s="339">
        <v>131538.56</v>
      </c>
      <c r="BB456" s="339">
        <v>137791.51</v>
      </c>
      <c r="BC456" s="339"/>
      <c r="BD456" s="339">
        <v>133877.91</v>
      </c>
      <c r="BE456" s="339">
        <v>130854.98</v>
      </c>
      <c r="BF456" s="339">
        <v>134265.69</v>
      </c>
      <c r="BG456" s="339">
        <v>130306.6847</v>
      </c>
      <c r="BH456" s="339">
        <v>129972.76</v>
      </c>
      <c r="BI456" s="339">
        <v>137582.01</v>
      </c>
      <c r="BJ456" s="339">
        <v>137251.25</v>
      </c>
      <c r="BK456" s="339">
        <v>137641.57</v>
      </c>
      <c r="BL456" s="339">
        <v>137845.47</v>
      </c>
      <c r="BM456" s="339">
        <v>137241.22</v>
      </c>
      <c r="BN456" s="339">
        <v>137905.63</v>
      </c>
      <c r="BO456" s="339">
        <v>0</v>
      </c>
      <c r="BP456" s="339">
        <v>0</v>
      </c>
      <c r="BQ456" s="339">
        <v>0</v>
      </c>
      <c r="BR456" s="339">
        <v>0</v>
      </c>
      <c r="BS456" s="110" t="e">
        <f t="array" aca="1" ref="BS456" ca="1">_xludf.XLOOKUP(D456,'PL TOTAL D0'!N:N,'PL TOTAL D0'!P:P,"")</f>
        <v>#NAME?</v>
      </c>
      <c r="BT456" s="110"/>
    </row>
    <row r="457" spans="1:72" ht="15.75" customHeight="1">
      <c r="A457" s="122" t="s">
        <v>3785</v>
      </c>
      <c r="B457" s="104" t="s">
        <v>5139</v>
      </c>
      <c r="C457" s="122" t="s">
        <v>5140</v>
      </c>
      <c r="D457" s="292">
        <v>2523005</v>
      </c>
      <c r="E457" s="293" t="s">
        <v>19</v>
      </c>
      <c r="F457" s="292" t="s">
        <v>49</v>
      </c>
      <c r="G457" s="292" t="s">
        <v>2036</v>
      </c>
      <c r="H457" s="293">
        <f>IFERROR(VLOOKUP(G457,'Cadastro de assessores'!A:B,2,FALSE),"Não Cadastrado")</f>
        <v>12350</v>
      </c>
      <c r="I457" s="292"/>
      <c r="J457" s="24" t="s">
        <v>3788</v>
      </c>
      <c r="K457" s="292"/>
      <c r="L457" s="387"/>
      <c r="M457" s="387">
        <v>44834</v>
      </c>
      <c r="N457" s="419"/>
      <c r="O457" s="292" t="s">
        <v>3802</v>
      </c>
      <c r="P457" s="388">
        <v>0.01</v>
      </c>
      <c r="Q457" s="420" t="s">
        <v>5141</v>
      </c>
      <c r="R457" s="417"/>
      <c r="S457" s="292"/>
      <c r="T457" s="292"/>
      <c r="U457" s="292"/>
      <c r="V457" s="292" t="s">
        <v>60</v>
      </c>
      <c r="W457" s="418"/>
      <c r="X457" s="418"/>
      <c r="Y457" s="418"/>
      <c r="Z457" s="418"/>
      <c r="AA457" s="418"/>
      <c r="AB457" s="418"/>
      <c r="AC457" s="418"/>
      <c r="AD457" s="418"/>
      <c r="AE457" s="418"/>
      <c r="AF457" s="418"/>
      <c r="AG457" s="418"/>
      <c r="AH457" s="418"/>
      <c r="AI457" s="418"/>
      <c r="AJ457" s="418"/>
      <c r="AK457" s="339"/>
      <c r="AL457" s="339"/>
      <c r="AM457" s="339"/>
      <c r="AN457" s="339"/>
      <c r="AO457" s="339"/>
      <c r="AP457" s="339"/>
      <c r="AQ457" s="339"/>
      <c r="AR457" s="339"/>
      <c r="AS457" s="339"/>
      <c r="AT457" s="339"/>
      <c r="AU457" s="339"/>
      <c r="AV457" s="339"/>
      <c r="AW457" s="339"/>
      <c r="AX457" s="339"/>
      <c r="AY457" s="339"/>
      <c r="AZ457" s="339"/>
      <c r="BA457" s="339"/>
      <c r="BB457" s="339"/>
      <c r="BC457" s="339"/>
      <c r="BD457" s="339"/>
      <c r="BE457" s="339"/>
      <c r="BF457" s="339"/>
      <c r="BG457" s="339"/>
      <c r="BH457" s="339"/>
      <c r="BI457" s="339">
        <v>205825.47</v>
      </c>
      <c r="BJ457" s="339">
        <v>207607.53</v>
      </c>
      <c r="BK457" s="339">
        <v>209057.65</v>
      </c>
      <c r="BL457" s="339">
        <v>211061.45</v>
      </c>
      <c r="BM457" s="339">
        <v>212475.84</v>
      </c>
      <c r="BN457" s="339">
        <v>214735.54</v>
      </c>
      <c r="BO457" s="339">
        <v>0</v>
      </c>
      <c r="BP457" s="339">
        <v>0</v>
      </c>
      <c r="BQ457" s="339">
        <v>0</v>
      </c>
      <c r="BR457" s="339">
        <v>0</v>
      </c>
      <c r="BS457" s="110" t="e">
        <f t="array" aca="1" ref="BS457" ca="1">_xludf.XLOOKUP(D457,'PL TOTAL D0'!N:N,'PL TOTAL D0'!P:P,"")</f>
        <v>#NAME?</v>
      </c>
      <c r="BT457" s="110"/>
    </row>
    <row r="458" spans="1:72" ht="15.75" customHeight="1">
      <c r="A458" s="122" t="s">
        <v>3785</v>
      </c>
      <c r="B458" s="104" t="s">
        <v>5142</v>
      </c>
      <c r="C458" s="122" t="s">
        <v>5143</v>
      </c>
      <c r="D458" s="292">
        <v>4860067</v>
      </c>
      <c r="E458" s="292" t="s">
        <v>19</v>
      </c>
      <c r="F458" s="292" t="s">
        <v>49</v>
      </c>
      <c r="G458" s="292" t="s">
        <v>328</v>
      </c>
      <c r="H458" s="292" t="str">
        <f>IFERROR(VLOOKUP(G458,'Cadastro de assessores'!A:B,2,FALSE),"Não Cadastrado")</f>
        <v>18009</v>
      </c>
      <c r="I458" s="292"/>
      <c r="J458" s="24" t="s">
        <v>143</v>
      </c>
      <c r="K458" s="292" t="s">
        <v>3794</v>
      </c>
      <c r="L458" s="387">
        <v>44259</v>
      </c>
      <c r="M458" s="387">
        <v>44259</v>
      </c>
      <c r="N458" s="419">
        <v>44516</v>
      </c>
      <c r="O458" s="292" t="s">
        <v>3809</v>
      </c>
      <c r="P458" s="388">
        <v>2.5000000000000001E-2</v>
      </c>
      <c r="Q458" s="420" t="s">
        <v>5144</v>
      </c>
      <c r="R458" s="417"/>
      <c r="S458" s="292" t="str">
        <f t="shared" ref="S458:S462" si="48">IF(BC458&lt;=0,"",IF(BC458&lt;=1000000,"Não Qualificado",IF(AND(BC458&gt;1000000,BC458&lt;=10000000),"Qualificado","Profissional")))</f>
        <v>Não Qualificado</v>
      </c>
      <c r="T458" s="292" t="s">
        <v>145</v>
      </c>
      <c r="U458" s="292" t="s">
        <v>3846</v>
      </c>
      <c r="V458" s="292" t="s">
        <v>46</v>
      </c>
      <c r="W458" s="418"/>
      <c r="X458" s="418"/>
      <c r="Y458" s="418"/>
      <c r="Z458" s="418"/>
      <c r="AA458" s="418"/>
      <c r="AB458" s="418"/>
      <c r="AC458" s="418"/>
      <c r="AD458" s="418"/>
      <c r="AE458" s="418"/>
      <c r="AF458" s="418"/>
      <c r="AG458" s="418"/>
      <c r="AH458" s="418"/>
      <c r="AI458" s="418"/>
      <c r="AJ458" s="418"/>
      <c r="AK458" s="339"/>
      <c r="AL458" s="339"/>
      <c r="AM458" s="339" t="s">
        <v>3147</v>
      </c>
      <c r="AN458" s="339">
        <v>94169.58</v>
      </c>
      <c r="AO458" s="339">
        <v>100462.15</v>
      </c>
      <c r="AP458" s="339">
        <v>102188.63</v>
      </c>
      <c r="AQ458" s="339">
        <v>101048.95</v>
      </c>
      <c r="AR458" s="339">
        <v>128925.59</v>
      </c>
      <c r="AS458" s="339">
        <v>182841.86</v>
      </c>
      <c r="AT458" s="339">
        <v>173002.98</v>
      </c>
      <c r="AU458" s="339">
        <v>231526.41</v>
      </c>
      <c r="AV458" s="339">
        <v>217924.4</v>
      </c>
      <c r="AW458" s="339">
        <v>282221.40999999997</v>
      </c>
      <c r="AX458" s="339"/>
      <c r="AY458" s="339"/>
      <c r="AZ458" s="339"/>
      <c r="BA458" s="339">
        <v>0</v>
      </c>
      <c r="BB458" s="339">
        <v>0</v>
      </c>
      <c r="BC458" s="339">
        <v>276933.46999999997</v>
      </c>
      <c r="BD458" s="339" t="s">
        <v>2932</v>
      </c>
      <c r="BE458" s="339" t="s">
        <v>2932</v>
      </c>
      <c r="BF458" s="339">
        <v>0</v>
      </c>
      <c r="BG458" s="339">
        <v>0</v>
      </c>
      <c r="BH458" s="339">
        <v>0</v>
      </c>
      <c r="BI458" s="339">
        <v>0</v>
      </c>
      <c r="BJ458" s="339">
        <v>0</v>
      </c>
      <c r="BK458" s="339">
        <v>0</v>
      </c>
      <c r="BL458" s="339">
        <v>0</v>
      </c>
      <c r="BM458" s="339">
        <v>0</v>
      </c>
      <c r="BN458" s="339">
        <v>0</v>
      </c>
      <c r="BO458" s="339">
        <v>0</v>
      </c>
      <c r="BP458" s="339">
        <v>0</v>
      </c>
      <c r="BQ458" s="339">
        <v>0</v>
      </c>
      <c r="BR458" s="339">
        <v>0</v>
      </c>
      <c r="BS458" s="110" t="e">
        <f t="array" aca="1" ref="BS458" ca="1">_xludf.XLOOKUP(D458,'PL TOTAL D0'!N:N,'PL TOTAL D0'!P:P,"")</f>
        <v>#NAME?</v>
      </c>
      <c r="BT458" s="110"/>
    </row>
    <row r="459" spans="1:72" ht="15.75" customHeight="1">
      <c r="A459" s="122" t="s">
        <v>3785</v>
      </c>
      <c r="B459" s="104" t="s">
        <v>5145</v>
      </c>
      <c r="C459" s="122" t="s">
        <v>5146</v>
      </c>
      <c r="D459" s="292">
        <v>4582050</v>
      </c>
      <c r="E459" s="293" t="s">
        <v>19</v>
      </c>
      <c r="F459" s="293" t="s">
        <v>20</v>
      </c>
      <c r="G459" s="293" t="s">
        <v>3793</v>
      </c>
      <c r="H459" s="293" t="str">
        <f>IFERROR(VLOOKUP(G459,'Cadastro de assessores'!A:B,2,FALSE),"Não Cadastrado")</f>
        <v>17679</v>
      </c>
      <c r="I459" s="293"/>
      <c r="J459" s="24" t="s">
        <v>3788</v>
      </c>
      <c r="K459" s="439" t="s">
        <v>161</v>
      </c>
      <c r="L459" s="292" t="s">
        <v>3147</v>
      </c>
      <c r="M459" s="436" t="s">
        <v>4177</v>
      </c>
      <c r="N459" s="292"/>
      <c r="O459" s="292" t="s">
        <v>3795</v>
      </c>
      <c r="P459" s="388">
        <v>1.4999999999999999E-2</v>
      </c>
      <c r="Q459" s="420"/>
      <c r="R459" s="417"/>
      <c r="S459" s="292" t="str">
        <f t="shared" si="48"/>
        <v/>
      </c>
      <c r="T459" s="292" t="s">
        <v>145</v>
      </c>
      <c r="U459" s="292" t="s">
        <v>4223</v>
      </c>
      <c r="V459" s="292" t="s">
        <v>3647</v>
      </c>
      <c r="W459" s="418"/>
      <c r="X459" s="418"/>
      <c r="Y459" s="418"/>
      <c r="Z459" s="418"/>
      <c r="AA459" s="418"/>
      <c r="AB459" s="418"/>
      <c r="AC459" s="418"/>
      <c r="AD459" s="418"/>
      <c r="AE459" s="418"/>
      <c r="AF459" s="418"/>
      <c r="AG459" s="418"/>
      <c r="AH459" s="418"/>
      <c r="AI459" s="418"/>
      <c r="AJ459" s="418"/>
      <c r="AK459" s="339"/>
      <c r="AL459" s="339"/>
      <c r="AM459" s="339" t="s">
        <v>3147</v>
      </c>
      <c r="AN459" s="339" t="s">
        <v>3147</v>
      </c>
      <c r="AO459" s="339"/>
      <c r="AP459" s="339"/>
      <c r="AQ459" s="339"/>
      <c r="AR459" s="339"/>
      <c r="AS459" s="339"/>
      <c r="AT459" s="339"/>
      <c r="AU459" s="339"/>
      <c r="AV459" s="339"/>
      <c r="AW459" s="339"/>
      <c r="AX459" s="339"/>
      <c r="AY459" s="339"/>
      <c r="AZ459" s="339">
        <v>0</v>
      </c>
      <c r="BA459" s="339">
        <v>0</v>
      </c>
      <c r="BB459" s="339">
        <v>0</v>
      </c>
      <c r="BC459" s="339"/>
      <c r="BD459" s="339" t="s">
        <v>2932</v>
      </c>
      <c r="BE459" s="339" t="s">
        <v>2932</v>
      </c>
      <c r="BF459" s="339">
        <v>0</v>
      </c>
      <c r="BG459" s="339">
        <v>0</v>
      </c>
      <c r="BH459" s="339">
        <v>0</v>
      </c>
      <c r="BI459" s="339">
        <v>0</v>
      </c>
      <c r="BJ459" s="339">
        <v>0</v>
      </c>
      <c r="BK459" s="339">
        <v>0</v>
      </c>
      <c r="BL459" s="339">
        <v>0</v>
      </c>
      <c r="BM459" s="339">
        <v>0</v>
      </c>
      <c r="BN459" s="339">
        <v>0</v>
      </c>
      <c r="BO459" s="339">
        <v>0</v>
      </c>
      <c r="BP459" s="339">
        <v>0</v>
      </c>
      <c r="BQ459" s="339">
        <v>0</v>
      </c>
      <c r="BR459" s="339">
        <v>0</v>
      </c>
      <c r="BS459" s="110" t="e">
        <f t="array" aca="1" ref="BS459" ca="1">_xludf.XLOOKUP(D459,'PL TOTAL D0'!N:N,'PL TOTAL D0'!P:P,"")</f>
        <v>#NAME?</v>
      </c>
      <c r="BT459" s="110"/>
    </row>
    <row r="460" spans="1:72" ht="15.75" customHeight="1">
      <c r="A460" s="122" t="s">
        <v>3785</v>
      </c>
      <c r="B460" s="104" t="s">
        <v>5147</v>
      </c>
      <c r="C460" s="390" t="s">
        <v>5148</v>
      </c>
      <c r="D460" s="299">
        <v>5080319</v>
      </c>
      <c r="E460" s="293" t="s">
        <v>19</v>
      </c>
      <c r="F460" s="293" t="s">
        <v>49</v>
      </c>
      <c r="G460" s="293" t="s">
        <v>328</v>
      </c>
      <c r="H460" s="293" t="str">
        <f>IFERROR(VLOOKUP(G460,'Cadastro de assessores'!A:B,2,FALSE),"Não Cadastrado")</f>
        <v>18009</v>
      </c>
      <c r="I460" s="293"/>
      <c r="J460" s="24" t="s">
        <v>3788</v>
      </c>
      <c r="K460" s="439" t="s">
        <v>152</v>
      </c>
      <c r="L460" s="415">
        <v>44298</v>
      </c>
      <c r="M460" s="415">
        <v>44298</v>
      </c>
      <c r="N460" s="292"/>
      <c r="O460" s="292" t="s">
        <v>3795</v>
      </c>
      <c r="P460" s="388">
        <v>1.4999999999999999E-2</v>
      </c>
      <c r="Q460" s="167" t="s">
        <v>4497</v>
      </c>
      <c r="R460" s="417"/>
      <c r="S460" s="292" t="str">
        <f t="shared" si="48"/>
        <v/>
      </c>
      <c r="T460" s="292" t="s">
        <v>145</v>
      </c>
      <c r="U460" s="292" t="s">
        <v>3846</v>
      </c>
      <c r="V460" s="292" t="s">
        <v>46</v>
      </c>
      <c r="W460" s="350"/>
      <c r="X460" s="350"/>
      <c r="Y460" s="350"/>
      <c r="Z460" s="350"/>
      <c r="AA460" s="350"/>
      <c r="AB460" s="350"/>
      <c r="AC460" s="350"/>
      <c r="AD460" s="350"/>
      <c r="AE460" s="350"/>
      <c r="AF460" s="350"/>
      <c r="AG460" s="350"/>
      <c r="AH460" s="350"/>
      <c r="AI460" s="350"/>
      <c r="AJ460" s="350"/>
      <c r="AK460" s="339"/>
      <c r="AL460" s="339"/>
      <c r="AM460" s="339"/>
      <c r="AN460" s="339"/>
      <c r="AO460" s="339"/>
      <c r="AP460" s="339">
        <v>116320.08</v>
      </c>
      <c r="AQ460" s="339">
        <v>115841.99</v>
      </c>
      <c r="AR460" s="339">
        <v>142810.19</v>
      </c>
      <c r="AS460" s="339">
        <v>141814.68</v>
      </c>
      <c r="AT460" s="339">
        <v>168622.28</v>
      </c>
      <c r="AU460" s="339">
        <v>183780.04</v>
      </c>
      <c r="AV460" s="339">
        <v>180384.76</v>
      </c>
      <c r="AW460" s="339">
        <v>175109.85</v>
      </c>
      <c r="AX460" s="339">
        <v>175115.37</v>
      </c>
      <c r="AY460" s="339">
        <v>177169.6</v>
      </c>
      <c r="AZ460" s="339">
        <v>181986.89</v>
      </c>
      <c r="BA460" s="339">
        <v>170472.01</v>
      </c>
      <c r="BB460" s="339">
        <v>68.069999999999993</v>
      </c>
      <c r="BC460" s="339"/>
      <c r="BD460" s="339">
        <v>162.51</v>
      </c>
      <c r="BE460" s="339">
        <v>162.51</v>
      </c>
      <c r="BF460" s="339">
        <v>162.51</v>
      </c>
      <c r="BG460" s="339">
        <v>162.51</v>
      </c>
      <c r="BH460" s="339">
        <v>162.51</v>
      </c>
      <c r="BI460" s="339">
        <v>162.51</v>
      </c>
      <c r="BJ460" s="339">
        <v>162.51</v>
      </c>
      <c r="BK460" s="339">
        <v>162.51</v>
      </c>
      <c r="BL460" s="339">
        <v>162.51</v>
      </c>
      <c r="BM460" s="339">
        <v>162.51</v>
      </c>
      <c r="BN460" s="339">
        <v>162.51</v>
      </c>
      <c r="BO460" s="339">
        <v>162.51</v>
      </c>
      <c r="BP460" s="339">
        <v>162.51</v>
      </c>
      <c r="BQ460" s="339">
        <v>162.51</v>
      </c>
      <c r="BR460" s="339">
        <v>162.51</v>
      </c>
      <c r="BS460" s="110" t="e">
        <f t="array" aca="1" ref="BS460" ca="1">_xludf.XLOOKUP(D460,'PL TOTAL D0'!N:N,'PL TOTAL D0'!P:P,"")</f>
        <v>#NAME?</v>
      </c>
      <c r="BT460" s="110"/>
    </row>
    <row r="461" spans="1:72" ht="15.75" customHeight="1">
      <c r="A461" s="122" t="s">
        <v>3785</v>
      </c>
      <c r="B461" s="104" t="s">
        <v>2488</v>
      </c>
      <c r="C461" s="441" t="s">
        <v>2486</v>
      </c>
      <c r="D461" s="426">
        <v>7336791</v>
      </c>
      <c r="E461" s="293" t="s">
        <v>19</v>
      </c>
      <c r="F461" s="293" t="s">
        <v>49</v>
      </c>
      <c r="G461" s="426" t="s">
        <v>277</v>
      </c>
      <c r="H461" s="293" t="str">
        <f>IFERROR(VLOOKUP(G461,'Cadastro de assessores'!A:B,2,FALSE),"Não Cadastrado")</f>
        <v>17831</v>
      </c>
      <c r="I461" s="293"/>
      <c r="J461" s="24" t="s">
        <v>3788</v>
      </c>
      <c r="K461" s="292" t="s">
        <v>152</v>
      </c>
      <c r="L461" s="416">
        <v>44543</v>
      </c>
      <c r="M461" s="416">
        <v>44544</v>
      </c>
      <c r="N461" s="426"/>
      <c r="O461" s="426" t="s">
        <v>3805</v>
      </c>
      <c r="P461" s="388">
        <v>1.2E-2</v>
      </c>
      <c r="Q461" s="311"/>
      <c r="R461" s="417"/>
      <c r="S461" s="292" t="str">
        <f t="shared" si="48"/>
        <v>Não Qualificado</v>
      </c>
      <c r="T461" s="292" t="s">
        <v>145</v>
      </c>
      <c r="U461" s="299" t="s">
        <v>3967</v>
      </c>
      <c r="V461" s="299" t="s">
        <v>49</v>
      </c>
      <c r="W461" s="350"/>
      <c r="X461" s="350"/>
      <c r="Y461" s="350"/>
      <c r="Z461" s="350"/>
      <c r="AA461" s="350"/>
      <c r="AB461" s="350"/>
      <c r="AC461" s="350"/>
      <c r="AD461" s="350"/>
      <c r="AE461" s="350"/>
      <c r="AF461" s="350"/>
      <c r="AG461" s="418"/>
      <c r="AH461" s="418"/>
      <c r="AI461" s="418"/>
      <c r="AJ461" s="339"/>
      <c r="AK461" s="339"/>
      <c r="AL461" s="339"/>
      <c r="AM461" s="339"/>
      <c r="AN461" s="339"/>
      <c r="AO461" s="339"/>
      <c r="AP461" s="339"/>
      <c r="AQ461" s="339"/>
      <c r="AR461" s="339"/>
      <c r="AS461" s="339"/>
      <c r="AT461" s="339"/>
      <c r="AU461" s="339"/>
      <c r="AV461" s="339"/>
      <c r="AW461" s="339"/>
      <c r="AX461" s="350"/>
      <c r="AY461" s="350"/>
      <c r="AZ461" s="418"/>
      <c r="BA461" s="418">
        <v>0</v>
      </c>
      <c r="BB461" s="418">
        <v>207976.77</v>
      </c>
      <c r="BC461" s="418">
        <v>148889.03</v>
      </c>
      <c r="BD461" s="339">
        <v>511973.53</v>
      </c>
      <c r="BE461" s="339">
        <v>513577.05</v>
      </c>
      <c r="BF461" s="339">
        <v>519395.65</v>
      </c>
      <c r="BG461" s="339">
        <v>400452.40610000002</v>
      </c>
      <c r="BH461" s="339">
        <v>402834.97</v>
      </c>
      <c r="BI461" s="339">
        <v>411301.13</v>
      </c>
      <c r="BJ461" s="339">
        <v>412242.09</v>
      </c>
      <c r="BK461" s="339">
        <v>415060.34</v>
      </c>
      <c r="BL461" s="339">
        <v>44389.599999999999</v>
      </c>
      <c r="BM461" s="339">
        <v>44296.47</v>
      </c>
      <c r="BN461" s="339">
        <v>44883.519999999997</v>
      </c>
      <c r="BO461" s="339">
        <v>56.6</v>
      </c>
      <c r="BP461" s="339">
        <v>56.6</v>
      </c>
      <c r="BQ461" s="339">
        <v>113.19</v>
      </c>
      <c r="BR461" s="339">
        <v>113.74</v>
      </c>
      <c r="BS461" s="110" t="e">
        <f t="array" aca="1" ref="BS461" ca="1">_xludf.XLOOKUP(D461,'PL TOTAL D0'!N:N,'PL TOTAL D0'!P:P,"")</f>
        <v>#NAME?</v>
      </c>
      <c r="BT461" s="110"/>
    </row>
    <row r="462" spans="1:72" ht="15.75" customHeight="1">
      <c r="A462" s="122" t="s">
        <v>3785</v>
      </c>
      <c r="B462" s="104" t="s">
        <v>5149</v>
      </c>
      <c r="C462" s="122" t="s">
        <v>5150</v>
      </c>
      <c r="D462" s="292">
        <v>4486837</v>
      </c>
      <c r="E462" s="292" t="s">
        <v>19</v>
      </c>
      <c r="F462" s="292" t="s">
        <v>20</v>
      </c>
      <c r="G462" s="292" t="s">
        <v>3793</v>
      </c>
      <c r="H462" s="292" t="str">
        <f>IFERROR(VLOOKUP(G462,'Cadastro de assessores'!A:B,2,FALSE),"Não Cadastrado")</f>
        <v>17679</v>
      </c>
      <c r="I462" s="292"/>
      <c r="J462" s="24" t="s">
        <v>143</v>
      </c>
      <c r="K462" s="292" t="s">
        <v>3794</v>
      </c>
      <c r="L462" s="419">
        <v>44148</v>
      </c>
      <c r="M462" s="419">
        <v>44148</v>
      </c>
      <c r="N462" s="387">
        <v>44425</v>
      </c>
      <c r="O462" s="292" t="s">
        <v>3795</v>
      </c>
      <c r="P462" s="388">
        <v>1.4999999999999999E-2</v>
      </c>
      <c r="Q462" s="420" t="s">
        <v>5151</v>
      </c>
      <c r="R462" s="417"/>
      <c r="S462" s="292" t="str">
        <f t="shared" si="48"/>
        <v>Não Qualificado</v>
      </c>
      <c r="T462" s="292" t="s">
        <v>145</v>
      </c>
      <c r="U462" s="292" t="s">
        <v>3933</v>
      </c>
      <c r="V462" s="292" t="s">
        <v>20</v>
      </c>
      <c r="W462" s="418" t="s">
        <v>3798</v>
      </c>
      <c r="X462" s="418" t="s">
        <v>3798</v>
      </c>
      <c r="Y462" s="418" t="s">
        <v>3798</v>
      </c>
      <c r="Z462" s="418" t="s">
        <v>3798</v>
      </c>
      <c r="AA462" s="418" t="s">
        <v>3798</v>
      </c>
      <c r="AB462" s="418" t="s">
        <v>3798</v>
      </c>
      <c r="AC462" s="418" t="s">
        <v>3798</v>
      </c>
      <c r="AD462" s="418" t="s">
        <v>3798</v>
      </c>
      <c r="AE462" s="418" t="s">
        <v>3798</v>
      </c>
      <c r="AF462" s="418" t="s">
        <v>3798</v>
      </c>
      <c r="AG462" s="418" t="s">
        <v>3798</v>
      </c>
      <c r="AH462" s="418" t="s">
        <v>3798</v>
      </c>
      <c r="AI462" s="418" t="s">
        <v>3798</v>
      </c>
      <c r="AJ462" s="418" t="s">
        <v>5152</v>
      </c>
      <c r="AK462" s="339">
        <v>134533.45000000001</v>
      </c>
      <c r="AL462" s="339">
        <v>158211.29</v>
      </c>
      <c r="AM462" s="339">
        <v>156481.22</v>
      </c>
      <c r="AN462" s="339">
        <v>156663.67999999999</v>
      </c>
      <c r="AO462" s="339">
        <v>161333.4</v>
      </c>
      <c r="AP462" s="339">
        <v>161797.76000000001</v>
      </c>
      <c r="AQ462" s="339">
        <v>161072.82999999999</v>
      </c>
      <c r="AR462" s="339">
        <v>175863.49</v>
      </c>
      <c r="AS462" s="339">
        <v>174477.56</v>
      </c>
      <c r="AT462" s="339">
        <v>180016.21</v>
      </c>
      <c r="AU462" s="339"/>
      <c r="AV462" s="339"/>
      <c r="AW462" s="339"/>
      <c r="AX462" s="339"/>
      <c r="AY462" s="339"/>
      <c r="AZ462" s="339"/>
      <c r="BA462" s="339">
        <v>0</v>
      </c>
      <c r="BB462" s="339">
        <v>0</v>
      </c>
      <c r="BC462" s="339">
        <v>250151.86</v>
      </c>
      <c r="BD462" s="339" t="s">
        <v>2932</v>
      </c>
      <c r="BE462" s="339" t="s">
        <v>2932</v>
      </c>
      <c r="BF462" s="339">
        <v>0</v>
      </c>
      <c r="BG462" s="339">
        <v>0</v>
      </c>
      <c r="BH462" s="339">
        <v>0</v>
      </c>
      <c r="BI462" s="339">
        <v>0</v>
      </c>
      <c r="BJ462" s="339">
        <v>0</v>
      </c>
      <c r="BK462" s="339">
        <v>0</v>
      </c>
      <c r="BL462" s="339">
        <v>0</v>
      </c>
      <c r="BM462" s="339">
        <v>0</v>
      </c>
      <c r="BN462" s="339">
        <v>0</v>
      </c>
      <c r="BO462" s="339">
        <v>0</v>
      </c>
      <c r="BP462" s="339">
        <v>0</v>
      </c>
      <c r="BQ462" s="339">
        <v>0</v>
      </c>
      <c r="BR462" s="339">
        <v>0</v>
      </c>
      <c r="BS462" s="110" t="e">
        <f t="array" aca="1" ref="BS462" ca="1">_xludf.XLOOKUP(D462,'PL TOTAL D0'!N:N,'PL TOTAL D0'!P:P,"")</f>
        <v>#NAME?</v>
      </c>
      <c r="BT462" s="110"/>
    </row>
    <row r="463" spans="1:72" ht="15.75" customHeight="1">
      <c r="A463" s="122" t="s">
        <v>3785</v>
      </c>
      <c r="B463" s="104" t="s">
        <v>2499</v>
      </c>
      <c r="C463" s="390" t="s">
        <v>5153</v>
      </c>
      <c r="D463" s="299">
        <v>7518857</v>
      </c>
      <c r="E463" s="293" t="s">
        <v>19</v>
      </c>
      <c r="F463" s="293" t="s">
        <v>20</v>
      </c>
      <c r="G463" s="293" t="s">
        <v>372</v>
      </c>
      <c r="H463" s="292">
        <f>IFERROR(VLOOKUP(G463,'Cadastro de assessores'!A:B,2,FALSE),"Não Cadastrado")</f>
        <v>12359</v>
      </c>
      <c r="I463" s="292"/>
      <c r="J463" s="24" t="s">
        <v>3788</v>
      </c>
      <c r="K463" s="292" t="s">
        <v>152</v>
      </c>
      <c r="L463" s="415">
        <v>44791</v>
      </c>
      <c r="M463" s="415">
        <v>44792</v>
      </c>
      <c r="N463" s="299"/>
      <c r="O463" s="299" t="s">
        <v>3805</v>
      </c>
      <c r="P463" s="388">
        <v>1.2E-2</v>
      </c>
      <c r="Q463" s="446" t="s">
        <v>4395</v>
      </c>
      <c r="R463" s="417"/>
      <c r="S463" s="292"/>
      <c r="T463" s="292"/>
      <c r="U463" s="299"/>
      <c r="V463" s="292" t="s">
        <v>20</v>
      </c>
      <c r="W463" s="350"/>
      <c r="X463" s="350"/>
      <c r="Y463" s="350"/>
      <c r="Z463" s="350"/>
      <c r="AA463" s="350"/>
      <c r="AB463" s="350"/>
      <c r="AC463" s="350"/>
      <c r="AD463" s="350"/>
      <c r="AE463" s="350"/>
      <c r="AF463" s="350"/>
      <c r="AG463" s="350"/>
      <c r="AH463" s="350"/>
      <c r="AI463" s="350"/>
      <c r="AJ463" s="339"/>
      <c r="AK463" s="339"/>
      <c r="AL463" s="339"/>
      <c r="AM463" s="339"/>
      <c r="AN463" s="339"/>
      <c r="AO463" s="339"/>
      <c r="AP463" s="339"/>
      <c r="AQ463" s="339"/>
      <c r="AR463" s="350"/>
      <c r="AS463" s="339"/>
      <c r="AT463" s="339"/>
      <c r="AU463" s="339"/>
      <c r="AV463" s="339"/>
      <c r="AW463" s="339"/>
      <c r="AX463" s="339"/>
      <c r="AY463" s="339"/>
      <c r="AZ463" s="339"/>
      <c r="BA463" s="339"/>
      <c r="BB463" s="339"/>
      <c r="BC463" s="339"/>
      <c r="BD463" s="339"/>
      <c r="BE463" s="339"/>
      <c r="BF463" s="339"/>
      <c r="BG463" s="339">
        <v>29986.959060000001</v>
      </c>
      <c r="BH463" s="339">
        <v>30232.23</v>
      </c>
      <c r="BI463" s="339">
        <v>31041.43</v>
      </c>
      <c r="BJ463" s="339">
        <v>31028.22</v>
      </c>
      <c r="BK463" s="339">
        <v>31280.26</v>
      </c>
      <c r="BL463" s="339">
        <v>31644.92</v>
      </c>
      <c r="BM463" s="339">
        <v>2694.35</v>
      </c>
      <c r="BN463" s="339">
        <v>521.13</v>
      </c>
      <c r="BO463" s="339">
        <v>526.04</v>
      </c>
      <c r="BP463" s="339">
        <v>531.76</v>
      </c>
      <c r="BQ463" s="339">
        <v>536.19000000000005</v>
      </c>
      <c r="BR463" s="339">
        <v>542.48</v>
      </c>
      <c r="BS463" s="110" t="e">
        <f t="array" aca="1" ref="BS463" ca="1">_xludf.XLOOKUP(D463,'PL TOTAL D0'!N:N,'PL TOTAL D0'!P:P,"")</f>
        <v>#NAME?</v>
      </c>
      <c r="BT463" s="110"/>
    </row>
    <row r="464" spans="1:72" ht="15.75" customHeight="1">
      <c r="A464" s="122" t="s">
        <v>3785</v>
      </c>
      <c r="B464" s="104" t="s">
        <v>2513</v>
      </c>
      <c r="C464" s="390" t="s">
        <v>2510</v>
      </c>
      <c r="D464" s="299">
        <v>5648950</v>
      </c>
      <c r="E464" s="293" t="s">
        <v>19</v>
      </c>
      <c r="F464" s="293" t="s">
        <v>20</v>
      </c>
      <c r="G464" s="293" t="s">
        <v>2512</v>
      </c>
      <c r="H464" s="293" t="str">
        <f>IFERROR(VLOOKUP(G464,'Cadastro de assessores'!A:B,2,FALSE),"Não Cadastrado")</f>
        <v>18256</v>
      </c>
      <c r="I464" s="293"/>
      <c r="J464" s="24" t="s">
        <v>3788</v>
      </c>
      <c r="K464" s="292" t="s">
        <v>152</v>
      </c>
      <c r="L464" s="415">
        <v>44365</v>
      </c>
      <c r="M464" s="415">
        <v>44365</v>
      </c>
      <c r="N464" s="299"/>
      <c r="O464" s="299" t="s">
        <v>3789</v>
      </c>
      <c r="P464" s="388">
        <v>1.9E-2</v>
      </c>
      <c r="Q464" s="167" t="s">
        <v>3878</v>
      </c>
      <c r="R464" s="417"/>
      <c r="S464" s="292" t="str">
        <f t="shared" ref="S464:S469" si="49">IF(BC464&lt;=0,"",IF(BC464&lt;=1000000,"Não Qualificado",IF(AND(BC464&gt;1000000,BC464&lt;=10000000),"Qualificado","Profissional")))</f>
        <v>Não Qualificado</v>
      </c>
      <c r="T464" s="292" t="s">
        <v>145</v>
      </c>
      <c r="U464" s="299" t="s">
        <v>3816</v>
      </c>
      <c r="V464" s="292" t="s">
        <v>20</v>
      </c>
      <c r="W464" s="350"/>
      <c r="X464" s="350"/>
      <c r="Y464" s="350"/>
      <c r="Z464" s="350"/>
      <c r="AA464" s="350"/>
      <c r="AB464" s="350"/>
      <c r="AC464" s="350"/>
      <c r="AD464" s="350"/>
      <c r="AE464" s="350"/>
      <c r="AF464" s="350"/>
      <c r="AG464" s="350"/>
      <c r="AH464" s="350"/>
      <c r="AI464" s="350"/>
      <c r="AJ464" s="339"/>
      <c r="AK464" s="339"/>
      <c r="AL464" s="339"/>
      <c r="AM464" s="339"/>
      <c r="AN464" s="339"/>
      <c r="AO464" s="339"/>
      <c r="AP464" s="339"/>
      <c r="AQ464" s="339"/>
      <c r="AR464" s="350"/>
      <c r="AS464" s="339">
        <v>49266.38</v>
      </c>
      <c r="AT464" s="339">
        <v>47768.34</v>
      </c>
      <c r="AU464" s="339">
        <v>47203.14</v>
      </c>
      <c r="AV464" s="339">
        <v>45635.13</v>
      </c>
      <c r="AW464" s="339">
        <v>43448.9</v>
      </c>
      <c r="AX464" s="339">
        <v>43248.61</v>
      </c>
      <c r="AY464" s="339">
        <v>43757.29</v>
      </c>
      <c r="AZ464" s="339">
        <v>45254.21</v>
      </c>
      <c r="BA464" s="339">
        <v>45731.91</v>
      </c>
      <c r="BB464" s="339">
        <v>47654.02</v>
      </c>
      <c r="BC464" s="339">
        <v>233911.75</v>
      </c>
      <c r="BD464" s="339">
        <v>46471.03</v>
      </c>
      <c r="BE464" s="339">
        <v>45570.47</v>
      </c>
      <c r="BF464" s="339">
        <v>46604.01</v>
      </c>
      <c r="BG464" s="339">
        <v>47247.66231</v>
      </c>
      <c r="BH464" s="339">
        <v>47462.239999999998</v>
      </c>
      <c r="BI464" s="339">
        <v>49654.7</v>
      </c>
      <c r="BJ464" s="339">
        <v>49431.21</v>
      </c>
      <c r="BK464" s="339">
        <v>49693.01</v>
      </c>
      <c r="BL464" s="339">
        <v>50315.95</v>
      </c>
      <c r="BM464" s="339">
        <v>50436.7</v>
      </c>
      <c r="BN464" s="339">
        <v>918.19</v>
      </c>
      <c r="BO464" s="339">
        <v>864.4</v>
      </c>
      <c r="BP464" s="339">
        <v>811.58</v>
      </c>
      <c r="BQ464" s="339">
        <v>904.86</v>
      </c>
      <c r="BR464" s="339">
        <v>1030.92</v>
      </c>
      <c r="BS464" s="110" t="e">
        <f t="array" aca="1" ref="BS464" ca="1">_xludf.XLOOKUP(D464,'PL TOTAL D0'!N:N,'PL TOTAL D0'!P:P,"")</f>
        <v>#NAME?</v>
      </c>
      <c r="BT464" s="110"/>
    </row>
    <row r="465" spans="1:72" ht="15.75" customHeight="1">
      <c r="A465" s="122" t="s">
        <v>3785</v>
      </c>
      <c r="B465" s="104" t="s">
        <v>5154</v>
      </c>
      <c r="C465" s="390" t="s">
        <v>5155</v>
      </c>
      <c r="D465" s="299">
        <v>6320705</v>
      </c>
      <c r="E465" s="293" t="s">
        <v>64</v>
      </c>
      <c r="F465" s="293" t="s">
        <v>20</v>
      </c>
      <c r="G465" s="293" t="s">
        <v>3847</v>
      </c>
      <c r="H465" s="293" t="str">
        <f>IFERROR(VLOOKUP(G465,'Cadastro de assessores'!A:B,2,FALSE),"Não Cadastrado")</f>
        <v>12624</v>
      </c>
      <c r="I465" s="293"/>
      <c r="J465" s="24" t="s">
        <v>3788</v>
      </c>
      <c r="K465" s="292" t="s">
        <v>152</v>
      </c>
      <c r="L465" s="415">
        <v>44421</v>
      </c>
      <c r="M465" s="415">
        <v>44421</v>
      </c>
      <c r="N465" s="299"/>
      <c r="O465" s="299" t="s">
        <v>3809</v>
      </c>
      <c r="P465" s="388">
        <v>2.5000000000000001E-2</v>
      </c>
      <c r="Q465" s="167"/>
      <c r="R465" s="417"/>
      <c r="S465" s="292" t="str">
        <f t="shared" si="49"/>
        <v/>
      </c>
      <c r="T465" s="292" t="s">
        <v>145</v>
      </c>
      <c r="U465" s="292" t="s">
        <v>3929</v>
      </c>
      <c r="V465" s="292" t="s">
        <v>20</v>
      </c>
      <c r="W465" s="350"/>
      <c r="X465" s="350"/>
      <c r="Y465" s="350"/>
      <c r="Z465" s="350"/>
      <c r="AA465" s="350"/>
      <c r="AB465" s="350"/>
      <c r="AC465" s="350"/>
      <c r="AD465" s="350"/>
      <c r="AE465" s="350"/>
      <c r="AF465" s="350"/>
      <c r="AG465" s="350"/>
      <c r="AH465" s="418"/>
      <c r="AI465" s="339"/>
      <c r="AJ465" s="339"/>
      <c r="AK465" s="339"/>
      <c r="AL465" s="339"/>
      <c r="AM465" s="339"/>
      <c r="AN465" s="339"/>
      <c r="AO465" s="339"/>
      <c r="AP465" s="339"/>
      <c r="AQ465" s="350"/>
      <c r="AR465" s="339"/>
      <c r="AS465" s="431"/>
      <c r="AT465" s="340"/>
      <c r="AU465" s="340">
        <v>104884.5</v>
      </c>
      <c r="AV465" s="339">
        <v>98891.08</v>
      </c>
      <c r="AW465" s="339">
        <v>90858.68</v>
      </c>
      <c r="AX465" s="339">
        <v>89741.48</v>
      </c>
      <c r="AY465" s="339">
        <v>91510.2</v>
      </c>
      <c r="AZ465" s="339">
        <v>97033.55</v>
      </c>
      <c r="BA465" s="339">
        <v>98245.19</v>
      </c>
      <c r="BB465" s="339">
        <v>104704.92</v>
      </c>
      <c r="BC465" s="339"/>
      <c r="BD465" s="339">
        <v>97942.6</v>
      </c>
      <c r="BE465" s="339">
        <v>93962.15</v>
      </c>
      <c r="BF465" s="339">
        <v>8850.8799999999992</v>
      </c>
      <c r="BG465" s="339">
        <v>5433.96</v>
      </c>
      <c r="BH465" s="339">
        <v>5456.64</v>
      </c>
      <c r="BI465" s="339">
        <v>5508.45</v>
      </c>
      <c r="BJ465" s="339">
        <v>5524.52</v>
      </c>
      <c r="BK465" s="339">
        <v>527.76</v>
      </c>
      <c r="BL465" s="339">
        <v>924.19</v>
      </c>
      <c r="BM465" s="339">
        <v>933.75</v>
      </c>
      <c r="BN465" s="339">
        <v>923.76</v>
      </c>
      <c r="BO465" s="339">
        <v>924.67</v>
      </c>
      <c r="BP465" s="339">
        <v>925.62</v>
      </c>
      <c r="BQ465" s="339">
        <v>929.54</v>
      </c>
      <c r="BR465" s="339">
        <v>927.86</v>
      </c>
      <c r="BS465" s="110" t="e">
        <f t="array" aca="1" ref="BS465" ca="1">_xludf.XLOOKUP(D465,'PL TOTAL D0'!N:N,'PL TOTAL D0'!P:P,"")</f>
        <v>#NAME?</v>
      </c>
      <c r="BT465" s="110"/>
    </row>
    <row r="466" spans="1:72" ht="15.75" customHeight="1">
      <c r="A466" s="122" t="s">
        <v>3785</v>
      </c>
      <c r="B466" s="104" t="s">
        <v>2519</v>
      </c>
      <c r="C466" s="390" t="s">
        <v>5156</v>
      </c>
      <c r="D466" s="381">
        <v>7263623</v>
      </c>
      <c r="E466" s="293" t="s">
        <v>19</v>
      </c>
      <c r="F466" s="293" t="s">
        <v>20</v>
      </c>
      <c r="G466" s="426" t="s">
        <v>21</v>
      </c>
      <c r="H466" s="293">
        <f>IFERROR(VLOOKUP(G466,'Cadastro de assessores'!A:B,2,FALSE),"Não Cadastrado")</f>
        <v>12344</v>
      </c>
      <c r="I466" s="293"/>
      <c r="J466" s="24" t="s">
        <v>3788</v>
      </c>
      <c r="K466" s="439" t="s">
        <v>161</v>
      </c>
      <c r="L466" s="292" t="s">
        <v>3147</v>
      </c>
      <c r="M466" s="436" t="s">
        <v>4177</v>
      </c>
      <c r="N466" s="426"/>
      <c r="O466" s="426" t="s">
        <v>3809</v>
      </c>
      <c r="P466" s="388">
        <v>2.5000000000000001E-2</v>
      </c>
      <c r="Q466" s="311" t="s">
        <v>5157</v>
      </c>
      <c r="R466" s="417"/>
      <c r="S466" s="292" t="str">
        <f t="shared" si="49"/>
        <v>Não Qualificado</v>
      </c>
      <c r="T466" s="292" t="s">
        <v>145</v>
      </c>
      <c r="U466" s="292" t="s">
        <v>3929</v>
      </c>
      <c r="V466" s="292" t="s">
        <v>20</v>
      </c>
      <c r="W466" s="350"/>
      <c r="X466" s="350"/>
      <c r="Y466" s="350"/>
      <c r="Z466" s="350"/>
      <c r="AA466" s="350"/>
      <c r="AB466" s="350"/>
      <c r="AC466" s="350"/>
      <c r="AD466" s="350"/>
      <c r="AE466" s="350"/>
      <c r="AF466" s="350"/>
      <c r="AG466" s="350"/>
      <c r="AH466" s="418"/>
      <c r="AI466" s="339"/>
      <c r="AJ466" s="339"/>
      <c r="AK466" s="339"/>
      <c r="AL466" s="339"/>
      <c r="AM466" s="339"/>
      <c r="AN466" s="339"/>
      <c r="AO466" s="339"/>
      <c r="AP466" s="339"/>
      <c r="AQ466" s="350"/>
      <c r="AR466" s="339"/>
      <c r="AS466" s="339"/>
      <c r="AT466" s="339"/>
      <c r="AU466" s="339"/>
      <c r="AV466" s="339"/>
      <c r="AW466" s="339"/>
      <c r="AX466" s="350"/>
      <c r="AY466" s="350"/>
      <c r="AZ466" s="418"/>
      <c r="BA466" s="418">
        <v>0</v>
      </c>
      <c r="BB466" s="418">
        <v>0</v>
      </c>
      <c r="BC466" s="418">
        <v>113671.65</v>
      </c>
      <c r="BD466" s="339" t="s">
        <v>2932</v>
      </c>
      <c r="BE466" s="339" t="s">
        <v>2932</v>
      </c>
      <c r="BF466" s="339">
        <v>0</v>
      </c>
      <c r="BG466" s="339">
        <v>0</v>
      </c>
      <c r="BH466" s="339">
        <v>0</v>
      </c>
      <c r="BI466" s="339">
        <v>0</v>
      </c>
      <c r="BJ466" s="339">
        <v>0</v>
      </c>
      <c r="BK466" s="339">
        <v>0</v>
      </c>
      <c r="BL466" s="339">
        <v>0</v>
      </c>
      <c r="BM466" s="339">
        <v>0</v>
      </c>
      <c r="BN466" s="339">
        <v>0</v>
      </c>
      <c r="BO466" s="339">
        <v>0</v>
      </c>
      <c r="BP466" s="339">
        <v>0</v>
      </c>
      <c r="BQ466" s="339">
        <v>0</v>
      </c>
      <c r="BR466" s="339">
        <v>0</v>
      </c>
      <c r="BS466" s="110" t="e">
        <f t="array" aca="1" ref="BS466" ca="1">_xludf.XLOOKUP(D466,'PL TOTAL D0'!N:N,'PL TOTAL D0'!P:P,"")</f>
        <v>#NAME?</v>
      </c>
      <c r="BT466" s="110"/>
    </row>
    <row r="467" spans="1:72" ht="15.75" customHeight="1">
      <c r="A467" s="122" t="s">
        <v>3785</v>
      </c>
      <c r="B467" s="104" t="s">
        <v>2519</v>
      </c>
      <c r="C467" s="390" t="s">
        <v>5156</v>
      </c>
      <c r="D467" s="299">
        <v>2004579</v>
      </c>
      <c r="E467" s="293" t="s">
        <v>19</v>
      </c>
      <c r="F467" s="293" t="s">
        <v>20</v>
      </c>
      <c r="G467" s="426" t="s">
        <v>21</v>
      </c>
      <c r="H467" s="293">
        <f>IFERROR(VLOOKUP(G467,'Cadastro de assessores'!A:B,2,FALSE),"Não Cadastrado")</f>
        <v>12344</v>
      </c>
      <c r="I467" s="293"/>
      <c r="J467" s="24" t="s">
        <v>152</v>
      </c>
      <c r="K467" s="292" t="s">
        <v>152</v>
      </c>
      <c r="L467" s="415">
        <v>44557</v>
      </c>
      <c r="M467" s="415">
        <v>44557</v>
      </c>
      <c r="N467" s="426"/>
      <c r="O467" s="426" t="s">
        <v>3802</v>
      </c>
      <c r="P467" s="388">
        <v>7.0000000000000001E-3</v>
      </c>
      <c r="Q467" s="311" t="s">
        <v>5157</v>
      </c>
      <c r="R467" s="417"/>
      <c r="S467" s="292" t="str">
        <f t="shared" si="49"/>
        <v>Não Qualificado</v>
      </c>
      <c r="T467" s="292" t="s">
        <v>145</v>
      </c>
      <c r="U467" s="292" t="s">
        <v>3929</v>
      </c>
      <c r="V467" s="292" t="s">
        <v>20</v>
      </c>
      <c r="W467" s="350"/>
      <c r="X467" s="350"/>
      <c r="Y467" s="350"/>
      <c r="Z467" s="350"/>
      <c r="AA467" s="350"/>
      <c r="AB467" s="350"/>
      <c r="AC467" s="350"/>
      <c r="AD467" s="350"/>
      <c r="AE467" s="350"/>
      <c r="AF467" s="350"/>
      <c r="AG467" s="350"/>
      <c r="AH467" s="418"/>
      <c r="AI467" s="339"/>
      <c r="AJ467" s="339"/>
      <c r="AK467" s="339"/>
      <c r="AL467" s="339"/>
      <c r="AM467" s="339"/>
      <c r="AN467" s="339"/>
      <c r="AO467" s="339"/>
      <c r="AP467" s="339"/>
      <c r="AQ467" s="350"/>
      <c r="AR467" s="339"/>
      <c r="AS467" s="339"/>
      <c r="AT467" s="339"/>
      <c r="AU467" s="339"/>
      <c r="AV467" s="339"/>
      <c r="AW467" s="339"/>
      <c r="AX467" s="350"/>
      <c r="AY467" s="340">
        <v>490247.55</v>
      </c>
      <c r="AZ467" s="339">
        <v>594296.93000000005</v>
      </c>
      <c r="BA467" s="339">
        <v>599010.14</v>
      </c>
      <c r="BB467" s="339">
        <v>607476.02</v>
      </c>
      <c r="BC467" s="339">
        <v>135391.14000000001</v>
      </c>
      <c r="BD467" s="339">
        <v>619618.25</v>
      </c>
      <c r="BE467" s="339">
        <v>624555.53</v>
      </c>
      <c r="BF467" s="339">
        <v>627595.1</v>
      </c>
      <c r="BG467" s="339">
        <v>633119.54870000004</v>
      </c>
      <c r="BH467" s="339">
        <v>637310.28</v>
      </c>
      <c r="BI467" s="339">
        <v>640648.99</v>
      </c>
      <c r="BJ467" s="339">
        <v>644505.17000000004</v>
      </c>
      <c r="BK467" s="339">
        <v>753247.3</v>
      </c>
      <c r="BL467" s="339">
        <v>759796.97</v>
      </c>
      <c r="BM467" s="339">
        <v>765540.86</v>
      </c>
      <c r="BN467" s="339">
        <v>774715.7</v>
      </c>
      <c r="BO467" s="339">
        <v>121.86</v>
      </c>
      <c r="BP467" s="339">
        <v>121.86</v>
      </c>
      <c r="BQ467" s="339">
        <v>8121.86</v>
      </c>
      <c r="BR467" s="339">
        <v>44601.21</v>
      </c>
      <c r="BS467" s="110" t="e">
        <f t="array" aca="1" ref="BS467" ca="1">_xludf.XLOOKUP(D467,'PL TOTAL D0'!N:N,'PL TOTAL D0'!P:P,"")</f>
        <v>#NAME?</v>
      </c>
      <c r="BT467" s="110"/>
    </row>
    <row r="468" spans="1:72" ht="15.75" customHeight="1">
      <c r="A468" s="122" t="s">
        <v>3785</v>
      </c>
      <c r="B468" s="104" t="s">
        <v>5158</v>
      </c>
      <c r="C468" s="390" t="s">
        <v>5159</v>
      </c>
      <c r="D468" s="299">
        <v>4841428</v>
      </c>
      <c r="E468" s="293" t="s">
        <v>19</v>
      </c>
      <c r="F468" s="293" t="s">
        <v>20</v>
      </c>
      <c r="G468" s="293" t="s">
        <v>3159</v>
      </c>
      <c r="H468" s="293" t="str">
        <f>IFERROR(VLOOKUP(G468,'Cadastro de assessores'!A:B,2,FALSE),"Não Cadastrado")</f>
        <v>13444</v>
      </c>
      <c r="I468" s="293"/>
      <c r="J468" s="24" t="s">
        <v>3788</v>
      </c>
      <c r="K468" s="292" t="s">
        <v>152</v>
      </c>
      <c r="L468" s="415">
        <v>44370</v>
      </c>
      <c r="M468" s="415">
        <v>44372</v>
      </c>
      <c r="N468" s="299"/>
      <c r="O468" s="299" t="s">
        <v>4019</v>
      </c>
      <c r="P468" s="388">
        <v>0.02</v>
      </c>
      <c r="Q468" s="167"/>
      <c r="R468" s="417"/>
      <c r="S468" s="292" t="str">
        <f t="shared" si="49"/>
        <v/>
      </c>
      <c r="T468" s="292" t="s">
        <v>145</v>
      </c>
      <c r="U468" s="299" t="s">
        <v>4020</v>
      </c>
      <c r="V468" s="299" t="s">
        <v>60</v>
      </c>
      <c r="W468" s="350"/>
      <c r="X468" s="350"/>
      <c r="Y468" s="350"/>
      <c r="Z468" s="350"/>
      <c r="AA468" s="350"/>
      <c r="AB468" s="350"/>
      <c r="AC468" s="350"/>
      <c r="AD468" s="350"/>
      <c r="AE468" s="350"/>
      <c r="AF468" s="350"/>
      <c r="AG468" s="350"/>
      <c r="AH468" s="350"/>
      <c r="AI468" s="418"/>
      <c r="AJ468" s="339"/>
      <c r="AK468" s="339"/>
      <c r="AL468" s="339"/>
      <c r="AM468" s="339"/>
      <c r="AN468" s="339"/>
      <c r="AO468" s="339"/>
      <c r="AP468" s="339"/>
      <c r="AQ468" s="339"/>
      <c r="AR468" s="350"/>
      <c r="AS468" s="339">
        <v>98280.75</v>
      </c>
      <c r="AT468" s="339">
        <v>92132.74</v>
      </c>
      <c r="AU468" s="339">
        <v>90335.7</v>
      </c>
      <c r="AV468" s="339">
        <v>84565.32</v>
      </c>
      <c r="AW468" s="339">
        <v>75442.759999999995</v>
      </c>
      <c r="AX468" s="339">
        <v>68610.559999999998</v>
      </c>
      <c r="AY468" s="339">
        <v>71332.11</v>
      </c>
      <c r="AZ468" s="339">
        <v>73982.73</v>
      </c>
      <c r="BA468" s="339">
        <v>76268.759999999995</v>
      </c>
      <c r="BB468" s="339">
        <v>79776.3</v>
      </c>
      <c r="BC468" s="339"/>
      <c r="BD468" s="339">
        <v>76306.33</v>
      </c>
      <c r="BE468" s="339">
        <v>63907.91</v>
      </c>
      <c r="BF468" s="339">
        <v>68319.179999999993</v>
      </c>
      <c r="BG468" s="339">
        <v>72571.56</v>
      </c>
      <c r="BH468" s="339">
        <v>69744.210000000006</v>
      </c>
      <c r="BI468" s="339">
        <v>77493.17</v>
      </c>
      <c r="BJ468" s="339">
        <v>73364.899999999994</v>
      </c>
      <c r="BK468" s="339">
        <v>71092.61</v>
      </c>
      <c r="BL468" s="339">
        <v>73086.78</v>
      </c>
      <c r="BM468" s="339">
        <v>67303.72</v>
      </c>
      <c r="BN468" s="339">
        <v>63602.080000000002</v>
      </c>
      <c r="BO468" s="339">
        <v>63025.42</v>
      </c>
      <c r="BP468" s="339">
        <v>70336.45</v>
      </c>
      <c r="BQ468" s="339">
        <v>74873.84</v>
      </c>
      <c r="BR468" s="339">
        <v>77835.210000000006</v>
      </c>
      <c r="BS468" s="110" t="e">
        <f t="array" aca="1" ref="BS468" ca="1">_xludf.XLOOKUP(D468,'PL TOTAL D0'!N:N,'PL TOTAL D0'!P:P,"")</f>
        <v>#NAME?</v>
      </c>
      <c r="BT468" s="110"/>
    </row>
    <row r="469" spans="1:72" ht="15.75" customHeight="1">
      <c r="A469" s="122" t="s">
        <v>3785</v>
      </c>
      <c r="B469" s="104" t="s">
        <v>5160</v>
      </c>
      <c r="C469" s="122" t="s">
        <v>5161</v>
      </c>
      <c r="D469" s="292">
        <v>4681272</v>
      </c>
      <c r="E469" s="293" t="s">
        <v>64</v>
      </c>
      <c r="F469" s="293" t="s">
        <v>20</v>
      </c>
      <c r="G469" s="293" t="s">
        <v>3634</v>
      </c>
      <c r="H469" s="293" t="str">
        <f>IFERROR(VLOOKUP(G469,'Cadastro de assessores'!A:B,2,FALSE),"Não Cadastrado")</f>
        <v>14574</v>
      </c>
      <c r="I469" s="293"/>
      <c r="J469" s="24" t="s">
        <v>143</v>
      </c>
      <c r="K469" s="292" t="s">
        <v>152</v>
      </c>
      <c r="L469" s="416">
        <v>44186</v>
      </c>
      <c r="M469" s="416">
        <v>44186</v>
      </c>
      <c r="N469" s="391">
        <v>44901</v>
      </c>
      <c r="O469" s="299" t="s">
        <v>3789</v>
      </c>
      <c r="P469" s="388">
        <v>0.02</v>
      </c>
      <c r="Q469" s="420" t="s">
        <v>5162</v>
      </c>
      <c r="R469" s="417"/>
      <c r="S469" s="292" t="str">
        <f t="shared" si="49"/>
        <v>Não Qualificado</v>
      </c>
      <c r="T469" s="292" t="s">
        <v>145</v>
      </c>
      <c r="U469" s="292" t="s">
        <v>5163</v>
      </c>
      <c r="V469" s="292" t="s">
        <v>5164</v>
      </c>
      <c r="W469" s="418" t="s">
        <v>3798</v>
      </c>
      <c r="X469" s="418" t="s">
        <v>3798</v>
      </c>
      <c r="Y469" s="418" t="s">
        <v>3798</v>
      </c>
      <c r="Z469" s="418" t="s">
        <v>3798</v>
      </c>
      <c r="AA469" s="418" t="s">
        <v>3798</v>
      </c>
      <c r="AB469" s="418" t="s">
        <v>3798</v>
      </c>
      <c r="AC469" s="418" t="s">
        <v>3798</v>
      </c>
      <c r="AD469" s="418" t="s">
        <v>3798</v>
      </c>
      <c r="AE469" s="418" t="s">
        <v>3798</v>
      </c>
      <c r="AF469" s="418" t="s">
        <v>3798</v>
      </c>
      <c r="AG469" s="418" t="s">
        <v>3798</v>
      </c>
      <c r="AH469" s="418" t="s">
        <v>3798</v>
      </c>
      <c r="AI469" s="418" t="s">
        <v>3798</v>
      </c>
      <c r="AJ469" s="418" t="s">
        <v>3798</v>
      </c>
      <c r="AK469" s="339">
        <v>130511.09</v>
      </c>
      <c r="AL469" s="339">
        <v>156847.69</v>
      </c>
      <c r="AM469" s="339">
        <v>150562.91</v>
      </c>
      <c r="AN469" s="339">
        <v>150826.78</v>
      </c>
      <c r="AO469" s="339">
        <v>157052.35</v>
      </c>
      <c r="AP469" s="339">
        <v>161358.06</v>
      </c>
      <c r="AQ469" s="339">
        <v>160372.38</v>
      </c>
      <c r="AR469" s="339">
        <v>186413.42</v>
      </c>
      <c r="AS469" s="339">
        <v>183874.49</v>
      </c>
      <c r="AT469" s="339">
        <v>177182.7</v>
      </c>
      <c r="AU469" s="339">
        <v>174801.54</v>
      </c>
      <c r="AV469" s="339">
        <v>168789.51</v>
      </c>
      <c r="AW469" s="339">
        <v>159178.03</v>
      </c>
      <c r="AX469" s="339">
        <v>158989.46</v>
      </c>
      <c r="AY469" s="339">
        <v>161171.69</v>
      </c>
      <c r="AZ469" s="339">
        <v>168193.24</v>
      </c>
      <c r="BA469" s="339">
        <v>169606.9</v>
      </c>
      <c r="BB469" s="339">
        <v>177746.34</v>
      </c>
      <c r="BC469" s="339">
        <v>0.81</v>
      </c>
      <c r="BD469" s="339">
        <v>173740.92</v>
      </c>
      <c r="BE469" s="339">
        <v>169531.31</v>
      </c>
      <c r="BF469" s="339">
        <v>175983.34</v>
      </c>
      <c r="BG469" s="339">
        <v>180237.76850000001</v>
      </c>
      <c r="BH469" s="339">
        <v>179635.48</v>
      </c>
      <c r="BI469" s="339">
        <v>190126.85</v>
      </c>
      <c r="BJ469" s="339">
        <v>159052.1</v>
      </c>
      <c r="BK469" s="339">
        <v>0</v>
      </c>
      <c r="BL469" s="339">
        <v>0</v>
      </c>
      <c r="BM469" s="339">
        <v>0</v>
      </c>
      <c r="BN469" s="339">
        <v>0</v>
      </c>
      <c r="BO469" s="339">
        <v>0</v>
      </c>
      <c r="BP469" s="339">
        <v>0</v>
      </c>
      <c r="BQ469" s="339">
        <v>0</v>
      </c>
      <c r="BR469" s="339">
        <v>0</v>
      </c>
      <c r="BS469" s="110" t="e">
        <f t="array" aca="1" ref="BS469" ca="1">_xludf.XLOOKUP(D469,'PL TOTAL D0'!N:N,'PL TOTAL D0'!P:P,"")</f>
        <v>#NAME?</v>
      </c>
      <c r="BT469" s="110"/>
    </row>
    <row r="470" spans="1:72" ht="15.75" customHeight="1">
      <c r="A470" s="122" t="s">
        <v>3785</v>
      </c>
      <c r="B470" s="104" t="s">
        <v>2534</v>
      </c>
      <c r="C470" s="390" t="s">
        <v>5165</v>
      </c>
      <c r="D470" s="299">
        <v>3658320</v>
      </c>
      <c r="E470" s="293" t="s">
        <v>19</v>
      </c>
      <c r="F470" s="293" t="s">
        <v>20</v>
      </c>
      <c r="G470" s="299" t="s">
        <v>372</v>
      </c>
      <c r="H470" s="299">
        <f>IFERROR(VLOOKUP(G470,'Cadastro de assessores'!A:B,2,FALSE),"Não Cadastrado")</f>
        <v>12359</v>
      </c>
      <c r="I470" s="299"/>
      <c r="J470" s="24" t="s">
        <v>3788</v>
      </c>
      <c r="K470" s="292" t="s">
        <v>152</v>
      </c>
      <c r="L470" s="416">
        <v>44704</v>
      </c>
      <c r="M470" s="416">
        <v>44704</v>
      </c>
      <c r="N470" s="292"/>
      <c r="O470" s="292" t="s">
        <v>3805</v>
      </c>
      <c r="P470" s="388">
        <v>1.2E-2</v>
      </c>
      <c r="Q470" s="446" t="s">
        <v>4395</v>
      </c>
      <c r="R470" s="417"/>
      <c r="S470" s="292"/>
      <c r="T470" s="292" t="s">
        <v>145</v>
      </c>
      <c r="U470" s="292" t="s">
        <v>3816</v>
      </c>
      <c r="V470" s="292" t="s">
        <v>20</v>
      </c>
      <c r="W470" s="418"/>
      <c r="X470" s="418"/>
      <c r="Y470" s="418"/>
      <c r="Z470" s="418"/>
      <c r="AA470" s="418"/>
      <c r="AB470" s="418"/>
      <c r="AC470" s="418"/>
      <c r="AD470" s="418"/>
      <c r="AE470" s="418"/>
      <c r="AF470" s="418"/>
      <c r="AG470" s="418"/>
      <c r="AH470" s="418"/>
      <c r="AI470" s="418"/>
      <c r="AJ470" s="418"/>
      <c r="AK470" s="339"/>
      <c r="AL470" s="339"/>
      <c r="AM470" s="339"/>
      <c r="AN470" s="339"/>
      <c r="AO470" s="339"/>
      <c r="AP470" s="339"/>
      <c r="AQ470" s="339"/>
      <c r="AR470" s="339"/>
      <c r="AS470" s="339"/>
      <c r="AT470" s="339"/>
      <c r="AU470" s="339"/>
      <c r="AV470" s="339"/>
      <c r="AW470" s="339"/>
      <c r="AX470" s="339"/>
      <c r="AY470" s="339"/>
      <c r="AZ470" s="339"/>
      <c r="BA470" s="339"/>
      <c r="BB470" s="339"/>
      <c r="BC470" s="339"/>
      <c r="BD470" s="339">
        <v>57246.89</v>
      </c>
      <c r="BE470" s="339">
        <v>57118.23</v>
      </c>
      <c r="BF470" s="339">
        <v>57774.79</v>
      </c>
      <c r="BG470" s="339">
        <v>58928.37616</v>
      </c>
      <c r="BH470" s="339">
        <v>59060.06</v>
      </c>
      <c r="BI470" s="339">
        <v>59493.31</v>
      </c>
      <c r="BJ470" s="339">
        <v>60189.18</v>
      </c>
      <c r="BK470" s="339">
        <v>60922.8</v>
      </c>
      <c r="BL470" s="339">
        <v>61754.98</v>
      </c>
      <c r="BM470" s="339">
        <v>49787.62</v>
      </c>
      <c r="BN470" s="339">
        <v>1.17</v>
      </c>
      <c r="BO470" s="339">
        <v>1.17</v>
      </c>
      <c r="BP470" s="339">
        <v>1.17</v>
      </c>
      <c r="BQ470" s="339">
        <v>1.17</v>
      </c>
      <c r="BR470" s="339">
        <v>1.17</v>
      </c>
      <c r="BS470" s="110" t="e">
        <f t="array" aca="1" ref="BS470" ca="1">_xludf.XLOOKUP(D470,'PL TOTAL D0'!N:N,'PL TOTAL D0'!P:P,"")</f>
        <v>#NAME?</v>
      </c>
      <c r="BT470" s="110"/>
    </row>
    <row r="471" spans="1:72" ht="15.75" customHeight="1">
      <c r="A471" s="122" t="s">
        <v>3785</v>
      </c>
      <c r="B471" s="104" t="s">
        <v>2540</v>
      </c>
      <c r="C471" s="122" t="s">
        <v>2538</v>
      </c>
      <c r="D471" s="292">
        <v>4559307</v>
      </c>
      <c r="E471" s="293" t="s">
        <v>64</v>
      </c>
      <c r="F471" s="293" t="s">
        <v>20</v>
      </c>
      <c r="G471" s="293" t="s">
        <v>3862</v>
      </c>
      <c r="H471" s="293" t="str">
        <f>IFERROR(VLOOKUP(G471,'Cadastro de assessores'!A:B,2,FALSE),"Não Cadastrado")</f>
        <v>1298</v>
      </c>
      <c r="I471" s="293"/>
      <c r="J471" s="24" t="s">
        <v>3788</v>
      </c>
      <c r="K471" s="292" t="s">
        <v>152</v>
      </c>
      <c r="L471" s="416">
        <v>44151</v>
      </c>
      <c r="M471" s="416">
        <v>44151</v>
      </c>
      <c r="N471" s="292"/>
      <c r="O471" s="292" t="s">
        <v>3795</v>
      </c>
      <c r="P471" s="388">
        <v>1.4999999999999999E-2</v>
      </c>
      <c r="Q471" s="420"/>
      <c r="R471" s="417"/>
      <c r="S471" s="292" t="str">
        <f>IF(BC471&lt;=0,"",IF(BC471&lt;=1000000,"Não Qualificado",IF(AND(BC471&gt;1000000,BC471&lt;=10000000),"Qualificado","Profissional")))</f>
        <v>Não Qualificado</v>
      </c>
      <c r="T471" s="292" t="s">
        <v>145</v>
      </c>
      <c r="U471" s="292" t="s">
        <v>3797</v>
      </c>
      <c r="V471" s="292" t="s">
        <v>20</v>
      </c>
      <c r="W471" s="418" t="s">
        <v>3798</v>
      </c>
      <c r="X471" s="418" t="s">
        <v>3798</v>
      </c>
      <c r="Y471" s="418" t="s">
        <v>3798</v>
      </c>
      <c r="Z471" s="418" t="s">
        <v>3798</v>
      </c>
      <c r="AA471" s="418" t="s">
        <v>3798</v>
      </c>
      <c r="AB471" s="418" t="s">
        <v>3798</v>
      </c>
      <c r="AC471" s="418" t="s">
        <v>3798</v>
      </c>
      <c r="AD471" s="418" t="s">
        <v>3798</v>
      </c>
      <c r="AE471" s="418" t="s">
        <v>3798</v>
      </c>
      <c r="AF471" s="418" t="s">
        <v>3798</v>
      </c>
      <c r="AG471" s="418" t="s">
        <v>3798</v>
      </c>
      <c r="AH471" s="418" t="s">
        <v>3798</v>
      </c>
      <c r="AI471" s="418" t="s">
        <v>3798</v>
      </c>
      <c r="AJ471" s="418" t="s">
        <v>5166</v>
      </c>
      <c r="AK471" s="339">
        <v>223748.52</v>
      </c>
      <c r="AL471" s="339">
        <v>219235.47</v>
      </c>
      <c r="AM471" s="339">
        <v>214079.07</v>
      </c>
      <c r="AN471" s="339">
        <v>213908.24</v>
      </c>
      <c r="AO471" s="339">
        <v>219657.25</v>
      </c>
      <c r="AP471" s="339">
        <v>220932.72</v>
      </c>
      <c r="AQ471" s="339">
        <v>220118.75</v>
      </c>
      <c r="AR471" s="339">
        <v>224934.37</v>
      </c>
      <c r="AS471" s="339">
        <v>223127.56</v>
      </c>
      <c r="AT471" s="339">
        <v>218695.75</v>
      </c>
      <c r="AU471" s="339">
        <v>217247.23</v>
      </c>
      <c r="AV471" s="339">
        <v>212859.01</v>
      </c>
      <c r="AW471" s="339">
        <v>205567.66</v>
      </c>
      <c r="AX471" s="339">
        <v>205831.34</v>
      </c>
      <c r="AY471" s="339">
        <v>208800.92</v>
      </c>
      <c r="AZ471" s="339">
        <v>213909.64</v>
      </c>
      <c r="BA471" s="339">
        <v>215464.88</v>
      </c>
      <c r="BB471" s="339">
        <v>223008.41</v>
      </c>
      <c r="BC471" s="339">
        <v>3950.19</v>
      </c>
      <c r="BD471" s="339">
        <v>222385.89</v>
      </c>
      <c r="BE471" s="339">
        <v>221445</v>
      </c>
      <c r="BF471" s="339">
        <v>224944.06</v>
      </c>
      <c r="BG471" s="339">
        <v>226087.55420000001</v>
      </c>
      <c r="BH471" s="339">
        <v>226842.58</v>
      </c>
      <c r="BI471" s="339">
        <v>234094.25</v>
      </c>
      <c r="BJ471" s="339">
        <v>233445.18</v>
      </c>
      <c r="BK471" s="339">
        <v>234987.56</v>
      </c>
      <c r="BL471" s="339">
        <v>237773.64</v>
      </c>
      <c r="BM471" s="339">
        <v>239314.08</v>
      </c>
      <c r="BN471" s="339">
        <v>0.49</v>
      </c>
      <c r="BO471" s="339">
        <v>0</v>
      </c>
      <c r="BP471" s="339">
        <v>0</v>
      </c>
      <c r="BQ471" s="339">
        <v>0</v>
      </c>
      <c r="BR471" s="339">
        <v>0</v>
      </c>
      <c r="BS471" s="110" t="e">
        <f t="array" aca="1" ref="BS471" ca="1">_xludf.XLOOKUP(D471,'PL TOTAL D0'!N:N,'PL TOTAL D0'!P:P,"")</f>
        <v>#NAME?</v>
      </c>
      <c r="BT471" s="110"/>
    </row>
    <row r="472" spans="1:72" ht="15.75" customHeight="1">
      <c r="A472" s="122" t="s">
        <v>3785</v>
      </c>
      <c r="B472" s="104" t="s">
        <v>2551</v>
      </c>
      <c r="C472" s="390" t="s">
        <v>2548</v>
      </c>
      <c r="D472" s="299">
        <v>3677198</v>
      </c>
      <c r="E472" s="293" t="s">
        <v>19</v>
      </c>
      <c r="F472" s="293" t="s">
        <v>49</v>
      </c>
      <c r="G472" s="293" t="s">
        <v>50</v>
      </c>
      <c r="H472" s="293">
        <f>IFERROR(VLOOKUP(G472,'Cadastro de assessores'!A:B,2,FALSE),"Não Cadastrado")</f>
        <v>12331</v>
      </c>
      <c r="I472" s="293"/>
      <c r="J472" s="24" t="s">
        <v>3788</v>
      </c>
      <c r="K472" s="292" t="s">
        <v>152</v>
      </c>
      <c r="L472" s="416">
        <v>44784</v>
      </c>
      <c r="M472" s="416">
        <v>44784</v>
      </c>
      <c r="N472" s="292"/>
      <c r="O472" s="292" t="s">
        <v>3805</v>
      </c>
      <c r="P472" s="388">
        <v>1.2E-2</v>
      </c>
      <c r="Q472" s="420" t="s">
        <v>5167</v>
      </c>
      <c r="R472" s="417"/>
      <c r="S472" s="292"/>
      <c r="T472" s="292"/>
      <c r="U472" s="292"/>
      <c r="V472" s="292" t="s">
        <v>60</v>
      </c>
      <c r="W472" s="418"/>
      <c r="X472" s="418"/>
      <c r="Y472" s="418"/>
      <c r="Z472" s="418"/>
      <c r="AA472" s="418"/>
      <c r="AB472" s="418"/>
      <c r="AC472" s="418"/>
      <c r="AD472" s="418"/>
      <c r="AE472" s="418"/>
      <c r="AF472" s="418"/>
      <c r="AG472" s="418"/>
      <c r="AH472" s="418"/>
      <c r="AI472" s="418"/>
      <c r="AJ472" s="418"/>
      <c r="AK472" s="339"/>
      <c r="AL472" s="339"/>
      <c r="AM472" s="339"/>
      <c r="AN472" s="339"/>
      <c r="AO472" s="339"/>
      <c r="AP472" s="339"/>
      <c r="AQ472" s="339"/>
      <c r="AR472" s="339"/>
      <c r="AS472" s="339"/>
      <c r="AT472" s="339"/>
      <c r="AU472" s="339"/>
      <c r="AV472" s="339"/>
      <c r="AW472" s="339"/>
      <c r="AX472" s="339"/>
      <c r="AY472" s="339"/>
      <c r="AZ472" s="339"/>
      <c r="BA472" s="339"/>
      <c r="BB472" s="339"/>
      <c r="BC472" s="339"/>
      <c r="BD472" s="339"/>
      <c r="BE472" s="339"/>
      <c r="BF472" s="339"/>
      <c r="BG472" s="339">
        <v>553622.95849999995</v>
      </c>
      <c r="BH472" s="339">
        <v>556438.84</v>
      </c>
      <c r="BI472" s="339">
        <v>610019.68999999994</v>
      </c>
      <c r="BJ472" s="339">
        <v>613027.59</v>
      </c>
      <c r="BK472" s="339">
        <v>617093.05000000005</v>
      </c>
      <c r="BL472" s="339">
        <v>622124.51</v>
      </c>
      <c r="BM472" s="339">
        <v>674489.12</v>
      </c>
      <c r="BN472" s="339">
        <v>678119.8</v>
      </c>
      <c r="BO472" s="339">
        <v>685546.58</v>
      </c>
      <c r="BP472" s="339">
        <v>0</v>
      </c>
      <c r="BQ472" s="339">
        <v>0</v>
      </c>
      <c r="BR472" s="339">
        <v>0</v>
      </c>
      <c r="BS472" s="110" t="e">
        <f t="array" aca="1" ref="BS472" ca="1">_xludf.XLOOKUP(D472,'PL TOTAL D0'!N:N,'PL TOTAL D0'!P:P,"")</f>
        <v>#NAME?</v>
      </c>
      <c r="BT472" s="110"/>
    </row>
    <row r="473" spans="1:72" ht="15.75" customHeight="1">
      <c r="A473" s="122" t="s">
        <v>3785</v>
      </c>
      <c r="B473" s="104" t="s">
        <v>5168</v>
      </c>
      <c r="C473" s="122" t="s">
        <v>5169</v>
      </c>
      <c r="D473" s="292">
        <v>2645505</v>
      </c>
      <c r="E473" s="292" t="s">
        <v>2923</v>
      </c>
      <c r="F473" s="292" t="s">
        <v>20</v>
      </c>
      <c r="G473" s="292" t="s">
        <v>2923</v>
      </c>
      <c r="H473" s="292" t="str">
        <f>IFERROR(VLOOKUP(G473,'Cadastro de assessores'!A:B,2,FALSE),"Não Cadastrado")</f>
        <v>18986</v>
      </c>
      <c r="I473" s="292"/>
      <c r="J473" s="24" t="s">
        <v>143</v>
      </c>
      <c r="K473" s="292" t="s">
        <v>3794</v>
      </c>
      <c r="L473" s="387">
        <v>43684</v>
      </c>
      <c r="M473" s="387">
        <v>43684</v>
      </c>
      <c r="N473" s="387">
        <v>43924</v>
      </c>
      <c r="O473" s="292" t="s">
        <v>3795</v>
      </c>
      <c r="P473" s="388">
        <v>0.01</v>
      </c>
      <c r="Q473" s="420" t="s">
        <v>5170</v>
      </c>
      <c r="R473" s="417"/>
      <c r="S473" s="292" t="str">
        <f>IF(BC473&lt;=0,"",IF(BC473&lt;=1000000,"Não Qualificado",IF(AND(BC473&gt;1000000,BC473&lt;=10000000),"Qualificado","Profissional")))</f>
        <v>Não Qualificado</v>
      </c>
      <c r="T473" s="292" t="s">
        <v>145</v>
      </c>
      <c r="U473" s="292" t="s">
        <v>3811</v>
      </c>
      <c r="V473" s="292" t="s">
        <v>20</v>
      </c>
      <c r="W473" s="418" t="s">
        <v>5171</v>
      </c>
      <c r="X473" s="418"/>
      <c r="Y473" s="418" t="s">
        <v>5172</v>
      </c>
      <c r="Z473" s="418" t="s">
        <v>5173</v>
      </c>
      <c r="AA473" s="418" t="s">
        <v>5174</v>
      </c>
      <c r="AB473" s="418" t="s">
        <v>5175</v>
      </c>
      <c r="AC473" s="418" t="s">
        <v>3798</v>
      </c>
      <c r="AD473" s="418" t="s">
        <v>3798</v>
      </c>
      <c r="AE473" s="418" t="s">
        <v>3798</v>
      </c>
      <c r="AF473" s="418" t="s">
        <v>3798</v>
      </c>
      <c r="AG473" s="418" t="s">
        <v>3798</v>
      </c>
      <c r="AH473" s="418"/>
      <c r="AI473" s="418" t="s">
        <v>3798</v>
      </c>
      <c r="AJ473" s="418"/>
      <c r="AK473" s="339"/>
      <c r="AL473" s="339"/>
      <c r="AM473" s="339" t="s">
        <v>3147</v>
      </c>
      <c r="AN473" s="339"/>
      <c r="AO473" s="339"/>
      <c r="AP473" s="339"/>
      <c r="AQ473" s="339"/>
      <c r="AR473" s="339"/>
      <c r="AS473" s="339"/>
      <c r="AT473" s="339"/>
      <c r="AU473" s="339"/>
      <c r="AV473" s="339"/>
      <c r="AW473" s="339"/>
      <c r="AX473" s="339"/>
      <c r="AY473" s="339"/>
      <c r="AZ473" s="339"/>
      <c r="BA473" s="339">
        <v>0</v>
      </c>
      <c r="BB473" s="339">
        <v>0</v>
      </c>
      <c r="BC473" s="339">
        <v>992871.73</v>
      </c>
      <c r="BD473" s="339" t="s">
        <v>2932</v>
      </c>
      <c r="BE473" s="339" t="s">
        <v>2932</v>
      </c>
      <c r="BF473" s="339">
        <v>0</v>
      </c>
      <c r="BG473" s="339">
        <v>0</v>
      </c>
      <c r="BH473" s="339">
        <v>0</v>
      </c>
      <c r="BI473" s="339">
        <v>0</v>
      </c>
      <c r="BJ473" s="339">
        <v>0</v>
      </c>
      <c r="BK473" s="339">
        <v>0</v>
      </c>
      <c r="BL473" s="339">
        <v>0</v>
      </c>
      <c r="BM473" s="339">
        <v>0</v>
      </c>
      <c r="BN473" s="339">
        <v>0</v>
      </c>
      <c r="BO473" s="339">
        <v>0</v>
      </c>
      <c r="BP473" s="339">
        <v>0</v>
      </c>
      <c r="BQ473" s="339">
        <v>0</v>
      </c>
      <c r="BR473" s="339">
        <v>0</v>
      </c>
      <c r="BS473" s="110" t="e">
        <f t="array" aca="1" ref="BS473" ca="1">_xludf.XLOOKUP(D473,'PL TOTAL D0'!N:N,'PL TOTAL D0'!P:P,"")</f>
        <v>#NAME?</v>
      </c>
      <c r="BT473" s="110"/>
    </row>
    <row r="474" spans="1:72" ht="15.75" customHeight="1">
      <c r="A474" s="122" t="s">
        <v>3785</v>
      </c>
      <c r="B474" s="104" t="s">
        <v>5176</v>
      </c>
      <c r="C474" s="122" t="s">
        <v>5177</v>
      </c>
      <c r="D474" s="292">
        <v>2289902</v>
      </c>
      <c r="E474" s="292" t="s">
        <v>19</v>
      </c>
      <c r="F474" s="292" t="s">
        <v>49</v>
      </c>
      <c r="G474" s="292" t="s">
        <v>166</v>
      </c>
      <c r="H474" s="292">
        <v>18890</v>
      </c>
      <c r="I474" s="292"/>
      <c r="J474" s="24" t="s">
        <v>3788</v>
      </c>
      <c r="K474" s="292" t="s">
        <v>161</v>
      </c>
      <c r="L474" s="292" t="s">
        <v>3147</v>
      </c>
      <c r="M474" s="387"/>
      <c r="N474" s="387"/>
      <c r="O474" s="292" t="s">
        <v>3805</v>
      </c>
      <c r="P474" s="388">
        <v>1.2E-2</v>
      </c>
      <c r="Q474" s="420" t="s">
        <v>5178</v>
      </c>
      <c r="R474" s="417"/>
      <c r="S474" s="292"/>
      <c r="T474" s="292" t="s">
        <v>145</v>
      </c>
      <c r="U474" s="292" t="s">
        <v>5179</v>
      </c>
      <c r="V474" s="292" t="s">
        <v>5180</v>
      </c>
      <c r="W474" s="418"/>
      <c r="X474" s="418"/>
      <c r="Y474" s="418"/>
      <c r="Z474" s="418"/>
      <c r="AA474" s="418"/>
      <c r="AB474" s="418"/>
      <c r="AC474" s="418"/>
      <c r="AD474" s="418"/>
      <c r="AE474" s="418"/>
      <c r="AF474" s="418"/>
      <c r="AG474" s="418"/>
      <c r="AH474" s="418"/>
      <c r="AI474" s="418"/>
      <c r="AJ474" s="418"/>
      <c r="AK474" s="339"/>
      <c r="AL474" s="339"/>
      <c r="AM474" s="339"/>
      <c r="AN474" s="339"/>
      <c r="AO474" s="339"/>
      <c r="AP474" s="339"/>
      <c r="AQ474" s="339"/>
      <c r="AR474" s="339"/>
      <c r="AS474" s="339"/>
      <c r="AT474" s="339"/>
      <c r="AU474" s="339"/>
      <c r="AV474" s="339"/>
      <c r="AW474" s="339"/>
      <c r="AX474" s="339"/>
      <c r="AY474" s="339"/>
      <c r="AZ474" s="339"/>
      <c r="BA474" s="339"/>
      <c r="BB474" s="339"/>
      <c r="BC474" s="339"/>
      <c r="BD474" s="339" t="s">
        <v>2932</v>
      </c>
      <c r="BE474" s="339" t="s">
        <v>2932</v>
      </c>
      <c r="BF474" s="339">
        <v>0</v>
      </c>
      <c r="BG474" s="339">
        <v>0</v>
      </c>
      <c r="BH474" s="339">
        <v>0</v>
      </c>
      <c r="BI474" s="339">
        <v>0</v>
      </c>
      <c r="BJ474" s="339">
        <v>0</v>
      </c>
      <c r="BK474" s="339">
        <v>0</v>
      </c>
      <c r="BL474" s="339">
        <v>0</v>
      </c>
      <c r="BM474" s="339">
        <v>0</v>
      </c>
      <c r="BN474" s="339">
        <v>0</v>
      </c>
      <c r="BO474" s="339">
        <v>0</v>
      </c>
      <c r="BP474" s="339">
        <v>0</v>
      </c>
      <c r="BQ474" s="339">
        <v>0</v>
      </c>
      <c r="BR474" s="339">
        <v>0</v>
      </c>
      <c r="BS474" s="110" t="e">
        <f t="array" aca="1" ref="BS474" ca="1">_xludf.XLOOKUP(D474,'PL TOTAL D0'!N:N,'PL TOTAL D0'!P:P,"")</f>
        <v>#NAME?</v>
      </c>
      <c r="BT474" s="110"/>
    </row>
    <row r="475" spans="1:72" ht="15.75" customHeight="1">
      <c r="A475" s="122" t="s">
        <v>3785</v>
      </c>
      <c r="B475" s="104" t="s">
        <v>5181</v>
      </c>
      <c r="C475" s="122" t="s">
        <v>5182</v>
      </c>
      <c r="D475" s="292">
        <v>4837403</v>
      </c>
      <c r="E475" s="292" t="s">
        <v>64</v>
      </c>
      <c r="F475" s="292" t="s">
        <v>20</v>
      </c>
      <c r="G475" s="292" t="s">
        <v>4058</v>
      </c>
      <c r="H475" s="292" t="str">
        <f>IFERROR(VLOOKUP(G475,'Cadastro de assessores'!A:B,2,FALSE),"Não Cadastrado")</f>
        <v>19634</v>
      </c>
      <c r="I475" s="292"/>
      <c r="J475" s="24" t="s">
        <v>143</v>
      </c>
      <c r="K475" s="292" t="s">
        <v>3794</v>
      </c>
      <c r="L475" s="387">
        <v>44250</v>
      </c>
      <c r="M475" s="387">
        <v>44250</v>
      </c>
      <c r="N475" s="391">
        <v>44452</v>
      </c>
      <c r="O475" s="299" t="s">
        <v>3842</v>
      </c>
      <c r="P475" s="388">
        <v>8.0000000000000002E-3</v>
      </c>
      <c r="Q475" s="420" t="s">
        <v>5099</v>
      </c>
      <c r="R475" s="417"/>
      <c r="S475" s="292" t="str">
        <f t="shared" ref="S475:S478" si="50">IF(BC475&lt;=0,"",IF(BC475&lt;=1000000,"Não Qualificado",IF(AND(BC475&gt;1000000,BC475&lt;=10000000),"Qualificado","Profissional")))</f>
        <v>Não Qualificado</v>
      </c>
      <c r="T475" s="292" t="s">
        <v>145</v>
      </c>
      <c r="U475" s="292" t="s">
        <v>3811</v>
      </c>
      <c r="V475" s="292" t="s">
        <v>20</v>
      </c>
      <c r="W475" s="418"/>
      <c r="X475" s="418"/>
      <c r="Y475" s="418"/>
      <c r="Z475" s="418"/>
      <c r="AA475" s="418"/>
      <c r="AB475" s="418"/>
      <c r="AC475" s="418"/>
      <c r="AD475" s="418"/>
      <c r="AE475" s="418"/>
      <c r="AF475" s="418"/>
      <c r="AG475" s="418"/>
      <c r="AH475" s="418"/>
      <c r="AI475" s="418"/>
      <c r="AJ475" s="418"/>
      <c r="AK475" s="339"/>
      <c r="AL475" s="339"/>
      <c r="AM475" s="339">
        <v>299375.63</v>
      </c>
      <c r="AN475" s="339">
        <v>288384.21000000002</v>
      </c>
      <c r="AO475" s="339">
        <v>285839.12</v>
      </c>
      <c r="AP475" s="339">
        <v>283810.78000000003</v>
      </c>
      <c r="AQ475" s="339">
        <v>285038.08000000002</v>
      </c>
      <c r="AR475" s="339">
        <v>280239.09000000003</v>
      </c>
      <c r="AS475" s="339">
        <v>276722.03000000003</v>
      </c>
      <c r="AT475" s="339">
        <v>282533.32</v>
      </c>
      <c r="AU475" s="339">
        <v>273945.45</v>
      </c>
      <c r="AV475" s="339"/>
      <c r="AW475" s="339"/>
      <c r="AX475" s="339"/>
      <c r="AY475" s="339"/>
      <c r="AZ475" s="339"/>
      <c r="BA475" s="339">
        <v>0</v>
      </c>
      <c r="BB475" s="339">
        <v>0</v>
      </c>
      <c r="BC475" s="339">
        <v>78222.37</v>
      </c>
      <c r="BD475" s="339" t="s">
        <v>2932</v>
      </c>
      <c r="BE475" s="339" t="s">
        <v>2932</v>
      </c>
      <c r="BF475" s="339">
        <v>0</v>
      </c>
      <c r="BG475" s="339">
        <v>0</v>
      </c>
      <c r="BH475" s="339">
        <v>0</v>
      </c>
      <c r="BI475" s="339">
        <v>0</v>
      </c>
      <c r="BJ475" s="339">
        <v>0</v>
      </c>
      <c r="BK475" s="339">
        <v>0</v>
      </c>
      <c r="BL475" s="339">
        <v>0</v>
      </c>
      <c r="BM475" s="339">
        <v>0</v>
      </c>
      <c r="BN475" s="339">
        <v>0</v>
      </c>
      <c r="BO475" s="339">
        <v>0</v>
      </c>
      <c r="BP475" s="339">
        <v>0</v>
      </c>
      <c r="BQ475" s="339">
        <v>0</v>
      </c>
      <c r="BR475" s="339">
        <v>0</v>
      </c>
      <c r="BS475" s="110" t="e">
        <f t="array" aca="1" ref="BS475" ca="1">_xludf.XLOOKUP(D475,'PL TOTAL D0'!N:N,'PL TOTAL D0'!P:P,"")</f>
        <v>#NAME?</v>
      </c>
      <c r="BT475" s="110"/>
    </row>
    <row r="476" spans="1:72" ht="15.75" customHeight="1">
      <c r="A476" s="122" t="s">
        <v>3785</v>
      </c>
      <c r="B476" s="104" t="s">
        <v>2554</v>
      </c>
      <c r="C476" s="122" t="s">
        <v>2552</v>
      </c>
      <c r="D476" s="292">
        <v>4903270</v>
      </c>
      <c r="E476" s="293" t="s">
        <v>64</v>
      </c>
      <c r="F476" s="293" t="s">
        <v>20</v>
      </c>
      <c r="G476" s="293" t="s">
        <v>21</v>
      </c>
      <c r="H476" s="293">
        <f>IFERROR(VLOOKUP(G476,'Cadastro de assessores'!A:B,2,FALSE),"Não Cadastrado")</f>
        <v>12344</v>
      </c>
      <c r="I476" s="293"/>
      <c r="J476" s="24" t="s">
        <v>3788</v>
      </c>
      <c r="K476" s="293" t="s">
        <v>152</v>
      </c>
      <c r="L476" s="415">
        <v>44257</v>
      </c>
      <c r="M476" s="415">
        <v>44257</v>
      </c>
      <c r="N476" s="299"/>
      <c r="O476" s="299" t="s">
        <v>3789</v>
      </c>
      <c r="P476" s="388">
        <v>0.02</v>
      </c>
      <c r="Q476" s="420" t="s">
        <v>5183</v>
      </c>
      <c r="R476" s="417"/>
      <c r="S476" s="292" t="str">
        <f t="shared" si="50"/>
        <v>Não Qualificado</v>
      </c>
      <c r="T476" s="292" t="s">
        <v>145</v>
      </c>
      <c r="U476" s="292" t="s">
        <v>4178</v>
      </c>
      <c r="V476" s="292" t="s">
        <v>20</v>
      </c>
      <c r="W476" s="418"/>
      <c r="X476" s="418"/>
      <c r="Y476" s="418"/>
      <c r="Z476" s="418"/>
      <c r="AA476" s="418"/>
      <c r="AB476" s="418"/>
      <c r="AC476" s="418"/>
      <c r="AD476" s="418"/>
      <c r="AE476" s="418"/>
      <c r="AF476" s="418"/>
      <c r="AG476" s="418"/>
      <c r="AH476" s="418"/>
      <c r="AI476" s="418"/>
      <c r="AJ476" s="418"/>
      <c r="AK476" s="339"/>
      <c r="AL476" s="339"/>
      <c r="AM476" s="339">
        <v>121026.33</v>
      </c>
      <c r="AN476" s="339">
        <v>141838.74</v>
      </c>
      <c r="AO476" s="339">
        <v>157917.37</v>
      </c>
      <c r="AP476" s="339">
        <v>159063.29</v>
      </c>
      <c r="AQ476" s="339">
        <v>158280.04999999999</v>
      </c>
      <c r="AR476" s="339">
        <v>162816.18</v>
      </c>
      <c r="AS476" s="339">
        <v>160971.72</v>
      </c>
      <c r="AT476" s="339">
        <v>155739.38</v>
      </c>
      <c r="AU476" s="339">
        <v>153845.85</v>
      </c>
      <c r="AV476" s="339">
        <v>150549.29999999999</v>
      </c>
      <c r="AW476" s="339">
        <v>142155.43</v>
      </c>
      <c r="AX476" s="339">
        <v>141656.72</v>
      </c>
      <c r="AY476" s="339">
        <v>143518.34</v>
      </c>
      <c r="AZ476" s="339">
        <v>148606.1</v>
      </c>
      <c r="BA476" s="339">
        <v>150292.78</v>
      </c>
      <c r="BB476" s="339">
        <v>156423.74</v>
      </c>
      <c r="BC476" s="339">
        <v>0.06</v>
      </c>
      <c r="BD476" s="339">
        <v>154525.25</v>
      </c>
      <c r="BE476" s="339">
        <v>151719.42000000001</v>
      </c>
      <c r="BF476" s="339">
        <v>155704.35999999999</v>
      </c>
      <c r="BG476" s="339">
        <v>226222.10250000001</v>
      </c>
      <c r="BH476" s="339">
        <v>225638.9</v>
      </c>
      <c r="BI476" s="339">
        <v>236144.44</v>
      </c>
      <c r="BJ476" s="339">
        <v>236906.99</v>
      </c>
      <c r="BK476" s="339">
        <v>243470.39</v>
      </c>
      <c r="BL476" s="339">
        <v>242277.13</v>
      </c>
      <c r="BM476" s="339">
        <v>240398.38</v>
      </c>
      <c r="BN476" s="339">
        <v>240233.60000000001</v>
      </c>
      <c r="BO476" s="339">
        <v>0</v>
      </c>
      <c r="BP476" s="339">
        <v>0</v>
      </c>
      <c r="BQ476" s="339">
        <v>0</v>
      </c>
      <c r="BR476" s="339">
        <v>0</v>
      </c>
      <c r="BS476" s="110" t="e">
        <f t="array" aca="1" ref="BS476" ca="1">_xludf.XLOOKUP(D476,'PL TOTAL D0'!N:N,'PL TOTAL D0'!P:P,"")</f>
        <v>#NAME?</v>
      </c>
      <c r="BT476" s="110"/>
    </row>
    <row r="477" spans="1:72" ht="15.75" customHeight="1">
      <c r="A477" s="122" t="s">
        <v>3785</v>
      </c>
      <c r="B477" s="104" t="s">
        <v>5184</v>
      </c>
      <c r="C477" s="122" t="s">
        <v>5185</v>
      </c>
      <c r="D477" s="292">
        <v>2405046</v>
      </c>
      <c r="E477" s="292" t="s">
        <v>19</v>
      </c>
      <c r="F477" s="292" t="s">
        <v>20</v>
      </c>
      <c r="G477" s="292" t="s">
        <v>5186</v>
      </c>
      <c r="H477" s="292" t="str">
        <f>IFERROR(VLOOKUP(G477,'Cadastro de assessores'!A:B,2,FALSE),"Não Cadastrado")</f>
        <v>14320</v>
      </c>
      <c r="I477" s="292"/>
      <c r="J477" s="24" t="s">
        <v>143</v>
      </c>
      <c r="K477" s="292" t="s">
        <v>3794</v>
      </c>
      <c r="L477" s="387">
        <v>43777</v>
      </c>
      <c r="M477" s="387">
        <v>43777</v>
      </c>
      <c r="N477" s="465">
        <v>44105</v>
      </c>
      <c r="O477" s="292" t="s">
        <v>4607</v>
      </c>
      <c r="P477" s="388">
        <v>0.02</v>
      </c>
      <c r="Q477" s="420" t="s">
        <v>5187</v>
      </c>
      <c r="R477" s="417"/>
      <c r="S477" s="292" t="str">
        <f t="shared" si="50"/>
        <v/>
      </c>
      <c r="T477" s="292" t="s">
        <v>145</v>
      </c>
      <c r="U477" s="292" t="s">
        <v>3991</v>
      </c>
      <c r="V477" s="292" t="s">
        <v>20</v>
      </c>
      <c r="W477" s="418" t="s">
        <v>5188</v>
      </c>
      <c r="X477" s="418"/>
      <c r="Y477" s="418" t="s">
        <v>5189</v>
      </c>
      <c r="Z477" s="418" t="s">
        <v>5190</v>
      </c>
      <c r="AA477" s="418" t="s">
        <v>5191</v>
      </c>
      <c r="AB477" s="418" t="s">
        <v>5192</v>
      </c>
      <c r="AC477" s="418" t="s">
        <v>5193</v>
      </c>
      <c r="AD477" s="418" t="s">
        <v>5194</v>
      </c>
      <c r="AE477" s="418" t="s">
        <v>5195</v>
      </c>
      <c r="AF477" s="418" t="s">
        <v>5196</v>
      </c>
      <c r="AG477" s="418" t="s">
        <v>5197</v>
      </c>
      <c r="AH477" s="418" t="s">
        <v>5198</v>
      </c>
      <c r="AI477" s="418" t="s">
        <v>5199</v>
      </c>
      <c r="AJ477" s="418"/>
      <c r="AK477" s="339"/>
      <c r="AL477" s="339"/>
      <c r="AM477" s="339" t="s">
        <v>3147</v>
      </c>
      <c r="AN477" s="339"/>
      <c r="AO477" s="339"/>
      <c r="AP477" s="339"/>
      <c r="AQ477" s="339"/>
      <c r="AR477" s="339"/>
      <c r="AS477" s="339"/>
      <c r="AT477" s="339"/>
      <c r="AU477" s="339"/>
      <c r="AV477" s="339"/>
      <c r="AW477" s="339"/>
      <c r="AX477" s="339"/>
      <c r="AY477" s="339"/>
      <c r="AZ477" s="339"/>
      <c r="BA477" s="339">
        <v>0</v>
      </c>
      <c r="BB477" s="339">
        <v>0</v>
      </c>
      <c r="BC477" s="339">
        <v>0</v>
      </c>
      <c r="BD477" s="339" t="s">
        <v>2932</v>
      </c>
      <c r="BE477" s="339" t="s">
        <v>2932</v>
      </c>
      <c r="BF477" s="339">
        <v>0</v>
      </c>
      <c r="BG477" s="339">
        <v>0</v>
      </c>
      <c r="BH477" s="339">
        <v>0</v>
      </c>
      <c r="BI477" s="339">
        <v>0</v>
      </c>
      <c r="BJ477" s="339">
        <v>0</v>
      </c>
      <c r="BK477" s="339">
        <v>0</v>
      </c>
      <c r="BL477" s="339">
        <v>0</v>
      </c>
      <c r="BM477" s="339">
        <v>0</v>
      </c>
      <c r="BN477" s="339">
        <v>0</v>
      </c>
      <c r="BO477" s="339">
        <v>0</v>
      </c>
      <c r="BP477" s="339">
        <v>0</v>
      </c>
      <c r="BQ477" s="339">
        <v>0</v>
      </c>
      <c r="BR477" s="339">
        <v>0</v>
      </c>
      <c r="BS477" s="110" t="e">
        <f t="array" aca="1" ref="BS477" ca="1">_xludf.XLOOKUP(D477,'PL TOTAL D0'!N:N,'PL TOTAL D0'!P:P,"")</f>
        <v>#NAME?</v>
      </c>
      <c r="BT477" s="110"/>
    </row>
    <row r="478" spans="1:72" ht="15.75" customHeight="1">
      <c r="A478" s="122" t="s">
        <v>3785</v>
      </c>
      <c r="B478" s="104" t="s">
        <v>5200</v>
      </c>
      <c r="C478" s="390" t="s">
        <v>5201</v>
      </c>
      <c r="D478" s="299">
        <v>4460007</v>
      </c>
      <c r="E478" s="293" t="s">
        <v>19</v>
      </c>
      <c r="F478" s="293" t="s">
        <v>20</v>
      </c>
      <c r="G478" s="293" t="s">
        <v>3159</v>
      </c>
      <c r="H478" s="293" t="str">
        <f>IFERROR(VLOOKUP(G478,'Cadastro de assessores'!A:B,2,FALSE),"Não Cadastrado")</f>
        <v>13444</v>
      </c>
      <c r="I478" s="293"/>
      <c r="J478" s="24" t="s">
        <v>3788</v>
      </c>
      <c r="K478" s="293" t="s">
        <v>152</v>
      </c>
      <c r="L478" s="415">
        <v>44372</v>
      </c>
      <c r="M478" s="415">
        <v>44372</v>
      </c>
      <c r="N478" s="299"/>
      <c r="O478" s="299" t="s">
        <v>4019</v>
      </c>
      <c r="P478" s="388">
        <v>0.02</v>
      </c>
      <c r="Q478" s="167"/>
      <c r="R478" s="417"/>
      <c r="S478" s="292" t="str">
        <f t="shared" si="50"/>
        <v>Não Qualificado</v>
      </c>
      <c r="T478" s="299" t="s">
        <v>187</v>
      </c>
      <c r="U478" s="299" t="s">
        <v>4020</v>
      </c>
      <c r="V478" s="299" t="s">
        <v>60</v>
      </c>
      <c r="W478" s="350"/>
      <c r="X478" s="350"/>
      <c r="Y478" s="350"/>
      <c r="Z478" s="350"/>
      <c r="AA478" s="350"/>
      <c r="AB478" s="350"/>
      <c r="AC478" s="350"/>
      <c r="AD478" s="350"/>
      <c r="AE478" s="350"/>
      <c r="AF478" s="350"/>
      <c r="AG478" s="350"/>
      <c r="AH478" s="350"/>
      <c r="AI478" s="418"/>
      <c r="AJ478" s="339"/>
      <c r="AK478" s="339"/>
      <c r="AL478" s="339"/>
      <c r="AM478" s="339"/>
      <c r="AN478" s="339"/>
      <c r="AO478" s="339"/>
      <c r="AP478" s="339"/>
      <c r="AQ478" s="339"/>
      <c r="AR478" s="350"/>
      <c r="AS478" s="339">
        <v>143146.69</v>
      </c>
      <c r="AT478" s="339">
        <v>133162.66</v>
      </c>
      <c r="AU478" s="339">
        <v>130657.49</v>
      </c>
      <c r="AV478" s="339">
        <v>121445.81</v>
      </c>
      <c r="AW478" s="339">
        <v>108479.09</v>
      </c>
      <c r="AX478" s="339">
        <v>98580.21</v>
      </c>
      <c r="AY478" s="339">
        <v>102516.1</v>
      </c>
      <c r="AZ478" s="339">
        <v>106373.56</v>
      </c>
      <c r="BA478" s="339">
        <v>109352.98</v>
      </c>
      <c r="BB478" s="339">
        <v>114202.4</v>
      </c>
      <c r="BC478" s="339">
        <v>149117.07</v>
      </c>
      <c r="BD478" s="339">
        <v>108804.74</v>
      </c>
      <c r="BE478" s="339">
        <v>92165.18</v>
      </c>
      <c r="BF478" s="339">
        <v>77295.210000000006</v>
      </c>
      <c r="BG478" s="339">
        <v>82140.039999999994</v>
      </c>
      <c r="BH478" s="339">
        <v>396.17</v>
      </c>
      <c r="BI478" s="339">
        <v>1027.92</v>
      </c>
      <c r="BJ478" s="339">
        <v>1112.42</v>
      </c>
      <c r="BK478" s="339">
        <v>1184.1300000000001</v>
      </c>
      <c r="BL478" s="339">
        <v>1108.93</v>
      </c>
      <c r="BM478" s="339">
        <v>1110.78</v>
      </c>
      <c r="BN478" s="339">
        <v>1111.55</v>
      </c>
      <c r="BO478" s="339">
        <v>0</v>
      </c>
      <c r="BP478" s="339">
        <v>3.54</v>
      </c>
      <c r="BQ478" s="339">
        <v>3.54</v>
      </c>
      <c r="BR478" s="339">
        <v>3.54</v>
      </c>
      <c r="BS478" s="110" t="e">
        <f t="array" aca="1" ref="BS478" ca="1">_xludf.XLOOKUP(D478,'PL TOTAL D0'!N:N,'PL TOTAL D0'!P:P,"")</f>
        <v>#NAME?</v>
      </c>
      <c r="BT478" s="110"/>
    </row>
    <row r="479" spans="1:72" ht="15.75" customHeight="1">
      <c r="A479" s="122" t="s">
        <v>3785</v>
      </c>
      <c r="B479" s="104" t="s">
        <v>2560</v>
      </c>
      <c r="C479" s="390" t="s">
        <v>5202</v>
      </c>
      <c r="D479" s="299">
        <v>8419053</v>
      </c>
      <c r="E479" s="293" t="s">
        <v>19</v>
      </c>
      <c r="F479" s="293" t="s">
        <v>49</v>
      </c>
      <c r="G479" s="299" t="s">
        <v>277</v>
      </c>
      <c r="H479" s="299" t="str">
        <f>IFERROR(VLOOKUP(G479,'Cadastro de assessores'!A:B,2,FALSE),"Não Cadastrado")</f>
        <v>17831</v>
      </c>
      <c r="I479" s="299"/>
      <c r="J479" s="24" t="s">
        <v>3788</v>
      </c>
      <c r="K479" s="439" t="s">
        <v>161</v>
      </c>
      <c r="L479" s="292" t="s">
        <v>3147</v>
      </c>
      <c r="M479" s="436" t="s">
        <v>4177</v>
      </c>
      <c r="N479" s="299"/>
      <c r="O479" s="299" t="s">
        <v>3805</v>
      </c>
      <c r="P479" s="388">
        <v>1.2E-2</v>
      </c>
      <c r="Q479" s="420"/>
      <c r="R479" s="417"/>
      <c r="S479" s="292"/>
      <c r="T479" s="292" t="s">
        <v>145</v>
      </c>
      <c r="U479" s="292" t="s">
        <v>3841</v>
      </c>
      <c r="V479" s="292" t="s">
        <v>49</v>
      </c>
      <c r="W479" s="418"/>
      <c r="X479" s="418"/>
      <c r="Y479" s="418"/>
      <c r="Z479" s="418"/>
      <c r="AA479" s="418"/>
      <c r="AB479" s="418"/>
      <c r="AC479" s="418"/>
      <c r="AD479" s="418"/>
      <c r="AE479" s="418"/>
      <c r="AF479" s="418"/>
      <c r="AG479" s="418"/>
      <c r="AH479" s="418"/>
      <c r="AI479" s="418"/>
      <c r="AJ479" s="418"/>
      <c r="AK479" s="339"/>
      <c r="AL479" s="339"/>
      <c r="AM479" s="339"/>
      <c r="AN479" s="339"/>
      <c r="AO479" s="339"/>
      <c r="AP479" s="339"/>
      <c r="AQ479" s="339"/>
      <c r="AR479" s="339"/>
      <c r="AS479" s="339"/>
      <c r="AT479" s="339"/>
      <c r="AU479" s="339"/>
      <c r="AV479" s="339"/>
      <c r="AW479" s="339"/>
      <c r="AX479" s="339"/>
      <c r="AY479" s="339"/>
      <c r="AZ479" s="339"/>
      <c r="BA479" s="339"/>
      <c r="BB479" s="339"/>
      <c r="BC479" s="339"/>
      <c r="BD479" s="339" t="s">
        <v>2932</v>
      </c>
      <c r="BE479" s="339" t="s">
        <v>2932</v>
      </c>
      <c r="BF479" s="339">
        <v>0</v>
      </c>
      <c r="BG479" s="339">
        <v>0</v>
      </c>
      <c r="BH479" s="339">
        <v>0</v>
      </c>
      <c r="BI479" s="339">
        <v>0</v>
      </c>
      <c r="BJ479" s="339">
        <v>0</v>
      </c>
      <c r="BK479" s="339">
        <v>0</v>
      </c>
      <c r="BL479" s="339">
        <v>0</v>
      </c>
      <c r="BM479" s="339">
        <v>0</v>
      </c>
      <c r="BN479" s="339">
        <v>0</v>
      </c>
      <c r="BO479" s="339">
        <v>0</v>
      </c>
      <c r="BP479" s="339">
        <v>0</v>
      </c>
      <c r="BQ479" s="339">
        <v>0</v>
      </c>
      <c r="BR479" s="339">
        <v>0</v>
      </c>
      <c r="BS479" s="110" t="e">
        <f t="array" aca="1" ref="BS479" ca="1">_xludf.XLOOKUP(D479,'PL TOTAL D0'!N:N,'PL TOTAL D0'!P:P,"")</f>
        <v>#NAME?</v>
      </c>
      <c r="BT479" s="110"/>
    </row>
    <row r="480" spans="1:72" ht="15.75" customHeight="1">
      <c r="A480" s="122" t="s">
        <v>3785</v>
      </c>
      <c r="B480" s="104" t="s">
        <v>5203</v>
      </c>
      <c r="C480" s="122" t="s">
        <v>5204</v>
      </c>
      <c r="D480" s="299">
        <v>8419053</v>
      </c>
      <c r="E480" s="292" t="s">
        <v>19</v>
      </c>
      <c r="F480" s="292" t="s">
        <v>20</v>
      </c>
      <c r="G480" s="292" t="s">
        <v>3793</v>
      </c>
      <c r="H480" s="292" t="str">
        <f>IFERROR(VLOOKUP(G480,'Cadastro de assessores'!A:B,2,FALSE),"Não Cadastrado")</f>
        <v>17679</v>
      </c>
      <c r="I480" s="292"/>
      <c r="J480" s="24" t="s">
        <v>143</v>
      </c>
      <c r="K480" s="292" t="s">
        <v>3794</v>
      </c>
      <c r="L480" s="387">
        <v>44272</v>
      </c>
      <c r="M480" s="387">
        <v>44272</v>
      </c>
      <c r="N480" s="419">
        <v>44498</v>
      </c>
      <c r="O480" s="292" t="s">
        <v>3805</v>
      </c>
      <c r="P480" s="388">
        <v>1.2E-2</v>
      </c>
      <c r="Q480" s="420" t="s">
        <v>5205</v>
      </c>
      <c r="R480" s="417"/>
      <c r="S480" s="292" t="str">
        <f t="shared" ref="S480:S483" si="51">IF(BC480&lt;=0,"",IF(BC480&lt;=1000000,"Não Qualificado",IF(AND(BC480&gt;1000000,BC480&lt;=10000000),"Qualificado","Profissional")))</f>
        <v/>
      </c>
      <c r="T480" s="292" t="s">
        <v>145</v>
      </c>
      <c r="U480" s="292" t="s">
        <v>3823</v>
      </c>
      <c r="V480" s="292" t="s">
        <v>20</v>
      </c>
      <c r="W480" s="418"/>
      <c r="X480" s="418"/>
      <c r="Y480" s="418"/>
      <c r="Z480" s="418"/>
      <c r="AA480" s="418"/>
      <c r="AB480" s="418"/>
      <c r="AC480" s="418"/>
      <c r="AD480" s="418"/>
      <c r="AE480" s="418"/>
      <c r="AF480" s="418"/>
      <c r="AG480" s="418"/>
      <c r="AH480" s="418"/>
      <c r="AI480" s="418"/>
      <c r="AJ480" s="418"/>
      <c r="AK480" s="339"/>
      <c r="AL480" s="339"/>
      <c r="AM480" s="339"/>
      <c r="AN480" s="339"/>
      <c r="AO480" s="339">
        <v>101186.7</v>
      </c>
      <c r="AP480" s="339">
        <v>101656.54</v>
      </c>
      <c r="AQ480" s="339">
        <v>101439.01</v>
      </c>
      <c r="AR480" s="339">
        <v>152776.16</v>
      </c>
      <c r="AS480" s="339">
        <v>152374.35</v>
      </c>
      <c r="AT480" s="339">
        <v>151104.26</v>
      </c>
      <c r="AU480" s="339">
        <v>150868.78</v>
      </c>
      <c r="AV480" s="339">
        <v>150165.79999999999</v>
      </c>
      <c r="AW480" s="339">
        <v>148083.46</v>
      </c>
      <c r="AX480" s="339"/>
      <c r="AY480" s="339"/>
      <c r="AZ480" s="339"/>
      <c r="BA480" s="339">
        <v>0</v>
      </c>
      <c r="BB480" s="339">
        <v>0</v>
      </c>
      <c r="BC480" s="339">
        <v>0</v>
      </c>
      <c r="BD480" s="339" t="s">
        <v>2932</v>
      </c>
      <c r="BE480" s="339" t="s">
        <v>2932</v>
      </c>
      <c r="BF480" s="339">
        <v>0</v>
      </c>
      <c r="BG480" s="339">
        <v>0</v>
      </c>
      <c r="BH480" s="339">
        <v>0</v>
      </c>
      <c r="BI480" s="339">
        <v>0</v>
      </c>
      <c r="BJ480" s="339">
        <v>0</v>
      </c>
      <c r="BK480" s="339">
        <v>0</v>
      </c>
      <c r="BL480" s="339">
        <v>0</v>
      </c>
      <c r="BM480" s="339">
        <v>0</v>
      </c>
      <c r="BN480" s="339">
        <v>0</v>
      </c>
      <c r="BO480" s="339">
        <v>0</v>
      </c>
      <c r="BP480" s="339">
        <v>0</v>
      </c>
      <c r="BQ480" s="339">
        <v>0</v>
      </c>
      <c r="BR480" s="339">
        <v>0</v>
      </c>
      <c r="BS480" s="110" t="e">
        <f t="array" aca="1" ref="BS480" ca="1">_xludf.XLOOKUP(D480,'PL TOTAL D0'!N:N,'PL TOTAL D0'!P:P,"")</f>
        <v>#NAME?</v>
      </c>
      <c r="BT480" s="110"/>
    </row>
    <row r="481" spans="1:72" ht="15.75" customHeight="1">
      <c r="A481" s="122" t="s">
        <v>3785</v>
      </c>
      <c r="B481" s="104" t="s">
        <v>5203</v>
      </c>
      <c r="C481" s="122" t="s">
        <v>5204</v>
      </c>
      <c r="D481" s="292">
        <v>4951699</v>
      </c>
      <c r="E481" s="292" t="s">
        <v>19</v>
      </c>
      <c r="F481" s="292" t="s">
        <v>20</v>
      </c>
      <c r="G481" s="292" t="s">
        <v>5206</v>
      </c>
      <c r="H481" s="292" t="str">
        <f>IFERROR(VLOOKUP(G481,'Cadastro de assessores'!A:B,2,FALSE),"Não Cadastrado")</f>
        <v>12305</v>
      </c>
      <c r="I481" s="292"/>
      <c r="J481" s="24" t="s">
        <v>143</v>
      </c>
      <c r="K481" s="292" t="s">
        <v>3794</v>
      </c>
      <c r="L481" s="387">
        <v>44271</v>
      </c>
      <c r="M481" s="387">
        <v>44271</v>
      </c>
      <c r="N481" s="419">
        <v>44498</v>
      </c>
      <c r="O481" s="299" t="s">
        <v>3842</v>
      </c>
      <c r="P481" s="388">
        <v>8.0000000000000002E-3</v>
      </c>
      <c r="Q481" s="420" t="s">
        <v>5205</v>
      </c>
      <c r="R481" s="417"/>
      <c r="S481" s="292" t="str">
        <f t="shared" si="51"/>
        <v>Qualificado</v>
      </c>
      <c r="T481" s="292" t="s">
        <v>145</v>
      </c>
      <c r="U481" s="292" t="s">
        <v>3823</v>
      </c>
      <c r="V481" s="292" t="s">
        <v>20</v>
      </c>
      <c r="W481" s="418"/>
      <c r="X481" s="418"/>
      <c r="Y481" s="418"/>
      <c r="Z481" s="418"/>
      <c r="AA481" s="418"/>
      <c r="AB481" s="418"/>
      <c r="AC481" s="418"/>
      <c r="AD481" s="418"/>
      <c r="AE481" s="418"/>
      <c r="AF481" s="418"/>
      <c r="AG481" s="418"/>
      <c r="AH481" s="418"/>
      <c r="AI481" s="418"/>
      <c r="AJ481" s="418"/>
      <c r="AK481" s="339"/>
      <c r="AL481" s="339"/>
      <c r="AM481" s="339"/>
      <c r="AN481" s="339"/>
      <c r="AO481" s="339">
        <v>99945.93</v>
      </c>
      <c r="AP481" s="339">
        <v>100041.61</v>
      </c>
      <c r="AQ481" s="339">
        <v>100524.52</v>
      </c>
      <c r="AR481" s="339"/>
      <c r="AS481" s="339">
        <v>146549.26999999999</v>
      </c>
      <c r="AT481" s="339">
        <v>149754.46</v>
      </c>
      <c r="AU481" s="339">
        <v>145202</v>
      </c>
      <c r="AV481" s="339">
        <v>143805.9</v>
      </c>
      <c r="AW481" s="339">
        <v>142207.21</v>
      </c>
      <c r="AX481" s="339"/>
      <c r="AY481" s="339"/>
      <c r="AZ481" s="339"/>
      <c r="BA481" s="339">
        <v>0</v>
      </c>
      <c r="BB481" s="339">
        <v>0</v>
      </c>
      <c r="BC481" s="339">
        <v>1216531.43</v>
      </c>
      <c r="BD481" s="339" t="s">
        <v>2932</v>
      </c>
      <c r="BE481" s="339" t="s">
        <v>2932</v>
      </c>
      <c r="BF481" s="339">
        <v>0</v>
      </c>
      <c r="BG481" s="339">
        <v>0</v>
      </c>
      <c r="BH481" s="339">
        <v>0</v>
      </c>
      <c r="BI481" s="339">
        <v>0</v>
      </c>
      <c r="BJ481" s="339">
        <v>0</v>
      </c>
      <c r="BK481" s="339">
        <v>0</v>
      </c>
      <c r="BL481" s="339">
        <v>0</v>
      </c>
      <c r="BM481" s="339">
        <v>0</v>
      </c>
      <c r="BN481" s="339">
        <v>0</v>
      </c>
      <c r="BO481" s="339">
        <v>0</v>
      </c>
      <c r="BP481" s="339">
        <v>0</v>
      </c>
      <c r="BQ481" s="339">
        <v>0</v>
      </c>
      <c r="BR481" s="339">
        <v>0</v>
      </c>
      <c r="BS481" s="110" t="e">
        <f t="array" aca="1" ref="BS481" ca="1">_xludf.XLOOKUP(D481,'PL TOTAL D0'!N:N,'PL TOTAL D0'!P:P,"")</f>
        <v>#NAME?</v>
      </c>
      <c r="BT481" s="110"/>
    </row>
    <row r="482" spans="1:72" ht="15.75" customHeight="1">
      <c r="A482" s="122" t="s">
        <v>3785</v>
      </c>
      <c r="B482" s="104" t="s">
        <v>5207</v>
      </c>
      <c r="C482" s="390" t="s">
        <v>5208</v>
      </c>
      <c r="D482" s="299">
        <v>5900712</v>
      </c>
      <c r="E482" s="293" t="s">
        <v>19</v>
      </c>
      <c r="F482" s="293" t="s">
        <v>49</v>
      </c>
      <c r="G482" s="293" t="s">
        <v>328</v>
      </c>
      <c r="H482" s="299" t="str">
        <f>IFERROR(VLOOKUP(G482,'Cadastro de assessores'!A:B,2,FALSE),"Não Cadastrado")</f>
        <v>18009</v>
      </c>
      <c r="I482" s="299"/>
      <c r="J482" s="24" t="s">
        <v>143</v>
      </c>
      <c r="K482" s="293" t="s">
        <v>152</v>
      </c>
      <c r="L482" s="415">
        <v>44386</v>
      </c>
      <c r="M482" s="415">
        <v>44390</v>
      </c>
      <c r="N482" s="447">
        <v>44895</v>
      </c>
      <c r="O482" s="299" t="s">
        <v>3809</v>
      </c>
      <c r="P482" s="388">
        <v>2.5000000000000001E-2</v>
      </c>
      <c r="Q482" s="167" t="s">
        <v>5209</v>
      </c>
      <c r="R482" s="417"/>
      <c r="S482" s="292" t="str">
        <f t="shared" si="51"/>
        <v>Não Qualificado</v>
      </c>
      <c r="T482" s="292" t="s">
        <v>145</v>
      </c>
      <c r="U482" s="299" t="s">
        <v>3816</v>
      </c>
      <c r="V482" s="299" t="s">
        <v>20</v>
      </c>
      <c r="W482" s="350"/>
      <c r="X482" s="350"/>
      <c r="Y482" s="350"/>
      <c r="Z482" s="350"/>
      <c r="AA482" s="350"/>
      <c r="AB482" s="350"/>
      <c r="AC482" s="350"/>
      <c r="AD482" s="350"/>
      <c r="AE482" s="350"/>
      <c r="AF482" s="350"/>
      <c r="AG482" s="350"/>
      <c r="AH482" s="350"/>
      <c r="AI482" s="418"/>
      <c r="AJ482" s="339"/>
      <c r="AK482" s="339"/>
      <c r="AL482" s="339"/>
      <c r="AM482" s="339"/>
      <c r="AN482" s="339"/>
      <c r="AO482" s="339"/>
      <c r="AP482" s="339"/>
      <c r="AQ482" s="339"/>
      <c r="AR482" s="339"/>
      <c r="AS482" s="350"/>
      <c r="AT482" s="340">
        <v>60776.480000000003</v>
      </c>
      <c r="AU482" s="340">
        <v>59410.69</v>
      </c>
      <c r="AV482" s="339">
        <v>56098.71</v>
      </c>
      <c r="AW482" s="339">
        <v>51659.15</v>
      </c>
      <c r="AX482" s="339">
        <v>51157.63</v>
      </c>
      <c r="AY482" s="339">
        <v>52092.37</v>
      </c>
      <c r="AZ482" s="339">
        <v>55233.77</v>
      </c>
      <c r="BA482" s="339">
        <v>56049.04</v>
      </c>
      <c r="BB482" s="339">
        <v>59421.78</v>
      </c>
      <c r="BC482" s="339">
        <v>490574.56</v>
      </c>
      <c r="BD482" s="339">
        <v>56054.47</v>
      </c>
      <c r="BE482" s="339">
        <v>53853.75</v>
      </c>
      <c r="BF482" s="339">
        <v>56633.55</v>
      </c>
      <c r="BG482" s="339">
        <v>57345.26</v>
      </c>
      <c r="BH482" s="339">
        <v>57167.77</v>
      </c>
      <c r="BI482" s="339">
        <v>60810.37</v>
      </c>
      <c r="BJ482" s="339">
        <v>59841.4</v>
      </c>
      <c r="BK482" s="339">
        <v>0</v>
      </c>
      <c r="BL482" s="339">
        <v>0</v>
      </c>
      <c r="BM482" s="339">
        <v>0</v>
      </c>
      <c r="BN482" s="339">
        <v>0</v>
      </c>
      <c r="BO482" s="339">
        <v>0</v>
      </c>
      <c r="BP482" s="339">
        <v>0</v>
      </c>
      <c r="BQ482" s="339">
        <v>0</v>
      </c>
      <c r="BR482" s="339">
        <v>0</v>
      </c>
      <c r="BS482" s="110" t="e">
        <f t="array" aca="1" ref="BS482" ca="1">_xludf.XLOOKUP(D482,'PL TOTAL D0'!N:N,'PL TOTAL D0'!P:P,"")</f>
        <v>#NAME?</v>
      </c>
      <c r="BT482" s="110"/>
    </row>
    <row r="483" spans="1:72" ht="16.5" customHeight="1">
      <c r="A483" s="122" t="s">
        <v>3785</v>
      </c>
      <c r="B483" s="104" t="s">
        <v>2570</v>
      </c>
      <c r="C483" s="122" t="s">
        <v>2568</v>
      </c>
      <c r="D483" s="292">
        <v>3369465</v>
      </c>
      <c r="E483" s="293" t="s">
        <v>19</v>
      </c>
      <c r="F483" s="293" t="s">
        <v>20</v>
      </c>
      <c r="G483" s="293" t="s">
        <v>372</v>
      </c>
      <c r="H483" s="299">
        <f>IFERROR(VLOOKUP(G483,'Cadastro de assessores'!A:B,2,FALSE),"Não Cadastrado")</f>
        <v>12359</v>
      </c>
      <c r="I483" s="299"/>
      <c r="J483" s="24" t="s">
        <v>152</v>
      </c>
      <c r="K483" s="293" t="s">
        <v>152</v>
      </c>
      <c r="L483" s="423">
        <v>44618</v>
      </c>
      <c r="M483" s="423">
        <v>44618</v>
      </c>
      <c r="N483" s="299"/>
      <c r="O483" s="299" t="s">
        <v>3802</v>
      </c>
      <c r="P483" s="388">
        <v>7.0000000000000001E-3</v>
      </c>
      <c r="Q483" s="446" t="s">
        <v>4395</v>
      </c>
      <c r="R483" s="417"/>
      <c r="S483" s="292" t="str">
        <f t="shared" si="51"/>
        <v>Não Qualificado</v>
      </c>
      <c r="T483" s="292" t="s">
        <v>145</v>
      </c>
      <c r="U483" s="292" t="s">
        <v>3811</v>
      </c>
      <c r="V483" s="292" t="s">
        <v>20</v>
      </c>
      <c r="W483" s="418"/>
      <c r="X483" s="418"/>
      <c r="Y483" s="418"/>
      <c r="Z483" s="418"/>
      <c r="AA483" s="418"/>
      <c r="AB483" s="418"/>
      <c r="AC483" s="418"/>
      <c r="AD483" s="418"/>
      <c r="AE483" s="418"/>
      <c r="AF483" s="418"/>
      <c r="AG483" s="418"/>
      <c r="AH483" s="418"/>
      <c r="AI483" s="418"/>
      <c r="AJ483" s="418"/>
      <c r="AK483" s="339"/>
      <c r="AL483" s="339"/>
      <c r="AM483" s="339"/>
      <c r="AN483" s="339"/>
      <c r="AO483" s="339"/>
      <c r="AP483" s="339"/>
      <c r="AQ483" s="339"/>
      <c r="AR483" s="339"/>
      <c r="AS483" s="339"/>
      <c r="AT483" s="339"/>
      <c r="AU483" s="339"/>
      <c r="AV483" s="339"/>
      <c r="AW483" s="339"/>
      <c r="AX483" s="339"/>
      <c r="AY483" s="339"/>
      <c r="AZ483" s="339"/>
      <c r="BA483" s="339">
        <v>12064.41</v>
      </c>
      <c r="BB483" s="339">
        <v>12194.69</v>
      </c>
      <c r="BC483" s="339">
        <v>194034.53</v>
      </c>
      <c r="BD483" s="482">
        <v>62504.55</v>
      </c>
      <c r="BE483" s="339">
        <v>63151.38</v>
      </c>
      <c r="BF483" s="339">
        <v>63673.9</v>
      </c>
      <c r="BG483" s="339">
        <v>64059.321810000001</v>
      </c>
      <c r="BH483" s="339">
        <v>64436.12</v>
      </c>
      <c r="BI483" s="339">
        <v>64934.91</v>
      </c>
      <c r="BJ483" s="339">
        <v>65574.490000000005</v>
      </c>
      <c r="BK483" s="339">
        <v>66147.06</v>
      </c>
      <c r="BL483" s="339">
        <v>66925.39</v>
      </c>
      <c r="BM483" s="339">
        <v>67459.37</v>
      </c>
      <c r="BN483" s="339">
        <v>10234.02</v>
      </c>
      <c r="BO483" s="339">
        <v>10327.25</v>
      </c>
      <c r="BP483" s="339">
        <v>10437.700000000001</v>
      </c>
      <c r="BQ483" s="339">
        <v>10523.19</v>
      </c>
      <c r="BR483" s="339">
        <v>10644.85</v>
      </c>
      <c r="BS483" s="110" t="e">
        <f t="array" aca="1" ref="BS483" ca="1">_xludf.XLOOKUP(D483,'PL TOTAL D0'!N:N,'PL TOTAL D0'!P:P,"")</f>
        <v>#NAME?</v>
      </c>
      <c r="BT483" s="110"/>
    </row>
    <row r="484" spans="1:72" ht="15.75" customHeight="1">
      <c r="A484" s="122" t="s">
        <v>3785</v>
      </c>
      <c r="B484" s="104" t="s">
        <v>5210</v>
      </c>
      <c r="C484" s="122" t="s">
        <v>5211</v>
      </c>
      <c r="D484" s="292">
        <v>3730315</v>
      </c>
      <c r="E484" s="293" t="s">
        <v>64</v>
      </c>
      <c r="F484" s="293" t="s">
        <v>20</v>
      </c>
      <c r="G484" s="293" t="s">
        <v>4058</v>
      </c>
      <c r="H484" s="299" t="str">
        <f>IFERROR(VLOOKUP(G484,'Cadastro de assessores'!A:B,2,FALSE),"Não Cadastrado")</f>
        <v>19634</v>
      </c>
      <c r="I484" s="299"/>
      <c r="J484" s="24" t="s">
        <v>3788</v>
      </c>
      <c r="K484" s="293" t="s">
        <v>152</v>
      </c>
      <c r="L484" s="415">
        <v>44714</v>
      </c>
      <c r="M484" s="415">
        <v>44714</v>
      </c>
      <c r="N484" s="299"/>
      <c r="O484" s="299" t="s">
        <v>3805</v>
      </c>
      <c r="P484" s="388">
        <v>1.2E-2</v>
      </c>
      <c r="Q484" s="420" t="s">
        <v>5212</v>
      </c>
      <c r="R484" s="417"/>
      <c r="S484" s="292"/>
      <c r="T484" s="292" t="s">
        <v>187</v>
      </c>
      <c r="U484" s="292" t="s">
        <v>3823</v>
      </c>
      <c r="V484" s="292" t="s">
        <v>20</v>
      </c>
      <c r="W484" s="418"/>
      <c r="X484" s="418"/>
      <c r="Y484" s="418"/>
      <c r="Z484" s="418"/>
      <c r="AA484" s="418"/>
      <c r="AB484" s="418"/>
      <c r="AC484" s="418"/>
      <c r="AD484" s="418"/>
      <c r="AE484" s="418"/>
      <c r="AF484" s="418"/>
      <c r="AG484" s="418"/>
      <c r="AH484" s="418"/>
      <c r="AI484" s="418"/>
      <c r="AJ484" s="418"/>
      <c r="AK484" s="339"/>
      <c r="AL484" s="339"/>
      <c r="AM484" s="339"/>
      <c r="AN484" s="339"/>
      <c r="AO484" s="339"/>
      <c r="AP484" s="339"/>
      <c r="AQ484" s="339"/>
      <c r="AR484" s="339"/>
      <c r="AS484" s="339"/>
      <c r="AT484" s="339"/>
      <c r="AU484" s="339"/>
      <c r="AV484" s="339"/>
      <c r="AW484" s="339"/>
      <c r="AX484" s="339"/>
      <c r="AY484" s="339"/>
      <c r="AZ484" s="339"/>
      <c r="BA484" s="339"/>
      <c r="BB484" s="339"/>
      <c r="BC484" s="339"/>
      <c r="BD484" s="339" t="s">
        <v>2932</v>
      </c>
      <c r="BE484" s="339">
        <v>427444.19</v>
      </c>
      <c r="BF484" s="339">
        <v>534239.81999999995</v>
      </c>
      <c r="BG484" s="339">
        <v>539877.42749999999</v>
      </c>
      <c r="BH484" s="339">
        <v>543162.29</v>
      </c>
      <c r="BI484" s="339">
        <v>552516.56000000006</v>
      </c>
      <c r="BJ484" s="339">
        <v>554993.62</v>
      </c>
      <c r="BK484" s="339">
        <v>409182.33</v>
      </c>
      <c r="BL484" s="339">
        <v>413892.98</v>
      </c>
      <c r="BM484" s="339">
        <v>417408.88</v>
      </c>
      <c r="BN484" s="339">
        <v>0</v>
      </c>
      <c r="BO484" s="339">
        <v>0</v>
      </c>
      <c r="BP484" s="339">
        <v>0</v>
      </c>
      <c r="BQ484" s="339">
        <v>0</v>
      </c>
      <c r="BR484" s="339">
        <v>0</v>
      </c>
      <c r="BS484" s="110" t="e">
        <f t="array" aca="1" ref="BS484" ca="1">_xludf.XLOOKUP(D484,'PL TOTAL D0'!N:N,'PL TOTAL D0'!P:P,"")</f>
        <v>#NAME?</v>
      </c>
      <c r="BT484" s="110"/>
    </row>
    <row r="485" spans="1:72" ht="15.75" customHeight="1">
      <c r="A485" s="122" t="s">
        <v>3785</v>
      </c>
      <c r="B485" s="104" t="s">
        <v>5213</v>
      </c>
      <c r="C485" s="122" t="s">
        <v>5214</v>
      </c>
      <c r="D485" s="292">
        <v>5371919</v>
      </c>
      <c r="E485" s="293" t="s">
        <v>64</v>
      </c>
      <c r="F485" s="293" t="s">
        <v>20</v>
      </c>
      <c r="G485" s="293" t="s">
        <v>4058</v>
      </c>
      <c r="H485" s="299" t="str">
        <f>IFERROR(VLOOKUP(G485,'Cadastro de assessores'!A:B,2,FALSE),"Não Cadastrado")</f>
        <v>19634</v>
      </c>
      <c r="I485" s="299"/>
      <c r="J485" s="24" t="s">
        <v>3788</v>
      </c>
      <c r="K485" s="293" t="s">
        <v>152</v>
      </c>
      <c r="L485" s="415">
        <v>44711</v>
      </c>
      <c r="M485" s="415">
        <v>44714</v>
      </c>
      <c r="N485" s="299"/>
      <c r="O485" s="299" t="s">
        <v>3805</v>
      </c>
      <c r="P485" s="388">
        <v>1.2E-2</v>
      </c>
      <c r="Q485" s="420" t="s">
        <v>5215</v>
      </c>
      <c r="R485" s="417"/>
      <c r="S485" s="292"/>
      <c r="T485" s="292" t="s">
        <v>187</v>
      </c>
      <c r="U485" s="292" t="s">
        <v>3823</v>
      </c>
      <c r="V485" s="292" t="s">
        <v>20</v>
      </c>
      <c r="W485" s="418"/>
      <c r="X485" s="418"/>
      <c r="Y485" s="418"/>
      <c r="Z485" s="418"/>
      <c r="AA485" s="418"/>
      <c r="AB485" s="418"/>
      <c r="AC485" s="418"/>
      <c r="AD485" s="418"/>
      <c r="AE485" s="418"/>
      <c r="AF485" s="418"/>
      <c r="AG485" s="418"/>
      <c r="AH485" s="418"/>
      <c r="AI485" s="418"/>
      <c r="AJ485" s="418"/>
      <c r="AK485" s="339"/>
      <c r="AL485" s="339"/>
      <c r="AM485" s="339"/>
      <c r="AN485" s="339"/>
      <c r="AO485" s="339"/>
      <c r="AP485" s="339"/>
      <c r="AQ485" s="339"/>
      <c r="AR485" s="339"/>
      <c r="AS485" s="339"/>
      <c r="AT485" s="339"/>
      <c r="AU485" s="339"/>
      <c r="AV485" s="339"/>
      <c r="AW485" s="339"/>
      <c r="AX485" s="339"/>
      <c r="AY485" s="339"/>
      <c r="AZ485" s="339"/>
      <c r="BA485" s="339"/>
      <c r="BB485" s="339"/>
      <c r="BC485" s="339"/>
      <c r="BD485" s="339" t="s">
        <v>2932</v>
      </c>
      <c r="BE485" s="339">
        <v>711676.98</v>
      </c>
      <c r="BF485" s="339">
        <v>824146.58</v>
      </c>
      <c r="BG485" s="339">
        <v>833229.79570000002</v>
      </c>
      <c r="BH485" s="339">
        <v>832605.92</v>
      </c>
      <c r="BI485" s="339">
        <v>841822.13</v>
      </c>
      <c r="BJ485" s="339">
        <v>849839.78</v>
      </c>
      <c r="BK485" s="339">
        <v>602310.80000000005</v>
      </c>
      <c r="BL485" s="339">
        <v>612804.18000000005</v>
      </c>
      <c r="BM485" s="339">
        <v>617455.4</v>
      </c>
      <c r="BN485" s="339">
        <v>0</v>
      </c>
      <c r="BO485" s="339">
        <v>0</v>
      </c>
      <c r="BP485" s="339">
        <v>0</v>
      </c>
      <c r="BQ485" s="339">
        <v>0</v>
      </c>
      <c r="BR485" s="339">
        <v>0</v>
      </c>
      <c r="BS485" s="110" t="e">
        <f t="array" aca="1" ref="BS485" ca="1">_xludf.XLOOKUP(D485,'PL TOTAL D0'!N:N,'PL TOTAL D0'!P:P,"")</f>
        <v>#NAME?</v>
      </c>
      <c r="BT485" s="110"/>
    </row>
    <row r="486" spans="1:72" ht="15.75" customHeight="1">
      <c r="A486" s="122" t="s">
        <v>3785</v>
      </c>
      <c r="B486" s="104" t="s">
        <v>5216</v>
      </c>
      <c r="C486" s="122" t="s">
        <v>5217</v>
      </c>
      <c r="D486" s="292">
        <v>3102597</v>
      </c>
      <c r="E486" s="293" t="s">
        <v>19</v>
      </c>
      <c r="F486" s="293" t="s">
        <v>20</v>
      </c>
      <c r="G486" s="293" t="s">
        <v>372</v>
      </c>
      <c r="H486" s="293">
        <f>IFERROR(VLOOKUP(G486,'Cadastro de assessores'!A:B,2,FALSE),"Não Cadastrado")</f>
        <v>12359</v>
      </c>
      <c r="I486" s="293"/>
      <c r="J486" s="24" t="s">
        <v>3788</v>
      </c>
      <c r="K486" s="293" t="s">
        <v>152</v>
      </c>
      <c r="L486" s="415">
        <v>44249</v>
      </c>
      <c r="M486" s="415">
        <v>44249</v>
      </c>
      <c r="N486" s="299"/>
      <c r="O486" s="299" t="s">
        <v>3789</v>
      </c>
      <c r="P486" s="388">
        <v>0.02</v>
      </c>
      <c r="Q486" s="420" t="s">
        <v>3900</v>
      </c>
      <c r="R486" s="417"/>
      <c r="S486" s="292" t="str">
        <f t="shared" ref="S486:S502" si="52">IF(BC486&lt;=0,"",IF(BC486&lt;=1000000,"Não Qualificado",IF(AND(BC486&gt;1000000,BC486&lt;=10000000),"Qualificado","Profissional")))</f>
        <v/>
      </c>
      <c r="T486" s="292" t="s">
        <v>145</v>
      </c>
      <c r="U486" s="292" t="s">
        <v>3797</v>
      </c>
      <c r="V486" s="292" t="s">
        <v>20</v>
      </c>
      <c r="W486" s="418"/>
      <c r="X486" s="418"/>
      <c r="Y486" s="418"/>
      <c r="Z486" s="418"/>
      <c r="AA486" s="418"/>
      <c r="AB486" s="418"/>
      <c r="AC486" s="418"/>
      <c r="AD486" s="418"/>
      <c r="AE486" s="418"/>
      <c r="AF486" s="418"/>
      <c r="AG486" s="418"/>
      <c r="AH486" s="418"/>
      <c r="AI486" s="418"/>
      <c r="AJ486" s="418"/>
      <c r="AK486" s="339"/>
      <c r="AL486" s="339"/>
      <c r="AM486" s="339">
        <v>173944.82</v>
      </c>
      <c r="AN486" s="339">
        <v>173985.29</v>
      </c>
      <c r="AO486" s="339">
        <v>182118.79</v>
      </c>
      <c r="AP486" s="339">
        <v>183460.03</v>
      </c>
      <c r="AQ486" s="339">
        <v>182549.77</v>
      </c>
      <c r="AR486" s="339">
        <v>187859.65</v>
      </c>
      <c r="AS486" s="339">
        <v>185937.93</v>
      </c>
      <c r="AT486" s="339">
        <v>180016.92</v>
      </c>
      <c r="AU486" s="339">
        <v>177951.42</v>
      </c>
      <c r="AV486" s="339">
        <v>172896.95</v>
      </c>
      <c r="AW486" s="339">
        <v>164005.21</v>
      </c>
      <c r="AX486" s="339">
        <v>163353.24</v>
      </c>
      <c r="AY486" s="339">
        <v>165728.45000000001</v>
      </c>
      <c r="AZ486" s="339">
        <v>172080.49</v>
      </c>
      <c r="BA486" s="339">
        <v>0</v>
      </c>
      <c r="BB486" s="339">
        <v>-254.74</v>
      </c>
      <c r="BC486" s="339">
        <v>0</v>
      </c>
      <c r="BD486" s="339">
        <v>511.53</v>
      </c>
      <c r="BE486" s="339">
        <v>511.53</v>
      </c>
      <c r="BF486" s="339">
        <v>511.54</v>
      </c>
      <c r="BG486" s="339">
        <v>511.54</v>
      </c>
      <c r="BH486" s="339">
        <v>511.54</v>
      </c>
      <c r="BI486" s="339">
        <v>511.54</v>
      </c>
      <c r="BJ486" s="339">
        <v>511.54</v>
      </c>
      <c r="BK486" s="339">
        <v>511.54</v>
      </c>
      <c r="BL486" s="339">
        <v>511.54</v>
      </c>
      <c r="BM486" s="339">
        <v>511.54</v>
      </c>
      <c r="BN486" s="339">
        <v>511.54</v>
      </c>
      <c r="BO486" s="339">
        <v>511.54</v>
      </c>
      <c r="BP486" s="339">
        <v>511.54</v>
      </c>
      <c r="BQ486" s="339">
        <v>511.54</v>
      </c>
      <c r="BR486" s="339">
        <v>511.54</v>
      </c>
      <c r="BS486" s="110" t="e">
        <f t="array" aca="1" ref="BS486" ca="1">_xludf.XLOOKUP(D486,'PL TOTAL D0'!N:N,'PL TOTAL D0'!P:P,"")</f>
        <v>#NAME?</v>
      </c>
      <c r="BT486" s="110"/>
    </row>
    <row r="487" spans="1:72" ht="15.75" customHeight="1">
      <c r="A487" s="122" t="s">
        <v>3785</v>
      </c>
      <c r="B487" s="104" t="s">
        <v>2589</v>
      </c>
      <c r="C487" s="122" t="s">
        <v>5218</v>
      </c>
      <c r="D487" s="292">
        <v>3457906</v>
      </c>
      <c r="E487" s="293" t="s">
        <v>19</v>
      </c>
      <c r="F487" s="293" t="s">
        <v>20</v>
      </c>
      <c r="G487" s="293" t="s">
        <v>449</v>
      </c>
      <c r="H487" s="293" t="str">
        <f>IFERROR(VLOOKUP(G487,'Cadastro de assessores'!A:B,2,FALSE),"Não Cadastrado")</f>
        <v>18993</v>
      </c>
      <c r="I487" s="293"/>
      <c r="J487" s="24" t="s">
        <v>3788</v>
      </c>
      <c r="K487" s="293" t="s">
        <v>152</v>
      </c>
      <c r="L487" s="415">
        <v>43693</v>
      </c>
      <c r="M487" s="415">
        <v>43693</v>
      </c>
      <c r="N487" s="292"/>
      <c r="O487" s="292" t="s">
        <v>5219</v>
      </c>
      <c r="P487" s="388">
        <v>0.02</v>
      </c>
      <c r="Q487" s="445"/>
      <c r="R487" s="417"/>
      <c r="S487" s="292" t="str">
        <f t="shared" si="52"/>
        <v>Não Qualificado</v>
      </c>
      <c r="T487" s="292" t="s">
        <v>145</v>
      </c>
      <c r="U487" s="292" t="s">
        <v>3816</v>
      </c>
      <c r="V487" s="292" t="s">
        <v>20</v>
      </c>
      <c r="W487" s="418" t="s">
        <v>5220</v>
      </c>
      <c r="X487" s="418"/>
      <c r="Y487" s="418" t="s">
        <v>5221</v>
      </c>
      <c r="Z487" s="418" t="s">
        <v>5222</v>
      </c>
      <c r="AA487" s="418" t="s">
        <v>5223</v>
      </c>
      <c r="AB487" s="418" t="s">
        <v>5224</v>
      </c>
      <c r="AC487" s="418" t="s">
        <v>5225</v>
      </c>
      <c r="AD487" s="418" t="s">
        <v>5226</v>
      </c>
      <c r="AE487" s="418" t="s">
        <v>5227</v>
      </c>
      <c r="AF487" s="418" t="s">
        <v>5228</v>
      </c>
      <c r="AG487" s="418" t="s">
        <v>5229</v>
      </c>
      <c r="AH487" s="418" t="s">
        <v>5230</v>
      </c>
      <c r="AI487" s="418" t="s">
        <v>5231</v>
      </c>
      <c r="AJ487" s="418" t="s">
        <v>5232</v>
      </c>
      <c r="AK487" s="339">
        <v>729499.76</v>
      </c>
      <c r="AL487" s="339">
        <v>710905.59</v>
      </c>
      <c r="AM487" s="339">
        <v>684506.1</v>
      </c>
      <c r="AN487" s="339">
        <v>688945.11</v>
      </c>
      <c r="AO487" s="339">
        <v>705344.9</v>
      </c>
      <c r="AP487" s="339">
        <v>709627.07</v>
      </c>
      <c r="AQ487" s="339">
        <v>707645.94</v>
      </c>
      <c r="AR487" s="339">
        <v>722906.01</v>
      </c>
      <c r="AS487" s="339">
        <v>717414.45</v>
      </c>
      <c r="AT487" s="339">
        <v>702322.79</v>
      </c>
      <c r="AU487" s="339">
        <v>694030.99</v>
      </c>
      <c r="AV487" s="339">
        <v>680876.55</v>
      </c>
      <c r="AW487" s="339">
        <v>655882.41</v>
      </c>
      <c r="AX487" s="339">
        <v>662198.46</v>
      </c>
      <c r="AY487" s="339">
        <v>669704.88</v>
      </c>
      <c r="AZ487" s="339">
        <v>677164.89</v>
      </c>
      <c r="BA487" s="339">
        <v>667639.06000000006</v>
      </c>
      <c r="BB487" s="339">
        <v>668964.43999999994</v>
      </c>
      <c r="BC487" s="339">
        <v>53390.2</v>
      </c>
      <c r="BD487" s="339">
        <v>702472.68</v>
      </c>
      <c r="BE487" s="339">
        <v>694916.02</v>
      </c>
      <c r="BF487" s="339">
        <v>710032.54</v>
      </c>
      <c r="BG487" s="339">
        <v>721159.05379999999</v>
      </c>
      <c r="BH487" s="339">
        <v>719997.38</v>
      </c>
      <c r="BI487" s="339">
        <v>749867.19</v>
      </c>
      <c r="BJ487" s="339">
        <v>749334.26</v>
      </c>
      <c r="BK487" s="339">
        <v>751038.04</v>
      </c>
      <c r="BL487" s="339">
        <v>754859.8</v>
      </c>
      <c r="BM487" s="339">
        <v>750597.94</v>
      </c>
      <c r="BN487" s="339">
        <v>756539.58</v>
      </c>
      <c r="BO487" s="339">
        <v>662420.91</v>
      </c>
      <c r="BP487" s="339">
        <v>669171.77</v>
      </c>
      <c r="BQ487" s="339">
        <v>681518.91</v>
      </c>
      <c r="BR487" s="339">
        <v>693800.2</v>
      </c>
      <c r="BS487" s="110" t="e">
        <f t="array" aca="1" ref="BS487" ca="1">_xludf.XLOOKUP(D487,'PL TOTAL D0'!N:N,'PL TOTAL D0'!P:P,"")</f>
        <v>#NAME?</v>
      </c>
      <c r="BT487" s="110"/>
    </row>
    <row r="488" spans="1:72" ht="15.75" customHeight="1">
      <c r="A488" s="122" t="s">
        <v>3785</v>
      </c>
      <c r="B488" s="104" t="s">
        <v>5233</v>
      </c>
      <c r="C488" s="441" t="s">
        <v>5234</v>
      </c>
      <c r="D488" s="299">
        <v>5582661</v>
      </c>
      <c r="E488" s="293" t="s">
        <v>19</v>
      </c>
      <c r="F488" s="293" t="s">
        <v>49</v>
      </c>
      <c r="G488" s="293" t="s">
        <v>328</v>
      </c>
      <c r="H488" s="293" t="str">
        <f>IFERROR(VLOOKUP(G488,'Cadastro de assessores'!A:B,2,FALSE),"Não Cadastrado")</f>
        <v>18009</v>
      </c>
      <c r="I488" s="293"/>
      <c r="J488" s="24" t="s">
        <v>143</v>
      </c>
      <c r="K488" s="293" t="s">
        <v>152</v>
      </c>
      <c r="L488" s="415">
        <v>44340</v>
      </c>
      <c r="M488" s="415">
        <v>44340</v>
      </c>
      <c r="N488" s="387">
        <v>44896</v>
      </c>
      <c r="O488" s="292" t="s">
        <v>3809</v>
      </c>
      <c r="P488" s="388">
        <v>2.5000000000000001E-2</v>
      </c>
      <c r="Q488" s="167" t="s">
        <v>5235</v>
      </c>
      <c r="R488" s="417"/>
      <c r="S488" s="292" t="str">
        <f t="shared" si="52"/>
        <v/>
      </c>
      <c r="T488" s="292" t="s">
        <v>145</v>
      </c>
      <c r="U488" s="292" t="s">
        <v>3811</v>
      </c>
      <c r="V488" s="292" t="s">
        <v>20</v>
      </c>
      <c r="W488" s="350"/>
      <c r="X488" s="350"/>
      <c r="Y488" s="350"/>
      <c r="Z488" s="350"/>
      <c r="AA488" s="350"/>
      <c r="AB488" s="350"/>
      <c r="AC488" s="350"/>
      <c r="AD488" s="350"/>
      <c r="AE488" s="350"/>
      <c r="AF488" s="350"/>
      <c r="AG488" s="350"/>
      <c r="AH488" s="350"/>
      <c r="AI488" s="350"/>
      <c r="AJ488" s="350"/>
      <c r="AK488" s="339"/>
      <c r="AL488" s="339"/>
      <c r="AM488" s="339"/>
      <c r="AN488" s="339"/>
      <c r="AO488" s="339"/>
      <c r="AP488" s="339"/>
      <c r="AQ488" s="350"/>
      <c r="AR488" s="340">
        <v>416760.09</v>
      </c>
      <c r="AS488" s="339">
        <v>406757.62</v>
      </c>
      <c r="AT488" s="339">
        <v>384647.2</v>
      </c>
      <c r="AU488" s="339">
        <v>375826.48</v>
      </c>
      <c r="AV488" s="339">
        <v>354591.27</v>
      </c>
      <c r="AW488" s="339">
        <v>326538.27</v>
      </c>
      <c r="AX488" s="339">
        <v>273036.17</v>
      </c>
      <c r="AY488" s="339">
        <v>278246.88</v>
      </c>
      <c r="AZ488" s="339">
        <v>295864.08</v>
      </c>
      <c r="BA488" s="339">
        <v>300110.03999999998</v>
      </c>
      <c r="BB488" s="339">
        <v>322457.75</v>
      </c>
      <c r="BC488" s="339">
        <v>0</v>
      </c>
      <c r="BD488" s="339">
        <v>300235.32</v>
      </c>
      <c r="BE488" s="339">
        <v>287096.14</v>
      </c>
      <c r="BF488" s="339">
        <v>300591.27</v>
      </c>
      <c r="BG488" s="339">
        <v>302109.43579999998</v>
      </c>
      <c r="BH488" s="339">
        <v>301645.05</v>
      </c>
      <c r="BI488" s="339">
        <v>258273.42</v>
      </c>
      <c r="BJ488" s="339">
        <v>253397.23</v>
      </c>
      <c r="BK488" s="339">
        <v>0</v>
      </c>
      <c r="BL488" s="339">
        <v>0</v>
      </c>
      <c r="BM488" s="339">
        <v>0</v>
      </c>
      <c r="BN488" s="339">
        <v>0</v>
      </c>
      <c r="BO488" s="339">
        <v>0</v>
      </c>
      <c r="BP488" s="339">
        <v>0</v>
      </c>
      <c r="BQ488" s="339">
        <v>0</v>
      </c>
      <c r="BR488" s="339">
        <v>0</v>
      </c>
      <c r="BS488" s="110" t="e">
        <f t="array" aca="1" ref="BS488" ca="1">_xludf.XLOOKUP(D488,'PL TOTAL D0'!N:N,'PL TOTAL D0'!P:P,"")</f>
        <v>#NAME?</v>
      </c>
      <c r="BT488" s="110"/>
    </row>
    <row r="489" spans="1:72" ht="15.75" customHeight="1">
      <c r="A489" s="122" t="s">
        <v>3785</v>
      </c>
      <c r="B489" s="104" t="s">
        <v>5236</v>
      </c>
      <c r="C489" s="122" t="s">
        <v>5237</v>
      </c>
      <c r="D489" s="292">
        <v>4484307</v>
      </c>
      <c r="E489" s="292" t="s">
        <v>64</v>
      </c>
      <c r="F489" s="292" t="s">
        <v>20</v>
      </c>
      <c r="G489" s="292" t="s">
        <v>5238</v>
      </c>
      <c r="H489" s="292" t="str">
        <f>IFERROR(VLOOKUP(G489,'Cadastro de assessores'!A:B,2,FALSE),"Não Cadastrado")</f>
        <v>18061</v>
      </c>
      <c r="I489" s="292"/>
      <c r="J489" s="24" t="s">
        <v>143</v>
      </c>
      <c r="K489" s="292" t="s">
        <v>3794</v>
      </c>
      <c r="L489" s="387">
        <v>44105</v>
      </c>
      <c r="M489" s="387">
        <v>44105</v>
      </c>
      <c r="N489" s="419">
        <v>44482</v>
      </c>
      <c r="O489" s="292" t="s">
        <v>3809</v>
      </c>
      <c r="P489" s="388">
        <v>2.5000000000000001E-2</v>
      </c>
      <c r="Q489" s="420" t="s">
        <v>5239</v>
      </c>
      <c r="R489" s="417"/>
      <c r="S489" s="292" t="str">
        <f t="shared" si="52"/>
        <v>Não Qualificado</v>
      </c>
      <c r="T489" s="292" t="s">
        <v>145</v>
      </c>
      <c r="U489" s="292" t="s">
        <v>5240</v>
      </c>
      <c r="V489" s="292" t="s">
        <v>49</v>
      </c>
      <c r="W489" s="418" t="s">
        <v>3798</v>
      </c>
      <c r="X489" s="418" t="s">
        <v>3798</v>
      </c>
      <c r="Y489" s="418" t="s">
        <v>3798</v>
      </c>
      <c r="Z489" s="418" t="s">
        <v>3798</v>
      </c>
      <c r="AA489" s="418" t="s">
        <v>3798</v>
      </c>
      <c r="AB489" s="418" t="s">
        <v>3798</v>
      </c>
      <c r="AC489" s="418" t="s">
        <v>3798</v>
      </c>
      <c r="AD489" s="418" t="s">
        <v>3798</v>
      </c>
      <c r="AE489" s="418" t="s">
        <v>3798</v>
      </c>
      <c r="AF489" s="418" t="s">
        <v>3798</v>
      </c>
      <c r="AG489" s="418" t="s">
        <v>3798</v>
      </c>
      <c r="AH489" s="418" t="s">
        <v>3798</v>
      </c>
      <c r="AI489" s="418" t="s">
        <v>5241</v>
      </c>
      <c r="AJ489" s="418" t="s">
        <v>5242</v>
      </c>
      <c r="AK489" s="339">
        <v>135611.64000000001</v>
      </c>
      <c r="AL489" s="339">
        <v>128615.77</v>
      </c>
      <c r="AM489" s="339">
        <v>119074.12</v>
      </c>
      <c r="AN489" s="339">
        <v>119259</v>
      </c>
      <c r="AO489" s="339">
        <v>112978.13</v>
      </c>
      <c r="AP489" s="339">
        <v>114082.27</v>
      </c>
      <c r="AQ489" s="339">
        <v>112790.36</v>
      </c>
      <c r="AR489" s="339">
        <v>119231.66</v>
      </c>
      <c r="AS489" s="339">
        <v>116471.35</v>
      </c>
      <c r="AT489" s="339">
        <v>124566.1</v>
      </c>
      <c r="AU489" s="339">
        <v>121666.79</v>
      </c>
      <c r="AV489" s="339">
        <v>94818.28</v>
      </c>
      <c r="AW489" s="339"/>
      <c r="AX489" s="339"/>
      <c r="AY489" s="339"/>
      <c r="AZ489" s="339"/>
      <c r="BA489" s="339">
        <v>0</v>
      </c>
      <c r="BB489" s="339">
        <v>0</v>
      </c>
      <c r="BC489" s="339">
        <v>106529.03</v>
      </c>
      <c r="BD489" s="339" t="s">
        <v>2932</v>
      </c>
      <c r="BE489" s="339" t="s">
        <v>2932</v>
      </c>
      <c r="BF489" s="339">
        <v>0</v>
      </c>
      <c r="BG489" s="339">
        <v>0</v>
      </c>
      <c r="BH489" s="339">
        <v>0</v>
      </c>
      <c r="BI489" s="339">
        <v>0</v>
      </c>
      <c r="BJ489" s="339">
        <v>0</v>
      </c>
      <c r="BK489" s="339">
        <v>0</v>
      </c>
      <c r="BL489" s="339">
        <v>0</v>
      </c>
      <c r="BM489" s="339">
        <v>0</v>
      </c>
      <c r="BN489" s="339">
        <v>0</v>
      </c>
      <c r="BO489" s="339">
        <v>0</v>
      </c>
      <c r="BP489" s="339">
        <v>0</v>
      </c>
      <c r="BQ489" s="339">
        <v>0</v>
      </c>
      <c r="BR489" s="339">
        <v>0</v>
      </c>
      <c r="BS489" s="110" t="e">
        <f t="array" aca="1" ref="BS489" ca="1">_xludf.XLOOKUP(D489,'PL TOTAL D0'!N:N,'PL TOTAL D0'!P:P,"")</f>
        <v>#NAME?</v>
      </c>
      <c r="BT489" s="110"/>
    </row>
    <row r="490" spans="1:72" ht="15.75" customHeight="1">
      <c r="A490" s="122" t="s">
        <v>3785</v>
      </c>
      <c r="B490" s="104" t="s">
        <v>3596</v>
      </c>
      <c r="C490" s="122" t="s">
        <v>5243</v>
      </c>
      <c r="D490" s="292">
        <v>4598320</v>
      </c>
      <c r="E490" s="293" t="s">
        <v>19</v>
      </c>
      <c r="F490" s="293" t="s">
        <v>20</v>
      </c>
      <c r="G490" s="293" t="s">
        <v>449</v>
      </c>
      <c r="H490" s="293" t="str">
        <f>IFERROR(VLOOKUP(G490,'Cadastro de assessores'!A:B,2,FALSE),"Não Cadastrado")</f>
        <v>18993</v>
      </c>
      <c r="I490" s="293"/>
      <c r="J490" s="24" t="s">
        <v>3788</v>
      </c>
      <c r="K490" s="293" t="s">
        <v>152</v>
      </c>
      <c r="L490" s="416">
        <v>44148</v>
      </c>
      <c r="M490" s="416">
        <v>44148</v>
      </c>
      <c r="N490" s="292"/>
      <c r="O490" s="292" t="s">
        <v>3809</v>
      </c>
      <c r="P490" s="388">
        <v>2.5000000000000001E-2</v>
      </c>
      <c r="Q490" s="420"/>
      <c r="R490" s="417"/>
      <c r="S490" s="292" t="str">
        <f t="shared" si="52"/>
        <v>Não Qualificado</v>
      </c>
      <c r="T490" s="292" t="s">
        <v>145</v>
      </c>
      <c r="U490" s="292" t="s">
        <v>4049</v>
      </c>
      <c r="V490" s="292" t="s">
        <v>886</v>
      </c>
      <c r="W490" s="418" t="s">
        <v>3798</v>
      </c>
      <c r="X490" s="418" t="s">
        <v>3798</v>
      </c>
      <c r="Y490" s="418" t="s">
        <v>3798</v>
      </c>
      <c r="Z490" s="418" t="s">
        <v>3798</v>
      </c>
      <c r="AA490" s="418" t="s">
        <v>3798</v>
      </c>
      <c r="AB490" s="418" t="s">
        <v>3798</v>
      </c>
      <c r="AC490" s="418" t="s">
        <v>3798</v>
      </c>
      <c r="AD490" s="418" t="s">
        <v>3798</v>
      </c>
      <c r="AE490" s="418" t="s">
        <v>3798</v>
      </c>
      <c r="AF490" s="418" t="s">
        <v>3798</v>
      </c>
      <c r="AG490" s="418" t="s">
        <v>3798</v>
      </c>
      <c r="AH490" s="418" t="s">
        <v>3798</v>
      </c>
      <c r="AI490" s="418" t="s">
        <v>3798</v>
      </c>
      <c r="AJ490" s="418" t="s">
        <v>5244</v>
      </c>
      <c r="AK490" s="339">
        <v>158925.18</v>
      </c>
      <c r="AL490" s="339">
        <v>150451.62</v>
      </c>
      <c r="AM490" s="339">
        <v>141384.10999999999</v>
      </c>
      <c r="AN490" s="339">
        <v>141866.38</v>
      </c>
      <c r="AO490" s="339">
        <v>149925.93</v>
      </c>
      <c r="AP490" s="339">
        <v>151766.16</v>
      </c>
      <c r="AQ490" s="339">
        <v>150179.67000000001</v>
      </c>
      <c r="AR490" s="339">
        <v>158565.70000000001</v>
      </c>
      <c r="AS490" s="339">
        <v>154956.32999999999</v>
      </c>
      <c r="AT490" s="339">
        <v>146878.71</v>
      </c>
      <c r="AU490" s="339">
        <v>143834.46</v>
      </c>
      <c r="AV490" s="339">
        <v>135366.35999999999</v>
      </c>
      <c r="AW490" s="339">
        <v>125645.36</v>
      </c>
      <c r="AX490" s="339">
        <v>124413.12</v>
      </c>
      <c r="AY490" s="339">
        <v>126690.76</v>
      </c>
      <c r="AZ490" s="339">
        <v>134758.57</v>
      </c>
      <c r="BA490" s="339">
        <v>136165.38</v>
      </c>
      <c r="BB490" s="339">
        <v>145750.03</v>
      </c>
      <c r="BC490" s="339">
        <v>503823.84</v>
      </c>
      <c r="BD490" s="339">
        <v>136352.04</v>
      </c>
      <c r="BE490" s="339">
        <v>130307.85</v>
      </c>
      <c r="BF490" s="339">
        <v>136847.85</v>
      </c>
      <c r="BG490" s="339">
        <v>138374.37</v>
      </c>
      <c r="BH490" s="339">
        <v>136274.35</v>
      </c>
      <c r="BI490" s="339">
        <v>148991.91</v>
      </c>
      <c r="BJ490" s="339">
        <v>145017.42000000001</v>
      </c>
      <c r="BK490" s="339">
        <v>144322.37</v>
      </c>
      <c r="BL490" s="339">
        <v>147490.79</v>
      </c>
      <c r="BM490" s="339">
        <v>141118.15</v>
      </c>
      <c r="BN490" s="339">
        <v>139544.71</v>
      </c>
      <c r="BO490" s="339">
        <v>38733.03</v>
      </c>
      <c r="BP490" s="339">
        <v>0</v>
      </c>
      <c r="BQ490" s="339">
        <v>0</v>
      </c>
      <c r="BR490" s="339">
        <v>0</v>
      </c>
      <c r="BS490" s="110" t="e">
        <f t="array" aca="1" ref="BS490" ca="1">_xludf.XLOOKUP(D490,'PL TOTAL D0'!N:N,'PL TOTAL D0'!P:P,"")</f>
        <v>#NAME?</v>
      </c>
      <c r="BT490" s="110"/>
    </row>
    <row r="491" spans="1:72" ht="15.75" customHeight="1">
      <c r="A491" s="122" t="s">
        <v>3785</v>
      </c>
      <c r="B491" s="104" t="s">
        <v>5245</v>
      </c>
      <c r="C491" s="122" t="s">
        <v>5246</v>
      </c>
      <c r="D491" s="292">
        <v>3412436</v>
      </c>
      <c r="E491" s="293" t="s">
        <v>2923</v>
      </c>
      <c r="F491" s="293" t="s">
        <v>20</v>
      </c>
      <c r="G491" s="293" t="s">
        <v>2923</v>
      </c>
      <c r="H491" s="293" t="str">
        <f>IFERROR(VLOOKUP(G491,'Cadastro de assessores'!A:B,2,FALSE),"Não Cadastrado")</f>
        <v>18986</v>
      </c>
      <c r="I491" s="293"/>
      <c r="J491" s="24" t="s">
        <v>3788</v>
      </c>
      <c r="K491" s="439" t="s">
        <v>161</v>
      </c>
      <c r="L491" s="415">
        <v>44067</v>
      </c>
      <c r="M491" s="415">
        <v>44075</v>
      </c>
      <c r="N491" s="292"/>
      <c r="O491" s="292" t="s">
        <v>3795</v>
      </c>
      <c r="P491" s="388">
        <v>1.4999999999999999E-2</v>
      </c>
      <c r="Q491" s="420"/>
      <c r="R491" s="417"/>
      <c r="S491" s="292" t="str">
        <f t="shared" si="52"/>
        <v/>
      </c>
      <c r="T491" s="292" t="s">
        <v>145</v>
      </c>
      <c r="U491" s="292" t="s">
        <v>3929</v>
      </c>
      <c r="V491" s="292" t="s">
        <v>20</v>
      </c>
      <c r="W491" s="418" t="s">
        <v>3798</v>
      </c>
      <c r="X491" s="418" t="s">
        <v>3798</v>
      </c>
      <c r="Y491" s="418" t="s">
        <v>3798</v>
      </c>
      <c r="Z491" s="418" t="s">
        <v>3798</v>
      </c>
      <c r="AA491" s="418" t="s">
        <v>3798</v>
      </c>
      <c r="AB491" s="418" t="s">
        <v>3798</v>
      </c>
      <c r="AC491" s="418" t="s">
        <v>3798</v>
      </c>
      <c r="AD491" s="418" t="s">
        <v>3798</v>
      </c>
      <c r="AE491" s="418" t="s">
        <v>3798</v>
      </c>
      <c r="AF491" s="418" t="s">
        <v>3798</v>
      </c>
      <c r="AG491" s="418" t="s">
        <v>5247</v>
      </c>
      <c r="AH491" s="418" t="s">
        <v>5248</v>
      </c>
      <c r="AI491" s="418" t="s">
        <v>5249</v>
      </c>
      <c r="AJ491" s="418" t="s">
        <v>5250</v>
      </c>
      <c r="AK491" s="339">
        <v>54318.27</v>
      </c>
      <c r="AL491" s="339">
        <v>52758.77</v>
      </c>
      <c r="AM491" s="339">
        <v>50844.88</v>
      </c>
      <c r="AN491" s="339">
        <v>51089.25</v>
      </c>
      <c r="AO491" s="339">
        <v>172.29</v>
      </c>
      <c r="AP491" s="339">
        <v>172.01</v>
      </c>
      <c r="AQ491" s="339">
        <v>171.97</v>
      </c>
      <c r="AR491" s="339">
        <v>171.76</v>
      </c>
      <c r="AS491" s="339">
        <v>166.59</v>
      </c>
      <c r="AT491" s="339">
        <v>166.37</v>
      </c>
      <c r="AU491" s="339">
        <v>166.15</v>
      </c>
      <c r="AV491" s="339">
        <v>138.79</v>
      </c>
      <c r="AW491" s="339">
        <v>165.74</v>
      </c>
      <c r="AX491" s="339">
        <v>165.54</v>
      </c>
      <c r="AY491" s="339"/>
      <c r="AZ491" s="339"/>
      <c r="BA491" s="339">
        <v>0</v>
      </c>
      <c r="BB491" s="339">
        <v>0</v>
      </c>
      <c r="BC491" s="339">
        <v>0</v>
      </c>
      <c r="BD491" s="339">
        <v>3.02</v>
      </c>
      <c r="BE491" s="339">
        <v>3.02</v>
      </c>
      <c r="BF491" s="339">
        <v>3.02</v>
      </c>
      <c r="BG491" s="339">
        <v>3.02</v>
      </c>
      <c r="BH491" s="339">
        <v>3.02</v>
      </c>
      <c r="BI491" s="339">
        <v>3.02</v>
      </c>
      <c r="BJ491" s="339">
        <v>3.02</v>
      </c>
      <c r="BK491" s="339">
        <v>3.02</v>
      </c>
      <c r="BL491" s="339">
        <v>3.02</v>
      </c>
      <c r="BM491" s="339">
        <v>3.02</v>
      </c>
      <c r="BN491" s="339">
        <v>3.02</v>
      </c>
      <c r="BO491" s="339">
        <v>3.02</v>
      </c>
      <c r="BP491" s="339">
        <v>3.02</v>
      </c>
      <c r="BQ491" s="339">
        <v>3.02</v>
      </c>
      <c r="BR491" s="339">
        <v>3.02</v>
      </c>
      <c r="BS491" s="110" t="e">
        <f t="array" aca="1" ref="BS491" ca="1">_xludf.XLOOKUP(D491,'PL TOTAL D0'!N:N,'PL TOTAL D0'!P:P,"")</f>
        <v>#NAME?</v>
      </c>
      <c r="BT491" s="110"/>
    </row>
    <row r="492" spans="1:72" ht="15.75" customHeight="1">
      <c r="A492" s="122" t="s">
        <v>3785</v>
      </c>
      <c r="B492" s="104" t="s">
        <v>2597</v>
      </c>
      <c r="C492" s="441" t="s">
        <v>5251</v>
      </c>
      <c r="D492" s="299">
        <v>5681841</v>
      </c>
      <c r="E492" s="293" t="s">
        <v>19</v>
      </c>
      <c r="F492" s="293" t="s">
        <v>49</v>
      </c>
      <c r="G492" s="293" t="s">
        <v>166</v>
      </c>
      <c r="H492" s="293" t="str">
        <f>IFERROR(VLOOKUP(G492,'Cadastro de assessores'!A:B,2,FALSE),"Não Cadastrado")</f>
        <v>18890</v>
      </c>
      <c r="I492" s="293"/>
      <c r="J492" s="24" t="s">
        <v>3788</v>
      </c>
      <c r="K492" s="293" t="s">
        <v>152</v>
      </c>
      <c r="L492" s="415">
        <v>44469</v>
      </c>
      <c r="M492" s="415">
        <v>44469</v>
      </c>
      <c r="N492" s="292"/>
      <c r="O492" s="292" t="s">
        <v>3805</v>
      </c>
      <c r="P492" s="388">
        <v>1.2E-2</v>
      </c>
      <c r="Q492" s="167" t="s">
        <v>3908</v>
      </c>
      <c r="R492" s="417"/>
      <c r="S492" s="292" t="str">
        <f t="shared" si="52"/>
        <v>Não Qualificado</v>
      </c>
      <c r="T492" s="292" t="s">
        <v>145</v>
      </c>
      <c r="U492" s="299" t="s">
        <v>3967</v>
      </c>
      <c r="V492" s="299" t="s">
        <v>49</v>
      </c>
      <c r="W492" s="350"/>
      <c r="X492" s="350"/>
      <c r="Y492" s="350"/>
      <c r="Z492" s="350"/>
      <c r="AA492" s="350"/>
      <c r="AB492" s="350"/>
      <c r="AC492" s="350"/>
      <c r="AD492" s="350"/>
      <c r="AE492" s="350"/>
      <c r="AF492" s="350"/>
      <c r="AG492" s="350"/>
      <c r="AH492" s="350"/>
      <c r="AI492" s="350"/>
      <c r="AJ492" s="339"/>
      <c r="AK492" s="339"/>
      <c r="AL492" s="339"/>
      <c r="AM492" s="339"/>
      <c r="AN492" s="339"/>
      <c r="AO492" s="339"/>
      <c r="AP492" s="350"/>
      <c r="AQ492" s="340"/>
      <c r="AR492" s="350"/>
      <c r="AS492" s="339"/>
      <c r="AT492" s="339"/>
      <c r="AU492" s="339"/>
      <c r="AV492" s="339">
        <v>200288.86</v>
      </c>
      <c r="AW492" s="339">
        <v>296872.36</v>
      </c>
      <c r="AX492" s="339">
        <v>298213.11</v>
      </c>
      <c r="AY492" s="339">
        <v>301145.53999999998</v>
      </c>
      <c r="AZ492" s="339">
        <v>306121.34999999998</v>
      </c>
      <c r="BA492" s="339">
        <v>308647.51</v>
      </c>
      <c r="BB492" s="339">
        <v>315264.2</v>
      </c>
      <c r="BC492" s="339">
        <v>32385.24</v>
      </c>
      <c r="BD492" s="339">
        <v>266238.40999999997</v>
      </c>
      <c r="BE492" s="339">
        <v>266365.2</v>
      </c>
      <c r="BF492" s="339">
        <v>419720.11</v>
      </c>
      <c r="BG492" s="339">
        <v>422348.3553</v>
      </c>
      <c r="BH492" s="339">
        <v>424891.44</v>
      </c>
      <c r="BI492" s="339">
        <v>380731.19</v>
      </c>
      <c r="BJ492" s="339">
        <v>281442.84999999998</v>
      </c>
      <c r="BK492" s="339">
        <v>248308.32</v>
      </c>
      <c r="BL492" s="339">
        <v>133938.04999999999</v>
      </c>
      <c r="BM492" s="339">
        <v>8006.89</v>
      </c>
      <c r="BN492" s="339">
        <v>5.7</v>
      </c>
      <c r="BO492" s="339">
        <v>5.7</v>
      </c>
      <c r="BP492" s="339">
        <v>5.7</v>
      </c>
      <c r="BQ492" s="339">
        <v>5.7</v>
      </c>
      <c r="BR492" s="339">
        <v>5.7</v>
      </c>
      <c r="BS492" s="110" t="e">
        <f t="array" aca="1" ref="BS492" ca="1">_xludf.XLOOKUP(D492,'PL TOTAL D0'!N:N,'PL TOTAL D0'!P:P,"")</f>
        <v>#NAME?</v>
      </c>
      <c r="BT492" s="110"/>
    </row>
    <row r="493" spans="1:72" ht="15.75" customHeight="1">
      <c r="A493" s="122" t="s">
        <v>3785</v>
      </c>
      <c r="B493" s="104" t="s">
        <v>5252</v>
      </c>
      <c r="C493" s="390" t="s">
        <v>5253</v>
      </c>
      <c r="D493" s="292">
        <v>5146477</v>
      </c>
      <c r="E493" s="292" t="s">
        <v>2923</v>
      </c>
      <c r="F493" s="292" t="s">
        <v>20</v>
      </c>
      <c r="G493" s="292" t="s">
        <v>2923</v>
      </c>
      <c r="H493" s="292" t="str">
        <f>IFERROR(VLOOKUP(G493,'Cadastro de assessores'!A:B,2,FALSE),"Não Cadastrado")</f>
        <v>18986</v>
      </c>
      <c r="I493" s="292"/>
      <c r="J493" s="24" t="s">
        <v>143</v>
      </c>
      <c r="K493" s="292" t="s">
        <v>3794</v>
      </c>
      <c r="L493" s="387">
        <v>44355</v>
      </c>
      <c r="M493" s="387">
        <v>44355</v>
      </c>
      <c r="N493" s="387">
        <v>44776</v>
      </c>
      <c r="O493" s="292" t="s">
        <v>3805</v>
      </c>
      <c r="P493" s="388">
        <v>1.2E-2</v>
      </c>
      <c r="Q493" s="167" t="s">
        <v>5254</v>
      </c>
      <c r="R493" s="417"/>
      <c r="S493" s="292" t="str">
        <f t="shared" si="52"/>
        <v/>
      </c>
      <c r="T493" s="292" t="s">
        <v>145</v>
      </c>
      <c r="U493" s="299" t="s">
        <v>5255</v>
      </c>
      <c r="V493" s="299" t="s">
        <v>46</v>
      </c>
      <c r="W493" s="350"/>
      <c r="X493" s="350"/>
      <c r="Y493" s="350"/>
      <c r="Z493" s="350"/>
      <c r="AA493" s="350"/>
      <c r="AB493" s="350"/>
      <c r="AC493" s="350"/>
      <c r="AD493" s="350"/>
      <c r="AE493" s="350"/>
      <c r="AF493" s="350"/>
      <c r="AG493" s="350"/>
      <c r="AH493" s="350"/>
      <c r="AI493" s="350"/>
      <c r="AJ493" s="350"/>
      <c r="AK493" s="339"/>
      <c r="AL493" s="339"/>
      <c r="AM493" s="339"/>
      <c r="AN493" s="339"/>
      <c r="AO493" s="339"/>
      <c r="AP493" s="339"/>
      <c r="AQ493" s="350"/>
      <c r="AR493" s="340"/>
      <c r="AS493" s="339">
        <v>109428.08</v>
      </c>
      <c r="AT493" s="339">
        <v>108750.41</v>
      </c>
      <c r="AU493" s="339">
        <v>108656.85</v>
      </c>
      <c r="AV493" s="339">
        <v>71682.320000000007</v>
      </c>
      <c r="AW493" s="339">
        <v>70498.31</v>
      </c>
      <c r="AX493" s="339">
        <v>74390.31</v>
      </c>
      <c r="AY493" s="339">
        <v>75034.44</v>
      </c>
      <c r="AZ493" s="339">
        <v>76353.009999999995</v>
      </c>
      <c r="BA493" s="339">
        <v>77022.720000000001</v>
      </c>
      <c r="BB493" s="339">
        <v>78726.23</v>
      </c>
      <c r="BC493" s="339">
        <v>0</v>
      </c>
      <c r="BD493" s="339">
        <v>104540.39</v>
      </c>
      <c r="BE493" s="339">
        <v>125020.57</v>
      </c>
      <c r="BF493" s="339">
        <v>92785.44</v>
      </c>
      <c r="BG493" s="339">
        <v>80755.026700000002</v>
      </c>
      <c r="BH493" s="339">
        <v>19821.16</v>
      </c>
      <c r="BI493" s="339">
        <v>21230.97</v>
      </c>
      <c r="BJ493" s="339">
        <v>20769.330000000002</v>
      </c>
      <c r="BK493" s="339">
        <v>20958.23</v>
      </c>
      <c r="BL493" s="339">
        <v>21265.64</v>
      </c>
      <c r="BM493" s="339">
        <v>21451.03</v>
      </c>
      <c r="BN493" s="339">
        <v>21694.63</v>
      </c>
      <c r="BO493" s="339">
        <v>21906.47</v>
      </c>
      <c r="BP493" s="339">
        <v>22007.46</v>
      </c>
      <c r="BQ493" s="339">
        <v>22178.43</v>
      </c>
      <c r="BR493" s="339">
        <v>22434.35</v>
      </c>
      <c r="BS493" s="110" t="e">
        <f t="array" aca="1" ref="BS493" ca="1">_xludf.XLOOKUP(D493,'PL TOTAL D0'!N:N,'PL TOTAL D0'!P:P,"")</f>
        <v>#NAME?</v>
      </c>
      <c r="BT493" s="110"/>
    </row>
    <row r="494" spans="1:72" ht="15.75" customHeight="1">
      <c r="A494" s="122" t="s">
        <v>3785</v>
      </c>
      <c r="B494" s="104" t="s">
        <v>5256</v>
      </c>
      <c r="C494" s="441" t="s">
        <v>5257</v>
      </c>
      <c r="D494" s="299">
        <v>5620188</v>
      </c>
      <c r="E494" s="293" t="s">
        <v>19</v>
      </c>
      <c r="F494" s="293" t="s">
        <v>49</v>
      </c>
      <c r="G494" s="299" t="s">
        <v>5258</v>
      </c>
      <c r="H494" s="299" t="str">
        <f>IFERROR(VLOOKUP(G494,'Cadastro de assessores'!A:B,2,FALSE),"Não Cadastrado")</f>
        <v>18530</v>
      </c>
      <c r="I494" s="299"/>
      <c r="J494" s="24" t="s">
        <v>3788</v>
      </c>
      <c r="K494" s="439" t="s">
        <v>161</v>
      </c>
      <c r="L494" s="415">
        <v>44355</v>
      </c>
      <c r="M494" s="415">
        <v>44356</v>
      </c>
      <c r="N494" s="292"/>
      <c r="O494" s="292" t="s">
        <v>3809</v>
      </c>
      <c r="P494" s="388">
        <v>2.5000000000000001E-2</v>
      </c>
      <c r="Q494" s="167"/>
      <c r="R494" s="417"/>
      <c r="S494" s="292" t="str">
        <f t="shared" si="52"/>
        <v/>
      </c>
      <c r="T494" s="292" t="s">
        <v>145</v>
      </c>
      <c r="U494" s="292" t="s">
        <v>3811</v>
      </c>
      <c r="V494" s="292" t="s">
        <v>20</v>
      </c>
      <c r="W494" s="350"/>
      <c r="X494" s="350"/>
      <c r="Y494" s="350"/>
      <c r="Z494" s="350"/>
      <c r="AA494" s="350"/>
      <c r="AB494" s="350"/>
      <c r="AC494" s="350"/>
      <c r="AD494" s="350"/>
      <c r="AE494" s="350"/>
      <c r="AF494" s="350"/>
      <c r="AG494" s="350"/>
      <c r="AH494" s="350"/>
      <c r="AI494" s="350"/>
      <c r="AJ494" s="350"/>
      <c r="AK494" s="339"/>
      <c r="AL494" s="339"/>
      <c r="AM494" s="339"/>
      <c r="AN494" s="339"/>
      <c r="AO494" s="339"/>
      <c r="AP494" s="339"/>
      <c r="AQ494" s="339"/>
      <c r="AR494" s="350"/>
      <c r="AS494" s="339">
        <v>320935.59000000003</v>
      </c>
      <c r="AT494" s="339">
        <v>303669.71000000002</v>
      </c>
      <c r="AU494" s="339">
        <v>295583.99</v>
      </c>
      <c r="AV494" s="339">
        <v>278316.08</v>
      </c>
      <c r="AW494" s="339">
        <v>133.12</v>
      </c>
      <c r="AX494" s="339">
        <v>132.91999999999999</v>
      </c>
      <c r="AY494" s="339">
        <v>132.69</v>
      </c>
      <c r="AZ494" s="339">
        <v>132.47999999999999</v>
      </c>
      <c r="BA494" s="339">
        <v>132.29</v>
      </c>
      <c r="BB494" s="339">
        <v>132.07</v>
      </c>
      <c r="BC494" s="339">
        <v>0</v>
      </c>
      <c r="BD494" s="339">
        <v>406.21</v>
      </c>
      <c r="BE494" s="339">
        <v>406.21</v>
      </c>
      <c r="BF494" s="339">
        <v>406.21</v>
      </c>
      <c r="BG494" s="339">
        <v>406.21</v>
      </c>
      <c r="BH494" s="339">
        <v>406.21</v>
      </c>
      <c r="BI494" s="339">
        <v>406.21</v>
      </c>
      <c r="BJ494" s="339">
        <v>406.21</v>
      </c>
      <c r="BK494" s="339">
        <v>406.21</v>
      </c>
      <c r="BL494" s="339">
        <v>406.21</v>
      </c>
      <c r="BM494" s="339">
        <v>406.21</v>
      </c>
      <c r="BN494" s="339">
        <v>406.21</v>
      </c>
      <c r="BO494" s="339">
        <v>406.21</v>
      </c>
      <c r="BP494" s="339">
        <v>406.21</v>
      </c>
      <c r="BQ494" s="339">
        <v>406.21</v>
      </c>
      <c r="BR494" s="339">
        <v>406.21</v>
      </c>
      <c r="BS494" s="110" t="e">
        <f t="array" aca="1" ref="BS494" ca="1">_xludf.XLOOKUP(D494,'PL TOTAL D0'!N:N,'PL TOTAL D0'!P:P,"")</f>
        <v>#NAME?</v>
      </c>
      <c r="BT494" s="110"/>
    </row>
    <row r="495" spans="1:72" ht="15.75" customHeight="1">
      <c r="A495" s="122" t="s">
        <v>3785</v>
      </c>
      <c r="B495" s="104" t="s">
        <v>5259</v>
      </c>
      <c r="C495" s="122" t="s">
        <v>5260</v>
      </c>
      <c r="D495" s="483">
        <v>7738705</v>
      </c>
      <c r="E495" s="293" t="s">
        <v>19</v>
      </c>
      <c r="F495" s="293" t="s">
        <v>49</v>
      </c>
      <c r="G495" s="293" t="s">
        <v>277</v>
      </c>
      <c r="H495" s="299" t="str">
        <f>IFERROR(VLOOKUP(G495,'Cadastro de assessores'!A:B,2,FALSE),"Não Cadastrado")</f>
        <v>17831</v>
      </c>
      <c r="I495" s="299"/>
      <c r="J495" s="24" t="s">
        <v>3788</v>
      </c>
      <c r="K495" s="293" t="s">
        <v>152</v>
      </c>
      <c r="L495" s="415">
        <v>44585</v>
      </c>
      <c r="M495" s="415">
        <v>44589</v>
      </c>
      <c r="N495" s="292"/>
      <c r="O495" s="292" t="s">
        <v>3802</v>
      </c>
      <c r="P495" s="388">
        <v>7.0000000000000001E-3</v>
      </c>
      <c r="Q495" s="420"/>
      <c r="R495" s="417"/>
      <c r="S495" s="292" t="str">
        <f t="shared" si="52"/>
        <v>Não Qualificado</v>
      </c>
      <c r="T495" s="292" t="s">
        <v>145</v>
      </c>
      <c r="U495" s="292" t="s">
        <v>3841</v>
      </c>
      <c r="V495" s="292" t="s">
        <v>49</v>
      </c>
      <c r="W495" s="418"/>
      <c r="X495" s="418"/>
      <c r="Y495" s="418"/>
      <c r="Z495" s="418"/>
      <c r="AA495" s="418"/>
      <c r="AB495" s="418"/>
      <c r="AC495" s="418"/>
      <c r="AD495" s="418"/>
      <c r="AE495" s="418"/>
      <c r="AF495" s="418"/>
      <c r="AG495" s="418"/>
      <c r="AH495" s="418"/>
      <c r="AI495" s="418"/>
      <c r="AJ495" s="418"/>
      <c r="AK495" s="339"/>
      <c r="AL495" s="339"/>
      <c r="AM495" s="339"/>
      <c r="AN495" s="339"/>
      <c r="AO495" s="339"/>
      <c r="AP495" s="339"/>
      <c r="AQ495" s="339"/>
      <c r="AR495" s="339"/>
      <c r="AS495" s="339"/>
      <c r="AT495" s="339"/>
      <c r="AU495" s="339"/>
      <c r="AV495" s="339"/>
      <c r="AW495" s="339"/>
      <c r="AX495" s="339"/>
      <c r="AY495" s="339"/>
      <c r="AZ495" s="339"/>
      <c r="BA495" s="339"/>
      <c r="BB495" s="339"/>
      <c r="BC495" s="339">
        <v>92965.24</v>
      </c>
      <c r="BD495" s="339">
        <v>545169.46</v>
      </c>
      <c r="BE495" s="339">
        <v>549869.79</v>
      </c>
      <c r="BF495" s="339">
        <v>551256.57999999996</v>
      </c>
      <c r="BG495" s="339">
        <v>556899.10479999997</v>
      </c>
      <c r="BH495" s="339">
        <v>560246.84</v>
      </c>
      <c r="BI495" s="339">
        <v>564587.98</v>
      </c>
      <c r="BJ495" s="339">
        <v>565785.89</v>
      </c>
      <c r="BK495" s="339">
        <v>571306.01</v>
      </c>
      <c r="BL495" s="339">
        <v>730716.62</v>
      </c>
      <c r="BM495" s="339">
        <v>585409.24</v>
      </c>
      <c r="BN495" s="339">
        <v>515386.43</v>
      </c>
      <c r="BO495" s="339">
        <v>42.9</v>
      </c>
      <c r="BP495" s="339">
        <v>43.43</v>
      </c>
      <c r="BQ495" s="339">
        <v>43.7</v>
      </c>
      <c r="BR495" s="339">
        <v>44.26</v>
      </c>
      <c r="BS495" s="110" t="e">
        <f t="array" aca="1" ref="BS495" ca="1">_xludf.XLOOKUP(D495,'PL TOTAL D0'!N:N,'PL TOTAL D0'!P:P,"")</f>
        <v>#NAME?</v>
      </c>
      <c r="BT495" s="110"/>
    </row>
    <row r="496" spans="1:72" ht="15.75" customHeight="1">
      <c r="A496" s="122" t="s">
        <v>3785</v>
      </c>
      <c r="B496" s="104" t="s">
        <v>2612</v>
      </c>
      <c r="C496" s="122" t="s">
        <v>2610</v>
      </c>
      <c r="D496" s="292">
        <v>4634231</v>
      </c>
      <c r="E496" s="293" t="s">
        <v>64</v>
      </c>
      <c r="F496" s="293" t="s">
        <v>20</v>
      </c>
      <c r="G496" s="293" t="s">
        <v>3847</v>
      </c>
      <c r="H496" s="293" t="str">
        <f>IFERROR(VLOOKUP(G496,'Cadastro de assessores'!A:B,2,FALSE),"Não Cadastrado")</f>
        <v>12624</v>
      </c>
      <c r="I496" s="293"/>
      <c r="J496" s="24" t="s">
        <v>3788</v>
      </c>
      <c r="K496" s="293" t="s">
        <v>152</v>
      </c>
      <c r="L496" s="415">
        <v>44166</v>
      </c>
      <c r="M496" s="415">
        <v>44173</v>
      </c>
      <c r="N496" s="292"/>
      <c r="O496" s="292" t="s">
        <v>3802</v>
      </c>
      <c r="P496" s="388">
        <v>7.0000000000000001E-3</v>
      </c>
      <c r="Q496" s="484" t="s">
        <v>5261</v>
      </c>
      <c r="R496" s="417"/>
      <c r="S496" s="292" t="str">
        <f t="shared" si="52"/>
        <v>Não Qualificado</v>
      </c>
      <c r="T496" s="292" t="s">
        <v>145</v>
      </c>
      <c r="U496" s="292" t="s">
        <v>3811</v>
      </c>
      <c r="V496" s="292" t="s">
        <v>20</v>
      </c>
      <c r="W496" s="418" t="s">
        <v>3798</v>
      </c>
      <c r="X496" s="418" t="s">
        <v>3798</v>
      </c>
      <c r="Y496" s="418" t="s">
        <v>3798</v>
      </c>
      <c r="Z496" s="418" t="s">
        <v>3798</v>
      </c>
      <c r="AA496" s="418" t="s">
        <v>3798</v>
      </c>
      <c r="AB496" s="418" t="s">
        <v>3798</v>
      </c>
      <c r="AC496" s="418" t="s">
        <v>3798</v>
      </c>
      <c r="AD496" s="418" t="s">
        <v>3798</v>
      </c>
      <c r="AE496" s="418" t="s">
        <v>3798</v>
      </c>
      <c r="AF496" s="418" t="s">
        <v>3798</v>
      </c>
      <c r="AG496" s="418" t="s">
        <v>3798</v>
      </c>
      <c r="AH496" s="418" t="s">
        <v>3798</v>
      </c>
      <c r="AI496" s="418" t="s">
        <v>3798</v>
      </c>
      <c r="AJ496" s="418" t="s">
        <v>3798</v>
      </c>
      <c r="AK496" s="339">
        <v>374479.58</v>
      </c>
      <c r="AL496" s="339">
        <v>368492.93</v>
      </c>
      <c r="AM496" s="339">
        <v>357126.43</v>
      </c>
      <c r="AN496" s="339">
        <v>356792.57</v>
      </c>
      <c r="AO496" s="339">
        <v>367286.21</v>
      </c>
      <c r="AP496" s="339">
        <v>368973.82</v>
      </c>
      <c r="AQ496" s="339">
        <v>367283.66</v>
      </c>
      <c r="AR496" s="339">
        <v>404527.96</v>
      </c>
      <c r="AS496" s="339">
        <v>426152.36</v>
      </c>
      <c r="AT496" s="339">
        <v>436834.57</v>
      </c>
      <c r="AU496" s="339">
        <v>434307.12</v>
      </c>
      <c r="AV496" s="339">
        <v>425660.38</v>
      </c>
      <c r="AW496" s="339">
        <v>410732.68</v>
      </c>
      <c r="AX496" s="339">
        <v>411211.15</v>
      </c>
      <c r="AY496" s="339">
        <v>417430.97</v>
      </c>
      <c r="AZ496" s="339">
        <v>424720.76</v>
      </c>
      <c r="BA496" s="339">
        <v>429437.82</v>
      </c>
      <c r="BB496" s="339">
        <v>440640.17</v>
      </c>
      <c r="BC496" s="339">
        <v>49352.11</v>
      </c>
      <c r="BD496" s="339">
        <v>442424.47</v>
      </c>
      <c r="BE496" s="339">
        <v>443481.14</v>
      </c>
      <c r="BF496" s="339">
        <v>446934.42</v>
      </c>
      <c r="BG496" s="339">
        <v>449042.48300000001</v>
      </c>
      <c r="BH496" s="339">
        <v>451286.37</v>
      </c>
      <c r="BI496" s="339">
        <v>454381.38</v>
      </c>
      <c r="BJ496" s="339">
        <v>507340.35</v>
      </c>
      <c r="BK496" s="339">
        <v>551419.18000000005</v>
      </c>
      <c r="BL496" s="339">
        <v>834.49</v>
      </c>
      <c r="BM496" s="339">
        <v>381.59</v>
      </c>
      <c r="BN496" s="339">
        <v>0</v>
      </c>
      <c r="BO496" s="339">
        <v>0</v>
      </c>
      <c r="BP496" s="339">
        <v>0</v>
      </c>
      <c r="BQ496" s="339">
        <v>0</v>
      </c>
      <c r="BR496" s="339">
        <v>0</v>
      </c>
      <c r="BS496" s="110" t="e">
        <f t="array" aca="1" ref="BS496" ca="1">_xludf.XLOOKUP(D496,'PL TOTAL D0'!N:N,'PL TOTAL D0'!P:P,"")</f>
        <v>#NAME?</v>
      </c>
      <c r="BT496" s="110"/>
    </row>
    <row r="497" spans="1:72" ht="15.75" customHeight="1">
      <c r="A497" s="122" t="s">
        <v>3785</v>
      </c>
      <c r="B497" s="104" t="s">
        <v>5262</v>
      </c>
      <c r="C497" s="390" t="s">
        <v>5263</v>
      </c>
      <c r="D497" s="299">
        <v>4304013</v>
      </c>
      <c r="E497" s="293" t="s">
        <v>19</v>
      </c>
      <c r="F497" s="293" t="s">
        <v>49</v>
      </c>
      <c r="G497" s="293" t="s">
        <v>328</v>
      </c>
      <c r="H497" s="293" t="str">
        <f>IFERROR(VLOOKUP(G497,'Cadastro de assessores'!A:B,2,FALSE),"Não Cadastrado")</f>
        <v>18009</v>
      </c>
      <c r="I497" s="293"/>
      <c r="J497" s="24" t="s">
        <v>3788</v>
      </c>
      <c r="K497" s="439" t="s">
        <v>152</v>
      </c>
      <c r="L497" s="415">
        <v>44292</v>
      </c>
      <c r="M497" s="415">
        <v>44291</v>
      </c>
      <c r="N497" s="292"/>
      <c r="O497" s="292" t="s">
        <v>3809</v>
      </c>
      <c r="P497" s="388">
        <v>2.5000000000000001E-2</v>
      </c>
      <c r="Q497" s="167"/>
      <c r="R497" s="417"/>
      <c r="S497" s="292" t="str">
        <f t="shared" si="52"/>
        <v/>
      </c>
      <c r="T497" s="292" t="s">
        <v>145</v>
      </c>
      <c r="U497" s="299" t="s">
        <v>3883</v>
      </c>
      <c r="V497" s="292" t="s">
        <v>3884</v>
      </c>
      <c r="W497" s="350"/>
      <c r="X497" s="350"/>
      <c r="Y497" s="350"/>
      <c r="Z497" s="350"/>
      <c r="AA497" s="350"/>
      <c r="AB497" s="350"/>
      <c r="AC497" s="350"/>
      <c r="AD497" s="350"/>
      <c r="AE497" s="350"/>
      <c r="AF497" s="350"/>
      <c r="AG497" s="350"/>
      <c r="AH497" s="350"/>
      <c r="AI497" s="350"/>
      <c r="AJ497" s="350"/>
      <c r="AK497" s="339"/>
      <c r="AL497" s="339"/>
      <c r="AM497" s="339"/>
      <c r="AN497" s="339"/>
      <c r="AO497" s="339"/>
      <c r="AP497" s="339">
        <v>281544.63</v>
      </c>
      <c r="AQ497" s="339">
        <v>278530.58</v>
      </c>
      <c r="AR497" s="339">
        <v>90303.360000000001</v>
      </c>
      <c r="AS497" s="339">
        <v>88247.12</v>
      </c>
      <c r="AT497" s="339">
        <v>83704.06</v>
      </c>
      <c r="AU497" s="339">
        <v>4867.33</v>
      </c>
      <c r="AV497" s="339">
        <v>3746.51</v>
      </c>
      <c r="AW497" s="339">
        <v>4875.2700000000004</v>
      </c>
      <c r="AX497" s="339">
        <v>4870.91</v>
      </c>
      <c r="AY497" s="339">
        <v>3800.12</v>
      </c>
      <c r="AZ497" s="339">
        <v>3792.14</v>
      </c>
      <c r="BA497" s="339">
        <v>3784.92</v>
      </c>
      <c r="BB497" s="339">
        <v>3801.52</v>
      </c>
      <c r="BC497" s="339">
        <v>0</v>
      </c>
      <c r="BD497" s="339">
        <v>3902.52</v>
      </c>
      <c r="BE497" s="339">
        <v>3941.98</v>
      </c>
      <c r="BF497" s="339">
        <v>3981.97</v>
      </c>
      <c r="BG497" s="339">
        <v>4027.82</v>
      </c>
      <c r="BH497" s="339">
        <v>4066.2</v>
      </c>
      <c r="BI497" s="339">
        <v>4122.55</v>
      </c>
      <c r="BJ497" s="339">
        <v>4146.3999999999996</v>
      </c>
      <c r="BK497" s="339">
        <v>4181.83</v>
      </c>
      <c r="BL497" s="339">
        <v>4242.79</v>
      </c>
      <c r="BM497" s="339">
        <v>4288.2299999999996</v>
      </c>
      <c r="BN497" s="339">
        <v>4331.3100000000004</v>
      </c>
      <c r="BO497" s="339">
        <v>4372.4799999999996</v>
      </c>
      <c r="BP497" s="339">
        <v>4420.75</v>
      </c>
      <c r="BQ497" s="339">
        <v>4470.8500000000004</v>
      </c>
      <c r="BR497" s="339">
        <v>4513.1099999999997</v>
      </c>
      <c r="BS497" s="110" t="e">
        <f t="array" aca="1" ref="BS497" ca="1">_xludf.XLOOKUP(D497,'PL TOTAL D0'!N:N,'PL TOTAL D0'!P:P,"")</f>
        <v>#NAME?</v>
      </c>
      <c r="BT497" s="110"/>
    </row>
    <row r="498" spans="1:72" ht="15.75" customHeight="1">
      <c r="A498" s="122" t="s">
        <v>3785</v>
      </c>
      <c r="B498" s="104" t="s">
        <v>2625</v>
      </c>
      <c r="C498" s="122" t="s">
        <v>2622</v>
      </c>
      <c r="D498" s="292">
        <v>4695301</v>
      </c>
      <c r="E498" s="293" t="s">
        <v>64</v>
      </c>
      <c r="F498" s="293" t="s">
        <v>20</v>
      </c>
      <c r="G498" s="293" t="s">
        <v>4058</v>
      </c>
      <c r="H498" s="293" t="str">
        <f>IFERROR(VLOOKUP(G498,'Cadastro de assessores'!A:B,2,FALSE),"Não Cadastrado")</f>
        <v>19634</v>
      </c>
      <c r="I498" s="293"/>
      <c r="J498" s="24" t="s">
        <v>3788</v>
      </c>
      <c r="K498" s="293" t="s">
        <v>152</v>
      </c>
      <c r="L498" s="415">
        <v>44217</v>
      </c>
      <c r="M498" s="415">
        <v>44218</v>
      </c>
      <c r="N498" s="292"/>
      <c r="O498" s="292" t="s">
        <v>3789</v>
      </c>
      <c r="P498" s="388">
        <v>0.02</v>
      </c>
      <c r="Q498" s="420"/>
      <c r="R498" s="417"/>
      <c r="S498" s="292" t="str">
        <f t="shared" si="52"/>
        <v/>
      </c>
      <c r="T498" s="292" t="s">
        <v>145</v>
      </c>
      <c r="U498" s="292" t="s">
        <v>4661</v>
      </c>
      <c r="V498" s="292" t="s">
        <v>20</v>
      </c>
      <c r="W498" s="418"/>
      <c r="X498" s="418"/>
      <c r="Y498" s="418"/>
      <c r="Z498" s="418"/>
      <c r="AA498" s="418"/>
      <c r="AB498" s="418"/>
      <c r="AC498" s="418"/>
      <c r="AD498" s="418"/>
      <c r="AE498" s="418"/>
      <c r="AF498" s="418"/>
      <c r="AG498" s="418"/>
      <c r="AH498" s="418"/>
      <c r="AI498" s="418"/>
      <c r="AJ498" s="418"/>
      <c r="AK498" s="339" t="s">
        <v>3147</v>
      </c>
      <c r="AL498" s="339">
        <v>259477.81</v>
      </c>
      <c r="AM498" s="339">
        <v>249284.55</v>
      </c>
      <c r="AN498" s="339">
        <v>249872.18</v>
      </c>
      <c r="AO498" s="339">
        <v>258124.39</v>
      </c>
      <c r="AP498" s="339">
        <v>262130.43</v>
      </c>
      <c r="AQ498" s="339">
        <v>260667.34</v>
      </c>
      <c r="AR498" s="339">
        <v>268374.09000000003</v>
      </c>
      <c r="AS498" s="339">
        <v>265606.07</v>
      </c>
      <c r="AT498" s="339">
        <v>257212.44</v>
      </c>
      <c r="AU498" s="339">
        <v>254376.8</v>
      </c>
      <c r="AV498" s="339">
        <v>246902.58</v>
      </c>
      <c r="AW498" s="339">
        <v>232996.56</v>
      </c>
      <c r="AX498" s="339">
        <v>232289.61</v>
      </c>
      <c r="AY498" s="339">
        <v>235908.56</v>
      </c>
      <c r="AZ498" s="339">
        <v>244649.72</v>
      </c>
      <c r="BA498" s="339">
        <v>246781.72</v>
      </c>
      <c r="BB498" s="339">
        <v>772216.52</v>
      </c>
      <c r="BC498" s="339">
        <v>0</v>
      </c>
      <c r="BD498" s="339">
        <v>814490.07</v>
      </c>
      <c r="BE498" s="339">
        <v>811879.15</v>
      </c>
      <c r="BF498" s="339">
        <v>825868.48</v>
      </c>
      <c r="BG498" s="339">
        <v>833808.78590000002</v>
      </c>
      <c r="BH498" s="339">
        <v>831782.15</v>
      </c>
      <c r="BI498" s="339">
        <v>860119.86</v>
      </c>
      <c r="BJ498" s="339">
        <v>863574.82</v>
      </c>
      <c r="BK498" s="339">
        <v>866608.17</v>
      </c>
      <c r="BL498" s="339">
        <v>310966.90999999997</v>
      </c>
      <c r="BM498" s="339">
        <v>8.65</v>
      </c>
      <c r="BN498" s="339">
        <v>8.66</v>
      </c>
      <c r="BO498" s="339">
        <v>8.66</v>
      </c>
      <c r="BP498" s="339">
        <v>8.66</v>
      </c>
      <c r="BQ498" s="339">
        <v>8.66</v>
      </c>
      <c r="BR498" s="339">
        <v>8.66</v>
      </c>
      <c r="BS498" s="110" t="e">
        <f t="array" aca="1" ref="BS498" ca="1">_xludf.XLOOKUP(D498,'PL TOTAL D0'!N:N,'PL TOTAL D0'!P:P,"")</f>
        <v>#NAME?</v>
      </c>
      <c r="BT498" s="110"/>
    </row>
    <row r="499" spans="1:72" ht="15.75" customHeight="1">
      <c r="A499" s="122" t="s">
        <v>3785</v>
      </c>
      <c r="B499" s="104" t="s">
        <v>5264</v>
      </c>
      <c r="C499" s="122" t="s">
        <v>5265</v>
      </c>
      <c r="D499" s="292">
        <v>4537910</v>
      </c>
      <c r="E499" s="293" t="s">
        <v>64</v>
      </c>
      <c r="F499" s="293" t="s">
        <v>20</v>
      </c>
      <c r="G499" s="293" t="s">
        <v>73</v>
      </c>
      <c r="H499" s="293" t="str">
        <f>IFERROR(VLOOKUP(G499,'Cadastro de assessores'!A:B,2,FALSE),"Não Cadastrado")</f>
        <v>17243</v>
      </c>
      <c r="I499" s="293"/>
      <c r="J499" s="24" t="s">
        <v>3788</v>
      </c>
      <c r="K499" s="439" t="s">
        <v>161</v>
      </c>
      <c r="L499" s="292" t="s">
        <v>3147</v>
      </c>
      <c r="M499" s="436" t="s">
        <v>4177</v>
      </c>
      <c r="N499" s="292"/>
      <c r="O499" s="292" t="s">
        <v>3795</v>
      </c>
      <c r="P499" s="388">
        <v>1.4999999999999999E-2</v>
      </c>
      <c r="Q499" s="420"/>
      <c r="R499" s="417"/>
      <c r="S499" s="292" t="str">
        <f t="shared" si="52"/>
        <v/>
      </c>
      <c r="T499" s="292" t="s">
        <v>187</v>
      </c>
      <c r="U499" s="292" t="s">
        <v>4071</v>
      </c>
      <c r="V499" s="292" t="s">
        <v>20</v>
      </c>
      <c r="W499" s="418" t="s">
        <v>3798</v>
      </c>
      <c r="X499" s="418" t="s">
        <v>3798</v>
      </c>
      <c r="Y499" s="418" t="s">
        <v>3798</v>
      </c>
      <c r="Z499" s="418" t="s">
        <v>3798</v>
      </c>
      <c r="AA499" s="418" t="s">
        <v>3798</v>
      </c>
      <c r="AB499" s="418" t="s">
        <v>3798</v>
      </c>
      <c r="AC499" s="418" t="s">
        <v>3798</v>
      </c>
      <c r="AD499" s="418" t="s">
        <v>3798</v>
      </c>
      <c r="AE499" s="418" t="s">
        <v>3798</v>
      </c>
      <c r="AF499" s="418" t="s">
        <v>3798</v>
      </c>
      <c r="AG499" s="418" t="s">
        <v>3798</v>
      </c>
      <c r="AH499" s="418" t="s">
        <v>3798</v>
      </c>
      <c r="AI499" s="418" t="s">
        <v>3798</v>
      </c>
      <c r="AJ499" s="418" t="s">
        <v>3798</v>
      </c>
      <c r="AK499" s="339" t="s">
        <v>3147</v>
      </c>
      <c r="AL499" s="339"/>
      <c r="AM499" s="339" t="s">
        <v>3147</v>
      </c>
      <c r="AN499" s="339"/>
      <c r="AO499" s="339"/>
      <c r="AP499" s="339"/>
      <c r="AQ499" s="339"/>
      <c r="AR499" s="339"/>
      <c r="AS499" s="339"/>
      <c r="AT499" s="339"/>
      <c r="AU499" s="339"/>
      <c r="AV499" s="339"/>
      <c r="AW499" s="339"/>
      <c r="AX499" s="339"/>
      <c r="AY499" s="339"/>
      <c r="AZ499" s="339"/>
      <c r="BA499" s="339">
        <v>0</v>
      </c>
      <c r="BB499" s="339">
        <v>0</v>
      </c>
      <c r="BC499" s="339">
        <v>0</v>
      </c>
      <c r="BD499" s="339" t="s">
        <v>2932</v>
      </c>
      <c r="BE499" s="339" t="s">
        <v>2932</v>
      </c>
      <c r="BF499" s="339">
        <v>0</v>
      </c>
      <c r="BG499" s="339">
        <v>0</v>
      </c>
      <c r="BH499" s="339">
        <v>0</v>
      </c>
      <c r="BI499" s="339">
        <v>0</v>
      </c>
      <c r="BJ499" s="339">
        <v>0</v>
      </c>
      <c r="BK499" s="339">
        <v>0</v>
      </c>
      <c r="BL499" s="339">
        <v>0</v>
      </c>
      <c r="BM499" s="339">
        <v>0</v>
      </c>
      <c r="BN499" s="339">
        <v>0</v>
      </c>
      <c r="BO499" s="339">
        <v>0</v>
      </c>
      <c r="BP499" s="339">
        <v>0</v>
      </c>
      <c r="BQ499" s="339">
        <v>0</v>
      </c>
      <c r="BR499" s="339">
        <v>0</v>
      </c>
      <c r="BS499" s="110" t="e">
        <f t="array" aca="1" ref="BS499" ca="1">_xludf.XLOOKUP(D499,'PL TOTAL D0'!N:N,'PL TOTAL D0'!P:P,"")</f>
        <v>#NAME?</v>
      </c>
      <c r="BT499" s="110"/>
    </row>
    <row r="500" spans="1:72" ht="15.75" customHeight="1">
      <c r="A500" s="122" t="s">
        <v>3785</v>
      </c>
      <c r="B500" s="104" t="s">
        <v>2628</v>
      </c>
      <c r="C500" s="86" t="s">
        <v>2626</v>
      </c>
      <c r="D500" s="299">
        <v>7012555</v>
      </c>
      <c r="E500" s="293" t="s">
        <v>19</v>
      </c>
      <c r="F500" s="293" t="s">
        <v>20</v>
      </c>
      <c r="G500" s="426" t="s">
        <v>942</v>
      </c>
      <c r="H500" s="293">
        <f>IFERROR(VLOOKUP(G500,'Cadastro de assessores'!A:B,2,FALSE),"Não Cadastrado")</f>
        <v>12342</v>
      </c>
      <c r="I500" s="293"/>
      <c r="J500" s="24" t="s">
        <v>3788</v>
      </c>
      <c r="K500" s="293" t="s">
        <v>152</v>
      </c>
      <c r="L500" s="416">
        <v>44553</v>
      </c>
      <c r="M500" s="416">
        <v>44558</v>
      </c>
      <c r="N500" s="426"/>
      <c r="O500" s="426" t="s">
        <v>3802</v>
      </c>
      <c r="P500" s="388">
        <v>7.0000000000000001E-3</v>
      </c>
      <c r="Q500" s="311"/>
      <c r="R500" s="417"/>
      <c r="S500" s="292" t="str">
        <f t="shared" si="52"/>
        <v>Não Qualificado</v>
      </c>
      <c r="T500" s="292" t="s">
        <v>145</v>
      </c>
      <c r="U500" s="307" t="s">
        <v>3923</v>
      </c>
      <c r="V500" s="307" t="s">
        <v>20</v>
      </c>
      <c r="W500" s="350"/>
      <c r="X500" s="350"/>
      <c r="Y500" s="350"/>
      <c r="Z500" s="350"/>
      <c r="AA500" s="350"/>
      <c r="AB500" s="350"/>
      <c r="AC500" s="350"/>
      <c r="AD500" s="350"/>
      <c r="AE500" s="350"/>
      <c r="AF500" s="350"/>
      <c r="AG500" s="418"/>
      <c r="AH500" s="418"/>
      <c r="AI500" s="418"/>
      <c r="AJ500" s="339"/>
      <c r="AK500" s="339"/>
      <c r="AL500" s="339"/>
      <c r="AM500" s="339"/>
      <c r="AN500" s="339"/>
      <c r="AO500" s="339"/>
      <c r="AP500" s="339"/>
      <c r="AQ500" s="339"/>
      <c r="AR500" s="339"/>
      <c r="AS500" s="339"/>
      <c r="AT500" s="339"/>
      <c r="AU500" s="339"/>
      <c r="AV500" s="339"/>
      <c r="AW500" s="339"/>
      <c r="AX500" s="350"/>
      <c r="AY500" s="350"/>
      <c r="AZ500" s="418"/>
      <c r="BA500" s="418">
        <v>0</v>
      </c>
      <c r="BB500" s="418">
        <v>97971.76</v>
      </c>
      <c r="BC500" s="418">
        <v>68.069999999999993</v>
      </c>
      <c r="BD500" s="339">
        <v>125783.16</v>
      </c>
      <c r="BE500" s="339">
        <v>126984.4</v>
      </c>
      <c r="BF500" s="339">
        <v>128005.57</v>
      </c>
      <c r="BG500" s="339">
        <v>128602.329</v>
      </c>
      <c r="BH500" s="339">
        <v>129351.89</v>
      </c>
      <c r="BI500" s="339">
        <v>130329.42</v>
      </c>
      <c r="BJ500" s="339">
        <v>131582.92000000001</v>
      </c>
      <c r="BK500" s="339">
        <v>132269.07</v>
      </c>
      <c r="BL500" s="339">
        <v>128675.04</v>
      </c>
      <c r="BM500" s="339">
        <v>129539.33</v>
      </c>
      <c r="BN500" s="339">
        <v>130208.28</v>
      </c>
      <c r="BO500" s="339">
        <v>130664.63</v>
      </c>
      <c r="BP500" s="339">
        <v>132069.01999999999</v>
      </c>
      <c r="BQ500" s="339">
        <v>132553.15</v>
      </c>
      <c r="BR500" s="339">
        <v>133064.13</v>
      </c>
      <c r="BS500" s="110" t="e">
        <f t="array" aca="1" ref="BS500" ca="1">_xludf.XLOOKUP(D500,'PL TOTAL D0'!N:N,'PL TOTAL D0'!P:P,"")</f>
        <v>#NAME?</v>
      </c>
      <c r="BT500" s="110"/>
    </row>
    <row r="501" spans="1:72" ht="15.75" customHeight="1">
      <c r="A501" s="122" t="s">
        <v>3785</v>
      </c>
      <c r="B501" s="104" t="s">
        <v>2632</v>
      </c>
      <c r="C501" s="122" t="s">
        <v>3521</v>
      </c>
      <c r="D501" s="292">
        <v>4848036</v>
      </c>
      <c r="E501" s="293" t="s">
        <v>2923</v>
      </c>
      <c r="F501" s="293" t="s">
        <v>20</v>
      </c>
      <c r="G501" s="293" t="s">
        <v>2923</v>
      </c>
      <c r="H501" s="293" t="str">
        <f>IFERROR(VLOOKUP(G501,'Cadastro de assessores'!A:B,2,FALSE),"Não Cadastrado")</f>
        <v>18986</v>
      </c>
      <c r="I501" s="293"/>
      <c r="J501" s="24" t="s">
        <v>3788</v>
      </c>
      <c r="K501" s="293" t="s">
        <v>152</v>
      </c>
      <c r="L501" s="415">
        <v>44249</v>
      </c>
      <c r="M501" s="415">
        <v>44249</v>
      </c>
      <c r="N501" s="292"/>
      <c r="O501" s="292" t="s">
        <v>3805</v>
      </c>
      <c r="P501" s="388">
        <v>1.2E-2</v>
      </c>
      <c r="Q501" s="420"/>
      <c r="R501" s="417"/>
      <c r="S501" s="292" t="str">
        <f t="shared" si="52"/>
        <v/>
      </c>
      <c r="T501" s="292" t="s">
        <v>145</v>
      </c>
      <c r="U501" s="292" t="s">
        <v>3832</v>
      </c>
      <c r="V501" s="292" t="s">
        <v>20</v>
      </c>
      <c r="W501" s="418"/>
      <c r="X501" s="418"/>
      <c r="Y501" s="418"/>
      <c r="Z501" s="418"/>
      <c r="AA501" s="418"/>
      <c r="AB501" s="418"/>
      <c r="AC501" s="418"/>
      <c r="AD501" s="418"/>
      <c r="AE501" s="418"/>
      <c r="AF501" s="418"/>
      <c r="AG501" s="418"/>
      <c r="AH501" s="418"/>
      <c r="AI501" s="418"/>
      <c r="AJ501" s="418"/>
      <c r="AK501" s="339"/>
      <c r="AL501" s="339"/>
      <c r="AM501" s="339">
        <v>35259.379999999997</v>
      </c>
      <c r="AN501" s="339">
        <v>88676.66</v>
      </c>
      <c r="AO501" s="339">
        <v>118743.57</v>
      </c>
      <c r="AP501" s="339">
        <v>119179.66</v>
      </c>
      <c r="AQ501" s="339">
        <v>118615.99</v>
      </c>
      <c r="AR501" s="339">
        <v>160788.01999999999</v>
      </c>
      <c r="AS501" s="339">
        <v>160329.46</v>
      </c>
      <c r="AT501" s="339">
        <v>158823.85</v>
      </c>
      <c r="AU501" s="339">
        <v>158533.19</v>
      </c>
      <c r="AV501" s="339">
        <v>197973.84</v>
      </c>
      <c r="AW501" s="339">
        <v>195536.85</v>
      </c>
      <c r="AX501" s="339">
        <v>196086.38</v>
      </c>
      <c r="AY501" s="339">
        <v>197943.96</v>
      </c>
      <c r="AZ501" s="339">
        <v>201178.19</v>
      </c>
      <c r="BA501" s="339">
        <v>202539.54</v>
      </c>
      <c r="BB501" s="339">
        <v>207342.43</v>
      </c>
      <c r="BC501" s="339">
        <v>0</v>
      </c>
      <c r="BD501" s="339">
        <v>207959.66</v>
      </c>
      <c r="BE501" s="339">
        <v>208421.94</v>
      </c>
      <c r="BF501" s="339">
        <v>211238.82</v>
      </c>
      <c r="BG501" s="339">
        <v>212716.2274</v>
      </c>
      <c r="BH501" s="339">
        <v>213723.96</v>
      </c>
      <c r="BI501" s="339">
        <v>217377.67</v>
      </c>
      <c r="BJ501" s="339">
        <v>217417.18</v>
      </c>
      <c r="BK501" s="339">
        <v>219083.35</v>
      </c>
      <c r="BL501" s="339">
        <v>221500.73</v>
      </c>
      <c r="BM501" s="339">
        <v>222695.35</v>
      </c>
      <c r="BN501" s="339">
        <v>225191.45</v>
      </c>
      <c r="BO501" s="339">
        <v>0</v>
      </c>
      <c r="BP501" s="339">
        <v>0</v>
      </c>
      <c r="BQ501" s="339">
        <v>0</v>
      </c>
      <c r="BR501" s="339">
        <v>0</v>
      </c>
      <c r="BS501" s="110" t="e">
        <f t="array" aca="1" ref="BS501" ca="1">_xludf.XLOOKUP(D501,'PL TOTAL D0'!N:N,'PL TOTAL D0'!P:P,"")</f>
        <v>#NAME?</v>
      </c>
      <c r="BT501" s="110"/>
    </row>
    <row r="502" spans="1:72" ht="15.75" customHeight="1">
      <c r="A502" s="122" t="s">
        <v>3785</v>
      </c>
      <c r="B502" s="104" t="s">
        <v>5266</v>
      </c>
      <c r="C502" s="390" t="s">
        <v>5267</v>
      </c>
      <c r="D502" s="432">
        <v>7975278</v>
      </c>
      <c r="E502" s="292" t="s">
        <v>19</v>
      </c>
      <c r="F502" s="292" t="s">
        <v>20</v>
      </c>
      <c r="G502" s="292" t="s">
        <v>4343</v>
      </c>
      <c r="H502" s="292" t="str">
        <f>IFERROR(VLOOKUP(G502,'Cadastro de assessores'!A:B,2,FALSE),"Não Cadastrado")</f>
        <v>16130</v>
      </c>
      <c r="I502" s="292"/>
      <c r="J502" s="24" t="s">
        <v>143</v>
      </c>
      <c r="K502" s="292" t="s">
        <v>3794</v>
      </c>
      <c r="L502" s="387">
        <v>44623</v>
      </c>
      <c r="M502" s="387">
        <v>44623</v>
      </c>
      <c r="N502" s="387">
        <v>44774</v>
      </c>
      <c r="O502" s="292" t="s">
        <v>3802</v>
      </c>
      <c r="P502" s="388">
        <v>7.0000000000000001E-3</v>
      </c>
      <c r="Q502" s="167" t="s">
        <v>5268</v>
      </c>
      <c r="R502" s="417"/>
      <c r="S502" s="292" t="str">
        <f t="shared" si="52"/>
        <v>Não Qualificado</v>
      </c>
      <c r="T502" s="292" t="s">
        <v>145</v>
      </c>
      <c r="U502" s="299" t="s">
        <v>3832</v>
      </c>
      <c r="V502" s="299" t="s">
        <v>20</v>
      </c>
      <c r="W502" s="350"/>
      <c r="X502" s="350"/>
      <c r="Y502" s="350"/>
      <c r="Z502" s="350"/>
      <c r="AA502" s="350"/>
      <c r="AB502" s="350"/>
      <c r="AC502" s="350"/>
      <c r="AD502" s="350"/>
      <c r="AE502" s="350"/>
      <c r="AF502" s="350"/>
      <c r="AG502" s="350"/>
      <c r="AH502" s="418"/>
      <c r="AI502" s="418"/>
      <c r="AJ502" s="339"/>
      <c r="AK502" s="339"/>
      <c r="AL502" s="339"/>
      <c r="AM502" s="339"/>
      <c r="AN502" s="339"/>
      <c r="AO502" s="339"/>
      <c r="AP502" s="339"/>
      <c r="AQ502" s="339"/>
      <c r="AR502" s="339"/>
      <c r="AS502" s="339"/>
      <c r="AT502" s="340"/>
      <c r="AU502" s="340"/>
      <c r="AV502" s="339"/>
      <c r="AW502" s="339"/>
      <c r="AX502" s="339"/>
      <c r="AY502" s="339"/>
      <c r="AZ502" s="339"/>
      <c r="BA502" s="339"/>
      <c r="BB502" s="339">
        <v>56715.62</v>
      </c>
      <c r="BC502" s="339">
        <v>219997.52</v>
      </c>
      <c r="BD502" s="339">
        <v>118550.25</v>
      </c>
      <c r="BE502" s="339">
        <v>119575.47</v>
      </c>
      <c r="BF502" s="339">
        <v>120368.45</v>
      </c>
      <c r="BG502" s="339">
        <v>0</v>
      </c>
      <c r="BH502" s="339">
        <v>0</v>
      </c>
      <c r="BI502" s="339">
        <v>0</v>
      </c>
      <c r="BJ502" s="339">
        <v>0</v>
      </c>
      <c r="BK502" s="339">
        <v>0</v>
      </c>
      <c r="BL502" s="339">
        <v>0</v>
      </c>
      <c r="BM502" s="339">
        <v>0</v>
      </c>
      <c r="BN502" s="339">
        <v>0</v>
      </c>
      <c r="BO502" s="339">
        <v>0</v>
      </c>
      <c r="BP502" s="339">
        <v>0</v>
      </c>
      <c r="BQ502" s="339">
        <v>0</v>
      </c>
      <c r="BR502" s="339">
        <v>0</v>
      </c>
      <c r="BS502" s="110" t="e">
        <f t="array" aca="1" ref="BS502" ca="1">_xludf.XLOOKUP(D502,'PL TOTAL D0'!N:N,'PL TOTAL D0'!P:P,"")</f>
        <v>#NAME?</v>
      </c>
      <c r="BT502" s="110"/>
    </row>
    <row r="503" spans="1:72" ht="15.75" customHeight="1">
      <c r="A503" s="122" t="s">
        <v>3785</v>
      </c>
      <c r="B503" s="104" t="s">
        <v>2652</v>
      </c>
      <c r="C503" s="433" t="s">
        <v>5269</v>
      </c>
      <c r="D503" s="434">
        <v>3924234</v>
      </c>
      <c r="E503" s="293" t="s">
        <v>19</v>
      </c>
      <c r="F503" s="293" t="s">
        <v>20</v>
      </c>
      <c r="G503" s="293" t="s">
        <v>199</v>
      </c>
      <c r="H503" s="293"/>
      <c r="I503" s="293"/>
      <c r="J503" s="24" t="s">
        <v>3788</v>
      </c>
      <c r="K503" s="293"/>
      <c r="L503" s="415"/>
      <c r="M503" s="415">
        <v>44918</v>
      </c>
      <c r="N503" s="292"/>
      <c r="O503" s="292" t="s">
        <v>3805</v>
      </c>
      <c r="P503" s="388">
        <v>8.0000000000000002E-3</v>
      </c>
      <c r="Q503" s="481" t="s">
        <v>5270</v>
      </c>
      <c r="R503" s="417"/>
      <c r="S503" s="292"/>
      <c r="T503" s="292"/>
      <c r="U503" s="292"/>
      <c r="V503" s="292" t="s">
        <v>49</v>
      </c>
      <c r="W503" s="418"/>
      <c r="X503" s="418"/>
      <c r="Y503" s="418"/>
      <c r="Z503" s="418"/>
      <c r="AA503" s="418"/>
      <c r="AB503" s="418"/>
      <c r="AC503" s="418"/>
      <c r="AD503" s="418"/>
      <c r="AE503" s="418"/>
      <c r="AF503" s="418"/>
      <c r="AG503" s="418"/>
      <c r="AH503" s="418"/>
      <c r="AI503" s="418"/>
      <c r="AJ503" s="418"/>
      <c r="AK503" s="339"/>
      <c r="AL503" s="339"/>
      <c r="AM503" s="339"/>
      <c r="AN503" s="339"/>
      <c r="AO503" s="339"/>
      <c r="AP503" s="339"/>
      <c r="AQ503" s="339"/>
      <c r="AR503" s="339"/>
      <c r="AS503" s="339"/>
      <c r="AT503" s="339"/>
      <c r="AU503" s="339"/>
      <c r="AV503" s="339"/>
      <c r="AW503" s="339"/>
      <c r="AX503" s="339"/>
      <c r="AY503" s="339"/>
      <c r="AZ503" s="339"/>
      <c r="BA503" s="339"/>
      <c r="BB503" s="339"/>
      <c r="BC503" s="339"/>
      <c r="BD503" s="339"/>
      <c r="BE503" s="339"/>
      <c r="BF503" s="339"/>
      <c r="BG503" s="339"/>
      <c r="BH503" s="339"/>
      <c r="BI503" s="339"/>
      <c r="BJ503" s="339">
        <v>0</v>
      </c>
      <c r="BK503" s="339">
        <v>1211794.31</v>
      </c>
      <c r="BL503" s="339">
        <v>1232482.01</v>
      </c>
      <c r="BM503" s="339">
        <v>1324247.73</v>
      </c>
      <c r="BN503" s="339">
        <v>130985.82</v>
      </c>
      <c r="BO503" s="339">
        <v>0</v>
      </c>
      <c r="BP503" s="339">
        <v>0</v>
      </c>
      <c r="BQ503" s="339">
        <v>0</v>
      </c>
      <c r="BR503" s="339">
        <v>0</v>
      </c>
      <c r="BS503" s="110" t="e">
        <f t="array" aca="1" ref="BS503" ca="1">_xludf.XLOOKUP(D503,'PL TOTAL D0'!N:N,'PL TOTAL D0'!P:P,"")</f>
        <v>#NAME?</v>
      </c>
      <c r="BT503" s="110"/>
    </row>
    <row r="504" spans="1:72" ht="15.75" customHeight="1">
      <c r="A504" s="122" t="s">
        <v>3785</v>
      </c>
      <c r="B504" s="104" t="s">
        <v>5271</v>
      </c>
      <c r="C504" s="122" t="s">
        <v>5272</v>
      </c>
      <c r="D504" s="292">
        <v>4431395</v>
      </c>
      <c r="E504" s="293" t="s">
        <v>19</v>
      </c>
      <c r="F504" s="293" t="s">
        <v>20</v>
      </c>
      <c r="G504" s="293" t="s">
        <v>21</v>
      </c>
      <c r="H504" s="293">
        <f>IFERROR(VLOOKUP(G504,'Cadastro de assessores'!A:B,2,FALSE),"Não Cadastrado")</f>
        <v>12344</v>
      </c>
      <c r="I504" s="293"/>
      <c r="J504" s="24" t="s">
        <v>143</v>
      </c>
      <c r="K504" s="293" t="s">
        <v>152</v>
      </c>
      <c r="L504" s="415">
        <v>44076</v>
      </c>
      <c r="M504" s="415">
        <v>44076</v>
      </c>
      <c r="N504" s="387">
        <v>44930</v>
      </c>
      <c r="O504" s="292" t="s">
        <v>3805</v>
      </c>
      <c r="P504" s="388">
        <v>1.2E-2</v>
      </c>
      <c r="Q504" s="420" t="s">
        <v>5183</v>
      </c>
      <c r="R504" s="417"/>
      <c r="S504" s="292" t="str">
        <f t="shared" ref="S504:S505" si="53">IF(BC504&lt;=0,"",IF(BC504&lt;=1000000,"Não Qualificado",IF(AND(BC504&gt;1000000,BC504&lt;=10000000),"Qualificado","Profissional")))</f>
        <v/>
      </c>
      <c r="T504" s="292" t="s">
        <v>145</v>
      </c>
      <c r="U504" s="292" t="s">
        <v>3929</v>
      </c>
      <c r="V504" s="292" t="s">
        <v>20</v>
      </c>
      <c r="W504" s="418" t="s">
        <v>3798</v>
      </c>
      <c r="X504" s="418" t="s">
        <v>3798</v>
      </c>
      <c r="Y504" s="418" t="s">
        <v>3798</v>
      </c>
      <c r="Z504" s="418" t="s">
        <v>3798</v>
      </c>
      <c r="AA504" s="418" t="s">
        <v>3798</v>
      </c>
      <c r="AB504" s="418" t="s">
        <v>3798</v>
      </c>
      <c r="AC504" s="418" t="s">
        <v>3798</v>
      </c>
      <c r="AD504" s="418" t="s">
        <v>3798</v>
      </c>
      <c r="AE504" s="418" t="s">
        <v>3798</v>
      </c>
      <c r="AF504" s="418" t="s">
        <v>3798</v>
      </c>
      <c r="AG504" s="418" t="s">
        <v>3798</v>
      </c>
      <c r="AH504" s="418" t="s">
        <v>5273</v>
      </c>
      <c r="AI504" s="418" t="s">
        <v>5274</v>
      </c>
      <c r="AJ504" s="418" t="s">
        <v>5275</v>
      </c>
      <c r="AK504" s="339">
        <v>254891.09</v>
      </c>
      <c r="AL504" s="339">
        <v>252447.04</v>
      </c>
      <c r="AM504" s="339">
        <v>248774.28</v>
      </c>
      <c r="AN504" s="339">
        <v>248903.87</v>
      </c>
      <c r="AO504" s="339">
        <v>251098.21</v>
      </c>
      <c r="AP504" s="339">
        <v>251755.04</v>
      </c>
      <c r="AQ504" s="339">
        <v>251238.53</v>
      </c>
      <c r="AR504" s="339">
        <v>254734.63</v>
      </c>
      <c r="AS504" s="339">
        <v>254144.57</v>
      </c>
      <c r="AT504" s="339">
        <v>252208.93</v>
      </c>
      <c r="AU504" s="339">
        <v>251983.21</v>
      </c>
      <c r="AV504" s="339">
        <v>249840.75</v>
      </c>
      <c r="AW504" s="339">
        <v>244615.83</v>
      </c>
      <c r="AX504" s="339">
        <v>246874.9</v>
      </c>
      <c r="AY504" s="339">
        <v>249828.63</v>
      </c>
      <c r="AZ504" s="339">
        <v>233114.61</v>
      </c>
      <c r="BA504" s="339">
        <v>234582.07</v>
      </c>
      <c r="BB504" s="339">
        <v>240766.21</v>
      </c>
      <c r="BC504" s="339">
        <v>0</v>
      </c>
      <c r="BD504" s="339">
        <v>243385.41</v>
      </c>
      <c r="BE504" s="339">
        <v>243486.84</v>
      </c>
      <c r="BF504" s="339">
        <v>246955.05</v>
      </c>
      <c r="BG504" s="339">
        <v>248476.21530000001</v>
      </c>
      <c r="BH504" s="339">
        <v>249384.22</v>
      </c>
      <c r="BI504" s="339">
        <v>253894.2</v>
      </c>
      <c r="BJ504" s="339">
        <v>254415.69</v>
      </c>
      <c r="BK504" s="339">
        <v>296552.93</v>
      </c>
      <c r="BL504" s="339">
        <v>0</v>
      </c>
      <c r="BM504" s="339">
        <v>0</v>
      </c>
      <c r="BN504" s="339">
        <v>0</v>
      </c>
      <c r="BO504" s="339">
        <v>0</v>
      </c>
      <c r="BP504" s="339">
        <v>0</v>
      </c>
      <c r="BQ504" s="339">
        <v>0</v>
      </c>
      <c r="BR504" s="339">
        <v>0</v>
      </c>
      <c r="BS504" s="110" t="e">
        <f t="array" aca="1" ref="BS504" ca="1">_xludf.XLOOKUP(D504,'PL TOTAL D0'!N:N,'PL TOTAL D0'!P:P,"")</f>
        <v>#NAME?</v>
      </c>
      <c r="BT504" s="110"/>
    </row>
    <row r="505" spans="1:72" ht="15.75" customHeight="1">
      <c r="A505" s="122" t="s">
        <v>3785</v>
      </c>
      <c r="B505" s="104" t="s">
        <v>5276</v>
      </c>
      <c r="C505" s="390" t="s">
        <v>5277</v>
      </c>
      <c r="D505" s="299">
        <v>5577058</v>
      </c>
      <c r="E505" s="292" t="s">
        <v>19</v>
      </c>
      <c r="F505" s="292" t="s">
        <v>49</v>
      </c>
      <c r="G505" s="292" t="s">
        <v>328</v>
      </c>
      <c r="H505" s="292" t="str">
        <f>IFERROR(VLOOKUP(G505,'Cadastro de assessores'!A:B,2,FALSE),"Não Cadastrado")</f>
        <v>18009</v>
      </c>
      <c r="I505" s="292"/>
      <c r="J505" s="24" t="s">
        <v>143</v>
      </c>
      <c r="K505" s="292" t="s">
        <v>3794</v>
      </c>
      <c r="L505" s="387">
        <v>44355</v>
      </c>
      <c r="M505" s="387">
        <v>44355</v>
      </c>
      <c r="N505" s="387">
        <v>44683</v>
      </c>
      <c r="O505" s="292" t="s">
        <v>3802</v>
      </c>
      <c r="P505" s="388">
        <v>7.0000000000000001E-3</v>
      </c>
      <c r="Q505" s="167" t="s">
        <v>5278</v>
      </c>
      <c r="R505" s="417"/>
      <c r="S505" s="292" t="str">
        <f t="shared" si="53"/>
        <v/>
      </c>
      <c r="T505" s="292" t="s">
        <v>145</v>
      </c>
      <c r="U505" s="299" t="s">
        <v>3846</v>
      </c>
      <c r="V505" s="299" t="s">
        <v>46</v>
      </c>
      <c r="W505" s="350"/>
      <c r="X505" s="350"/>
      <c r="Y505" s="350"/>
      <c r="Z505" s="350"/>
      <c r="AA505" s="350"/>
      <c r="AB505" s="350"/>
      <c r="AC505" s="350"/>
      <c r="AD505" s="350"/>
      <c r="AE505" s="350"/>
      <c r="AF505" s="350"/>
      <c r="AG505" s="350"/>
      <c r="AH505" s="350"/>
      <c r="AI505" s="350"/>
      <c r="AJ505" s="350"/>
      <c r="AK505" s="339"/>
      <c r="AL505" s="339"/>
      <c r="AM505" s="339"/>
      <c r="AN505" s="339"/>
      <c r="AO505" s="339"/>
      <c r="AP505" s="339"/>
      <c r="AQ505" s="350"/>
      <c r="AR505" s="340"/>
      <c r="AS505" s="339">
        <v>158753.22</v>
      </c>
      <c r="AT505" s="339">
        <v>157697.26999999999</v>
      </c>
      <c r="AU505" s="339">
        <v>157535.73000000001</v>
      </c>
      <c r="AV505" s="339">
        <v>156713.76999999999</v>
      </c>
      <c r="AW505" s="339">
        <v>121192.17</v>
      </c>
      <c r="AX505" s="339">
        <v>121485.79</v>
      </c>
      <c r="AY505" s="339">
        <v>122567.78</v>
      </c>
      <c r="AZ505" s="339">
        <v>124795.34</v>
      </c>
      <c r="BA505" s="339">
        <v>125828.55</v>
      </c>
      <c r="BB505" s="339">
        <v>127223.35</v>
      </c>
      <c r="BC505" s="339">
        <v>0</v>
      </c>
      <c r="BD505" s="339" t="s">
        <v>2932</v>
      </c>
      <c r="BE505" s="339" t="s">
        <v>2932</v>
      </c>
      <c r="BF505" s="339">
        <v>0</v>
      </c>
      <c r="BG505" s="339">
        <v>0</v>
      </c>
      <c r="BH505" s="339">
        <v>0</v>
      </c>
      <c r="BI505" s="339">
        <v>0</v>
      </c>
      <c r="BJ505" s="339">
        <v>0</v>
      </c>
      <c r="BK505" s="339">
        <v>0</v>
      </c>
      <c r="BL505" s="339">
        <v>0</v>
      </c>
      <c r="BM505" s="339">
        <v>0</v>
      </c>
      <c r="BN505" s="339">
        <v>0</v>
      </c>
      <c r="BO505" s="339">
        <v>0</v>
      </c>
      <c r="BP505" s="339">
        <v>0</v>
      </c>
      <c r="BQ505" s="339">
        <v>0</v>
      </c>
      <c r="BR505" s="339">
        <v>0</v>
      </c>
      <c r="BS505" s="110" t="e">
        <f t="array" aca="1" ref="BS505" ca="1">_xludf.XLOOKUP(D505,'PL TOTAL D0'!N:N,'PL TOTAL D0'!P:P,"")</f>
        <v>#NAME?</v>
      </c>
      <c r="BT505" s="110"/>
    </row>
    <row r="506" spans="1:72" ht="15.75" customHeight="1">
      <c r="A506" s="122" t="s">
        <v>3785</v>
      </c>
      <c r="B506" s="104" t="s">
        <v>2655</v>
      </c>
      <c r="C506" s="441" t="s">
        <v>2653</v>
      </c>
      <c r="D506" s="299">
        <v>9145079</v>
      </c>
      <c r="E506" s="293" t="s">
        <v>19</v>
      </c>
      <c r="F506" s="293" t="s">
        <v>20</v>
      </c>
      <c r="G506" s="293" t="s">
        <v>21</v>
      </c>
      <c r="H506" s="292">
        <f>IFERROR(VLOOKUP(G506,'Cadastro de assessores'!A:B,2,FALSE),"Não Cadastrado")</f>
        <v>12344</v>
      </c>
      <c r="I506" s="292"/>
      <c r="J506" s="24" t="s">
        <v>152</v>
      </c>
      <c r="K506" s="293" t="s">
        <v>152</v>
      </c>
      <c r="L506" s="415">
        <v>44802</v>
      </c>
      <c r="M506" s="415">
        <v>44802</v>
      </c>
      <c r="N506" s="292"/>
      <c r="O506" s="292" t="s">
        <v>3802</v>
      </c>
      <c r="P506" s="388">
        <v>7.0000000000000001E-3</v>
      </c>
      <c r="Q506" s="167"/>
      <c r="R506" s="417"/>
      <c r="S506" s="292"/>
      <c r="T506" s="292"/>
      <c r="U506" s="299"/>
      <c r="V506" s="299" t="s">
        <v>49</v>
      </c>
      <c r="W506" s="350"/>
      <c r="X506" s="350"/>
      <c r="Y506" s="350"/>
      <c r="Z506" s="350"/>
      <c r="AA506" s="350"/>
      <c r="AB506" s="350"/>
      <c r="AC506" s="350"/>
      <c r="AD506" s="350"/>
      <c r="AE506" s="350"/>
      <c r="AF506" s="350"/>
      <c r="AG506" s="350"/>
      <c r="AH506" s="418"/>
      <c r="AI506" s="418"/>
      <c r="AJ506" s="339"/>
      <c r="AK506" s="339"/>
      <c r="AL506" s="339"/>
      <c r="AM506" s="339"/>
      <c r="AN506" s="339"/>
      <c r="AO506" s="339"/>
      <c r="AP506" s="339"/>
      <c r="AQ506" s="339"/>
      <c r="AR506" s="339"/>
      <c r="AS506" s="339"/>
      <c r="AT506" s="340"/>
      <c r="AU506" s="340"/>
      <c r="AV506" s="339"/>
      <c r="AW506" s="339"/>
      <c r="AX506" s="339"/>
      <c r="AY506" s="339"/>
      <c r="AZ506" s="339"/>
      <c r="BA506" s="339"/>
      <c r="BB506" s="339"/>
      <c r="BC506" s="339"/>
      <c r="BD506" s="339"/>
      <c r="BE506" s="339"/>
      <c r="BF506" s="339"/>
      <c r="BG506" s="339">
        <v>499781.75</v>
      </c>
      <c r="BH506" s="339">
        <v>806245.86</v>
      </c>
      <c r="BI506" s="339">
        <v>815019.66</v>
      </c>
      <c r="BJ506" s="339">
        <v>409674.23</v>
      </c>
      <c r="BK506" s="339">
        <v>331960.89</v>
      </c>
      <c r="BL506" s="339">
        <v>294934.84000000003</v>
      </c>
      <c r="BM506" s="339">
        <v>2651.74</v>
      </c>
      <c r="BN506" s="339">
        <v>2612.11</v>
      </c>
      <c r="BO506" s="339">
        <v>2632.41</v>
      </c>
      <c r="BP506" s="339">
        <v>2631.65</v>
      </c>
      <c r="BQ506" s="339">
        <v>2645.16</v>
      </c>
      <c r="BR506" s="339">
        <v>2669.29</v>
      </c>
      <c r="BS506" s="110" t="e">
        <f t="array" aca="1" ref="BS506" ca="1">_xludf.XLOOKUP(D506,'PL TOTAL D0'!N:N,'PL TOTAL D0'!P:P,"")</f>
        <v>#NAME?</v>
      </c>
      <c r="BT506" s="110"/>
    </row>
    <row r="507" spans="1:72" ht="15.75" customHeight="1">
      <c r="A507" s="122" t="s">
        <v>3785</v>
      </c>
      <c r="B507" s="104" t="s">
        <v>5279</v>
      </c>
      <c r="C507" s="390" t="s">
        <v>5280</v>
      </c>
      <c r="D507" s="299">
        <v>6065361</v>
      </c>
      <c r="E507" s="292" t="s">
        <v>19</v>
      </c>
      <c r="F507" s="292" t="s">
        <v>49</v>
      </c>
      <c r="G507" s="292" t="s">
        <v>4134</v>
      </c>
      <c r="H507" s="292" t="str">
        <f>IFERROR(VLOOKUP(G507,'Cadastro de assessores'!A:B,2,FALSE),"Não Cadastrado")</f>
        <v>14294</v>
      </c>
      <c r="I507" s="292"/>
      <c r="J507" s="24" t="s">
        <v>143</v>
      </c>
      <c r="K507" s="292" t="s">
        <v>3794</v>
      </c>
      <c r="L507" s="387">
        <v>44414</v>
      </c>
      <c r="M507" s="387">
        <v>44414</v>
      </c>
      <c r="N507" s="387">
        <v>44818</v>
      </c>
      <c r="O507" s="292" t="s">
        <v>3805</v>
      </c>
      <c r="P507" s="388">
        <v>1.2E-2</v>
      </c>
      <c r="Q507" s="167" t="s">
        <v>5281</v>
      </c>
      <c r="R507" s="417"/>
      <c r="S507" s="292" t="str">
        <f t="shared" ref="S507:S514" si="54">IF(BC507&lt;=0,"",IF(BC507&lt;=1000000,"Não Qualificado",IF(AND(BC507&gt;1000000,BC507&lt;=10000000),"Qualificado","Profissional")))</f>
        <v/>
      </c>
      <c r="T507" s="292" t="s">
        <v>145</v>
      </c>
      <c r="U507" s="299" t="s">
        <v>4498</v>
      </c>
      <c r="V507" s="299" t="s">
        <v>60</v>
      </c>
      <c r="W507" s="350"/>
      <c r="X507" s="350"/>
      <c r="Y507" s="350"/>
      <c r="Z507" s="350"/>
      <c r="AA507" s="350"/>
      <c r="AB507" s="350"/>
      <c r="AC507" s="350"/>
      <c r="AD507" s="350"/>
      <c r="AE507" s="350"/>
      <c r="AF507" s="350"/>
      <c r="AG507" s="350"/>
      <c r="AH507" s="418"/>
      <c r="AI507" s="418"/>
      <c r="AJ507" s="339"/>
      <c r="AK507" s="339"/>
      <c r="AL507" s="339"/>
      <c r="AM507" s="339"/>
      <c r="AN507" s="339"/>
      <c r="AO507" s="339"/>
      <c r="AP507" s="339"/>
      <c r="AQ507" s="339"/>
      <c r="AR507" s="339"/>
      <c r="AS507" s="339"/>
      <c r="AT507" s="340"/>
      <c r="AU507" s="340">
        <v>375017.47</v>
      </c>
      <c r="AV507" s="339">
        <v>363420.34</v>
      </c>
      <c r="AW507" s="339">
        <v>346450.61</v>
      </c>
      <c r="AX507" s="339">
        <v>344599.12</v>
      </c>
      <c r="AY507" s="339">
        <v>355174.49</v>
      </c>
      <c r="AZ507" s="339">
        <v>361957.55</v>
      </c>
      <c r="BA507" s="339">
        <v>365015.41</v>
      </c>
      <c r="BB507" s="339">
        <v>373610.75</v>
      </c>
      <c r="BC507" s="339">
        <v>0</v>
      </c>
      <c r="BD507" s="339">
        <v>376054.38</v>
      </c>
      <c r="BE507" s="339">
        <v>376744.29</v>
      </c>
      <c r="BF507" s="339">
        <v>381309.36</v>
      </c>
      <c r="BG507" s="339">
        <v>382932.91560000001</v>
      </c>
      <c r="BH507" s="339">
        <v>384206.35</v>
      </c>
      <c r="BI507" s="339">
        <v>0</v>
      </c>
      <c r="BJ507" s="339">
        <v>0</v>
      </c>
      <c r="BK507" s="339">
        <v>0</v>
      </c>
      <c r="BL507" s="339">
        <v>0</v>
      </c>
      <c r="BM507" s="339">
        <v>0</v>
      </c>
      <c r="BN507" s="339">
        <v>0</v>
      </c>
      <c r="BO507" s="339">
        <v>0</v>
      </c>
      <c r="BP507" s="339">
        <v>0</v>
      </c>
      <c r="BQ507" s="339">
        <v>0</v>
      </c>
      <c r="BR507" s="339">
        <v>0</v>
      </c>
      <c r="BS507" s="110" t="e">
        <f t="array" aca="1" ref="BS507" ca="1">_xludf.XLOOKUP(D507,'PL TOTAL D0'!N:N,'PL TOTAL D0'!P:P,"")</f>
        <v>#NAME?</v>
      </c>
      <c r="BT507" s="110"/>
    </row>
    <row r="508" spans="1:72" ht="15.75" customHeight="1">
      <c r="A508" s="122" t="s">
        <v>3785</v>
      </c>
      <c r="B508" s="104" t="s">
        <v>2670</v>
      </c>
      <c r="C508" s="122" t="s">
        <v>5282</v>
      </c>
      <c r="D508" s="292">
        <v>4459682</v>
      </c>
      <c r="E508" s="293" t="s">
        <v>64</v>
      </c>
      <c r="F508" s="293" t="s">
        <v>20</v>
      </c>
      <c r="G508" s="293" t="s">
        <v>199</v>
      </c>
      <c r="H508" s="293">
        <f>IFERROR(VLOOKUP(G508,'Cadastro de assessores'!A:B,2,FALSE),"Não Cadastrado")</f>
        <v>12332</v>
      </c>
      <c r="I508" s="293"/>
      <c r="J508" s="24" t="s">
        <v>152</v>
      </c>
      <c r="K508" s="293" t="s">
        <v>152</v>
      </c>
      <c r="L508" s="415">
        <v>44090</v>
      </c>
      <c r="M508" s="415">
        <v>44105</v>
      </c>
      <c r="N508" s="292"/>
      <c r="O508" s="292" t="s">
        <v>3795</v>
      </c>
      <c r="P508" s="388">
        <v>1.4999999999999999E-2</v>
      </c>
      <c r="Q508" s="485" t="s">
        <v>5283</v>
      </c>
      <c r="R508" s="417"/>
      <c r="S508" s="292" t="str">
        <f t="shared" si="54"/>
        <v/>
      </c>
      <c r="T508" s="292" t="s">
        <v>145</v>
      </c>
      <c r="U508" s="292" t="s">
        <v>3797</v>
      </c>
      <c r="V508" s="292" t="s">
        <v>20</v>
      </c>
      <c r="W508" s="418" t="s">
        <v>3798</v>
      </c>
      <c r="X508" s="418" t="s">
        <v>3798</v>
      </c>
      <c r="Y508" s="418" t="s">
        <v>3798</v>
      </c>
      <c r="Z508" s="418" t="s">
        <v>3798</v>
      </c>
      <c r="AA508" s="418" t="s">
        <v>3798</v>
      </c>
      <c r="AB508" s="418" t="s">
        <v>3798</v>
      </c>
      <c r="AC508" s="418" t="s">
        <v>3798</v>
      </c>
      <c r="AD508" s="418" t="s">
        <v>3798</v>
      </c>
      <c r="AE508" s="418" t="s">
        <v>3798</v>
      </c>
      <c r="AF508" s="418" t="s">
        <v>3798</v>
      </c>
      <c r="AG508" s="418" t="s">
        <v>3798</v>
      </c>
      <c r="AH508" s="418" t="s">
        <v>3798</v>
      </c>
      <c r="AI508" s="418" t="s">
        <v>5284</v>
      </c>
      <c r="AJ508" s="418" t="s">
        <v>5285</v>
      </c>
      <c r="AK508" s="339">
        <v>241753.3</v>
      </c>
      <c r="AL508" s="339">
        <v>227647.14</v>
      </c>
      <c r="AM508" s="339">
        <v>202240.69</v>
      </c>
      <c r="AN508" s="339">
        <v>201786.11</v>
      </c>
      <c r="AO508" s="339">
        <v>210580.23</v>
      </c>
      <c r="AP508" s="339">
        <v>212376.37</v>
      </c>
      <c r="AQ508" s="339">
        <v>211078.01</v>
      </c>
      <c r="AR508" s="339">
        <v>218486.98</v>
      </c>
      <c r="AS508" s="339">
        <v>213186.86</v>
      </c>
      <c r="AT508" s="339">
        <v>206540.03</v>
      </c>
      <c r="AU508" s="339">
        <v>206671.86</v>
      </c>
      <c r="AV508" s="339">
        <v>201021.6</v>
      </c>
      <c r="AW508" s="339">
        <v>188499.11</v>
      </c>
      <c r="AX508" s="339">
        <v>187945.62</v>
      </c>
      <c r="AY508" s="339">
        <v>185683.1</v>
      </c>
      <c r="AZ508" s="339">
        <v>188346.13</v>
      </c>
      <c r="BA508" s="339">
        <v>188459.28</v>
      </c>
      <c r="BB508" s="339">
        <v>194037.39</v>
      </c>
      <c r="BC508" s="339">
        <v>0</v>
      </c>
      <c r="BD508" s="339">
        <v>194866.19</v>
      </c>
      <c r="BE508" s="339">
        <v>194187.75</v>
      </c>
      <c r="BF508" s="339">
        <v>200999.13</v>
      </c>
      <c r="BG508" s="339">
        <v>202981.4865</v>
      </c>
      <c r="BH508" s="339">
        <v>201349.44</v>
      </c>
      <c r="BI508" s="339">
        <v>211031.35</v>
      </c>
      <c r="BJ508" s="339">
        <v>211182.72</v>
      </c>
      <c r="BK508" s="339">
        <v>212309.28</v>
      </c>
      <c r="BL508" s="339">
        <v>201560.76</v>
      </c>
      <c r="BM508" s="339">
        <v>39164.239999999998</v>
      </c>
      <c r="BN508" s="339">
        <v>32150.55</v>
      </c>
      <c r="BO508" s="339">
        <v>31932.87</v>
      </c>
      <c r="BP508" s="339">
        <v>24933</v>
      </c>
      <c r="BQ508" s="339">
        <v>22056.75</v>
      </c>
      <c r="BR508" s="339">
        <v>9659.51</v>
      </c>
      <c r="BS508" s="110" t="e">
        <f t="array" aca="1" ref="BS508" ca="1">_xludf.XLOOKUP(D508,'PL TOTAL D0'!N:N,'PL TOTAL D0'!P:P,"")</f>
        <v>#NAME?</v>
      </c>
      <c r="BT508" s="110"/>
    </row>
    <row r="509" spans="1:72" ht="15.75" customHeight="1">
      <c r="A509" s="122" t="s">
        <v>3785</v>
      </c>
      <c r="B509" s="104" t="s">
        <v>2676</v>
      </c>
      <c r="C509" s="122" t="s">
        <v>2674</v>
      </c>
      <c r="D509" s="292">
        <v>2331277</v>
      </c>
      <c r="E509" s="293" t="s">
        <v>19</v>
      </c>
      <c r="F509" s="293" t="s">
        <v>20</v>
      </c>
      <c r="G509" s="293" t="s">
        <v>3072</v>
      </c>
      <c r="H509" s="293" t="str">
        <f>IFERROR(VLOOKUP(G509,'Cadastro de assessores'!A:B,2,FALSE),"Não Cadastrado")</f>
        <v>18236</v>
      </c>
      <c r="I509" s="293"/>
      <c r="J509" s="24" t="s">
        <v>3788</v>
      </c>
      <c r="K509" s="293" t="s">
        <v>152</v>
      </c>
      <c r="L509" s="415">
        <v>44279</v>
      </c>
      <c r="M509" s="415">
        <v>44279</v>
      </c>
      <c r="N509" s="292"/>
      <c r="O509" s="292" t="s">
        <v>3809</v>
      </c>
      <c r="P509" s="388">
        <v>2.5000000000000001E-2</v>
      </c>
      <c r="Q509" s="420"/>
      <c r="R509" s="417"/>
      <c r="S509" s="292" t="str">
        <f t="shared" si="54"/>
        <v>Não Qualificado</v>
      </c>
      <c r="T509" s="292" t="s">
        <v>145</v>
      </c>
      <c r="U509" s="292" t="s">
        <v>5138</v>
      </c>
      <c r="V509" s="292" t="s">
        <v>20</v>
      </c>
      <c r="W509" s="418"/>
      <c r="X509" s="418"/>
      <c r="Y509" s="418"/>
      <c r="Z509" s="418"/>
      <c r="AA509" s="418"/>
      <c r="AB509" s="418"/>
      <c r="AC509" s="418"/>
      <c r="AD509" s="418"/>
      <c r="AE509" s="418"/>
      <c r="AF509" s="418"/>
      <c r="AG509" s="418"/>
      <c r="AH509" s="418"/>
      <c r="AI509" s="418"/>
      <c r="AJ509" s="418"/>
      <c r="AK509" s="339"/>
      <c r="AL509" s="339"/>
      <c r="AM509" s="339"/>
      <c r="AN509" s="339"/>
      <c r="AO509" s="339">
        <v>6941.27</v>
      </c>
      <c r="AP509" s="339">
        <v>7027.51</v>
      </c>
      <c r="AQ509" s="339">
        <v>6953.22</v>
      </c>
      <c r="AR509" s="339">
        <v>7267.88</v>
      </c>
      <c r="AS509" s="339">
        <v>7089.06</v>
      </c>
      <c r="AT509" s="339">
        <v>6711.83</v>
      </c>
      <c r="AU509" s="339">
        <v>6535.86</v>
      </c>
      <c r="AV509" s="339">
        <v>6135.71</v>
      </c>
      <c r="AW509" s="339">
        <v>5663.66</v>
      </c>
      <c r="AX509" s="339">
        <v>5569.25</v>
      </c>
      <c r="AY509" s="339">
        <v>5641.16</v>
      </c>
      <c r="AZ509" s="339">
        <v>5964.62</v>
      </c>
      <c r="BA509" s="339">
        <v>6084.29</v>
      </c>
      <c r="BB509" s="339">
        <v>6447.68</v>
      </c>
      <c r="BC509" s="339">
        <v>207.74</v>
      </c>
      <c r="BD509" s="339">
        <v>6077.57</v>
      </c>
      <c r="BE509" s="339">
        <v>5907.46</v>
      </c>
      <c r="BF509" s="339">
        <v>6196.09</v>
      </c>
      <c r="BG509" s="339">
        <v>6202.57</v>
      </c>
      <c r="BH509" s="339">
        <v>6178.98</v>
      </c>
      <c r="BI509" s="339">
        <v>6602.03</v>
      </c>
      <c r="BJ509" s="339">
        <v>6379.48</v>
      </c>
      <c r="BK509" s="339">
        <v>6362.38</v>
      </c>
      <c r="BL509" s="339">
        <v>6469.86</v>
      </c>
      <c r="BM509" s="339">
        <v>6319.6</v>
      </c>
      <c r="BN509" s="339">
        <v>6318.03</v>
      </c>
      <c r="BO509" s="339">
        <v>6336.13</v>
      </c>
      <c r="BP509" s="339">
        <v>10.15</v>
      </c>
      <c r="BQ509" s="339">
        <v>0.63</v>
      </c>
      <c r="BR509" s="339">
        <v>0</v>
      </c>
      <c r="BS509" s="110" t="e">
        <f t="array" aca="1" ref="BS509" ca="1">_xludf.XLOOKUP(D509,'PL TOTAL D0'!N:N,'PL TOTAL D0'!P:P,"")</f>
        <v>#NAME?</v>
      </c>
      <c r="BT509" s="110"/>
    </row>
    <row r="510" spans="1:72" ht="15.75" customHeight="1">
      <c r="A510" s="122" t="s">
        <v>3785</v>
      </c>
      <c r="B510" s="104" t="s">
        <v>5286</v>
      </c>
      <c r="C510" s="390" t="s">
        <v>5287</v>
      </c>
      <c r="D510" s="292">
        <v>3600186</v>
      </c>
      <c r="E510" s="292" t="s">
        <v>19</v>
      </c>
      <c r="F510" s="292" t="s">
        <v>49</v>
      </c>
      <c r="G510" s="292" t="s">
        <v>4134</v>
      </c>
      <c r="H510" s="292" t="str">
        <f>IFERROR(VLOOKUP(G510,'Cadastro de assessores'!A:B,2,FALSE),"Não Cadastrado")</f>
        <v>14294</v>
      </c>
      <c r="I510" s="292"/>
      <c r="J510" s="24" t="s">
        <v>143</v>
      </c>
      <c r="K510" s="292" t="s">
        <v>3794</v>
      </c>
      <c r="L510" s="387">
        <v>44454</v>
      </c>
      <c r="M510" s="387">
        <v>44454</v>
      </c>
      <c r="N510" s="391">
        <v>44684</v>
      </c>
      <c r="O510" s="299" t="s">
        <v>3802</v>
      </c>
      <c r="P510" s="388">
        <v>7.0000000000000001E-3</v>
      </c>
      <c r="Q510" s="167" t="s">
        <v>5288</v>
      </c>
      <c r="R510" s="417"/>
      <c r="S510" s="292" t="str">
        <f t="shared" si="54"/>
        <v>Não Qualificado</v>
      </c>
      <c r="T510" s="292" t="s">
        <v>145</v>
      </c>
      <c r="U510" s="299" t="s">
        <v>5289</v>
      </c>
      <c r="V510" s="299" t="s">
        <v>60</v>
      </c>
      <c r="W510" s="350"/>
      <c r="X510" s="350"/>
      <c r="Y510" s="350"/>
      <c r="Z510" s="350"/>
      <c r="AA510" s="350"/>
      <c r="AB510" s="350"/>
      <c r="AC510" s="350"/>
      <c r="AD510" s="350"/>
      <c r="AE510" s="350"/>
      <c r="AF510" s="350"/>
      <c r="AG510" s="350"/>
      <c r="AH510" s="350"/>
      <c r="AI510" s="418"/>
      <c r="AJ510" s="339"/>
      <c r="AK510" s="339"/>
      <c r="AL510" s="339"/>
      <c r="AM510" s="339"/>
      <c r="AN510" s="339"/>
      <c r="AO510" s="339"/>
      <c r="AP510" s="339"/>
      <c r="AQ510" s="339"/>
      <c r="AR510" s="339"/>
      <c r="AS510" s="339"/>
      <c r="AT510" s="339"/>
      <c r="AU510" s="350"/>
      <c r="AV510" s="339"/>
      <c r="AW510" s="339">
        <v>1051969.17</v>
      </c>
      <c r="AX510" s="339">
        <v>1054204.18</v>
      </c>
      <c r="AY510" s="339">
        <v>1064200.6000000001</v>
      </c>
      <c r="AZ510" s="339">
        <v>1081227.78</v>
      </c>
      <c r="BA510" s="339">
        <v>1090122.5900000001</v>
      </c>
      <c r="BB510" s="339">
        <v>1111161.1100000001</v>
      </c>
      <c r="BC510" s="339">
        <v>157031.17000000001</v>
      </c>
      <c r="BD510" s="339" t="s">
        <v>2932</v>
      </c>
      <c r="BE510" s="339" t="s">
        <v>2932</v>
      </c>
      <c r="BF510" s="339">
        <v>0</v>
      </c>
      <c r="BG510" s="339">
        <v>0</v>
      </c>
      <c r="BH510" s="339">
        <v>0</v>
      </c>
      <c r="BI510" s="339">
        <v>0</v>
      </c>
      <c r="BJ510" s="339">
        <v>0</v>
      </c>
      <c r="BK510" s="339">
        <v>0</v>
      </c>
      <c r="BL510" s="339">
        <v>0</v>
      </c>
      <c r="BM510" s="339">
        <v>0</v>
      </c>
      <c r="BN510" s="339">
        <v>0</v>
      </c>
      <c r="BO510" s="339">
        <v>0</v>
      </c>
      <c r="BP510" s="339">
        <v>0</v>
      </c>
      <c r="BQ510" s="339">
        <v>0</v>
      </c>
      <c r="BR510" s="339">
        <v>0</v>
      </c>
      <c r="BS510" s="110" t="e">
        <f t="array" aca="1" ref="BS510" ca="1">_xludf.XLOOKUP(D510,'PL TOTAL D0'!N:N,'PL TOTAL D0'!P:P,"")</f>
        <v>#NAME?</v>
      </c>
      <c r="BT510" s="110"/>
    </row>
    <row r="511" spans="1:72" ht="15.75" customHeight="1">
      <c r="A511" s="122" t="s">
        <v>3785</v>
      </c>
      <c r="B511" s="104" t="s">
        <v>2698</v>
      </c>
      <c r="C511" s="122" t="s">
        <v>5290</v>
      </c>
      <c r="D511" s="292">
        <v>8521711</v>
      </c>
      <c r="E511" s="293" t="s">
        <v>19</v>
      </c>
      <c r="F511" s="293" t="s">
        <v>20</v>
      </c>
      <c r="G511" s="293" t="s">
        <v>21</v>
      </c>
      <c r="H511" s="293">
        <f>IFERROR(VLOOKUP(G511,'Cadastro de assessores'!A:B,2,FALSE),"Não Cadastrado")</f>
        <v>12344</v>
      </c>
      <c r="I511" s="293"/>
      <c r="J511" s="24" t="s">
        <v>3788</v>
      </c>
      <c r="K511" s="293" t="s">
        <v>152</v>
      </c>
      <c r="L511" s="423">
        <v>44715</v>
      </c>
      <c r="M511" s="423">
        <v>44718</v>
      </c>
      <c r="N511" s="292"/>
      <c r="O511" s="292" t="s">
        <v>3802</v>
      </c>
      <c r="P511" s="388">
        <v>7.0000000000000001E-3</v>
      </c>
      <c r="Q511" s="420"/>
      <c r="R511" s="417"/>
      <c r="S511" s="292" t="str">
        <f t="shared" si="54"/>
        <v>Qualificado</v>
      </c>
      <c r="T511" s="292" t="s">
        <v>145</v>
      </c>
      <c r="U511" s="292" t="s">
        <v>3841</v>
      </c>
      <c r="V511" s="292" t="s">
        <v>49</v>
      </c>
      <c r="W511" s="418"/>
      <c r="X511" s="418"/>
      <c r="Y511" s="418"/>
      <c r="Z511" s="418"/>
      <c r="AA511" s="418"/>
      <c r="AB511" s="418"/>
      <c r="AC511" s="418"/>
      <c r="AD511" s="418"/>
      <c r="AE511" s="418"/>
      <c r="AF511" s="418"/>
      <c r="AG511" s="418"/>
      <c r="AH511" s="418"/>
      <c r="AI511" s="418"/>
      <c r="AJ511" s="418"/>
      <c r="AK511" s="339"/>
      <c r="AL511" s="339"/>
      <c r="AM511" s="339"/>
      <c r="AN511" s="339"/>
      <c r="AO511" s="339"/>
      <c r="AP511" s="339"/>
      <c r="AQ511" s="339"/>
      <c r="AR511" s="339"/>
      <c r="AS511" s="339"/>
      <c r="AT511" s="339"/>
      <c r="AU511" s="339"/>
      <c r="AV511" s="339"/>
      <c r="AW511" s="339"/>
      <c r="AX511" s="339"/>
      <c r="AY511" s="339"/>
      <c r="AZ511" s="339"/>
      <c r="BA511" s="339"/>
      <c r="BB511" s="339"/>
      <c r="BC511" s="339">
        <v>4058103.77</v>
      </c>
      <c r="BD511" s="339" t="s">
        <v>2932</v>
      </c>
      <c r="BE511" s="339">
        <v>20191.39</v>
      </c>
      <c r="BF511" s="339">
        <v>118539.68</v>
      </c>
      <c r="BG511" s="339">
        <v>120010.0304</v>
      </c>
      <c r="BH511" s="339">
        <v>129364.66</v>
      </c>
      <c r="BI511" s="339">
        <v>133204.64000000001</v>
      </c>
      <c r="BJ511" s="339">
        <v>138142.20000000001</v>
      </c>
      <c r="BK511" s="339">
        <v>146581.68</v>
      </c>
      <c r="BL511" s="339">
        <v>146819.07</v>
      </c>
      <c r="BM511" s="339">
        <v>147159.39000000001</v>
      </c>
      <c r="BN511" s="339">
        <v>6871.68</v>
      </c>
      <c r="BO511" s="339">
        <v>0</v>
      </c>
      <c r="BP511" s="339">
        <v>0</v>
      </c>
      <c r="BQ511" s="339">
        <v>0</v>
      </c>
      <c r="BR511" s="339">
        <v>0</v>
      </c>
      <c r="BS511" s="110" t="e">
        <f t="array" aca="1" ref="BS511" ca="1">_xludf.XLOOKUP(D511,'PL TOTAL D0'!N:N,'PL TOTAL D0'!P:P,"")</f>
        <v>#NAME?</v>
      </c>
      <c r="BT511" s="110"/>
    </row>
    <row r="512" spans="1:72" ht="15.75" customHeight="1">
      <c r="A512" s="122" t="s">
        <v>3785</v>
      </c>
      <c r="B512" s="104" t="s">
        <v>2703</v>
      </c>
      <c r="C512" s="122" t="s">
        <v>2701</v>
      </c>
      <c r="D512" s="292">
        <v>4437315</v>
      </c>
      <c r="E512" s="293" t="s">
        <v>64</v>
      </c>
      <c r="F512" s="293" t="s">
        <v>20</v>
      </c>
      <c r="G512" s="293" t="s">
        <v>3853</v>
      </c>
      <c r="H512" s="293" t="str">
        <f>IFERROR(VLOOKUP(G512,'Cadastro de assessores'!A:B,2,FALSE),"Não Cadastrado")</f>
        <v>1441</v>
      </c>
      <c r="I512" s="293"/>
      <c r="J512" s="24" t="s">
        <v>3788</v>
      </c>
      <c r="K512" s="293" t="s">
        <v>152</v>
      </c>
      <c r="L512" s="415">
        <v>44082</v>
      </c>
      <c r="M512" s="415">
        <v>44082</v>
      </c>
      <c r="N512" s="292"/>
      <c r="O512" s="292" t="s">
        <v>3789</v>
      </c>
      <c r="P512" s="388">
        <v>0.02</v>
      </c>
      <c r="Q512" s="420" t="s">
        <v>5291</v>
      </c>
      <c r="R512" s="417"/>
      <c r="S512" s="292" t="str">
        <f t="shared" si="54"/>
        <v/>
      </c>
      <c r="T512" s="292" t="s">
        <v>145</v>
      </c>
      <c r="U512" s="292" t="s">
        <v>3811</v>
      </c>
      <c r="V512" s="292" t="s">
        <v>20</v>
      </c>
      <c r="W512" s="418" t="s">
        <v>3798</v>
      </c>
      <c r="X512" s="418" t="s">
        <v>3798</v>
      </c>
      <c r="Y512" s="418" t="s">
        <v>3798</v>
      </c>
      <c r="Z512" s="418" t="s">
        <v>3798</v>
      </c>
      <c r="AA512" s="418" t="s">
        <v>3798</v>
      </c>
      <c r="AB512" s="418" t="s">
        <v>3798</v>
      </c>
      <c r="AC512" s="418" t="s">
        <v>3798</v>
      </c>
      <c r="AD512" s="418" t="s">
        <v>3798</v>
      </c>
      <c r="AE512" s="418" t="s">
        <v>3798</v>
      </c>
      <c r="AF512" s="418" t="s">
        <v>3798</v>
      </c>
      <c r="AG512" s="418" t="s">
        <v>3798</v>
      </c>
      <c r="AH512" s="418" t="s">
        <v>5292</v>
      </c>
      <c r="AI512" s="418" t="s">
        <v>5293</v>
      </c>
      <c r="AJ512" s="418" t="s">
        <v>5294</v>
      </c>
      <c r="AK512" s="339">
        <v>657257.81999999995</v>
      </c>
      <c r="AL512" s="339">
        <v>632565.21</v>
      </c>
      <c r="AM512" s="339">
        <v>594937.73</v>
      </c>
      <c r="AN512" s="339">
        <v>598701.11</v>
      </c>
      <c r="AO512" s="339">
        <v>619386.11</v>
      </c>
      <c r="AP512" s="339">
        <v>623972.97</v>
      </c>
      <c r="AQ512" s="339">
        <v>620639.6</v>
      </c>
      <c r="AR512" s="339">
        <v>637110.27</v>
      </c>
      <c r="AS512" s="339">
        <v>630484.63</v>
      </c>
      <c r="AT512" s="339">
        <v>610265.25</v>
      </c>
      <c r="AU512" s="339">
        <v>600817.15</v>
      </c>
      <c r="AV512" s="339">
        <v>590502.78</v>
      </c>
      <c r="AW512" s="339">
        <v>550992.67000000004</v>
      </c>
      <c r="AX512" s="339">
        <v>548845.87</v>
      </c>
      <c r="AY512" s="339">
        <v>553071.6</v>
      </c>
      <c r="AZ512" s="339">
        <v>574805.24</v>
      </c>
      <c r="BA512" s="339">
        <v>555439.39</v>
      </c>
      <c r="BB512" s="339">
        <v>581362.97</v>
      </c>
      <c r="BC512" s="339">
        <v>0</v>
      </c>
      <c r="BD512" s="339">
        <v>572573.06999999995</v>
      </c>
      <c r="BE512" s="339">
        <v>558618.55000000005</v>
      </c>
      <c r="BF512" s="339">
        <v>577536.22</v>
      </c>
      <c r="BG512" s="339">
        <v>588305.11710000003</v>
      </c>
      <c r="BH512" s="339">
        <v>584039.64</v>
      </c>
      <c r="BI512" s="339">
        <v>618215.57999999996</v>
      </c>
      <c r="BJ512" s="339">
        <v>612819.23</v>
      </c>
      <c r="BK512" s="339">
        <v>615044.11</v>
      </c>
      <c r="BL512" s="339">
        <v>616549</v>
      </c>
      <c r="BM512" s="339">
        <v>122722.11</v>
      </c>
      <c r="BN512" s="339">
        <v>144.38</v>
      </c>
      <c r="BO512" s="339">
        <v>144.38</v>
      </c>
      <c r="BP512" s="339">
        <v>144.38</v>
      </c>
      <c r="BQ512" s="339">
        <v>144.38</v>
      </c>
      <c r="BR512" s="339">
        <v>144.38</v>
      </c>
      <c r="BS512" s="110" t="e">
        <f t="array" aca="1" ref="BS512" ca="1">_xludf.XLOOKUP(D512,'PL TOTAL D0'!N:N,'PL TOTAL D0'!P:P,"")</f>
        <v>#NAME?</v>
      </c>
      <c r="BT512" s="110"/>
    </row>
    <row r="513" spans="1:72" ht="15.75" customHeight="1">
      <c r="A513" s="122" t="s">
        <v>3785</v>
      </c>
      <c r="B513" s="104" t="s">
        <v>5295</v>
      </c>
      <c r="C513" s="390" t="s">
        <v>5296</v>
      </c>
      <c r="D513" s="299">
        <v>5917601</v>
      </c>
      <c r="E513" s="292" t="s">
        <v>19</v>
      </c>
      <c r="F513" s="292" t="s">
        <v>20</v>
      </c>
      <c r="G513" s="292" t="s">
        <v>3683</v>
      </c>
      <c r="H513" s="292" t="str">
        <f>IFERROR(VLOOKUP(G513,'Cadastro de assessores'!A:B,2,FALSE),"Não Cadastrado")</f>
        <v>18266</v>
      </c>
      <c r="I513" s="292"/>
      <c r="J513" s="24" t="s">
        <v>143</v>
      </c>
      <c r="K513" s="292" t="s">
        <v>3794</v>
      </c>
      <c r="L513" s="387">
        <v>44397</v>
      </c>
      <c r="M513" s="387">
        <v>44397</v>
      </c>
      <c r="N513" s="391">
        <v>44622</v>
      </c>
      <c r="O513" s="299" t="s">
        <v>3809</v>
      </c>
      <c r="P513" s="388">
        <v>2.5000000000000001E-2</v>
      </c>
      <c r="Q513" s="167" t="s">
        <v>5297</v>
      </c>
      <c r="R513" s="417"/>
      <c r="S513" s="292" t="str">
        <f t="shared" si="54"/>
        <v>Não Qualificado</v>
      </c>
      <c r="T513" s="292" t="s">
        <v>145</v>
      </c>
      <c r="U513" s="292" t="s">
        <v>3797</v>
      </c>
      <c r="V513" s="292" t="s">
        <v>20</v>
      </c>
      <c r="W513" s="350"/>
      <c r="X513" s="350"/>
      <c r="Y513" s="350"/>
      <c r="Z513" s="350"/>
      <c r="AA513" s="350"/>
      <c r="AB513" s="350"/>
      <c r="AC513" s="350"/>
      <c r="AD513" s="350"/>
      <c r="AE513" s="350"/>
      <c r="AF513" s="350"/>
      <c r="AG513" s="350"/>
      <c r="AH513" s="418"/>
      <c r="AI513" s="418"/>
      <c r="AJ513" s="339"/>
      <c r="AK513" s="339"/>
      <c r="AL513" s="339"/>
      <c r="AM513" s="339"/>
      <c r="AN513" s="339"/>
      <c r="AO513" s="339"/>
      <c r="AP513" s="339"/>
      <c r="AQ513" s="339"/>
      <c r="AR513" s="339"/>
      <c r="AS513" s="350"/>
      <c r="AT513" s="340">
        <v>96476.73</v>
      </c>
      <c r="AU513" s="340">
        <v>94262.73</v>
      </c>
      <c r="AV513" s="339">
        <v>89008.83</v>
      </c>
      <c r="AW513" s="339">
        <v>81910.05</v>
      </c>
      <c r="AX513" s="339">
        <v>81057.42</v>
      </c>
      <c r="AY513" s="339">
        <v>82574.41</v>
      </c>
      <c r="AZ513" s="339">
        <v>87558.47</v>
      </c>
      <c r="BA513" s="339">
        <v>88881.68</v>
      </c>
      <c r="BB513" s="339">
        <v>0</v>
      </c>
      <c r="BC513" s="339">
        <v>106906.51</v>
      </c>
      <c r="BD513" s="339" t="s">
        <v>2932</v>
      </c>
      <c r="BE513" s="339" t="s">
        <v>2932</v>
      </c>
      <c r="BF513" s="339">
        <v>0</v>
      </c>
      <c r="BG513" s="339">
        <v>0</v>
      </c>
      <c r="BH513" s="339">
        <v>0</v>
      </c>
      <c r="BI513" s="339">
        <v>0</v>
      </c>
      <c r="BJ513" s="339">
        <v>0</v>
      </c>
      <c r="BK513" s="339">
        <v>0</v>
      </c>
      <c r="BL513" s="339">
        <v>0</v>
      </c>
      <c r="BM513" s="339">
        <v>0</v>
      </c>
      <c r="BN513" s="339">
        <v>0</v>
      </c>
      <c r="BO513" s="339">
        <v>0</v>
      </c>
      <c r="BP513" s="339">
        <v>0</v>
      </c>
      <c r="BQ513" s="339">
        <v>0</v>
      </c>
      <c r="BR513" s="339">
        <v>0</v>
      </c>
      <c r="BS513" s="110" t="e">
        <f t="array" aca="1" ref="BS513" ca="1">_xludf.XLOOKUP(D513,'PL TOTAL D0'!N:N,'PL TOTAL D0'!P:P,"")</f>
        <v>#NAME?</v>
      </c>
      <c r="BT513" s="110"/>
    </row>
    <row r="514" spans="1:72" ht="15.75" customHeight="1">
      <c r="A514" s="122" t="s">
        <v>3785</v>
      </c>
      <c r="B514" s="104" t="s">
        <v>2718</v>
      </c>
      <c r="C514" s="122" t="s">
        <v>5298</v>
      </c>
      <c r="D514" s="292">
        <v>4367434</v>
      </c>
      <c r="E514" s="293" t="s">
        <v>64</v>
      </c>
      <c r="F514" s="293" t="s">
        <v>20</v>
      </c>
      <c r="G514" s="293" t="s">
        <v>73</v>
      </c>
      <c r="H514" s="293" t="str">
        <f>IFERROR(VLOOKUP(G514,'Cadastro de assessores'!A:B,2,FALSE),"Não Cadastrado")</f>
        <v>17243</v>
      </c>
      <c r="I514" s="293"/>
      <c r="J514" s="24" t="s">
        <v>3788</v>
      </c>
      <c r="K514" s="293" t="s">
        <v>152</v>
      </c>
      <c r="L514" s="416">
        <v>44147</v>
      </c>
      <c r="M514" s="416">
        <v>44147</v>
      </c>
      <c r="N514" s="292"/>
      <c r="O514" s="292" t="s">
        <v>3809</v>
      </c>
      <c r="P514" s="388">
        <v>2.5000000000000001E-2</v>
      </c>
      <c r="Q514" s="420" t="s">
        <v>5299</v>
      </c>
      <c r="R514" s="417"/>
      <c r="S514" s="292" t="str">
        <f t="shared" si="54"/>
        <v>Não Qualificado</v>
      </c>
      <c r="T514" s="292" t="s">
        <v>145</v>
      </c>
      <c r="U514" s="292" t="s">
        <v>3811</v>
      </c>
      <c r="V514" s="292" t="s">
        <v>20</v>
      </c>
      <c r="W514" s="418" t="s">
        <v>3798</v>
      </c>
      <c r="X514" s="418" t="s">
        <v>3798</v>
      </c>
      <c r="Y514" s="418" t="s">
        <v>3798</v>
      </c>
      <c r="Z514" s="418" t="s">
        <v>3798</v>
      </c>
      <c r="AA514" s="418" t="s">
        <v>3798</v>
      </c>
      <c r="AB514" s="418" t="s">
        <v>3798</v>
      </c>
      <c r="AC514" s="418" t="s">
        <v>3798</v>
      </c>
      <c r="AD514" s="418" t="s">
        <v>3798</v>
      </c>
      <c r="AE514" s="418" t="s">
        <v>3798</v>
      </c>
      <c r="AF514" s="418" t="s">
        <v>3798</v>
      </c>
      <c r="AG514" s="418" t="s">
        <v>3798</v>
      </c>
      <c r="AH514" s="418" t="s">
        <v>3798</v>
      </c>
      <c r="AI514" s="418" t="s">
        <v>3798</v>
      </c>
      <c r="AJ514" s="418" t="s">
        <v>5300</v>
      </c>
      <c r="AK514" s="339">
        <v>738550.54</v>
      </c>
      <c r="AL514" s="339">
        <v>727862.32</v>
      </c>
      <c r="AM514" s="339">
        <v>667132.25</v>
      </c>
      <c r="AN514" s="339">
        <v>674370.64</v>
      </c>
      <c r="AO514" s="339">
        <v>722776.02</v>
      </c>
      <c r="AP514" s="339">
        <v>732622</v>
      </c>
      <c r="AQ514" s="339">
        <v>725186.69</v>
      </c>
      <c r="AR514" s="339">
        <v>766121.4</v>
      </c>
      <c r="AS514" s="339">
        <v>601369.97</v>
      </c>
      <c r="AT514" s="339">
        <v>568501.29</v>
      </c>
      <c r="AU514" s="339">
        <v>555519.34</v>
      </c>
      <c r="AV514" s="339">
        <v>857404.87</v>
      </c>
      <c r="AW514" s="339">
        <v>785114.48</v>
      </c>
      <c r="AX514" s="339">
        <v>775267.08</v>
      </c>
      <c r="AY514" s="339">
        <v>792264.33</v>
      </c>
      <c r="AZ514" s="339">
        <v>849226.65</v>
      </c>
      <c r="BA514" s="339">
        <v>858109.48</v>
      </c>
      <c r="BB514" s="339">
        <v>919304.93</v>
      </c>
      <c r="BC514" s="339">
        <v>74883.5</v>
      </c>
      <c r="BD514" s="339">
        <v>605301.66</v>
      </c>
      <c r="BE514" s="339">
        <v>618663.17000000004</v>
      </c>
      <c r="BF514" s="339">
        <v>583958.74</v>
      </c>
      <c r="BG514" s="339">
        <v>523462.14</v>
      </c>
      <c r="BH514" s="339">
        <v>488864.6</v>
      </c>
      <c r="BI514" s="339">
        <v>266497.83</v>
      </c>
      <c r="BJ514" s="339">
        <v>260755.66</v>
      </c>
      <c r="BK514" s="339">
        <v>259824.74</v>
      </c>
      <c r="BL514" s="339">
        <v>264138.86</v>
      </c>
      <c r="BM514" s="339">
        <v>252724.83</v>
      </c>
      <c r="BN514" s="339">
        <v>5561.18</v>
      </c>
      <c r="BO514" s="339">
        <v>5637.62</v>
      </c>
      <c r="BP514" s="339">
        <v>55.37</v>
      </c>
      <c r="BQ514" s="339">
        <v>55.77</v>
      </c>
      <c r="BR514" s="339">
        <v>56.3</v>
      </c>
      <c r="BS514" s="110" t="e">
        <f t="array" aca="1" ref="BS514" ca="1">_xludf.XLOOKUP(D514,'PL TOTAL D0'!N:N,'PL TOTAL D0'!P:P,"")</f>
        <v>#NAME?</v>
      </c>
      <c r="BT514" s="110"/>
    </row>
    <row r="515" spans="1:72" ht="15.75" customHeight="1">
      <c r="A515" s="122" t="s">
        <v>3785</v>
      </c>
      <c r="B515" s="104" t="s">
        <v>2722</v>
      </c>
      <c r="C515" s="122" t="s">
        <v>5301</v>
      </c>
      <c r="D515" s="292">
        <v>6163576</v>
      </c>
      <c r="E515" s="293" t="s">
        <v>19</v>
      </c>
      <c r="F515" s="293" t="s">
        <v>49</v>
      </c>
      <c r="G515" s="293" t="s">
        <v>166</v>
      </c>
      <c r="H515" s="293" t="str">
        <f>IFERROR(VLOOKUP(G515,'Cadastro de assessores'!A:B,2,FALSE),"Não Cadastrado")</f>
        <v>18890</v>
      </c>
      <c r="I515" s="293"/>
      <c r="J515" s="24" t="s">
        <v>3788</v>
      </c>
      <c r="K515" s="293"/>
      <c r="L515" s="415"/>
      <c r="M515" s="415">
        <v>44847</v>
      </c>
      <c r="N515" s="292"/>
      <c r="O515" s="292" t="s">
        <v>3802</v>
      </c>
      <c r="P515" s="388">
        <v>0.01</v>
      </c>
      <c r="Q515" s="420" t="s">
        <v>5302</v>
      </c>
      <c r="R515" s="417"/>
      <c r="S515" s="292"/>
      <c r="T515" s="292"/>
      <c r="U515" s="292"/>
      <c r="V515" s="292" t="s">
        <v>46</v>
      </c>
      <c r="W515" s="418"/>
      <c r="X515" s="418"/>
      <c r="Y515" s="418"/>
      <c r="Z515" s="418"/>
      <c r="AA515" s="418"/>
      <c r="AB515" s="418"/>
      <c r="AC515" s="418"/>
      <c r="AD515" s="418"/>
      <c r="AE515" s="418"/>
      <c r="AF515" s="418"/>
      <c r="AG515" s="418"/>
      <c r="AH515" s="418"/>
      <c r="AI515" s="418"/>
      <c r="AJ515" s="418"/>
      <c r="AK515" s="339"/>
      <c r="AL515" s="339"/>
      <c r="AM515" s="339"/>
      <c r="AN515" s="339"/>
      <c r="AO515" s="339"/>
      <c r="AP515" s="339"/>
      <c r="AQ515" s="339"/>
      <c r="AR515" s="339"/>
      <c r="AS515" s="339"/>
      <c r="AT515" s="339"/>
      <c r="AU515" s="339"/>
      <c r="AV515" s="339"/>
      <c r="AW515" s="339"/>
      <c r="AX515" s="339"/>
      <c r="AY515" s="339"/>
      <c r="AZ515" s="339"/>
      <c r="BA515" s="339"/>
      <c r="BB515" s="339"/>
      <c r="BC515" s="339"/>
      <c r="BD515" s="339"/>
      <c r="BE515" s="339"/>
      <c r="BF515" s="339"/>
      <c r="BG515" s="339"/>
      <c r="BH515" s="339"/>
      <c r="BI515" s="339">
        <v>69376.87</v>
      </c>
      <c r="BJ515" s="339">
        <v>79083.41</v>
      </c>
      <c r="BK515" s="339">
        <v>88942.48</v>
      </c>
      <c r="BL515" s="339">
        <v>81839.09</v>
      </c>
      <c r="BM515" s="339">
        <v>82561.69</v>
      </c>
      <c r="BN515" s="339">
        <v>422.5</v>
      </c>
      <c r="BO515" s="339">
        <v>201.53</v>
      </c>
      <c r="BP515" s="339">
        <v>73.849999999999994</v>
      </c>
      <c r="BQ515" s="339">
        <v>0.09</v>
      </c>
      <c r="BR515" s="339">
        <v>0.09</v>
      </c>
      <c r="BS515" s="110" t="e">
        <f t="array" aca="1" ref="BS515" ca="1">_xludf.XLOOKUP(D515,'PL TOTAL D0'!N:N,'PL TOTAL D0'!P:P,"")</f>
        <v>#NAME?</v>
      </c>
      <c r="BT515" s="110"/>
    </row>
    <row r="516" spans="1:72" ht="15.75" customHeight="1">
      <c r="A516" s="122" t="s">
        <v>3785</v>
      </c>
      <c r="B516" s="104" t="s">
        <v>5303</v>
      </c>
      <c r="C516" s="122" t="s">
        <v>5304</v>
      </c>
      <c r="D516" s="292">
        <v>4418396</v>
      </c>
      <c r="E516" s="293" t="s">
        <v>64</v>
      </c>
      <c r="F516" s="293" t="s">
        <v>20</v>
      </c>
      <c r="G516" s="293" t="s">
        <v>5305</v>
      </c>
      <c r="H516" s="293" t="str">
        <f>IFERROR(VLOOKUP(G516,'Cadastro de assessores'!A:B,2,FALSE),"Não Cadastrado")</f>
        <v>16072</v>
      </c>
      <c r="I516" s="293"/>
      <c r="J516" s="24" t="s">
        <v>3788</v>
      </c>
      <c r="K516" s="293" t="s">
        <v>152</v>
      </c>
      <c r="L516" s="415">
        <v>44075</v>
      </c>
      <c r="M516" s="415">
        <v>44082</v>
      </c>
      <c r="N516" s="292"/>
      <c r="O516" s="292" t="s">
        <v>3789</v>
      </c>
      <c r="P516" s="388">
        <v>0.02</v>
      </c>
      <c r="Q516" s="420"/>
      <c r="R516" s="417"/>
      <c r="S516" s="292" t="str">
        <f t="shared" ref="S516:S533" si="55">IF(BC516&lt;=0,"",IF(BC516&lt;=1000000,"Não Qualificado",IF(AND(BC516&gt;1000000,BC516&lt;=10000000),"Qualificado","Profissional")))</f>
        <v>Não Qualificado</v>
      </c>
      <c r="T516" s="292" t="s">
        <v>145</v>
      </c>
      <c r="U516" s="292" t="s">
        <v>3797</v>
      </c>
      <c r="V516" s="292" t="s">
        <v>20</v>
      </c>
      <c r="W516" s="418" t="s">
        <v>3798</v>
      </c>
      <c r="X516" s="418" t="s">
        <v>3798</v>
      </c>
      <c r="Y516" s="418" t="s">
        <v>3798</v>
      </c>
      <c r="Z516" s="418" t="s">
        <v>3798</v>
      </c>
      <c r="AA516" s="418" t="s">
        <v>3798</v>
      </c>
      <c r="AB516" s="418" t="s">
        <v>3798</v>
      </c>
      <c r="AC516" s="418" t="s">
        <v>3798</v>
      </c>
      <c r="AD516" s="418" t="s">
        <v>3798</v>
      </c>
      <c r="AE516" s="418" t="s">
        <v>3798</v>
      </c>
      <c r="AF516" s="418" t="s">
        <v>3798</v>
      </c>
      <c r="AG516" s="418" t="s">
        <v>3798</v>
      </c>
      <c r="AH516" s="418" t="s">
        <v>5306</v>
      </c>
      <c r="AI516" s="418" t="s">
        <v>5307</v>
      </c>
      <c r="AJ516" s="418" t="s">
        <v>5308</v>
      </c>
      <c r="AK516" s="339">
        <v>315704.55</v>
      </c>
      <c r="AL516" s="339">
        <v>306755.90000000002</v>
      </c>
      <c r="AM516" s="339">
        <v>292002.43</v>
      </c>
      <c r="AN516" s="339">
        <v>291494.69</v>
      </c>
      <c r="AO516" s="339">
        <v>303055.38</v>
      </c>
      <c r="AP516" s="339">
        <v>181882.68</v>
      </c>
      <c r="AQ516" s="339">
        <v>180621.13</v>
      </c>
      <c r="AR516" s="339">
        <v>2046.59</v>
      </c>
      <c r="AS516" s="339">
        <v>2057.2199999999998</v>
      </c>
      <c r="AT516" s="339">
        <v>2053.6999999999998</v>
      </c>
      <c r="AU516" s="339">
        <v>2057.6999999999998</v>
      </c>
      <c r="AV516" s="339">
        <v>345.53</v>
      </c>
      <c r="AW516" s="339">
        <v>544.87</v>
      </c>
      <c r="AX516" s="339">
        <v>544.07000000000005</v>
      </c>
      <c r="AY516" s="339">
        <v>500.92</v>
      </c>
      <c r="AZ516" s="339">
        <v>173.8</v>
      </c>
      <c r="BA516" s="339">
        <v>173.61</v>
      </c>
      <c r="BB516" s="339">
        <v>99.37</v>
      </c>
      <c r="BC516" s="339">
        <v>124.19</v>
      </c>
      <c r="BD516" s="339">
        <v>104.69</v>
      </c>
      <c r="BE516" s="339">
        <v>104.69</v>
      </c>
      <c r="BF516" s="339">
        <v>104.7</v>
      </c>
      <c r="BG516" s="339">
        <v>0</v>
      </c>
      <c r="BH516" s="339">
        <v>0</v>
      </c>
      <c r="BI516" s="339">
        <v>0</v>
      </c>
      <c r="BJ516" s="339">
        <v>0</v>
      </c>
      <c r="BK516" s="339">
        <v>0</v>
      </c>
      <c r="BL516" s="339">
        <v>0</v>
      </c>
      <c r="BM516" s="339">
        <v>0</v>
      </c>
      <c r="BN516" s="339">
        <v>0</v>
      </c>
      <c r="BO516" s="339">
        <v>0</v>
      </c>
      <c r="BP516" s="339">
        <v>0</v>
      </c>
      <c r="BQ516" s="339">
        <v>0</v>
      </c>
      <c r="BR516" s="339">
        <v>0</v>
      </c>
      <c r="BS516" s="110" t="e">
        <f t="array" aca="1" ref="BS516" ca="1">_xludf.XLOOKUP(D516,'PL TOTAL D0'!N:N,'PL TOTAL D0'!P:P,"")</f>
        <v>#NAME?</v>
      </c>
      <c r="BT516" s="110"/>
    </row>
    <row r="517" spans="1:72" ht="15.75" customHeight="1">
      <c r="A517" s="122" t="s">
        <v>3785</v>
      </c>
      <c r="B517" s="104" t="s">
        <v>5309</v>
      </c>
      <c r="C517" s="122" t="s">
        <v>5310</v>
      </c>
      <c r="D517" s="292">
        <v>2847489</v>
      </c>
      <c r="E517" s="292" t="s">
        <v>2923</v>
      </c>
      <c r="F517" s="292" t="s">
        <v>20</v>
      </c>
      <c r="G517" s="292" t="s">
        <v>2923</v>
      </c>
      <c r="H517" s="292" t="str">
        <f>IFERROR(VLOOKUP(G517,'Cadastro de assessores'!A:B,2,FALSE),"Não Cadastrado")</f>
        <v>18986</v>
      </c>
      <c r="I517" s="292"/>
      <c r="J517" s="24" t="s">
        <v>143</v>
      </c>
      <c r="K517" s="292" t="s">
        <v>3794</v>
      </c>
      <c r="L517" s="387">
        <v>43850</v>
      </c>
      <c r="M517" s="387">
        <v>43850</v>
      </c>
      <c r="N517" s="387">
        <v>44011</v>
      </c>
      <c r="O517" s="292" t="s">
        <v>3795</v>
      </c>
      <c r="P517" s="388">
        <v>1.4999999999999999E-2</v>
      </c>
      <c r="Q517" s="420" t="s">
        <v>5311</v>
      </c>
      <c r="R517" s="417"/>
      <c r="S517" s="292" t="str">
        <f t="shared" si="55"/>
        <v/>
      </c>
      <c r="T517" s="292" t="s">
        <v>145</v>
      </c>
      <c r="U517" s="292" t="s">
        <v>3991</v>
      </c>
      <c r="V517" s="292" t="s">
        <v>20</v>
      </c>
      <c r="W517" s="418" t="s">
        <v>3798</v>
      </c>
      <c r="X517" s="418" t="s">
        <v>3798</v>
      </c>
      <c r="Y517" s="418" t="s">
        <v>3798</v>
      </c>
      <c r="Z517" s="418" t="s">
        <v>5312</v>
      </c>
      <c r="AA517" s="418" t="s">
        <v>5313</v>
      </c>
      <c r="AB517" s="418" t="s">
        <v>5314</v>
      </c>
      <c r="AC517" s="418" t="s">
        <v>5315</v>
      </c>
      <c r="AD517" s="418" t="s">
        <v>5316</v>
      </c>
      <c r="AE517" s="418" t="s">
        <v>3798</v>
      </c>
      <c r="AF517" s="418" t="s">
        <v>3798</v>
      </c>
      <c r="AG517" s="418" t="s">
        <v>3798</v>
      </c>
      <c r="AH517" s="418"/>
      <c r="AI517" s="418" t="s">
        <v>3798</v>
      </c>
      <c r="AJ517" s="418"/>
      <c r="AK517" s="339"/>
      <c r="AL517" s="339"/>
      <c r="AM517" s="339" t="s">
        <v>3147</v>
      </c>
      <c r="AN517" s="339"/>
      <c r="AO517" s="339"/>
      <c r="AP517" s="339"/>
      <c r="AQ517" s="339"/>
      <c r="AR517" s="339"/>
      <c r="AS517" s="339"/>
      <c r="AT517" s="339"/>
      <c r="AU517" s="339"/>
      <c r="AV517" s="339"/>
      <c r="AW517" s="339"/>
      <c r="AX517" s="339"/>
      <c r="AY517" s="339"/>
      <c r="AZ517" s="339"/>
      <c r="BA517" s="339">
        <v>0</v>
      </c>
      <c r="BB517" s="339">
        <v>0</v>
      </c>
      <c r="BC517" s="339">
        <v>0</v>
      </c>
      <c r="BD517" s="339" t="s">
        <v>2932</v>
      </c>
      <c r="BE517" s="339" t="s">
        <v>2932</v>
      </c>
      <c r="BF517" s="339">
        <v>0</v>
      </c>
      <c r="BG517" s="339">
        <v>0</v>
      </c>
      <c r="BH517" s="339">
        <v>0</v>
      </c>
      <c r="BI517" s="339">
        <v>0</v>
      </c>
      <c r="BJ517" s="339">
        <v>0</v>
      </c>
      <c r="BK517" s="339">
        <v>0</v>
      </c>
      <c r="BL517" s="339">
        <v>0</v>
      </c>
      <c r="BM517" s="339">
        <v>0</v>
      </c>
      <c r="BN517" s="339">
        <v>0</v>
      </c>
      <c r="BO517" s="339">
        <v>0</v>
      </c>
      <c r="BP517" s="339">
        <v>0</v>
      </c>
      <c r="BQ517" s="339">
        <v>0</v>
      </c>
      <c r="BR517" s="339">
        <v>0</v>
      </c>
      <c r="BS517" s="110" t="e">
        <f t="array" aca="1" ref="BS517" ca="1">_xludf.XLOOKUP(D517,'PL TOTAL D0'!N:N,'PL TOTAL D0'!P:P,"")</f>
        <v>#NAME?</v>
      </c>
      <c r="BT517" s="110"/>
    </row>
    <row r="518" spans="1:72" ht="15.75" customHeight="1">
      <c r="A518" s="122" t="s">
        <v>3785</v>
      </c>
      <c r="B518" s="104" t="s">
        <v>2727</v>
      </c>
      <c r="C518" s="122" t="s">
        <v>2725</v>
      </c>
      <c r="D518" s="292">
        <v>4879786</v>
      </c>
      <c r="E518" s="293" t="s">
        <v>64</v>
      </c>
      <c r="F518" s="293" t="s">
        <v>20</v>
      </c>
      <c r="G518" s="293" t="s">
        <v>4067</v>
      </c>
      <c r="H518" s="293" t="str">
        <f>IFERROR(VLOOKUP(G518,'Cadastro de assessores'!A:B,2,FALSE),"Não Cadastrado")</f>
        <v>15049</v>
      </c>
      <c r="I518" s="293"/>
      <c r="J518" s="24" t="s">
        <v>3788</v>
      </c>
      <c r="K518" s="293" t="s">
        <v>152</v>
      </c>
      <c r="L518" s="415">
        <v>44251</v>
      </c>
      <c r="M518" s="415">
        <v>44251</v>
      </c>
      <c r="N518" s="299"/>
      <c r="O518" s="299" t="s">
        <v>3842</v>
      </c>
      <c r="P518" s="388">
        <v>8.0000000000000002E-3</v>
      </c>
      <c r="Q518" s="420"/>
      <c r="R518" s="417"/>
      <c r="S518" s="292" t="str">
        <f t="shared" si="55"/>
        <v>Não Qualificado</v>
      </c>
      <c r="T518" s="292" t="s">
        <v>145</v>
      </c>
      <c r="U518" s="292" t="s">
        <v>3811</v>
      </c>
      <c r="V518" s="292" t="s">
        <v>20</v>
      </c>
      <c r="W518" s="418"/>
      <c r="X518" s="418"/>
      <c r="Y518" s="418"/>
      <c r="Z518" s="418"/>
      <c r="AA518" s="418"/>
      <c r="AB518" s="418"/>
      <c r="AC518" s="418"/>
      <c r="AD518" s="418"/>
      <c r="AE518" s="418"/>
      <c r="AF518" s="418"/>
      <c r="AG518" s="418"/>
      <c r="AH518" s="418"/>
      <c r="AI518" s="418"/>
      <c r="AJ518" s="418"/>
      <c r="AK518" s="339"/>
      <c r="AL518" s="339"/>
      <c r="AM518" s="339">
        <v>94623.52</v>
      </c>
      <c r="AN518" s="339">
        <v>116687.27</v>
      </c>
      <c r="AO518" s="339">
        <v>133167.04999999999</v>
      </c>
      <c r="AP518" s="339">
        <v>154673.42000000001</v>
      </c>
      <c r="AQ518" s="339">
        <v>155491.1</v>
      </c>
      <c r="AR518" s="339">
        <v>173225.72</v>
      </c>
      <c r="AS518" s="339">
        <v>171164.19</v>
      </c>
      <c r="AT518" s="339">
        <v>180995.81</v>
      </c>
      <c r="AU518" s="339">
        <v>175719.55</v>
      </c>
      <c r="AV518" s="339">
        <v>174503.62</v>
      </c>
      <c r="AW518" s="339">
        <v>191835.75</v>
      </c>
      <c r="AX518" s="339">
        <v>185005.34</v>
      </c>
      <c r="AY518" s="339">
        <v>201078.61</v>
      </c>
      <c r="AZ518" s="339">
        <v>206768.66</v>
      </c>
      <c r="BA518" s="339">
        <v>207387.42</v>
      </c>
      <c r="BB518" s="339">
        <v>213305.06</v>
      </c>
      <c r="BC518" s="339">
        <v>111427.63</v>
      </c>
      <c r="BD518" s="339">
        <v>226045.99</v>
      </c>
      <c r="BE518" s="339">
        <v>235638.66</v>
      </c>
      <c r="BF518" s="339">
        <v>240928.9</v>
      </c>
      <c r="BG518" s="339">
        <v>269167.61</v>
      </c>
      <c r="BH518" s="339">
        <v>273795.03000000003</v>
      </c>
      <c r="BI518" s="339">
        <v>276573.92</v>
      </c>
      <c r="BJ518" s="339">
        <v>278732.21000000002</v>
      </c>
      <c r="BK518" s="339">
        <v>277930.93</v>
      </c>
      <c r="BL518" s="339">
        <v>15789.86</v>
      </c>
      <c r="BM518" s="339">
        <v>120.67</v>
      </c>
      <c r="BN518" s="339">
        <v>0</v>
      </c>
      <c r="BO518" s="339">
        <v>0</v>
      </c>
      <c r="BP518" s="339">
        <v>0</v>
      </c>
      <c r="BQ518" s="339">
        <v>0</v>
      </c>
      <c r="BR518" s="339">
        <v>0</v>
      </c>
      <c r="BS518" s="110" t="e">
        <f t="array" aca="1" ref="BS518" ca="1">_xludf.XLOOKUP(D518,'PL TOTAL D0'!N:N,'PL TOTAL D0'!P:P,"")</f>
        <v>#NAME?</v>
      </c>
      <c r="BT518" s="110"/>
    </row>
    <row r="519" spans="1:72" ht="15.75" customHeight="1">
      <c r="A519" s="122" t="s">
        <v>3785</v>
      </c>
      <c r="B519" s="104" t="s">
        <v>2733</v>
      </c>
      <c r="C519" s="390" t="s">
        <v>5317</v>
      </c>
      <c r="D519" s="422">
        <v>2536076</v>
      </c>
      <c r="E519" s="293" t="s">
        <v>19</v>
      </c>
      <c r="F519" s="293" t="s">
        <v>49</v>
      </c>
      <c r="G519" s="293" t="s">
        <v>50</v>
      </c>
      <c r="H519" s="293">
        <f>IFERROR(VLOOKUP(G519,'Cadastro de assessores'!A:B,2,FALSE),"Não Cadastrado")</f>
        <v>12331</v>
      </c>
      <c r="I519" s="293"/>
      <c r="J519" s="24" t="s">
        <v>3788</v>
      </c>
      <c r="K519" s="293" t="s">
        <v>152</v>
      </c>
      <c r="L519" s="423">
        <v>44665</v>
      </c>
      <c r="M519" s="423">
        <v>44665</v>
      </c>
      <c r="N519" s="299"/>
      <c r="O519" s="299" t="s">
        <v>3805</v>
      </c>
      <c r="P519" s="388">
        <v>1.2E-2</v>
      </c>
      <c r="Q519" s="420" t="s">
        <v>5318</v>
      </c>
      <c r="R519" s="417"/>
      <c r="S519" s="292" t="str">
        <f t="shared" si="55"/>
        <v/>
      </c>
      <c r="T519" s="292" t="s">
        <v>145</v>
      </c>
      <c r="U519" s="292" t="s">
        <v>3841</v>
      </c>
      <c r="V519" s="292" t="s">
        <v>49</v>
      </c>
      <c r="W519" s="418"/>
      <c r="X519" s="418"/>
      <c r="Y519" s="418"/>
      <c r="Z519" s="418"/>
      <c r="AA519" s="418"/>
      <c r="AB519" s="418"/>
      <c r="AC519" s="418"/>
      <c r="AD519" s="418"/>
      <c r="AE519" s="418"/>
      <c r="AF519" s="418"/>
      <c r="AG519" s="418"/>
      <c r="AH519" s="418"/>
      <c r="AI519" s="418"/>
      <c r="AJ519" s="418"/>
      <c r="AK519" s="339"/>
      <c r="AL519" s="339"/>
      <c r="AM519" s="339"/>
      <c r="AN519" s="339"/>
      <c r="AO519" s="339"/>
      <c r="AP519" s="339"/>
      <c r="AQ519" s="339"/>
      <c r="AR519" s="339"/>
      <c r="AS519" s="339"/>
      <c r="AT519" s="339"/>
      <c r="AU519" s="339"/>
      <c r="AV519" s="339"/>
      <c r="AW519" s="339"/>
      <c r="AX519" s="339"/>
      <c r="AY519" s="339"/>
      <c r="AZ519" s="339"/>
      <c r="BA519" s="339"/>
      <c r="BB519" s="339"/>
      <c r="BC519" s="339"/>
      <c r="BD519" s="339">
        <v>451324.81</v>
      </c>
      <c r="BE519" s="339">
        <v>454361.13</v>
      </c>
      <c r="BF519" s="339">
        <v>455298.68</v>
      </c>
      <c r="BG519" s="339">
        <v>460344.23830000003</v>
      </c>
      <c r="BH519" s="339">
        <v>463600.11</v>
      </c>
      <c r="BI519" s="339">
        <v>466315.06</v>
      </c>
      <c r="BJ519" s="339">
        <v>468663.84</v>
      </c>
      <c r="BK519" s="339">
        <v>471964.89</v>
      </c>
      <c r="BL519" s="339">
        <v>475987.18</v>
      </c>
      <c r="BM519" s="339">
        <v>665.27</v>
      </c>
      <c r="BN519" s="339">
        <v>0</v>
      </c>
      <c r="BO519" s="339">
        <v>0</v>
      </c>
      <c r="BP519" s="339">
        <v>0</v>
      </c>
      <c r="BQ519" s="339">
        <v>0</v>
      </c>
      <c r="BR519" s="339">
        <v>0</v>
      </c>
      <c r="BS519" s="110" t="e">
        <f t="array" aca="1" ref="BS519" ca="1">_xludf.XLOOKUP(D519,'PL TOTAL D0'!N:N,'PL TOTAL D0'!P:P,"")</f>
        <v>#NAME?</v>
      </c>
      <c r="BT519" s="110"/>
    </row>
    <row r="520" spans="1:72" ht="15.75" customHeight="1">
      <c r="A520" s="122" t="s">
        <v>3785</v>
      </c>
      <c r="B520" s="104" t="s">
        <v>5319</v>
      </c>
      <c r="C520" s="122" t="s">
        <v>5320</v>
      </c>
      <c r="D520" s="292">
        <v>4548330</v>
      </c>
      <c r="E520" s="293" t="s">
        <v>64</v>
      </c>
      <c r="F520" s="293" t="s">
        <v>20</v>
      </c>
      <c r="G520" s="293" t="s">
        <v>73</v>
      </c>
      <c r="H520" s="293" t="str">
        <f>IFERROR(VLOOKUP(G520,'Cadastro de assessores'!A:B,2,FALSE),"Não Cadastrado")</f>
        <v>17243</v>
      </c>
      <c r="I520" s="293"/>
      <c r="J520" s="24" t="s">
        <v>3788</v>
      </c>
      <c r="K520" s="292" t="s">
        <v>152</v>
      </c>
      <c r="L520" s="416">
        <v>44130</v>
      </c>
      <c r="M520" s="416">
        <v>44130</v>
      </c>
      <c r="N520" s="292"/>
      <c r="O520" s="292" t="s">
        <v>3795</v>
      </c>
      <c r="P520" s="388">
        <v>1.4999999999999999E-2</v>
      </c>
      <c r="Q520" s="420"/>
      <c r="R520" s="417"/>
      <c r="S520" s="292" t="str">
        <f t="shared" si="55"/>
        <v>Não Qualificado</v>
      </c>
      <c r="T520" s="292" t="s">
        <v>187</v>
      </c>
      <c r="U520" s="292" t="s">
        <v>3823</v>
      </c>
      <c r="V520" s="292" t="s">
        <v>20</v>
      </c>
      <c r="W520" s="418" t="s">
        <v>3798</v>
      </c>
      <c r="X520" s="418" t="s">
        <v>3798</v>
      </c>
      <c r="Y520" s="418" t="s">
        <v>3798</v>
      </c>
      <c r="Z520" s="418" t="s">
        <v>3798</v>
      </c>
      <c r="AA520" s="418" t="s">
        <v>3798</v>
      </c>
      <c r="AB520" s="418" t="s">
        <v>3798</v>
      </c>
      <c r="AC520" s="418" t="s">
        <v>3798</v>
      </c>
      <c r="AD520" s="418" t="s">
        <v>3798</v>
      </c>
      <c r="AE520" s="418" t="s">
        <v>3798</v>
      </c>
      <c r="AF520" s="418" t="s">
        <v>3798</v>
      </c>
      <c r="AG520" s="418" t="s">
        <v>3798</v>
      </c>
      <c r="AH520" s="418"/>
      <c r="AI520" s="418" t="s">
        <v>5321</v>
      </c>
      <c r="AJ520" s="418" t="s">
        <v>5322</v>
      </c>
      <c r="AK520" s="339"/>
      <c r="AL520" s="339">
        <v>154145.4</v>
      </c>
      <c r="AM520" s="339">
        <v>244503.55</v>
      </c>
      <c r="AN520" s="339">
        <v>245098.86</v>
      </c>
      <c r="AO520" s="339">
        <v>251631.13</v>
      </c>
      <c r="AP520" s="339">
        <v>253218.32</v>
      </c>
      <c r="AQ520" s="339">
        <v>252175.62</v>
      </c>
      <c r="AR520" s="339">
        <v>258354.28</v>
      </c>
      <c r="AS520" s="339">
        <v>256172.96</v>
      </c>
      <c r="AT520" s="339">
        <v>250902.41</v>
      </c>
      <c r="AU520" s="339">
        <v>249230.42</v>
      </c>
      <c r="AV520" s="339">
        <v>244969.86</v>
      </c>
      <c r="AW520" s="339">
        <v>237043.86</v>
      </c>
      <c r="AX520" s="339">
        <v>236709.21</v>
      </c>
      <c r="AY520" s="339">
        <v>239439.29</v>
      </c>
      <c r="AZ520" s="339">
        <v>247715.95</v>
      </c>
      <c r="BA520" s="339">
        <v>249710.25</v>
      </c>
      <c r="BB520" s="339">
        <v>207.49</v>
      </c>
      <c r="BC520" s="339">
        <v>284559.64</v>
      </c>
      <c r="BD520" s="339">
        <v>208.09</v>
      </c>
      <c r="BE520" s="339">
        <v>208.09</v>
      </c>
      <c r="BF520" s="339">
        <v>208.1</v>
      </c>
      <c r="BG520" s="339">
        <v>208.1</v>
      </c>
      <c r="BH520" s="339">
        <v>208.1</v>
      </c>
      <c r="BI520" s="339">
        <v>208.1</v>
      </c>
      <c r="BJ520" s="339">
        <v>208.1</v>
      </c>
      <c r="BK520" s="339">
        <v>208.1</v>
      </c>
      <c r="BL520" s="339">
        <v>208.1</v>
      </c>
      <c r="BM520" s="339">
        <v>208.1</v>
      </c>
      <c r="BN520" s="339">
        <v>208.1</v>
      </c>
      <c r="BO520" s="339">
        <v>208.1</v>
      </c>
      <c r="BP520" s="339">
        <v>208.1</v>
      </c>
      <c r="BQ520" s="339">
        <v>208.1</v>
      </c>
      <c r="BR520" s="339">
        <v>208.1</v>
      </c>
      <c r="BS520" s="110" t="e">
        <f t="array" aca="1" ref="BS520" ca="1">_xludf.XLOOKUP(D520,'PL TOTAL D0'!N:N,'PL TOTAL D0'!P:P,"")</f>
        <v>#NAME?</v>
      </c>
      <c r="BT520" s="110"/>
    </row>
    <row r="521" spans="1:72" ht="15.75" customHeight="1">
      <c r="A521" s="122" t="s">
        <v>3785</v>
      </c>
      <c r="B521" s="104" t="s">
        <v>5323</v>
      </c>
      <c r="C521" s="122" t="s">
        <v>5324</v>
      </c>
      <c r="D521" s="292">
        <v>4784067</v>
      </c>
      <c r="E521" s="292" t="s">
        <v>64</v>
      </c>
      <c r="F521" s="292" t="s">
        <v>20</v>
      </c>
      <c r="G521" s="292" t="s">
        <v>3853</v>
      </c>
      <c r="H521" s="292" t="str">
        <f>IFERROR(VLOOKUP(G521,'Cadastro de assessores'!A:B,2,FALSE),"Não Cadastrado")</f>
        <v>1441</v>
      </c>
      <c r="I521" s="292"/>
      <c r="J521" s="24" t="s">
        <v>143</v>
      </c>
      <c r="K521" s="292" t="s">
        <v>3794</v>
      </c>
      <c r="L521" s="387">
        <v>44215</v>
      </c>
      <c r="M521" s="387">
        <v>44215</v>
      </c>
      <c r="N521" s="387">
        <v>44291</v>
      </c>
      <c r="O521" s="292" t="s">
        <v>3789</v>
      </c>
      <c r="P521" s="388">
        <v>0.02</v>
      </c>
      <c r="Q521" s="420" t="s">
        <v>5325</v>
      </c>
      <c r="R521" s="417"/>
      <c r="S521" s="292" t="str">
        <f t="shared" si="55"/>
        <v/>
      </c>
      <c r="T521" s="299" t="s">
        <v>145</v>
      </c>
      <c r="U521" s="299" t="s">
        <v>3883</v>
      </c>
      <c r="V521" s="292" t="s">
        <v>3884</v>
      </c>
      <c r="W521" s="418"/>
      <c r="X521" s="418"/>
      <c r="Y521" s="418"/>
      <c r="Z521" s="418"/>
      <c r="AA521" s="418"/>
      <c r="AB521" s="418"/>
      <c r="AC521" s="418"/>
      <c r="AD521" s="418"/>
      <c r="AE521" s="418"/>
      <c r="AF521" s="418"/>
      <c r="AG521" s="418"/>
      <c r="AH521" s="418" t="s">
        <v>3798</v>
      </c>
      <c r="AI521" s="418" t="s">
        <v>5326</v>
      </c>
      <c r="AJ521" s="418" t="s">
        <v>5322</v>
      </c>
      <c r="AK521" s="339">
        <v>255998.06</v>
      </c>
      <c r="AL521" s="339">
        <v>154099.51</v>
      </c>
      <c r="AM521" s="339">
        <v>146187.71</v>
      </c>
      <c r="AN521" s="339">
        <v>147390.16</v>
      </c>
      <c r="AO521" s="339">
        <v>153417.37</v>
      </c>
      <c r="AP521" s="339"/>
      <c r="AQ521" s="339"/>
      <c r="AR521" s="339"/>
      <c r="AS521" s="339"/>
      <c r="AT521" s="339"/>
      <c r="AU521" s="339"/>
      <c r="AV521" s="339"/>
      <c r="AW521" s="339"/>
      <c r="AX521" s="339"/>
      <c r="AY521" s="339"/>
      <c r="AZ521" s="339"/>
      <c r="BA521" s="339">
        <v>0</v>
      </c>
      <c r="BB521" s="339">
        <v>0</v>
      </c>
      <c r="BC521" s="339">
        <v>0</v>
      </c>
      <c r="BD521" s="339" t="s">
        <v>2932</v>
      </c>
      <c r="BE521" s="339" t="s">
        <v>2932</v>
      </c>
      <c r="BF521" s="339">
        <v>0</v>
      </c>
      <c r="BG521" s="339">
        <v>0</v>
      </c>
      <c r="BH521" s="339">
        <v>0</v>
      </c>
      <c r="BI521" s="339">
        <v>0</v>
      </c>
      <c r="BJ521" s="339">
        <v>0</v>
      </c>
      <c r="BK521" s="339">
        <v>0</v>
      </c>
      <c r="BL521" s="339">
        <v>0</v>
      </c>
      <c r="BM521" s="339">
        <v>0</v>
      </c>
      <c r="BN521" s="339">
        <v>0</v>
      </c>
      <c r="BO521" s="339">
        <v>0</v>
      </c>
      <c r="BP521" s="339">
        <v>0</v>
      </c>
      <c r="BQ521" s="339">
        <v>0</v>
      </c>
      <c r="BR521" s="339">
        <v>0</v>
      </c>
      <c r="BS521" s="110" t="e">
        <f t="array" aca="1" ref="BS521" ca="1">_xludf.XLOOKUP(D521,'PL TOTAL D0'!N:N,'PL TOTAL D0'!P:P,"")</f>
        <v>#NAME?</v>
      </c>
      <c r="BT521" s="110"/>
    </row>
    <row r="522" spans="1:72" ht="15.75" customHeight="1">
      <c r="A522" s="122" t="s">
        <v>3785</v>
      </c>
      <c r="B522" s="104" t="s">
        <v>5327</v>
      </c>
      <c r="C522" s="122" t="s">
        <v>5328</v>
      </c>
      <c r="D522" s="292">
        <v>4809599</v>
      </c>
      <c r="E522" s="292" t="s">
        <v>19</v>
      </c>
      <c r="F522" s="292" t="s">
        <v>49</v>
      </c>
      <c r="G522" s="292" t="s">
        <v>328</v>
      </c>
      <c r="H522" s="292" t="str">
        <f>IFERROR(VLOOKUP(G522,'Cadastro de assessores'!A:B,2,FALSE),"Não Cadastrado")</f>
        <v>18009</v>
      </c>
      <c r="I522" s="292"/>
      <c r="J522" s="24" t="s">
        <v>143</v>
      </c>
      <c r="K522" s="292" t="s">
        <v>3794</v>
      </c>
      <c r="L522" s="387">
        <v>44229</v>
      </c>
      <c r="M522" s="387">
        <v>44229</v>
      </c>
      <c r="N522" s="387">
        <v>44683</v>
      </c>
      <c r="O522" s="292" t="s">
        <v>3789</v>
      </c>
      <c r="P522" s="388">
        <v>0.02</v>
      </c>
      <c r="Q522" s="420" t="s">
        <v>5329</v>
      </c>
      <c r="R522" s="417"/>
      <c r="S522" s="292" t="str">
        <f t="shared" si="55"/>
        <v>Não Qualificado</v>
      </c>
      <c r="T522" s="292" t="s">
        <v>145</v>
      </c>
      <c r="U522" s="299" t="s">
        <v>3883</v>
      </c>
      <c r="V522" s="292" t="s">
        <v>3884</v>
      </c>
      <c r="W522" s="418"/>
      <c r="X522" s="418"/>
      <c r="Y522" s="418"/>
      <c r="Z522" s="418"/>
      <c r="AA522" s="418"/>
      <c r="AB522" s="418"/>
      <c r="AC522" s="418"/>
      <c r="AD522" s="418"/>
      <c r="AE522" s="418"/>
      <c r="AF522" s="418"/>
      <c r="AG522" s="418"/>
      <c r="AH522" s="418"/>
      <c r="AI522" s="418"/>
      <c r="AJ522" s="418"/>
      <c r="AK522" s="339"/>
      <c r="AL522" s="339"/>
      <c r="AM522" s="339">
        <v>106868.39</v>
      </c>
      <c r="AN522" s="339">
        <v>107082.31</v>
      </c>
      <c r="AO522" s="339">
        <v>112400.21</v>
      </c>
      <c r="AP522" s="339">
        <v>113441.29</v>
      </c>
      <c r="AQ522" s="339">
        <v>112654.82</v>
      </c>
      <c r="AR522" s="339">
        <v>147557.35999999999</v>
      </c>
      <c r="AS522" s="339">
        <v>146912.26999999999</v>
      </c>
      <c r="AT522" s="339">
        <v>142068.42000000001</v>
      </c>
      <c r="AU522" s="339">
        <v>160332.18</v>
      </c>
      <c r="AV522" s="339">
        <v>155986.19</v>
      </c>
      <c r="AW522" s="339">
        <v>146703.13</v>
      </c>
      <c r="AX522" s="339">
        <v>145825.26</v>
      </c>
      <c r="AY522" s="339">
        <v>147902.17000000001</v>
      </c>
      <c r="AZ522" s="339">
        <v>153055.23000000001</v>
      </c>
      <c r="BA522" s="339">
        <v>153873.5</v>
      </c>
      <c r="BB522" s="339">
        <v>161785.37</v>
      </c>
      <c r="BC522" s="339">
        <v>761666.51</v>
      </c>
      <c r="BD522" s="339" t="s">
        <v>2932</v>
      </c>
      <c r="BE522" s="339" t="s">
        <v>2932</v>
      </c>
      <c r="BF522" s="339">
        <v>0</v>
      </c>
      <c r="BG522" s="339">
        <v>0</v>
      </c>
      <c r="BH522" s="339">
        <v>0</v>
      </c>
      <c r="BI522" s="339">
        <v>0</v>
      </c>
      <c r="BJ522" s="339">
        <v>0</v>
      </c>
      <c r="BK522" s="339">
        <v>0</v>
      </c>
      <c r="BL522" s="339">
        <v>0</v>
      </c>
      <c r="BM522" s="339">
        <v>0</v>
      </c>
      <c r="BN522" s="339">
        <v>0</v>
      </c>
      <c r="BO522" s="339">
        <v>0</v>
      </c>
      <c r="BP522" s="339">
        <v>0</v>
      </c>
      <c r="BQ522" s="339">
        <v>0</v>
      </c>
      <c r="BR522" s="339">
        <v>0</v>
      </c>
      <c r="BS522" s="110" t="e">
        <f t="array" aca="1" ref="BS522" ca="1">_xludf.XLOOKUP(D522,'PL TOTAL D0'!N:N,'PL TOTAL D0'!P:P,"")</f>
        <v>#NAME?</v>
      </c>
      <c r="BT522" s="110"/>
    </row>
    <row r="523" spans="1:72" ht="15.75" customHeight="1">
      <c r="A523" s="122" t="s">
        <v>3785</v>
      </c>
      <c r="B523" s="104" t="s">
        <v>5327</v>
      </c>
      <c r="C523" s="122" t="s">
        <v>5328</v>
      </c>
      <c r="D523" s="292">
        <v>4900263</v>
      </c>
      <c r="E523" s="292" t="s">
        <v>19</v>
      </c>
      <c r="F523" s="292" t="s">
        <v>49</v>
      </c>
      <c r="G523" s="292" t="s">
        <v>328</v>
      </c>
      <c r="H523" s="292" t="str">
        <f>IFERROR(VLOOKUP(G523,'Cadastro de assessores'!A:B,2,FALSE),"Não Cadastrado")</f>
        <v>18009</v>
      </c>
      <c r="I523" s="292"/>
      <c r="J523" s="24" t="s">
        <v>143</v>
      </c>
      <c r="K523" s="292" t="s">
        <v>3794</v>
      </c>
      <c r="L523" s="292" t="s">
        <v>3638</v>
      </c>
      <c r="M523" s="292" t="s">
        <v>3638</v>
      </c>
      <c r="N523" s="387">
        <v>44683</v>
      </c>
      <c r="O523" s="299" t="s">
        <v>3842</v>
      </c>
      <c r="P523" s="388">
        <v>8.0000000000000002E-3</v>
      </c>
      <c r="Q523" s="420" t="s">
        <v>5329</v>
      </c>
      <c r="R523" s="417"/>
      <c r="S523" s="292" t="str">
        <f t="shared" si="55"/>
        <v>Não Qualificado</v>
      </c>
      <c r="T523" s="292" t="s">
        <v>145</v>
      </c>
      <c r="U523" s="299" t="s">
        <v>3883</v>
      </c>
      <c r="V523" s="292" t="s">
        <v>3884</v>
      </c>
      <c r="W523" s="418"/>
      <c r="X523" s="418"/>
      <c r="Y523" s="418"/>
      <c r="Z523" s="418"/>
      <c r="AA523" s="418"/>
      <c r="AB523" s="418"/>
      <c r="AC523" s="418"/>
      <c r="AD523" s="418"/>
      <c r="AE523" s="418"/>
      <c r="AF523" s="418"/>
      <c r="AG523" s="418"/>
      <c r="AH523" s="418"/>
      <c r="AI523" s="418"/>
      <c r="AJ523" s="418"/>
      <c r="AK523" s="339"/>
      <c r="AL523" s="339"/>
      <c r="AM523" s="339"/>
      <c r="AN523" s="339" t="s">
        <v>3147</v>
      </c>
      <c r="AO523" s="339"/>
      <c r="AP523" s="339"/>
      <c r="AQ523" s="339"/>
      <c r="AR523" s="339"/>
      <c r="AS523" s="339"/>
      <c r="AT523" s="339"/>
      <c r="AU523" s="339"/>
      <c r="AV523" s="339"/>
      <c r="AW523" s="339"/>
      <c r="AX523" s="339"/>
      <c r="AY523" s="339"/>
      <c r="AZ523" s="339"/>
      <c r="BA523" s="339">
        <v>0</v>
      </c>
      <c r="BB523" s="339">
        <v>0</v>
      </c>
      <c r="BC523" s="339">
        <v>710231.14</v>
      </c>
      <c r="BD523" s="339" t="s">
        <v>2932</v>
      </c>
      <c r="BE523" s="339" t="s">
        <v>2932</v>
      </c>
      <c r="BF523" s="339">
        <v>0</v>
      </c>
      <c r="BG523" s="339">
        <v>0</v>
      </c>
      <c r="BH523" s="339">
        <v>0</v>
      </c>
      <c r="BI523" s="339">
        <v>0</v>
      </c>
      <c r="BJ523" s="339">
        <v>0</v>
      </c>
      <c r="BK523" s="339">
        <v>0</v>
      </c>
      <c r="BL523" s="339">
        <v>0</v>
      </c>
      <c r="BM523" s="339">
        <v>0</v>
      </c>
      <c r="BN523" s="339">
        <v>0</v>
      </c>
      <c r="BO523" s="339">
        <v>0</v>
      </c>
      <c r="BP523" s="339">
        <v>0</v>
      </c>
      <c r="BQ523" s="339">
        <v>0</v>
      </c>
      <c r="BR523" s="339">
        <v>0</v>
      </c>
      <c r="BS523" s="110" t="e">
        <f t="array" aca="1" ref="BS523" ca="1">_xludf.XLOOKUP(D523,'PL TOTAL D0'!N:N,'PL TOTAL D0'!P:P,"")</f>
        <v>#NAME?</v>
      </c>
      <c r="BT523" s="110"/>
    </row>
    <row r="524" spans="1:72" ht="15.75" customHeight="1">
      <c r="A524" s="122" t="s">
        <v>3785</v>
      </c>
      <c r="B524" s="104" t="s">
        <v>5330</v>
      </c>
      <c r="C524" s="390" t="s">
        <v>5331</v>
      </c>
      <c r="D524" s="299">
        <v>4458091</v>
      </c>
      <c r="E524" s="293" t="s">
        <v>19</v>
      </c>
      <c r="F524" s="293" t="s">
        <v>20</v>
      </c>
      <c r="G524" s="293" t="s">
        <v>3159</v>
      </c>
      <c r="H524" s="293" t="str">
        <f>IFERROR(VLOOKUP(G524,'Cadastro de assessores'!A:B,2,FALSE),"Não Cadastrado")</f>
        <v>13444</v>
      </c>
      <c r="I524" s="293"/>
      <c r="J524" s="24" t="s">
        <v>3788</v>
      </c>
      <c r="K524" s="293" t="s">
        <v>152</v>
      </c>
      <c r="L524" s="415">
        <v>44372</v>
      </c>
      <c r="M524" s="415">
        <v>44372</v>
      </c>
      <c r="N524" s="299"/>
      <c r="O524" s="299" t="s">
        <v>4019</v>
      </c>
      <c r="P524" s="388">
        <v>0.02</v>
      </c>
      <c r="Q524" s="167"/>
      <c r="R524" s="417"/>
      <c r="S524" s="292" t="str">
        <f t="shared" si="55"/>
        <v/>
      </c>
      <c r="T524" s="292" t="s">
        <v>187</v>
      </c>
      <c r="U524" s="299" t="s">
        <v>4020</v>
      </c>
      <c r="V524" s="299" t="s">
        <v>60</v>
      </c>
      <c r="W524" s="350"/>
      <c r="X524" s="350"/>
      <c r="Y524" s="350"/>
      <c r="Z524" s="350"/>
      <c r="AA524" s="350"/>
      <c r="AB524" s="350"/>
      <c r="AC524" s="350"/>
      <c r="AD524" s="350"/>
      <c r="AE524" s="350"/>
      <c r="AF524" s="350"/>
      <c r="AG524" s="350"/>
      <c r="AH524" s="350"/>
      <c r="AI524" s="418"/>
      <c r="AJ524" s="339"/>
      <c r="AK524" s="339"/>
      <c r="AL524" s="339"/>
      <c r="AM524" s="339"/>
      <c r="AN524" s="339"/>
      <c r="AO524" s="339"/>
      <c r="AP524" s="339"/>
      <c r="AQ524" s="339"/>
      <c r="AR524" s="350"/>
      <c r="AS524" s="339">
        <v>204883.83</v>
      </c>
      <c r="AT524" s="339">
        <v>191556.99</v>
      </c>
      <c r="AU524" s="339">
        <v>188033.32</v>
      </c>
      <c r="AV524" s="339">
        <v>176053.49</v>
      </c>
      <c r="AW524" s="339">
        <v>158038.85999999999</v>
      </c>
      <c r="AX524" s="339">
        <v>144316.35999999999</v>
      </c>
      <c r="AY524" s="339">
        <v>149421.76000000001</v>
      </c>
      <c r="AZ524" s="339">
        <v>155037.35</v>
      </c>
      <c r="BA524" s="339">
        <v>159439.99</v>
      </c>
      <c r="BB524" s="339">
        <v>168050.41</v>
      </c>
      <c r="BC524" s="339"/>
      <c r="BD524" s="339">
        <v>160034.17000000001</v>
      </c>
      <c r="BE524" s="339">
        <v>136631.26</v>
      </c>
      <c r="BF524" s="339">
        <v>116289.73</v>
      </c>
      <c r="BG524" s="339">
        <v>122764.66</v>
      </c>
      <c r="BH524" s="339">
        <v>601.27</v>
      </c>
      <c r="BI524" s="339">
        <v>1430.43</v>
      </c>
      <c r="BJ524" s="339">
        <v>535.51</v>
      </c>
      <c r="BK524" s="339">
        <v>638.45000000000005</v>
      </c>
      <c r="BL524" s="339">
        <v>530.04</v>
      </c>
      <c r="BM524" s="339">
        <v>532.41</v>
      </c>
      <c r="BN524" s="339">
        <v>533.4</v>
      </c>
      <c r="BO524" s="339">
        <v>0</v>
      </c>
      <c r="BP524" s="339">
        <v>5.56</v>
      </c>
      <c r="BQ524" s="339">
        <v>5.56</v>
      </c>
      <c r="BR524" s="339">
        <v>5.56</v>
      </c>
      <c r="BS524" s="110" t="e">
        <f t="array" aca="1" ref="BS524" ca="1">_xludf.XLOOKUP(D524,'PL TOTAL D0'!N:N,'PL TOTAL D0'!P:P,"")</f>
        <v>#NAME?</v>
      </c>
      <c r="BT524" s="110"/>
    </row>
    <row r="525" spans="1:72" ht="15.75" customHeight="1">
      <c r="A525" s="122" t="s">
        <v>3785</v>
      </c>
      <c r="B525" s="104" t="s">
        <v>5332</v>
      </c>
      <c r="C525" s="122" t="s">
        <v>5333</v>
      </c>
      <c r="D525" s="292">
        <v>4729728</v>
      </c>
      <c r="E525" s="293" t="s">
        <v>64</v>
      </c>
      <c r="F525" s="293" t="s">
        <v>20</v>
      </c>
      <c r="G525" s="293" t="s">
        <v>4058</v>
      </c>
      <c r="H525" s="293" t="str">
        <f>IFERROR(VLOOKUP(G525,'Cadastro de assessores'!A:B,2,FALSE),"Não Cadastrado")</f>
        <v>19634</v>
      </c>
      <c r="I525" s="293"/>
      <c r="J525" s="24" t="s">
        <v>143</v>
      </c>
      <c r="K525" s="293" t="s">
        <v>152</v>
      </c>
      <c r="L525" s="415">
        <v>44203</v>
      </c>
      <c r="M525" s="415">
        <v>44203</v>
      </c>
      <c r="N525" s="419">
        <v>44911</v>
      </c>
      <c r="O525" s="292" t="s">
        <v>3795</v>
      </c>
      <c r="P525" s="388">
        <v>1.4999999999999999E-2</v>
      </c>
      <c r="Q525" s="420" t="s">
        <v>5334</v>
      </c>
      <c r="R525" s="417"/>
      <c r="S525" s="292" t="str">
        <f t="shared" si="55"/>
        <v>Não Qualificado</v>
      </c>
      <c r="T525" s="292" t="s">
        <v>145</v>
      </c>
      <c r="U525" s="292" t="s">
        <v>3797</v>
      </c>
      <c r="V525" s="292" t="s">
        <v>20</v>
      </c>
      <c r="W525" s="418"/>
      <c r="X525" s="418"/>
      <c r="Y525" s="418"/>
      <c r="Z525" s="418"/>
      <c r="AA525" s="418"/>
      <c r="AB525" s="418"/>
      <c r="AC525" s="418"/>
      <c r="AD525" s="418"/>
      <c r="AE525" s="418"/>
      <c r="AF525" s="418"/>
      <c r="AG525" s="418"/>
      <c r="AH525" s="418"/>
      <c r="AI525" s="418"/>
      <c r="AJ525" s="418"/>
      <c r="AK525" s="339"/>
      <c r="AL525" s="339">
        <v>295739.94</v>
      </c>
      <c r="AM525" s="339">
        <v>288456.94</v>
      </c>
      <c r="AN525" s="339">
        <v>288843.33</v>
      </c>
      <c r="AO525" s="339">
        <v>296604.46999999997</v>
      </c>
      <c r="AP525" s="339">
        <v>278429.59000000003</v>
      </c>
      <c r="AQ525" s="339">
        <v>277305.68</v>
      </c>
      <c r="AR525" s="339">
        <v>284024.73</v>
      </c>
      <c r="AS525" s="339">
        <v>281782.78999999998</v>
      </c>
      <c r="AT525" s="339">
        <v>210819.47</v>
      </c>
      <c r="AU525" s="339">
        <v>209173.29</v>
      </c>
      <c r="AV525" s="339">
        <v>205286.54</v>
      </c>
      <c r="AW525" s="339">
        <v>198545.31</v>
      </c>
      <c r="AX525" s="339">
        <v>199144.53</v>
      </c>
      <c r="AY525" s="339">
        <v>201544.88</v>
      </c>
      <c r="AZ525" s="339">
        <v>207486.83</v>
      </c>
      <c r="BA525" s="339">
        <v>208782.34</v>
      </c>
      <c r="BB525" s="339">
        <v>161242.07999999999</v>
      </c>
      <c r="BC525" s="339">
        <v>697132.67</v>
      </c>
      <c r="BD525" s="339">
        <v>107329.17</v>
      </c>
      <c r="BE525" s="339">
        <v>105474.84</v>
      </c>
      <c r="BF525" s="339">
        <v>109316.66</v>
      </c>
      <c r="BG525" s="339">
        <v>110615.09970000001</v>
      </c>
      <c r="BH525" s="339">
        <v>110540.34</v>
      </c>
      <c r="BI525" s="339">
        <v>117222.67</v>
      </c>
      <c r="BJ525" s="339">
        <v>115136.1</v>
      </c>
      <c r="BK525" s="339">
        <v>0</v>
      </c>
      <c r="BL525" s="339">
        <v>0</v>
      </c>
      <c r="BM525" s="339">
        <v>0</v>
      </c>
      <c r="BN525" s="339">
        <v>0</v>
      </c>
      <c r="BO525" s="339">
        <v>0</v>
      </c>
      <c r="BP525" s="339">
        <v>0</v>
      </c>
      <c r="BQ525" s="339">
        <v>0</v>
      </c>
      <c r="BR525" s="339">
        <v>0</v>
      </c>
      <c r="BS525" s="110" t="e">
        <f t="array" aca="1" ref="BS525" ca="1">_xludf.XLOOKUP(D525,'PL TOTAL D0'!N:N,'PL TOTAL D0'!P:P,"")</f>
        <v>#NAME?</v>
      </c>
      <c r="BT525" s="110"/>
    </row>
    <row r="526" spans="1:72" ht="15.75" customHeight="1">
      <c r="A526" s="122" t="s">
        <v>3785</v>
      </c>
      <c r="B526" s="104" t="s">
        <v>5335</v>
      </c>
      <c r="C526" s="390" t="s">
        <v>5336</v>
      </c>
      <c r="D526" s="299">
        <v>6104436</v>
      </c>
      <c r="E526" s="292" t="s">
        <v>19</v>
      </c>
      <c r="F526" s="292" t="s">
        <v>49</v>
      </c>
      <c r="G526" s="292" t="s">
        <v>4134</v>
      </c>
      <c r="H526" s="292" t="str">
        <f>IFERROR(VLOOKUP(G526,'Cadastro de assessores'!A:B,2,FALSE),"Não Cadastrado")</f>
        <v>14294</v>
      </c>
      <c r="I526" s="292"/>
      <c r="J526" s="24" t="s">
        <v>143</v>
      </c>
      <c r="K526" s="292" t="s">
        <v>3794</v>
      </c>
      <c r="L526" s="387">
        <v>44420</v>
      </c>
      <c r="M526" s="387">
        <v>44420</v>
      </c>
      <c r="N526" s="387">
        <v>44812</v>
      </c>
      <c r="O526" s="292" t="s">
        <v>3805</v>
      </c>
      <c r="P526" s="388">
        <v>1.2E-2</v>
      </c>
      <c r="Q526" s="167" t="s">
        <v>5337</v>
      </c>
      <c r="R526" s="417"/>
      <c r="S526" s="292" t="str">
        <f t="shared" si="55"/>
        <v>Não Qualificado</v>
      </c>
      <c r="T526" s="292" t="s">
        <v>145</v>
      </c>
      <c r="U526" s="299" t="s">
        <v>3883</v>
      </c>
      <c r="V526" s="292" t="s">
        <v>3884</v>
      </c>
      <c r="W526" s="350"/>
      <c r="X526" s="350"/>
      <c r="Y526" s="350"/>
      <c r="Z526" s="350"/>
      <c r="AA526" s="350"/>
      <c r="AB526" s="350"/>
      <c r="AC526" s="350"/>
      <c r="AD526" s="350"/>
      <c r="AE526" s="350"/>
      <c r="AF526" s="350"/>
      <c r="AG526" s="350"/>
      <c r="AH526" s="418"/>
      <c r="AI526" s="418"/>
      <c r="AJ526" s="339"/>
      <c r="AK526" s="339"/>
      <c r="AL526" s="339"/>
      <c r="AM526" s="339"/>
      <c r="AN526" s="339"/>
      <c r="AO526" s="339"/>
      <c r="AP526" s="339"/>
      <c r="AQ526" s="339"/>
      <c r="AR526" s="339"/>
      <c r="AS526" s="431"/>
      <c r="AT526" s="340"/>
      <c r="AU526" s="340">
        <v>201499.55</v>
      </c>
      <c r="AV526" s="339">
        <v>200530.9</v>
      </c>
      <c r="AW526" s="339">
        <v>198258.04</v>
      </c>
      <c r="AX526" s="339">
        <v>199225.9</v>
      </c>
      <c r="AY526" s="339">
        <v>201108.71</v>
      </c>
      <c r="AZ526" s="339">
        <v>205260.98</v>
      </c>
      <c r="BA526" s="339">
        <v>206737.19</v>
      </c>
      <c r="BB526" s="339">
        <v>211411.92</v>
      </c>
      <c r="BC526" s="339">
        <v>639711.96</v>
      </c>
      <c r="BD526" s="339">
        <v>211811.01</v>
      </c>
      <c r="BE526" s="339">
        <v>212239.47</v>
      </c>
      <c r="BF526" s="339">
        <v>215271.44</v>
      </c>
      <c r="BG526" s="339">
        <v>216872.78630000001</v>
      </c>
      <c r="BH526" s="339">
        <v>0</v>
      </c>
      <c r="BI526" s="339">
        <v>0</v>
      </c>
      <c r="BJ526" s="339">
        <v>0</v>
      </c>
      <c r="BK526" s="339">
        <v>0</v>
      </c>
      <c r="BL526" s="339">
        <v>0</v>
      </c>
      <c r="BM526" s="339">
        <v>0</v>
      </c>
      <c r="BN526" s="339">
        <v>0</v>
      </c>
      <c r="BO526" s="339">
        <v>0</v>
      </c>
      <c r="BP526" s="339">
        <v>0</v>
      </c>
      <c r="BQ526" s="339">
        <v>0</v>
      </c>
      <c r="BR526" s="339">
        <v>0</v>
      </c>
      <c r="BS526" s="110" t="e">
        <f t="array" aca="1" ref="BS526" ca="1">_xludf.XLOOKUP(D526,'PL TOTAL D0'!N:N,'PL TOTAL D0'!P:P,"")</f>
        <v>#NAME?</v>
      </c>
      <c r="BT526" s="110"/>
    </row>
    <row r="527" spans="1:72" ht="15.75" customHeight="1">
      <c r="A527" s="122" t="s">
        <v>3785</v>
      </c>
      <c r="B527" s="104" t="s">
        <v>5338</v>
      </c>
      <c r="C527" s="122" t="s">
        <v>5339</v>
      </c>
      <c r="D527" s="292">
        <v>3608409</v>
      </c>
      <c r="E527" s="292" t="s">
        <v>64</v>
      </c>
      <c r="F527" s="292" t="s">
        <v>20</v>
      </c>
      <c r="G527" s="292" t="s">
        <v>4128</v>
      </c>
      <c r="H527" s="292" t="str">
        <f>IFERROR(VLOOKUP(G527,'Cadastro de assessores'!A:B,2,FALSE),"Não Cadastrado")</f>
        <v>17489</v>
      </c>
      <c r="I527" s="292"/>
      <c r="J527" s="24" t="s">
        <v>143</v>
      </c>
      <c r="K527" s="292" t="s">
        <v>3794</v>
      </c>
      <c r="L527" s="387">
        <v>44092</v>
      </c>
      <c r="M527" s="387">
        <v>44092</v>
      </c>
      <c r="N527" s="419">
        <v>44490</v>
      </c>
      <c r="O527" s="292" t="s">
        <v>3789</v>
      </c>
      <c r="P527" s="388">
        <v>0.02</v>
      </c>
      <c r="Q527" s="420" t="s">
        <v>5340</v>
      </c>
      <c r="R527" s="417"/>
      <c r="S527" s="292" t="str">
        <f t="shared" si="55"/>
        <v>Não Qualificado</v>
      </c>
      <c r="T527" s="292" t="s">
        <v>145</v>
      </c>
      <c r="U527" s="292" t="s">
        <v>3816</v>
      </c>
      <c r="V527" s="292" t="s">
        <v>20</v>
      </c>
      <c r="W527" s="418" t="s">
        <v>3798</v>
      </c>
      <c r="X527" s="418" t="s">
        <v>3798</v>
      </c>
      <c r="Y527" s="418" t="s">
        <v>3798</v>
      </c>
      <c r="Z527" s="418" t="s">
        <v>3798</v>
      </c>
      <c r="AA527" s="418" t="s">
        <v>3798</v>
      </c>
      <c r="AB527" s="418" t="s">
        <v>3798</v>
      </c>
      <c r="AC527" s="418" t="s">
        <v>3798</v>
      </c>
      <c r="AD527" s="418" t="s">
        <v>3798</v>
      </c>
      <c r="AE527" s="418" t="s">
        <v>3798</v>
      </c>
      <c r="AF527" s="418" t="s">
        <v>3798</v>
      </c>
      <c r="AG527" s="418" t="s">
        <v>3798</v>
      </c>
      <c r="AH527" s="418" t="s">
        <v>5341</v>
      </c>
      <c r="AI527" s="418" t="s">
        <v>5342</v>
      </c>
      <c r="AJ527" s="418" t="s">
        <v>5343</v>
      </c>
      <c r="AK527" s="339">
        <v>882078.05</v>
      </c>
      <c r="AL527" s="339">
        <v>854224.36</v>
      </c>
      <c r="AM527" s="339">
        <v>790881.3</v>
      </c>
      <c r="AN527" s="339">
        <v>787131.12</v>
      </c>
      <c r="AO527" s="339">
        <v>818109.02</v>
      </c>
      <c r="AP527" s="339">
        <v>823708.23</v>
      </c>
      <c r="AQ527" s="339">
        <v>818336</v>
      </c>
      <c r="AR527" s="339">
        <v>846781.25</v>
      </c>
      <c r="AS527" s="339">
        <v>831196.66</v>
      </c>
      <c r="AT527" s="339">
        <v>805903.08</v>
      </c>
      <c r="AU527" s="339">
        <v>802434.71</v>
      </c>
      <c r="AV527" s="339">
        <v>775537.05</v>
      </c>
      <c r="AW527" s="339">
        <v>643686.40000000002</v>
      </c>
      <c r="AX527" s="339"/>
      <c r="AY527" s="339"/>
      <c r="AZ527" s="339"/>
      <c r="BA527" s="339">
        <v>0</v>
      </c>
      <c r="BB527" s="339">
        <v>0</v>
      </c>
      <c r="BC527" s="339">
        <v>890155.82</v>
      </c>
      <c r="BD527" s="339" t="s">
        <v>2932</v>
      </c>
      <c r="BE527" s="339" t="s">
        <v>2932</v>
      </c>
      <c r="BF527" s="339">
        <v>0</v>
      </c>
      <c r="BG527" s="339">
        <v>0</v>
      </c>
      <c r="BH527" s="339">
        <v>0</v>
      </c>
      <c r="BI527" s="339">
        <v>0</v>
      </c>
      <c r="BJ527" s="339">
        <v>0</v>
      </c>
      <c r="BK527" s="339">
        <v>0</v>
      </c>
      <c r="BL527" s="339">
        <v>0</v>
      </c>
      <c r="BM527" s="339">
        <v>0</v>
      </c>
      <c r="BN527" s="339">
        <v>0</v>
      </c>
      <c r="BO527" s="339">
        <v>0</v>
      </c>
      <c r="BP527" s="339">
        <v>0</v>
      </c>
      <c r="BQ527" s="339">
        <v>0</v>
      </c>
      <c r="BR527" s="339">
        <v>0</v>
      </c>
      <c r="BS527" s="110" t="e">
        <f t="array" aca="1" ref="BS527" ca="1">_xludf.XLOOKUP(D527,'PL TOTAL D0'!N:N,'PL TOTAL D0'!P:P,"")</f>
        <v>#NAME?</v>
      </c>
      <c r="BT527" s="110"/>
    </row>
    <row r="528" spans="1:72" ht="15.75" customHeight="1">
      <c r="A528" s="122" t="s">
        <v>3785</v>
      </c>
      <c r="B528" s="104" t="s">
        <v>5344</v>
      </c>
      <c r="C528" s="486" t="s">
        <v>5345</v>
      </c>
      <c r="D528" s="292">
        <v>4465050</v>
      </c>
      <c r="E528" s="293" t="s">
        <v>19</v>
      </c>
      <c r="F528" s="293" t="s">
        <v>49</v>
      </c>
      <c r="G528" s="293" t="s">
        <v>328</v>
      </c>
      <c r="H528" s="293" t="str">
        <f>IFERROR(VLOOKUP(G528,'Cadastro de assessores'!A:B,2,FALSE),"Não Cadastrado")</f>
        <v>18009</v>
      </c>
      <c r="I528" s="293"/>
      <c r="J528" s="24" t="s">
        <v>143</v>
      </c>
      <c r="K528" s="292" t="s">
        <v>3794</v>
      </c>
      <c r="L528" s="415">
        <v>44103</v>
      </c>
      <c r="M528" s="415">
        <v>44104</v>
      </c>
      <c r="N528" s="292"/>
      <c r="O528" s="292" t="s">
        <v>3795</v>
      </c>
      <c r="P528" s="388">
        <v>1.4999999999999999E-2</v>
      </c>
      <c r="Q528" s="484" t="s">
        <v>5346</v>
      </c>
      <c r="R528" s="417"/>
      <c r="S528" s="292" t="str">
        <f t="shared" si="55"/>
        <v/>
      </c>
      <c r="T528" s="292" t="s">
        <v>145</v>
      </c>
      <c r="U528" s="292" t="s">
        <v>3797</v>
      </c>
      <c r="V528" s="292" t="s">
        <v>20</v>
      </c>
      <c r="W528" s="418" t="s">
        <v>3798</v>
      </c>
      <c r="X528" s="418" t="s">
        <v>3798</v>
      </c>
      <c r="Y528" s="418" t="s">
        <v>3798</v>
      </c>
      <c r="Z528" s="418" t="s">
        <v>3798</v>
      </c>
      <c r="AA528" s="418" t="s">
        <v>3798</v>
      </c>
      <c r="AB528" s="418" t="s">
        <v>3798</v>
      </c>
      <c r="AC528" s="418" t="s">
        <v>3798</v>
      </c>
      <c r="AD528" s="418" t="s">
        <v>3798</v>
      </c>
      <c r="AE528" s="418" t="s">
        <v>3798</v>
      </c>
      <c r="AF528" s="418" t="s">
        <v>3798</v>
      </c>
      <c r="AG528" s="418" t="s">
        <v>3798</v>
      </c>
      <c r="AH528" s="418" t="s">
        <v>5347</v>
      </c>
      <c r="AI528" s="418" t="s">
        <v>5348</v>
      </c>
      <c r="AJ528" s="418" t="s">
        <v>5349</v>
      </c>
      <c r="AK528" s="339">
        <v>4131996.4</v>
      </c>
      <c r="AL528" s="339">
        <v>4077407.13</v>
      </c>
      <c r="AM528" s="339">
        <v>3954103.56</v>
      </c>
      <c r="AN528" s="339">
        <v>3965210.51</v>
      </c>
      <c r="AO528" s="339">
        <v>4062014.82</v>
      </c>
      <c r="AP528" s="339">
        <v>4090647.35</v>
      </c>
      <c r="AQ528" s="339">
        <v>4071830.03</v>
      </c>
      <c r="AR528" s="339">
        <v>4176600.85</v>
      </c>
      <c r="AS528" s="339">
        <v>4141846.57</v>
      </c>
      <c r="AT528" s="339">
        <v>4053503.17</v>
      </c>
      <c r="AU528" s="339">
        <v>4024690.62</v>
      </c>
      <c r="AV528" s="339">
        <v>3973444.68</v>
      </c>
      <c r="AW528" s="339">
        <v>3779498.87</v>
      </c>
      <c r="AX528" s="339">
        <v>3786371.87</v>
      </c>
      <c r="AY528" s="339">
        <v>3838450.87</v>
      </c>
      <c r="AZ528" s="339">
        <v>3951805.33</v>
      </c>
      <c r="BA528" s="339">
        <v>3976460.77</v>
      </c>
      <c r="BB528" s="339">
        <v>4125382.15</v>
      </c>
      <c r="BC528" s="339">
        <v>0</v>
      </c>
      <c r="BD528" s="339">
        <v>4132115.16</v>
      </c>
      <c r="BE528" s="339">
        <v>4111979.93</v>
      </c>
      <c r="BF528" s="339">
        <v>4188894.14</v>
      </c>
      <c r="BG528" s="339">
        <v>4221619.6849999996</v>
      </c>
      <c r="BH528" s="339">
        <v>4237705.55</v>
      </c>
      <c r="BI528" s="339">
        <v>4379189.7300000004</v>
      </c>
      <c r="BJ528" s="339">
        <v>4365751.6100000003</v>
      </c>
      <c r="BK528" s="339">
        <v>4389200.51</v>
      </c>
      <c r="BL528" s="339">
        <v>515.53</v>
      </c>
      <c r="BM528" s="339">
        <v>0</v>
      </c>
      <c r="BN528" s="339">
        <v>0</v>
      </c>
      <c r="BO528" s="339">
        <v>0</v>
      </c>
      <c r="BP528" s="339">
        <v>0</v>
      </c>
      <c r="BQ528" s="339">
        <v>0</v>
      </c>
      <c r="BR528" s="339">
        <v>0</v>
      </c>
      <c r="BS528" s="110" t="e">
        <f t="array" aca="1" ref="BS528" ca="1">_xludf.XLOOKUP(D528,'PL TOTAL D0'!N:N,'PL TOTAL D0'!P:P,"")</f>
        <v>#NAME?</v>
      </c>
      <c r="BT528" s="110"/>
    </row>
    <row r="529" spans="1:72" ht="15.75" customHeight="1">
      <c r="A529" s="122" t="s">
        <v>3785</v>
      </c>
      <c r="B529" s="104" t="s">
        <v>5350</v>
      </c>
      <c r="C529" s="390" t="s">
        <v>5351</v>
      </c>
      <c r="D529" s="299">
        <v>5678151</v>
      </c>
      <c r="E529" s="292" t="s">
        <v>64</v>
      </c>
      <c r="F529" s="292" t="s">
        <v>20</v>
      </c>
      <c r="G529" s="292" t="s">
        <v>4451</v>
      </c>
      <c r="H529" s="292" t="str">
        <f>IFERROR(VLOOKUP(G529,'Cadastro de assessores'!A:B,2,FALSE),"Não Cadastrado")</f>
        <v>14091</v>
      </c>
      <c r="I529" s="292"/>
      <c r="J529" s="24" t="s">
        <v>143</v>
      </c>
      <c r="K529" s="292" t="s">
        <v>3794</v>
      </c>
      <c r="L529" s="387">
        <v>44397</v>
      </c>
      <c r="M529" s="387">
        <v>44397</v>
      </c>
      <c r="N529" s="387">
        <v>44473</v>
      </c>
      <c r="O529" s="292" t="s">
        <v>3805</v>
      </c>
      <c r="P529" s="388">
        <v>1.2E-2</v>
      </c>
      <c r="Q529" s="420" t="s">
        <v>3826</v>
      </c>
      <c r="R529" s="417"/>
      <c r="S529" s="292" t="str">
        <f t="shared" si="55"/>
        <v>Não Qualificado</v>
      </c>
      <c r="T529" s="299" t="s">
        <v>187</v>
      </c>
      <c r="U529" s="299" t="s">
        <v>3797</v>
      </c>
      <c r="V529" s="299" t="s">
        <v>20</v>
      </c>
      <c r="W529" s="350"/>
      <c r="X529" s="350"/>
      <c r="Y529" s="350"/>
      <c r="Z529" s="350"/>
      <c r="AA529" s="350"/>
      <c r="AB529" s="350"/>
      <c r="AC529" s="350"/>
      <c r="AD529" s="350"/>
      <c r="AE529" s="350"/>
      <c r="AF529" s="350"/>
      <c r="AG529" s="350"/>
      <c r="AH529" s="350"/>
      <c r="AI529" s="350"/>
      <c r="AJ529" s="350"/>
      <c r="AK529" s="339"/>
      <c r="AL529" s="339"/>
      <c r="AM529" s="339"/>
      <c r="AN529" s="339"/>
      <c r="AO529" s="339"/>
      <c r="AP529" s="339"/>
      <c r="AQ529" s="350"/>
      <c r="AR529" s="340"/>
      <c r="AS529" s="339"/>
      <c r="AT529" s="339">
        <v>387869.72</v>
      </c>
      <c r="AU529" s="339">
        <v>6871.19</v>
      </c>
      <c r="AV529" s="339">
        <v>6844.13</v>
      </c>
      <c r="AW529" s="339"/>
      <c r="AX529" s="339"/>
      <c r="AY529" s="339"/>
      <c r="AZ529" s="339"/>
      <c r="BA529" s="339">
        <v>0</v>
      </c>
      <c r="BB529" s="339">
        <v>0</v>
      </c>
      <c r="BC529" s="339">
        <v>422353.32</v>
      </c>
      <c r="BD529" s="339" t="s">
        <v>2932</v>
      </c>
      <c r="BE529" s="339" t="s">
        <v>2932</v>
      </c>
      <c r="BF529" s="339">
        <v>0</v>
      </c>
      <c r="BG529" s="339">
        <v>0</v>
      </c>
      <c r="BH529" s="339">
        <v>0</v>
      </c>
      <c r="BI529" s="339">
        <v>0</v>
      </c>
      <c r="BJ529" s="339">
        <v>0</v>
      </c>
      <c r="BK529" s="339">
        <v>0</v>
      </c>
      <c r="BL529" s="339">
        <v>0</v>
      </c>
      <c r="BM529" s="339">
        <v>0</v>
      </c>
      <c r="BN529" s="339">
        <v>0</v>
      </c>
      <c r="BO529" s="339">
        <v>0</v>
      </c>
      <c r="BP529" s="339">
        <v>0</v>
      </c>
      <c r="BQ529" s="339">
        <v>0</v>
      </c>
      <c r="BR529" s="339">
        <v>0</v>
      </c>
      <c r="BS529" s="110" t="e">
        <f t="array" aca="1" ref="BS529" ca="1">_xludf.XLOOKUP(D529,'PL TOTAL D0'!N:N,'PL TOTAL D0'!P:P,"")</f>
        <v>#NAME?</v>
      </c>
      <c r="BT529" s="110"/>
    </row>
    <row r="530" spans="1:72" ht="15.75" customHeight="1">
      <c r="A530" s="122" t="s">
        <v>3785</v>
      </c>
      <c r="B530" s="104" t="s">
        <v>5352</v>
      </c>
      <c r="C530" s="394" t="s">
        <v>5353</v>
      </c>
      <c r="D530" s="426">
        <v>2129230</v>
      </c>
      <c r="E530" s="293" t="s">
        <v>19</v>
      </c>
      <c r="F530" s="293" t="s">
        <v>20</v>
      </c>
      <c r="G530" s="426" t="s">
        <v>3683</v>
      </c>
      <c r="H530" s="426" t="str">
        <f>IFERROR(VLOOKUP(G530,'Cadastro de assessores'!A:B,2,FALSE),"Não Cadastrado")</f>
        <v>18266</v>
      </c>
      <c r="I530" s="426"/>
      <c r="J530" s="24" t="s">
        <v>3788</v>
      </c>
      <c r="K530" s="299" t="s">
        <v>152</v>
      </c>
      <c r="L530" s="415">
        <v>44426</v>
      </c>
      <c r="M530" s="415">
        <v>44426</v>
      </c>
      <c r="N530" s="426"/>
      <c r="O530" s="426" t="s">
        <v>3809</v>
      </c>
      <c r="P530" s="428">
        <v>2.5000000000000001E-2</v>
      </c>
      <c r="Q530" s="487" t="s">
        <v>5354</v>
      </c>
      <c r="R530" s="417"/>
      <c r="S530" s="292" t="str">
        <f t="shared" si="55"/>
        <v>Qualificado</v>
      </c>
      <c r="T530" s="299" t="s">
        <v>145</v>
      </c>
      <c r="U530" s="299" t="s">
        <v>4049</v>
      </c>
      <c r="V530" s="299" t="s">
        <v>886</v>
      </c>
      <c r="W530" s="488"/>
      <c r="X530" s="488"/>
      <c r="Y530" s="488"/>
      <c r="Z530" s="488"/>
      <c r="AA530" s="488"/>
      <c r="AB530" s="488"/>
      <c r="AC530" s="488"/>
      <c r="AD530" s="488"/>
      <c r="AE530" s="488"/>
      <c r="AF530" s="488"/>
      <c r="AG530" s="488"/>
      <c r="AH530" s="488"/>
      <c r="AI530" s="468"/>
      <c r="AJ530" s="468"/>
      <c r="AK530" s="468"/>
      <c r="AL530" s="468"/>
      <c r="AM530" s="468"/>
      <c r="AN530" s="468"/>
      <c r="AO530" s="488"/>
      <c r="AP530" s="489"/>
      <c r="AQ530" s="468"/>
      <c r="AR530" s="488"/>
      <c r="AS530" s="488"/>
      <c r="AT530" s="489"/>
      <c r="AU530" s="489">
        <v>134528.81</v>
      </c>
      <c r="AV530" s="339">
        <v>198893.53</v>
      </c>
      <c r="AW530" s="339">
        <v>119773.82</v>
      </c>
      <c r="AX530" s="339">
        <v>121398.43</v>
      </c>
      <c r="AY530" s="339">
        <v>119016.53</v>
      </c>
      <c r="AZ530" s="339">
        <v>123907.74</v>
      </c>
      <c r="BA530" s="339">
        <v>120547.73</v>
      </c>
      <c r="BB530" s="339">
        <v>109095.33</v>
      </c>
      <c r="BC530" s="339">
        <v>1055335.81</v>
      </c>
      <c r="BD530" s="339">
        <v>152507.88</v>
      </c>
      <c r="BE530" s="339">
        <v>146803</v>
      </c>
      <c r="BF530" s="339">
        <v>151484.87</v>
      </c>
      <c r="BG530" s="339">
        <v>101785.788</v>
      </c>
      <c r="BH530" s="339">
        <v>99526.34</v>
      </c>
      <c r="BI530" s="339">
        <v>112878.01</v>
      </c>
      <c r="BJ530" s="339">
        <v>93280.320000000007</v>
      </c>
      <c r="BK530" s="339">
        <v>92143.86</v>
      </c>
      <c r="BL530" s="339">
        <v>96864.89</v>
      </c>
      <c r="BM530" s="339">
        <v>91879.65</v>
      </c>
      <c r="BN530" s="339">
        <v>23305.23</v>
      </c>
      <c r="BO530" s="339">
        <v>8461.52</v>
      </c>
      <c r="BP530" s="339">
        <v>8211.43</v>
      </c>
      <c r="BQ530" s="339">
        <v>8080.14</v>
      </c>
      <c r="BR530" s="339">
        <v>8107.4</v>
      </c>
      <c r="BS530" s="110" t="e">
        <f t="array" aca="1" ref="BS530" ca="1">_xludf.XLOOKUP(D530,'PL TOTAL D0'!N:N,'PL TOTAL D0'!P:P,"")</f>
        <v>#NAME?</v>
      </c>
      <c r="BT530" s="110"/>
    </row>
    <row r="531" spans="1:72" ht="15.75" customHeight="1">
      <c r="A531" s="122" t="s">
        <v>3785</v>
      </c>
      <c r="B531" s="104" t="s">
        <v>2797</v>
      </c>
      <c r="C531" s="390" t="s">
        <v>5355</v>
      </c>
      <c r="D531" s="299">
        <v>417444</v>
      </c>
      <c r="E531" s="293" t="s">
        <v>19</v>
      </c>
      <c r="F531" s="293" t="s">
        <v>20</v>
      </c>
      <c r="G531" s="293" t="s">
        <v>3683</v>
      </c>
      <c r="H531" s="293" t="str">
        <f>IFERROR(VLOOKUP(G531,'Cadastro de assessores'!A:B,2,FALSE),"Não Cadastrado")</f>
        <v>18266</v>
      </c>
      <c r="I531" s="293"/>
      <c r="J531" s="24" t="s">
        <v>152</v>
      </c>
      <c r="K531" s="299" t="s">
        <v>152</v>
      </c>
      <c r="L531" s="415">
        <v>44329</v>
      </c>
      <c r="M531" s="415">
        <v>44344</v>
      </c>
      <c r="N531" s="299"/>
      <c r="O531" s="299" t="s">
        <v>3842</v>
      </c>
      <c r="P531" s="388">
        <v>8.0000000000000002E-3</v>
      </c>
      <c r="Q531" s="167"/>
      <c r="R531" s="417"/>
      <c r="S531" s="292" t="str">
        <f t="shared" si="55"/>
        <v>Não Qualificado</v>
      </c>
      <c r="T531" s="299" t="s">
        <v>145</v>
      </c>
      <c r="U531" s="299" t="s">
        <v>4049</v>
      </c>
      <c r="V531" s="299" t="s">
        <v>886</v>
      </c>
      <c r="W531" s="350"/>
      <c r="X531" s="350"/>
      <c r="Y531" s="350"/>
      <c r="Z531" s="350"/>
      <c r="AA531" s="350"/>
      <c r="AB531" s="350"/>
      <c r="AC531" s="350"/>
      <c r="AD531" s="350"/>
      <c r="AE531" s="350"/>
      <c r="AF531" s="350"/>
      <c r="AG531" s="350"/>
      <c r="AH531" s="350"/>
      <c r="AI531" s="350"/>
      <c r="AJ531" s="350"/>
      <c r="AK531" s="339"/>
      <c r="AL531" s="339"/>
      <c r="AM531" s="339"/>
      <c r="AN531" s="339"/>
      <c r="AO531" s="339"/>
      <c r="AP531" s="339"/>
      <c r="AQ531" s="350"/>
      <c r="AR531" s="340">
        <v>101286.77</v>
      </c>
      <c r="AS531" s="339">
        <v>120861.35</v>
      </c>
      <c r="AT531" s="339">
        <v>123291.09</v>
      </c>
      <c r="AU531" s="339">
        <v>133665</v>
      </c>
      <c r="AV531" s="339">
        <v>142197.48000000001</v>
      </c>
      <c r="AW531" s="339">
        <v>140750.92000000001</v>
      </c>
      <c r="AX531" s="339">
        <v>143397.42000000001</v>
      </c>
      <c r="AY531" s="339">
        <v>156253.26</v>
      </c>
      <c r="AZ531" s="339">
        <v>156760.21</v>
      </c>
      <c r="BA531" s="339">
        <v>159689.32999999999</v>
      </c>
      <c r="BB531" s="339">
        <v>171346.45</v>
      </c>
      <c r="BC531" s="339">
        <v>703075.17</v>
      </c>
      <c r="BD531" s="339">
        <v>177887.63</v>
      </c>
      <c r="BE531" s="339">
        <v>178045.5</v>
      </c>
      <c r="BF531" s="339">
        <v>179910.69</v>
      </c>
      <c r="BG531" s="339">
        <v>184557.44</v>
      </c>
      <c r="BH531" s="339">
        <v>188433.4</v>
      </c>
      <c r="BI531" s="339">
        <v>190218.57</v>
      </c>
      <c r="BJ531" s="339">
        <v>184808.47</v>
      </c>
      <c r="BK531" s="339">
        <v>189192.82</v>
      </c>
      <c r="BL531" s="339">
        <v>190358.55</v>
      </c>
      <c r="BM531" s="339">
        <v>188656.56</v>
      </c>
      <c r="BN531" s="339">
        <v>186045.7</v>
      </c>
      <c r="BO531" s="339">
        <v>190867.7</v>
      </c>
      <c r="BP531" s="339">
        <v>197849.72</v>
      </c>
      <c r="BQ531" s="339">
        <v>205877.89</v>
      </c>
      <c r="BR531" s="339">
        <v>211801.14</v>
      </c>
      <c r="BS531" s="110" t="e">
        <f t="array" aca="1" ref="BS531" ca="1">_xludf.XLOOKUP(D531,'PL TOTAL D0'!N:N,'PL TOTAL D0'!P:P,"")</f>
        <v>#NAME?</v>
      </c>
      <c r="BT531" s="110"/>
    </row>
    <row r="532" spans="1:72" ht="15.75" customHeight="1">
      <c r="A532" s="122" t="s">
        <v>3785</v>
      </c>
      <c r="B532" s="104" t="s">
        <v>5356</v>
      </c>
      <c r="C532" s="390" t="s">
        <v>5357</v>
      </c>
      <c r="D532" s="299">
        <v>4841689</v>
      </c>
      <c r="E532" s="293" t="s">
        <v>19</v>
      </c>
      <c r="F532" s="293" t="s">
        <v>49</v>
      </c>
      <c r="G532" s="293" t="s">
        <v>328</v>
      </c>
      <c r="H532" s="293" t="str">
        <f>IFERROR(VLOOKUP(G532,'Cadastro de assessores'!A:B,2,FALSE),"Não Cadastrado")</f>
        <v>18009</v>
      </c>
      <c r="I532" s="293"/>
      <c r="J532" s="24" t="s">
        <v>143</v>
      </c>
      <c r="K532" s="439" t="s">
        <v>152</v>
      </c>
      <c r="L532" s="415">
        <v>44256</v>
      </c>
      <c r="M532" s="415">
        <v>44256</v>
      </c>
      <c r="N532" s="299"/>
      <c r="O532" s="299" t="s">
        <v>3789</v>
      </c>
      <c r="P532" s="388">
        <v>0.02</v>
      </c>
      <c r="Q532" s="420" t="s">
        <v>5358</v>
      </c>
      <c r="R532" s="417"/>
      <c r="S532" s="292" t="str">
        <f t="shared" si="55"/>
        <v/>
      </c>
      <c r="T532" s="292" t="s">
        <v>145</v>
      </c>
      <c r="U532" s="292" t="s">
        <v>3846</v>
      </c>
      <c r="V532" s="292" t="s">
        <v>46</v>
      </c>
      <c r="W532" s="418"/>
      <c r="X532" s="418"/>
      <c r="Y532" s="418"/>
      <c r="Z532" s="418"/>
      <c r="AA532" s="418"/>
      <c r="AB532" s="418"/>
      <c r="AC532" s="418"/>
      <c r="AD532" s="418"/>
      <c r="AE532" s="418"/>
      <c r="AF532" s="418"/>
      <c r="AG532" s="418"/>
      <c r="AH532" s="418"/>
      <c r="AI532" s="418"/>
      <c r="AJ532" s="418"/>
      <c r="AK532" s="339"/>
      <c r="AL532" s="339"/>
      <c r="AM532" s="339" t="s">
        <v>3147</v>
      </c>
      <c r="AN532" s="339">
        <v>98520.49</v>
      </c>
      <c r="AO532" s="339">
        <v>102245.42</v>
      </c>
      <c r="AP532" s="339">
        <v>102856.28</v>
      </c>
      <c r="AQ532" s="339">
        <v>102362.02</v>
      </c>
      <c r="AR532" s="339">
        <v>105209.82</v>
      </c>
      <c r="AS532" s="339">
        <v>103933.12</v>
      </c>
      <c r="AT532" s="339">
        <v>101197.78</v>
      </c>
      <c r="AU532" s="339">
        <v>100528.71</v>
      </c>
      <c r="AV532" s="339">
        <v>99201.68</v>
      </c>
      <c r="AW532" s="339">
        <v>93051.42</v>
      </c>
      <c r="AX532" s="339">
        <v>92501.96</v>
      </c>
      <c r="AY532" s="339">
        <v>93795.48</v>
      </c>
      <c r="AZ532" s="339">
        <v>97153.84</v>
      </c>
      <c r="BA532" s="339">
        <v>98309.34</v>
      </c>
      <c r="BB532" s="339">
        <v>5107.71</v>
      </c>
      <c r="BC532" s="339"/>
      <c r="BD532" s="339">
        <v>6705.53</v>
      </c>
      <c r="BE532" s="339">
        <v>6758.51</v>
      </c>
      <c r="BF532" s="339">
        <v>6750.97</v>
      </c>
      <c r="BG532" s="339">
        <v>6877.16</v>
      </c>
      <c r="BH532" s="339">
        <v>6936.19</v>
      </c>
      <c r="BI532" s="339">
        <v>7006.14</v>
      </c>
      <c r="BJ532" s="339">
        <v>7079.91</v>
      </c>
      <c r="BK532" s="339">
        <v>7076.04</v>
      </c>
      <c r="BL532" s="339">
        <v>7226.76</v>
      </c>
      <c r="BM532" s="339">
        <v>7344.51</v>
      </c>
      <c r="BN532" s="339">
        <v>7356.03</v>
      </c>
      <c r="BO532" s="339">
        <v>7464.94</v>
      </c>
      <c r="BP532" s="339">
        <v>7541.08</v>
      </c>
      <c r="BQ532" s="339">
        <v>7660.94</v>
      </c>
      <c r="BR532" s="339">
        <v>7746.42</v>
      </c>
      <c r="BS532" s="110" t="e">
        <f t="array" aca="1" ref="BS532" ca="1">_xludf.XLOOKUP(D532,'PL TOTAL D0'!N:N,'PL TOTAL D0'!P:P,"")</f>
        <v>#NAME?</v>
      </c>
      <c r="BT532" s="110"/>
    </row>
    <row r="533" spans="1:72" ht="15.75" customHeight="1">
      <c r="A533" s="122" t="s">
        <v>3785</v>
      </c>
      <c r="B533" s="104" t="s">
        <v>2808</v>
      </c>
      <c r="C533" s="390" t="s">
        <v>5359</v>
      </c>
      <c r="D533" s="422">
        <v>4145752</v>
      </c>
      <c r="E533" s="293" t="s">
        <v>19</v>
      </c>
      <c r="F533" s="293" t="s">
        <v>49</v>
      </c>
      <c r="G533" s="293" t="s">
        <v>50</v>
      </c>
      <c r="H533" s="426">
        <f>IFERROR(VLOOKUP(G533,'Cadastro de assessores'!A:B,2,FALSE),"Não Cadastrado")</f>
        <v>12331</v>
      </c>
      <c r="I533" s="426"/>
      <c r="J533" s="24" t="s">
        <v>3788</v>
      </c>
      <c r="K533" s="299" t="s">
        <v>152</v>
      </c>
      <c r="L533" s="423">
        <v>44651</v>
      </c>
      <c r="M533" s="423">
        <v>44655</v>
      </c>
      <c r="N533" s="426"/>
      <c r="O533" s="426" t="s">
        <v>3802</v>
      </c>
      <c r="P533" s="428">
        <v>7.0000000000000001E-3</v>
      </c>
      <c r="Q533" s="487"/>
      <c r="R533" s="417"/>
      <c r="S533" s="292" t="str">
        <f t="shared" si="55"/>
        <v/>
      </c>
      <c r="T533" s="292" t="s">
        <v>145</v>
      </c>
      <c r="U533" s="292" t="s">
        <v>3841</v>
      </c>
      <c r="V533" s="292" t="s">
        <v>49</v>
      </c>
      <c r="W533" s="488"/>
      <c r="X533" s="488"/>
      <c r="Y533" s="488"/>
      <c r="Z533" s="488"/>
      <c r="AA533" s="488"/>
      <c r="AB533" s="488"/>
      <c r="AC533" s="488"/>
      <c r="AD533" s="488"/>
      <c r="AE533" s="488"/>
      <c r="AF533" s="488"/>
      <c r="AG533" s="488"/>
      <c r="AH533" s="488"/>
      <c r="AI533" s="468"/>
      <c r="AJ533" s="468"/>
      <c r="AK533" s="468"/>
      <c r="AL533" s="468"/>
      <c r="AM533" s="468"/>
      <c r="AN533" s="468"/>
      <c r="AO533" s="488"/>
      <c r="AP533" s="489"/>
      <c r="AQ533" s="468"/>
      <c r="AR533" s="488"/>
      <c r="AS533" s="488"/>
      <c r="AT533" s="489"/>
      <c r="AU533" s="489"/>
      <c r="AV533" s="339"/>
      <c r="AW533" s="339"/>
      <c r="AX533" s="339"/>
      <c r="AY533" s="339"/>
      <c r="AZ533" s="339"/>
      <c r="BA533" s="339"/>
      <c r="BB533" s="339">
        <v>0</v>
      </c>
      <c r="BC533" s="339"/>
      <c r="BD533" s="339">
        <v>323684.65999999997</v>
      </c>
      <c r="BE533" s="339">
        <v>326099.20000000001</v>
      </c>
      <c r="BF533" s="339">
        <v>327213.08</v>
      </c>
      <c r="BG533" s="339">
        <v>331454.6887</v>
      </c>
      <c r="BH533" s="339">
        <v>333841.24</v>
      </c>
      <c r="BI533" s="339">
        <v>384871.04</v>
      </c>
      <c r="BJ533" s="339">
        <v>385131.47</v>
      </c>
      <c r="BK533" s="339">
        <v>363562.71</v>
      </c>
      <c r="BL533" s="339">
        <v>368254.67</v>
      </c>
      <c r="BM533" s="339">
        <v>0.89</v>
      </c>
      <c r="BN533" s="339">
        <v>0.89</v>
      </c>
      <c r="BO533" s="339">
        <v>0.89</v>
      </c>
      <c r="BP533" s="339">
        <v>0.89</v>
      </c>
      <c r="BQ533" s="339">
        <v>0.89</v>
      </c>
      <c r="BR533" s="339">
        <v>0.89</v>
      </c>
      <c r="BS533" s="110" t="e">
        <f t="array" aca="1" ref="BS533" ca="1">_xludf.XLOOKUP(D533,'PL TOTAL D0'!N:N,'PL TOTAL D0'!P:P,"")</f>
        <v>#NAME?</v>
      </c>
      <c r="BT533" s="110"/>
    </row>
    <row r="534" spans="1:72" ht="15.75" customHeight="1">
      <c r="A534" s="122" t="s">
        <v>3785</v>
      </c>
      <c r="B534" s="104" t="s">
        <v>2837</v>
      </c>
      <c r="C534" s="390" t="s">
        <v>5360</v>
      </c>
      <c r="D534" s="422">
        <v>2897612</v>
      </c>
      <c r="E534" s="293" t="s">
        <v>19</v>
      </c>
      <c r="F534" s="293" t="s">
        <v>5361</v>
      </c>
      <c r="G534" s="293" t="s">
        <v>50</v>
      </c>
      <c r="H534" s="426">
        <f>IFERROR(VLOOKUP(G534,'Cadastro de assessores'!A:B,2,FALSE),"Não Cadastrado")</f>
        <v>12331</v>
      </c>
      <c r="I534" s="426"/>
      <c r="J534" s="24" t="s">
        <v>152</v>
      </c>
      <c r="K534" s="299" t="s">
        <v>152</v>
      </c>
      <c r="L534" s="423">
        <v>44812</v>
      </c>
      <c r="M534" s="423">
        <v>44812</v>
      </c>
      <c r="N534" s="426"/>
      <c r="O534" s="426" t="s">
        <v>3805</v>
      </c>
      <c r="P534" s="428">
        <v>1.2E-2</v>
      </c>
      <c r="Q534" s="487" t="s">
        <v>4545</v>
      </c>
      <c r="R534" s="417"/>
      <c r="S534" s="292"/>
      <c r="T534" s="292"/>
      <c r="U534" s="292"/>
      <c r="V534" s="292" t="s">
        <v>46</v>
      </c>
      <c r="W534" s="488"/>
      <c r="X534" s="488"/>
      <c r="Y534" s="488"/>
      <c r="Z534" s="488"/>
      <c r="AA534" s="488"/>
      <c r="AB534" s="488"/>
      <c r="AC534" s="488"/>
      <c r="AD534" s="488"/>
      <c r="AE534" s="488"/>
      <c r="AF534" s="488"/>
      <c r="AG534" s="488"/>
      <c r="AH534" s="488"/>
      <c r="AI534" s="468"/>
      <c r="AJ534" s="468"/>
      <c r="AK534" s="468"/>
      <c r="AL534" s="468"/>
      <c r="AM534" s="468"/>
      <c r="AN534" s="468"/>
      <c r="AO534" s="488"/>
      <c r="AP534" s="489"/>
      <c r="AQ534" s="468"/>
      <c r="AR534" s="488"/>
      <c r="AS534" s="488"/>
      <c r="AT534" s="489"/>
      <c r="AU534" s="489"/>
      <c r="AV534" s="339"/>
      <c r="AW534" s="339"/>
      <c r="AX534" s="339"/>
      <c r="AY534" s="339"/>
      <c r="AZ534" s="339"/>
      <c r="BA534" s="339"/>
      <c r="BB534" s="339"/>
      <c r="BC534" s="339"/>
      <c r="BD534" s="339"/>
      <c r="BE534" s="339"/>
      <c r="BF534" s="339"/>
      <c r="BG534" s="339">
        <v>0</v>
      </c>
      <c r="BH534" s="339">
        <v>692969.64</v>
      </c>
      <c r="BI534" s="339">
        <v>712888.94</v>
      </c>
      <c r="BJ534" s="339">
        <v>713659.09</v>
      </c>
      <c r="BK534" s="339">
        <v>717071.47</v>
      </c>
      <c r="BL534" s="339">
        <v>215472.77</v>
      </c>
      <c r="BM534" s="339">
        <v>43098.8</v>
      </c>
      <c r="BN534" s="339">
        <v>42754.26</v>
      </c>
      <c r="BO534" s="339">
        <v>44059.59</v>
      </c>
      <c r="BP534" s="339">
        <v>24119.52</v>
      </c>
      <c r="BQ534" s="339">
        <v>17834.169999999998</v>
      </c>
      <c r="BR534" s="339">
        <v>12551.82</v>
      </c>
      <c r="BS534" s="110" t="e">
        <f t="array" aca="1" ref="BS534" ca="1">_xludf.XLOOKUP(D534,'PL TOTAL D0'!N:N,'PL TOTAL D0'!P:P,"")</f>
        <v>#NAME?</v>
      </c>
      <c r="BT534" s="110"/>
    </row>
    <row r="535" spans="1:72" ht="15.75" customHeight="1">
      <c r="A535" s="122" t="s">
        <v>3785</v>
      </c>
      <c r="B535" s="104" t="s">
        <v>5362</v>
      </c>
      <c r="C535" s="122" t="s">
        <v>5363</v>
      </c>
      <c r="D535" s="292">
        <v>4424587</v>
      </c>
      <c r="E535" s="292" t="s">
        <v>19</v>
      </c>
      <c r="F535" s="292" t="s">
        <v>20</v>
      </c>
      <c r="G535" s="292" t="s">
        <v>3793</v>
      </c>
      <c r="H535" s="292" t="str">
        <f>IFERROR(VLOOKUP(G535,'Cadastro de assessores'!A:B,2,FALSE),"Não Cadastrado")</f>
        <v>17679</v>
      </c>
      <c r="I535" s="292"/>
      <c r="J535" s="24" t="s">
        <v>143</v>
      </c>
      <c r="K535" s="292" t="s">
        <v>3794</v>
      </c>
      <c r="L535" s="387">
        <v>44088</v>
      </c>
      <c r="M535" s="387">
        <v>44088</v>
      </c>
      <c r="N535" s="387">
        <v>44460</v>
      </c>
      <c r="O535" s="292" t="s">
        <v>3809</v>
      </c>
      <c r="P535" s="388">
        <v>2.5000000000000001E-2</v>
      </c>
      <c r="Q535" s="420" t="s">
        <v>5364</v>
      </c>
      <c r="R535" s="417"/>
      <c r="S535" s="292" t="str">
        <f t="shared" ref="S535:S539" si="56">IF(BC535&lt;=0,"",IF(BC535&lt;=1000000,"Não Qualificado",IF(AND(BC535&gt;1000000,BC535&lt;=10000000),"Qualificado","Profissional")))</f>
        <v>Não Qualificado</v>
      </c>
      <c r="T535" s="292" t="s">
        <v>145</v>
      </c>
      <c r="U535" s="292" t="s">
        <v>3933</v>
      </c>
      <c r="V535" s="292" t="s">
        <v>20</v>
      </c>
      <c r="W535" s="418" t="s">
        <v>3798</v>
      </c>
      <c r="X535" s="418" t="s">
        <v>3798</v>
      </c>
      <c r="Y535" s="418" t="s">
        <v>3798</v>
      </c>
      <c r="Z535" s="418" t="s">
        <v>3798</v>
      </c>
      <c r="AA535" s="418" t="s">
        <v>3798</v>
      </c>
      <c r="AB535" s="418" t="s">
        <v>3798</v>
      </c>
      <c r="AC535" s="418" t="s">
        <v>3798</v>
      </c>
      <c r="AD535" s="418" t="s">
        <v>3798</v>
      </c>
      <c r="AE535" s="418" t="s">
        <v>3798</v>
      </c>
      <c r="AF535" s="418" t="s">
        <v>3798</v>
      </c>
      <c r="AG535" s="418" t="s">
        <v>3798</v>
      </c>
      <c r="AH535" s="418" t="s">
        <v>5365</v>
      </c>
      <c r="AI535" s="418" t="s">
        <v>5366</v>
      </c>
      <c r="AJ535" s="418" t="s">
        <v>5367</v>
      </c>
      <c r="AK535" s="339">
        <v>94017.14</v>
      </c>
      <c r="AL535" s="339"/>
      <c r="AM535" s="339">
        <v>93118.47</v>
      </c>
      <c r="AN535" s="339">
        <v>87122.92</v>
      </c>
      <c r="AO535" s="339">
        <v>92685.69</v>
      </c>
      <c r="AP535" s="339">
        <v>93971.81</v>
      </c>
      <c r="AQ535" s="339">
        <v>93032.21</v>
      </c>
      <c r="AR535" s="339">
        <v>98248.58</v>
      </c>
      <c r="AS535" s="339">
        <v>94513.29</v>
      </c>
      <c r="AT535" s="339">
        <v>89797.53</v>
      </c>
      <c r="AU535" s="339">
        <v>87981.78</v>
      </c>
      <c r="AV535" s="339"/>
      <c r="AW535" s="339"/>
      <c r="AX535" s="339"/>
      <c r="AY535" s="339"/>
      <c r="AZ535" s="339">
        <v>0</v>
      </c>
      <c r="BA535" s="339">
        <v>0</v>
      </c>
      <c r="BB535" s="339">
        <v>0</v>
      </c>
      <c r="BC535" s="339">
        <v>142736.17000000001</v>
      </c>
      <c r="BD535" s="339" t="s">
        <v>2932</v>
      </c>
      <c r="BE535" s="339" t="s">
        <v>2932</v>
      </c>
      <c r="BF535" s="339">
        <v>0</v>
      </c>
      <c r="BG535" s="339">
        <v>0</v>
      </c>
      <c r="BH535" s="339">
        <v>0</v>
      </c>
      <c r="BI535" s="339">
        <v>0</v>
      </c>
      <c r="BJ535" s="339">
        <v>0</v>
      </c>
      <c r="BK535" s="339">
        <v>0</v>
      </c>
      <c r="BL535" s="339">
        <v>0</v>
      </c>
      <c r="BM535" s="339">
        <v>0</v>
      </c>
      <c r="BN535" s="339">
        <v>0</v>
      </c>
      <c r="BO535" s="339">
        <v>0</v>
      </c>
      <c r="BP535" s="339">
        <v>0</v>
      </c>
      <c r="BQ535" s="339">
        <v>0</v>
      </c>
      <c r="BR535" s="339">
        <v>0</v>
      </c>
      <c r="BS535" s="110" t="e">
        <f t="array" aca="1" ref="BS535" ca="1">_xludf.XLOOKUP(D535,'PL TOTAL D0'!N:N,'PL TOTAL D0'!P:P,"")</f>
        <v>#NAME?</v>
      </c>
      <c r="BT535" s="110"/>
    </row>
    <row r="536" spans="1:72" ht="15.75" customHeight="1">
      <c r="A536" s="122" t="s">
        <v>3785</v>
      </c>
      <c r="B536" s="104" t="s">
        <v>5368</v>
      </c>
      <c r="C536" s="122" t="s">
        <v>5369</v>
      </c>
      <c r="D536" s="292">
        <v>480283</v>
      </c>
      <c r="E536" s="292" t="s">
        <v>19</v>
      </c>
      <c r="F536" s="292" t="s">
        <v>20</v>
      </c>
      <c r="G536" s="292" t="s">
        <v>4301</v>
      </c>
      <c r="H536" s="292" t="str">
        <f>IFERROR(VLOOKUP(G536,'Cadastro de assessores'!A:B,2,FALSE),"Não Cadastrado")</f>
        <v>12846</v>
      </c>
      <c r="I536" s="292"/>
      <c r="J536" s="24" t="s">
        <v>143</v>
      </c>
      <c r="K536" s="292" t="s">
        <v>3794</v>
      </c>
      <c r="L536" s="387">
        <v>44166</v>
      </c>
      <c r="M536" s="387">
        <v>44166</v>
      </c>
      <c r="N536" s="387">
        <v>44378</v>
      </c>
      <c r="O536" s="292" t="s">
        <v>3795</v>
      </c>
      <c r="P536" s="388">
        <v>1.2E-2</v>
      </c>
      <c r="Q536" s="420" t="s">
        <v>4302</v>
      </c>
      <c r="R536" s="417"/>
      <c r="S536" s="292" t="str">
        <f t="shared" si="56"/>
        <v/>
      </c>
      <c r="T536" s="292" t="s">
        <v>145</v>
      </c>
      <c r="U536" s="292" t="s">
        <v>3832</v>
      </c>
      <c r="V536" s="292" t="s">
        <v>20</v>
      </c>
      <c r="W536" s="418" t="s">
        <v>3798</v>
      </c>
      <c r="X536" s="418" t="s">
        <v>3798</v>
      </c>
      <c r="Y536" s="418" t="s">
        <v>3798</v>
      </c>
      <c r="Z536" s="418" t="s">
        <v>3798</v>
      </c>
      <c r="AA536" s="418" t="s">
        <v>3798</v>
      </c>
      <c r="AB536" s="418" t="s">
        <v>3798</v>
      </c>
      <c r="AC536" s="418" t="s">
        <v>3798</v>
      </c>
      <c r="AD536" s="418" t="s">
        <v>3798</v>
      </c>
      <c r="AE536" s="418" t="s">
        <v>3798</v>
      </c>
      <c r="AF536" s="418" t="s">
        <v>3798</v>
      </c>
      <c r="AG536" s="418" t="s">
        <v>3798</v>
      </c>
      <c r="AH536" s="418" t="s">
        <v>3798</v>
      </c>
      <c r="AI536" s="418" t="s">
        <v>3798</v>
      </c>
      <c r="AJ536" s="418" t="s">
        <v>3798</v>
      </c>
      <c r="AK536" s="339">
        <v>4455935.3899999997</v>
      </c>
      <c r="AL536" s="339">
        <v>4556984.84</v>
      </c>
      <c r="AM536" s="339">
        <v>4456531.78</v>
      </c>
      <c r="AN536" s="339">
        <v>4435869.12</v>
      </c>
      <c r="AO536" s="339">
        <v>4402941</v>
      </c>
      <c r="AP536" s="339">
        <v>4430539.2300000004</v>
      </c>
      <c r="AQ536" s="339">
        <v>4427621.8600000003</v>
      </c>
      <c r="AR536" s="339">
        <v>4504912.2</v>
      </c>
      <c r="AS536" s="339">
        <v>4542973.2699999996</v>
      </c>
      <c r="AT536" s="339"/>
      <c r="AU536" s="339"/>
      <c r="AV536" s="339"/>
      <c r="AW536" s="339"/>
      <c r="AX536" s="339"/>
      <c r="AY536" s="339"/>
      <c r="AZ536" s="339">
        <v>0</v>
      </c>
      <c r="BA536" s="339">
        <v>0</v>
      </c>
      <c r="BB536" s="339">
        <v>0</v>
      </c>
      <c r="BC536" s="339"/>
      <c r="BD536" s="339" t="s">
        <v>2932</v>
      </c>
      <c r="BE536" s="339" t="s">
        <v>2932</v>
      </c>
      <c r="BF536" s="339">
        <v>0</v>
      </c>
      <c r="BG536" s="339">
        <v>0</v>
      </c>
      <c r="BH536" s="339">
        <v>0</v>
      </c>
      <c r="BI536" s="339">
        <v>0</v>
      </c>
      <c r="BJ536" s="339">
        <v>0</v>
      </c>
      <c r="BK536" s="339">
        <v>0</v>
      </c>
      <c r="BL536" s="339">
        <v>0</v>
      </c>
      <c r="BM536" s="339">
        <v>0</v>
      </c>
      <c r="BN536" s="339">
        <v>0</v>
      </c>
      <c r="BO536" s="339">
        <v>0</v>
      </c>
      <c r="BP536" s="339">
        <v>0</v>
      </c>
      <c r="BQ536" s="339">
        <v>0</v>
      </c>
      <c r="BR536" s="339">
        <v>0</v>
      </c>
      <c r="BS536" s="110" t="e">
        <f t="array" aca="1" ref="BS536" ca="1">_xludf.XLOOKUP(D536,'PL TOTAL D0'!N:N,'PL TOTAL D0'!P:P,"")</f>
        <v>#NAME?</v>
      </c>
      <c r="BT536" s="110"/>
    </row>
    <row r="537" spans="1:72" ht="15.75" customHeight="1">
      <c r="A537" s="122" t="s">
        <v>3785</v>
      </c>
      <c r="B537" s="104" t="s">
        <v>2846</v>
      </c>
      <c r="C537" s="122" t="s">
        <v>2844</v>
      </c>
      <c r="D537" s="292">
        <v>2049496</v>
      </c>
      <c r="E537" s="293" t="s">
        <v>2923</v>
      </c>
      <c r="F537" s="293" t="s">
        <v>20</v>
      </c>
      <c r="G537" s="293" t="s">
        <v>2923</v>
      </c>
      <c r="H537" s="293" t="str">
        <f>IFERROR(VLOOKUP(G537,'Cadastro de assessores'!A:B,2,FALSE),"Não Cadastrado")</f>
        <v>18986</v>
      </c>
      <c r="I537" s="293"/>
      <c r="J537" s="24" t="s">
        <v>152</v>
      </c>
      <c r="K537" s="293" t="s">
        <v>152</v>
      </c>
      <c r="L537" s="415">
        <v>43655</v>
      </c>
      <c r="M537" s="415">
        <v>43696</v>
      </c>
      <c r="N537" s="292"/>
      <c r="O537" s="292" t="s">
        <v>4188</v>
      </c>
      <c r="P537" s="428">
        <v>0.01</v>
      </c>
      <c r="Q537" s="445"/>
      <c r="R537" s="417"/>
      <c r="S537" s="292" t="str">
        <f t="shared" si="56"/>
        <v>Não Qualificado</v>
      </c>
      <c r="T537" s="292" t="s">
        <v>145</v>
      </c>
      <c r="U537" s="292" t="s">
        <v>3933</v>
      </c>
      <c r="V537" s="292" t="s">
        <v>20</v>
      </c>
      <c r="W537" s="418" t="s">
        <v>5370</v>
      </c>
      <c r="X537" s="418"/>
      <c r="Y537" s="418" t="s">
        <v>5371</v>
      </c>
      <c r="Z537" s="418" t="s">
        <v>5372</v>
      </c>
      <c r="AA537" s="418" t="s">
        <v>5373</v>
      </c>
      <c r="AB537" s="418" t="s">
        <v>5374</v>
      </c>
      <c r="AC537" s="418" t="s">
        <v>5375</v>
      </c>
      <c r="AD537" s="418" t="s">
        <v>5376</v>
      </c>
      <c r="AE537" s="418" t="s">
        <v>5377</v>
      </c>
      <c r="AF537" s="418" t="s">
        <v>5378</v>
      </c>
      <c r="AG537" s="418" t="s">
        <v>5379</v>
      </c>
      <c r="AH537" s="418" t="s">
        <v>5380</v>
      </c>
      <c r="AI537" s="418" t="s">
        <v>5381</v>
      </c>
      <c r="AJ537" s="418" t="s">
        <v>5382</v>
      </c>
      <c r="AK537" s="339">
        <v>106356.57</v>
      </c>
      <c r="AL537" s="339">
        <v>105522.04</v>
      </c>
      <c r="AM537" s="339">
        <v>103853.57</v>
      </c>
      <c r="AN537" s="339">
        <v>104091.7</v>
      </c>
      <c r="AO537" s="339">
        <v>104781.2</v>
      </c>
      <c r="AP537" s="339">
        <v>105326.44</v>
      </c>
      <c r="AQ537" s="339">
        <v>105186.99</v>
      </c>
      <c r="AR537" s="339">
        <v>106277.67</v>
      </c>
      <c r="AS537" s="339">
        <v>106122.31</v>
      </c>
      <c r="AT537" s="339">
        <v>105551.35</v>
      </c>
      <c r="AU537" s="339">
        <v>105376.45</v>
      </c>
      <c r="AV537" s="339">
        <v>104763.51</v>
      </c>
      <c r="AW537" s="339">
        <v>101529.71</v>
      </c>
      <c r="AX537" s="339">
        <v>101923.09</v>
      </c>
      <c r="AY537" s="339">
        <v>102971.39</v>
      </c>
      <c r="AZ537" s="339">
        <v>108585.01</v>
      </c>
      <c r="BA537" s="339">
        <v>104652.5</v>
      </c>
      <c r="BB537" s="339">
        <v>112681.41</v>
      </c>
      <c r="BC537" s="339">
        <v>102637.97</v>
      </c>
      <c r="BD537" s="339">
        <v>112593.37</v>
      </c>
      <c r="BE537" s="339">
        <v>106867.45</v>
      </c>
      <c r="BF537" s="339">
        <v>113978.48</v>
      </c>
      <c r="BG537" s="339">
        <v>119049.1395</v>
      </c>
      <c r="BH537" s="339">
        <v>119451.17</v>
      </c>
      <c r="BI537" s="339">
        <v>122635.49</v>
      </c>
      <c r="BJ537" s="339">
        <v>135114.70000000001</v>
      </c>
      <c r="BK537" s="339">
        <v>161173.91</v>
      </c>
      <c r="BL537" s="339">
        <v>173276.78</v>
      </c>
      <c r="BM537" s="339">
        <v>174714.3</v>
      </c>
      <c r="BN537" s="339">
        <v>176487.12</v>
      </c>
      <c r="BO537" s="339">
        <v>177723.83</v>
      </c>
      <c r="BP537" s="339">
        <v>179785.82</v>
      </c>
      <c r="BQ537" s="339">
        <v>181368.3</v>
      </c>
      <c r="BR537" s="339">
        <v>201144.74</v>
      </c>
      <c r="BS537" s="110" t="e">
        <f t="array" aca="1" ref="BS537" ca="1">_xludf.XLOOKUP(D537,'PL TOTAL D0'!N:N,'PL TOTAL D0'!P:P,"")</f>
        <v>#NAME?</v>
      </c>
      <c r="BT537" s="110"/>
    </row>
    <row r="538" spans="1:72" ht="15.75" customHeight="1">
      <c r="A538" s="122" t="s">
        <v>3785</v>
      </c>
      <c r="B538" s="104" t="s">
        <v>5383</v>
      </c>
      <c r="C538" s="86" t="s">
        <v>5384</v>
      </c>
      <c r="D538" s="426">
        <v>7086435</v>
      </c>
      <c r="E538" s="293" t="s">
        <v>19</v>
      </c>
      <c r="F538" s="293" t="s">
        <v>20</v>
      </c>
      <c r="G538" s="293" t="s">
        <v>942</v>
      </c>
      <c r="H538" s="293">
        <f>IFERROR(VLOOKUP(G538,'Cadastro de assessores'!A:B,2,FALSE),"Não Cadastrado")</f>
        <v>12342</v>
      </c>
      <c r="I538" s="293"/>
      <c r="J538" s="24" t="s">
        <v>143</v>
      </c>
      <c r="K538" s="293" t="s">
        <v>152</v>
      </c>
      <c r="L538" s="416">
        <v>44510</v>
      </c>
      <c r="M538" s="416">
        <v>44517</v>
      </c>
      <c r="N538" s="299"/>
      <c r="O538" s="299" t="s">
        <v>3795</v>
      </c>
      <c r="P538" s="388">
        <v>1.4999999999999999E-2</v>
      </c>
      <c r="Q538" s="311" t="s">
        <v>5385</v>
      </c>
      <c r="R538" s="417"/>
      <c r="S538" s="292" t="str">
        <f t="shared" si="56"/>
        <v/>
      </c>
      <c r="T538" s="299" t="s">
        <v>145</v>
      </c>
      <c r="U538" s="299" t="s">
        <v>3923</v>
      </c>
      <c r="V538" s="299" t="s">
        <v>20</v>
      </c>
      <c r="W538" s="350"/>
      <c r="X538" s="350"/>
      <c r="Y538" s="350"/>
      <c r="Z538" s="350"/>
      <c r="AA538" s="350"/>
      <c r="AB538" s="350"/>
      <c r="AC538" s="350"/>
      <c r="AD538" s="350"/>
      <c r="AE538" s="350"/>
      <c r="AF538" s="350"/>
      <c r="AG538" s="418"/>
      <c r="AH538" s="418"/>
      <c r="AI538" s="339"/>
      <c r="AJ538" s="339"/>
      <c r="AK538" s="339"/>
      <c r="AL538" s="339"/>
      <c r="AM538" s="339"/>
      <c r="AN538" s="339"/>
      <c r="AO538" s="339"/>
      <c r="AP538" s="339"/>
      <c r="AQ538" s="339"/>
      <c r="AR538" s="339"/>
      <c r="AS538" s="339"/>
      <c r="AT538" s="350"/>
      <c r="AU538" s="339"/>
      <c r="AV538" s="339"/>
      <c r="AW538" s="350"/>
      <c r="AX538" s="340"/>
      <c r="AY538" s="340"/>
      <c r="AZ538" s="339">
        <v>104191.6</v>
      </c>
      <c r="BA538" s="339">
        <v>104886.29</v>
      </c>
      <c r="BB538" s="339">
        <v>108029.37</v>
      </c>
      <c r="BC538" s="339"/>
      <c r="BD538" s="339">
        <v>106041.28</v>
      </c>
      <c r="BE538" s="339">
        <v>105588.2</v>
      </c>
      <c r="BF538" s="339">
        <v>107346.33</v>
      </c>
      <c r="BG538" s="339">
        <v>107944.2953</v>
      </c>
      <c r="BH538" s="339">
        <v>108189.27</v>
      </c>
      <c r="BI538" s="339">
        <v>112040.05</v>
      </c>
      <c r="BJ538" s="339">
        <v>111040.33</v>
      </c>
      <c r="BK538" s="339">
        <v>111749.06</v>
      </c>
      <c r="BL538" s="339">
        <v>123178.68</v>
      </c>
      <c r="BM538" s="339">
        <v>124069.89</v>
      </c>
      <c r="BN538" s="339">
        <v>124879.44</v>
      </c>
      <c r="BO538" s="339">
        <v>126099</v>
      </c>
      <c r="BP538" s="339">
        <v>127549.93</v>
      </c>
      <c r="BQ538" s="339">
        <v>128760.01</v>
      </c>
      <c r="BR538" s="339">
        <v>129512.75</v>
      </c>
      <c r="BS538" s="110" t="e">
        <f t="array" aca="1" ref="BS538" ca="1">_xludf.XLOOKUP(D538,'PL TOTAL D0'!N:N,'PL TOTAL D0'!P:P,"")</f>
        <v>#NAME?</v>
      </c>
      <c r="BT538" s="110"/>
    </row>
    <row r="539" spans="1:72" ht="15.75" customHeight="1">
      <c r="A539" s="122" t="s">
        <v>3785</v>
      </c>
      <c r="B539" s="104" t="s">
        <v>5386</v>
      </c>
      <c r="C539" s="390" t="s">
        <v>5387</v>
      </c>
      <c r="D539" s="293">
        <v>226343</v>
      </c>
      <c r="E539" s="293" t="s">
        <v>19</v>
      </c>
      <c r="F539" s="293" t="s">
        <v>49</v>
      </c>
      <c r="G539" s="293" t="s">
        <v>4134</v>
      </c>
      <c r="H539" s="293" t="str">
        <f>IFERROR(VLOOKUP(G539,'Cadastro de assessores'!A:B,2,FALSE),"Não Cadastrado")</f>
        <v>14294</v>
      </c>
      <c r="I539" s="293"/>
      <c r="J539" s="24" t="s">
        <v>3788</v>
      </c>
      <c r="K539" s="439" t="s">
        <v>152</v>
      </c>
      <c r="L539" s="415">
        <v>44452</v>
      </c>
      <c r="M539" s="415">
        <v>44469</v>
      </c>
      <c r="N539" s="299"/>
      <c r="O539" s="299" t="s">
        <v>3789</v>
      </c>
      <c r="P539" s="388">
        <v>0.02</v>
      </c>
      <c r="Q539" s="167" t="s">
        <v>4497</v>
      </c>
      <c r="R539" s="417"/>
      <c r="S539" s="292" t="str">
        <f t="shared" si="56"/>
        <v>Não Qualificado</v>
      </c>
      <c r="T539" s="299" t="s">
        <v>145</v>
      </c>
      <c r="U539" s="299" t="s">
        <v>4498</v>
      </c>
      <c r="V539" s="299" t="s">
        <v>60</v>
      </c>
      <c r="W539" s="350"/>
      <c r="X539" s="350"/>
      <c r="Y539" s="350"/>
      <c r="Z539" s="350"/>
      <c r="AA539" s="350"/>
      <c r="AB539" s="350"/>
      <c r="AC539" s="350"/>
      <c r="AD539" s="350"/>
      <c r="AE539" s="350"/>
      <c r="AF539" s="350"/>
      <c r="AG539" s="418"/>
      <c r="AH539" s="418"/>
      <c r="AI539" s="418"/>
      <c r="AJ539" s="339"/>
      <c r="AK539" s="339"/>
      <c r="AL539" s="339"/>
      <c r="AM539" s="339"/>
      <c r="AN539" s="339"/>
      <c r="AO539" s="339"/>
      <c r="AP539" s="339"/>
      <c r="AQ539" s="339"/>
      <c r="AR539" s="339"/>
      <c r="AS539" s="339"/>
      <c r="AT539" s="339"/>
      <c r="AU539" s="350"/>
      <c r="AV539" s="339"/>
      <c r="AW539" s="339">
        <v>97353.3</v>
      </c>
      <c r="AX539" s="339">
        <v>96960.45</v>
      </c>
      <c r="AY539" s="339">
        <v>98324.02</v>
      </c>
      <c r="AZ539" s="339">
        <v>101955.79</v>
      </c>
      <c r="BA539" s="339">
        <v>102787.19</v>
      </c>
      <c r="BB539" s="339">
        <v>174.88</v>
      </c>
      <c r="BC539" s="339">
        <v>48746.18</v>
      </c>
      <c r="BD539" s="339">
        <v>130.87</v>
      </c>
      <c r="BE539" s="339">
        <v>130.87</v>
      </c>
      <c r="BF539" s="339">
        <v>130.88</v>
      </c>
      <c r="BG539" s="339">
        <v>130.88</v>
      </c>
      <c r="BH539" s="339">
        <v>130.88</v>
      </c>
      <c r="BI539" s="339">
        <v>130.88</v>
      </c>
      <c r="BJ539" s="339">
        <v>130.88</v>
      </c>
      <c r="BK539" s="339">
        <v>130.88</v>
      </c>
      <c r="BL539" s="339">
        <v>130.88</v>
      </c>
      <c r="BM539" s="339">
        <v>130.88</v>
      </c>
      <c r="BN539" s="339">
        <v>130.88</v>
      </c>
      <c r="BO539" s="339">
        <v>130.88</v>
      </c>
      <c r="BP539" s="339">
        <v>130.88</v>
      </c>
      <c r="BQ539" s="339">
        <v>130.88</v>
      </c>
      <c r="BR539" s="339">
        <v>130.88</v>
      </c>
      <c r="BS539" s="110" t="e">
        <f t="array" aca="1" ref="BS539" ca="1">_xludf.XLOOKUP(D539,'PL TOTAL D0'!N:N,'PL TOTAL D0'!P:P,"")</f>
        <v>#NAME?</v>
      </c>
      <c r="BT539" s="110"/>
    </row>
    <row r="540" spans="1:72" ht="15.75" customHeight="1">
      <c r="A540" s="122" t="s">
        <v>3785</v>
      </c>
      <c r="B540" s="104" t="s">
        <v>2857</v>
      </c>
      <c r="C540" s="122" t="s">
        <v>5388</v>
      </c>
      <c r="D540" s="292">
        <v>9009128</v>
      </c>
      <c r="E540" s="293" t="s">
        <v>19</v>
      </c>
      <c r="F540" s="293" t="s">
        <v>49</v>
      </c>
      <c r="G540" s="293" t="s">
        <v>50</v>
      </c>
      <c r="H540" s="293">
        <f>IFERROR(VLOOKUP(G540,'Cadastro de assessores'!A:B,2,FALSE),"Não Cadastrado")</f>
        <v>12331</v>
      </c>
      <c r="I540" s="293"/>
      <c r="J540" s="24" t="s">
        <v>3788</v>
      </c>
      <c r="K540" s="292" t="s">
        <v>161</v>
      </c>
      <c r="L540" s="293" t="s">
        <v>3147</v>
      </c>
      <c r="M540" s="416">
        <v>44848</v>
      </c>
      <c r="N540" s="292"/>
      <c r="O540" s="292" t="s">
        <v>3802</v>
      </c>
      <c r="P540" s="388">
        <v>7.0000000000000001E-3</v>
      </c>
      <c r="Q540" s="420"/>
      <c r="R540" s="417"/>
      <c r="S540" s="292"/>
      <c r="T540" s="292" t="s">
        <v>145</v>
      </c>
      <c r="U540" s="292"/>
      <c r="V540" s="292" t="s">
        <v>49</v>
      </c>
      <c r="W540" s="418"/>
      <c r="X540" s="418"/>
      <c r="Y540" s="418"/>
      <c r="Z540" s="418"/>
      <c r="AA540" s="418"/>
      <c r="AB540" s="418"/>
      <c r="AC540" s="418"/>
      <c r="AD540" s="418"/>
      <c r="AE540" s="418"/>
      <c r="AF540" s="418"/>
      <c r="AG540" s="418"/>
      <c r="AH540" s="418"/>
      <c r="AI540" s="418"/>
      <c r="AJ540" s="418"/>
      <c r="AK540" s="339"/>
      <c r="AL540" s="339"/>
      <c r="AM540" s="339"/>
      <c r="AN540" s="339"/>
      <c r="AO540" s="339"/>
      <c r="AP540" s="339"/>
      <c r="AQ540" s="339"/>
      <c r="AR540" s="339"/>
      <c r="AS540" s="339"/>
      <c r="AT540" s="339"/>
      <c r="AU540" s="339"/>
      <c r="AV540" s="339"/>
      <c r="AW540" s="339"/>
      <c r="AX540" s="339"/>
      <c r="AY540" s="339"/>
      <c r="AZ540" s="339"/>
      <c r="BA540" s="339"/>
      <c r="BB540" s="339"/>
      <c r="BC540" s="339"/>
      <c r="BD540" s="339"/>
      <c r="BE540" s="339"/>
      <c r="BF540" s="339">
        <v>0</v>
      </c>
      <c r="BG540" s="339">
        <v>0</v>
      </c>
      <c r="BH540" s="339">
        <v>0</v>
      </c>
      <c r="BI540" s="339">
        <v>5026.7299999999996</v>
      </c>
      <c r="BJ540" s="339">
        <v>5080.6099999999997</v>
      </c>
      <c r="BK540" s="339">
        <v>50456.32</v>
      </c>
      <c r="BL540" s="339">
        <v>100567.92</v>
      </c>
      <c r="BM540" s="339">
        <v>6062.25</v>
      </c>
      <c r="BN540" s="339">
        <v>6051.36</v>
      </c>
      <c r="BO540" s="339">
        <v>6105.42</v>
      </c>
      <c r="BP540" s="339">
        <v>9180.2999999999993</v>
      </c>
      <c r="BQ540" s="339">
        <v>9234.17</v>
      </c>
      <c r="BR540" s="339">
        <v>0</v>
      </c>
      <c r="BS540" s="110" t="e">
        <f t="array" aca="1" ref="BS540" ca="1">_xludf.XLOOKUP(D540,'PL TOTAL D0'!N:N,'PL TOTAL D0'!P:P,"")</f>
        <v>#NAME?</v>
      </c>
      <c r="BT540" s="110"/>
    </row>
    <row r="541" spans="1:72" ht="15.75" customHeight="1">
      <c r="A541" s="122" t="s">
        <v>3785</v>
      </c>
      <c r="B541" s="104" t="s">
        <v>5389</v>
      </c>
      <c r="C541" s="122" t="s">
        <v>5390</v>
      </c>
      <c r="D541" s="292">
        <v>2694253</v>
      </c>
      <c r="E541" s="293" t="s">
        <v>64</v>
      </c>
      <c r="F541" s="293" t="s">
        <v>20</v>
      </c>
      <c r="G541" s="293" t="s">
        <v>73</v>
      </c>
      <c r="H541" s="293" t="str">
        <f>IFERROR(VLOOKUP(G541,'Cadastro de assessores'!A:B,2,FALSE),"Não Cadastrado")</f>
        <v>17243</v>
      </c>
      <c r="I541" s="293"/>
      <c r="J541" s="24" t="s">
        <v>152</v>
      </c>
      <c r="K541" s="293" t="s">
        <v>152</v>
      </c>
      <c r="L541" s="416">
        <v>44134</v>
      </c>
      <c r="M541" s="416">
        <v>44134</v>
      </c>
      <c r="N541" s="292"/>
      <c r="O541" s="292" t="s">
        <v>3789</v>
      </c>
      <c r="P541" s="388">
        <v>0.02</v>
      </c>
      <c r="Q541" s="420" t="s">
        <v>5391</v>
      </c>
      <c r="R541" s="417"/>
      <c r="S541" s="292" t="str">
        <f t="shared" ref="S541:S543" si="57">IF(BC541&lt;=0,"",IF(BC541&lt;=1000000,"Não Qualificado",IF(AND(BC541&gt;1000000,BC541&lt;=10000000),"Qualificado","Profissional")))</f>
        <v>Não Qualificado</v>
      </c>
      <c r="T541" s="292" t="s">
        <v>187</v>
      </c>
      <c r="U541" s="292" t="s">
        <v>3816</v>
      </c>
      <c r="V541" s="292" t="s">
        <v>20</v>
      </c>
      <c r="W541" s="418" t="s">
        <v>3798</v>
      </c>
      <c r="X541" s="418" t="s">
        <v>3798</v>
      </c>
      <c r="Y541" s="418" t="s">
        <v>3798</v>
      </c>
      <c r="Z541" s="418" t="s">
        <v>3798</v>
      </c>
      <c r="AA541" s="418" t="s">
        <v>3798</v>
      </c>
      <c r="AB541" s="418" t="s">
        <v>3798</v>
      </c>
      <c r="AC541" s="418" t="s">
        <v>3798</v>
      </c>
      <c r="AD541" s="418" t="s">
        <v>3798</v>
      </c>
      <c r="AE541" s="418" t="s">
        <v>3798</v>
      </c>
      <c r="AF541" s="418" t="s">
        <v>3798</v>
      </c>
      <c r="AG541" s="418" t="s">
        <v>3798</v>
      </c>
      <c r="AH541" s="418" t="s">
        <v>3798</v>
      </c>
      <c r="AI541" s="418" t="s">
        <v>5392</v>
      </c>
      <c r="AJ541" s="418" t="s">
        <v>5393</v>
      </c>
      <c r="AK541" s="339">
        <v>1121856.74</v>
      </c>
      <c r="AL541" s="339">
        <v>1098784.47</v>
      </c>
      <c r="AM541" s="339">
        <v>1068858.8400000001</v>
      </c>
      <c r="AN541" s="339">
        <v>1070996.96</v>
      </c>
      <c r="AO541" s="339">
        <v>1096915.81</v>
      </c>
      <c r="AP541" s="339">
        <v>983415.53</v>
      </c>
      <c r="AQ541" s="339">
        <v>978783.49</v>
      </c>
      <c r="AR541" s="339">
        <v>1004917.74</v>
      </c>
      <c r="AS541" s="339">
        <v>952985.01</v>
      </c>
      <c r="AT541" s="339">
        <v>924185.84</v>
      </c>
      <c r="AU541" s="339">
        <v>913557.33</v>
      </c>
      <c r="AV541" s="339">
        <v>887052.24</v>
      </c>
      <c r="AW541" s="339">
        <v>848245.56</v>
      </c>
      <c r="AX541" s="339">
        <v>843938.57</v>
      </c>
      <c r="AY541" s="339">
        <v>857860.94</v>
      </c>
      <c r="AZ541" s="339">
        <v>839266.93</v>
      </c>
      <c r="BA541" s="339">
        <v>848010.87</v>
      </c>
      <c r="BB541" s="339">
        <v>882826.57</v>
      </c>
      <c r="BC541" s="339">
        <v>76255.39</v>
      </c>
      <c r="BD541" s="339">
        <v>863822.55</v>
      </c>
      <c r="BE541" s="339">
        <v>844779.35</v>
      </c>
      <c r="BF541" s="339">
        <v>840741.1</v>
      </c>
      <c r="BG541" s="339">
        <v>854872.02579999994</v>
      </c>
      <c r="BH541" s="339">
        <v>846931.9</v>
      </c>
      <c r="BI541" s="339">
        <v>900579.93</v>
      </c>
      <c r="BJ541" s="339">
        <v>894292.14</v>
      </c>
      <c r="BK541" s="339">
        <v>843710.71</v>
      </c>
      <c r="BL541" s="339">
        <v>854838.15</v>
      </c>
      <c r="BM541" s="339">
        <v>850862.76</v>
      </c>
      <c r="BN541" s="339">
        <v>844178.74</v>
      </c>
      <c r="BO541" s="339">
        <v>850543.7</v>
      </c>
      <c r="BP541" s="339">
        <v>858466.45</v>
      </c>
      <c r="BQ541" s="339">
        <v>873766.48</v>
      </c>
      <c r="BR541" s="339">
        <v>890106.73</v>
      </c>
      <c r="BS541" s="110" t="e">
        <f t="array" aca="1" ref="BS541" ca="1">_xludf.XLOOKUP(D541,'PL TOTAL D0'!N:N,'PL TOTAL D0'!P:P,"")</f>
        <v>#NAME?</v>
      </c>
      <c r="BT541" s="110"/>
    </row>
    <row r="542" spans="1:72" ht="15.75" customHeight="1">
      <c r="A542" s="122" t="s">
        <v>3785</v>
      </c>
      <c r="B542" s="104" t="s">
        <v>5394</v>
      </c>
      <c r="C542" s="122" t="s">
        <v>5395</v>
      </c>
      <c r="D542" s="292">
        <v>4906342</v>
      </c>
      <c r="E542" s="292" t="s">
        <v>19</v>
      </c>
      <c r="F542" s="292" t="s">
        <v>49</v>
      </c>
      <c r="G542" s="292" t="s">
        <v>328</v>
      </c>
      <c r="H542" s="292" t="str">
        <f>IFERROR(VLOOKUP(G542,'Cadastro de assessores'!A:B,2,FALSE),"Não Cadastrado")</f>
        <v>18009</v>
      </c>
      <c r="I542" s="292"/>
      <c r="J542" s="24" t="s">
        <v>143</v>
      </c>
      <c r="K542" s="292" t="s">
        <v>3794</v>
      </c>
      <c r="L542" s="387"/>
      <c r="M542" s="387">
        <v>44294</v>
      </c>
      <c r="N542" s="447">
        <v>44651</v>
      </c>
      <c r="O542" s="299" t="s">
        <v>3789</v>
      </c>
      <c r="P542" s="388">
        <v>0.02</v>
      </c>
      <c r="Q542" s="420" t="s">
        <v>5396</v>
      </c>
      <c r="R542" s="417"/>
      <c r="S542" s="292" t="str">
        <f t="shared" si="57"/>
        <v>Não Qualificado</v>
      </c>
      <c r="T542" s="292" t="s">
        <v>145</v>
      </c>
      <c r="U542" s="292" t="s">
        <v>3846</v>
      </c>
      <c r="V542" s="292" t="s">
        <v>46</v>
      </c>
      <c r="W542" s="418"/>
      <c r="X542" s="418"/>
      <c r="Y542" s="418"/>
      <c r="Z542" s="418"/>
      <c r="AA542" s="418"/>
      <c r="AB542" s="418"/>
      <c r="AC542" s="418"/>
      <c r="AD542" s="418"/>
      <c r="AE542" s="418"/>
      <c r="AF542" s="418"/>
      <c r="AG542" s="418"/>
      <c r="AH542" s="418"/>
      <c r="AI542" s="418"/>
      <c r="AJ542" s="418"/>
      <c r="AK542" s="339"/>
      <c r="AL542" s="339"/>
      <c r="AM542" s="339" t="s">
        <v>3147</v>
      </c>
      <c r="AN542" s="339" t="s">
        <v>3147</v>
      </c>
      <c r="AO542" s="339"/>
      <c r="AP542" s="339">
        <v>202150.12</v>
      </c>
      <c r="AQ542" s="339">
        <v>200882.58</v>
      </c>
      <c r="AR542" s="339">
        <v>238915.99</v>
      </c>
      <c r="AS542" s="339">
        <v>236393.75</v>
      </c>
      <c r="AT542" s="339">
        <v>228891.7</v>
      </c>
      <c r="AU542" s="339">
        <v>226240.5</v>
      </c>
      <c r="AV542" s="339">
        <v>219578.68</v>
      </c>
      <c r="AW542" s="339">
        <v>208523.9</v>
      </c>
      <c r="AX542" s="339">
        <v>207496.61</v>
      </c>
      <c r="AY542" s="339">
        <v>210593.1</v>
      </c>
      <c r="AZ542" s="339">
        <v>218225.6</v>
      </c>
      <c r="BA542" s="339">
        <v>220333.61</v>
      </c>
      <c r="BB542" s="339">
        <v>229569.98</v>
      </c>
      <c r="BC542" s="339">
        <v>108888.9</v>
      </c>
      <c r="BD542" s="339" t="s">
        <v>2932</v>
      </c>
      <c r="BE542" s="339" t="s">
        <v>2932</v>
      </c>
      <c r="BF542" s="339">
        <v>0</v>
      </c>
      <c r="BG542" s="339">
        <v>0</v>
      </c>
      <c r="BH542" s="339">
        <v>0</v>
      </c>
      <c r="BI542" s="339">
        <v>0</v>
      </c>
      <c r="BJ542" s="339">
        <v>0</v>
      </c>
      <c r="BK542" s="339">
        <v>0</v>
      </c>
      <c r="BL542" s="339">
        <v>0</v>
      </c>
      <c r="BM542" s="339">
        <v>0</v>
      </c>
      <c r="BN542" s="339">
        <v>0</v>
      </c>
      <c r="BO542" s="339">
        <v>0</v>
      </c>
      <c r="BP542" s="339">
        <v>0</v>
      </c>
      <c r="BQ542" s="339">
        <v>0</v>
      </c>
      <c r="BR542" s="339">
        <v>0</v>
      </c>
      <c r="BS542" s="110" t="e">
        <f t="array" aca="1" ref="BS542" ca="1">_xludf.XLOOKUP(D542,'PL TOTAL D0'!N:N,'PL TOTAL D0'!P:P,"")</f>
        <v>#NAME?</v>
      </c>
      <c r="BT542" s="110"/>
    </row>
    <row r="543" spans="1:72" ht="15.75" customHeight="1">
      <c r="A543" s="122" t="s">
        <v>3785</v>
      </c>
      <c r="B543" s="104" t="s">
        <v>2871</v>
      </c>
      <c r="C543" s="122" t="s">
        <v>5397</v>
      </c>
      <c r="D543" s="292">
        <v>4733764</v>
      </c>
      <c r="E543" s="292" t="s">
        <v>64</v>
      </c>
      <c r="F543" s="292" t="s">
        <v>20</v>
      </c>
      <c r="G543" s="292" t="s">
        <v>5398</v>
      </c>
      <c r="H543" s="292" t="str">
        <f>IFERROR(VLOOKUP(G543,'Cadastro de assessores'!A:B,2,FALSE),"Não Cadastrado")</f>
        <v>18992</v>
      </c>
      <c r="I543" s="292"/>
      <c r="J543" s="24" t="s">
        <v>143</v>
      </c>
      <c r="K543" s="292" t="s">
        <v>3794</v>
      </c>
      <c r="L543" s="387"/>
      <c r="M543" s="387">
        <v>44209</v>
      </c>
      <c r="N543" s="447">
        <v>44512</v>
      </c>
      <c r="O543" s="299" t="s">
        <v>3842</v>
      </c>
      <c r="P543" s="388">
        <v>8.0000000000000002E-3</v>
      </c>
      <c r="Q543" s="420" t="s">
        <v>5399</v>
      </c>
      <c r="R543" s="417"/>
      <c r="S543" s="292" t="str">
        <f t="shared" si="57"/>
        <v>Não Qualificado</v>
      </c>
      <c r="T543" s="292" t="s">
        <v>145</v>
      </c>
      <c r="U543" s="292" t="s">
        <v>3811</v>
      </c>
      <c r="V543" s="292" t="s">
        <v>20</v>
      </c>
      <c r="W543" s="418"/>
      <c r="X543" s="418"/>
      <c r="Y543" s="418"/>
      <c r="Z543" s="418"/>
      <c r="AA543" s="418"/>
      <c r="AB543" s="418"/>
      <c r="AC543" s="418"/>
      <c r="AD543" s="418"/>
      <c r="AE543" s="418"/>
      <c r="AF543" s="418"/>
      <c r="AG543" s="418"/>
      <c r="AH543" s="418"/>
      <c r="AI543" s="418"/>
      <c r="AJ543" s="418"/>
      <c r="AK543" s="339"/>
      <c r="AL543" s="339">
        <v>139614.64000000001</v>
      </c>
      <c r="AM543" s="339">
        <v>140550.07</v>
      </c>
      <c r="AN543" s="339">
        <v>135558.51999999999</v>
      </c>
      <c r="AO543" s="339">
        <v>134332.69</v>
      </c>
      <c r="AP543" s="339">
        <v>133346.22</v>
      </c>
      <c r="AQ543" s="339">
        <v>133985.49</v>
      </c>
      <c r="AR543" s="339">
        <v>131770.31</v>
      </c>
      <c r="AS543" s="339">
        <v>130070.07</v>
      </c>
      <c r="AT543" s="339">
        <v>132694.37</v>
      </c>
      <c r="AU543" s="339">
        <v>128662.05</v>
      </c>
      <c r="AV543" s="339">
        <v>128963.71</v>
      </c>
      <c r="AW543" s="339">
        <v>126051.79</v>
      </c>
      <c r="AX543" s="340"/>
      <c r="AY543" s="340"/>
      <c r="AZ543" s="340"/>
      <c r="BA543" s="340">
        <v>0</v>
      </c>
      <c r="BB543" s="340">
        <v>0</v>
      </c>
      <c r="BC543" s="340">
        <v>160646.16</v>
      </c>
      <c r="BD543" s="339">
        <v>0</v>
      </c>
      <c r="BE543" s="339" t="s">
        <v>2932</v>
      </c>
      <c r="BF543" s="339">
        <v>0</v>
      </c>
      <c r="BG543" s="339">
        <v>0</v>
      </c>
      <c r="BH543" s="339">
        <v>0</v>
      </c>
      <c r="BI543" s="339">
        <v>0</v>
      </c>
      <c r="BJ543" s="339">
        <v>0</v>
      </c>
      <c r="BK543" s="339">
        <v>0</v>
      </c>
      <c r="BL543" s="339">
        <v>0</v>
      </c>
      <c r="BM543" s="339">
        <v>0</v>
      </c>
      <c r="BN543" s="339">
        <v>0</v>
      </c>
      <c r="BO543" s="339">
        <v>0</v>
      </c>
      <c r="BP543" s="339">
        <v>0</v>
      </c>
      <c r="BQ543" s="339">
        <v>0</v>
      </c>
      <c r="BR543" s="339">
        <v>0</v>
      </c>
      <c r="BS543" s="110" t="e">
        <f t="array" aca="1" ref="BS543" ca="1">_xludf.XLOOKUP(D543,'PL TOTAL D0'!N:N,'PL TOTAL D0'!P:P,"")</f>
        <v>#NAME?</v>
      </c>
      <c r="BT543" s="110"/>
    </row>
    <row r="544" spans="1:72" ht="15.75" customHeight="1">
      <c r="A544" s="304"/>
      <c r="B544" s="304"/>
      <c r="C544" s="304"/>
      <c r="D544" s="307"/>
      <c r="E544" s="307"/>
      <c r="F544" s="307"/>
      <c r="G544" s="307"/>
      <c r="H544" s="307"/>
      <c r="I544" s="307"/>
      <c r="J544" s="307"/>
      <c r="K544" s="307"/>
      <c r="L544" s="307"/>
      <c r="M544" s="307"/>
      <c r="N544" s="307"/>
      <c r="O544" s="307"/>
      <c r="P544" s="309"/>
      <c r="Q544" s="311"/>
      <c r="R544" s="490"/>
      <c r="S544" s="307"/>
      <c r="T544" s="307"/>
      <c r="U544" s="307"/>
      <c r="V544" s="307"/>
      <c r="W544" s="307"/>
      <c r="X544" s="307"/>
      <c r="Y544" s="307"/>
      <c r="Z544" s="307"/>
      <c r="AA544" s="307"/>
      <c r="AB544" s="307"/>
      <c r="AC544" s="307"/>
      <c r="AD544" s="307"/>
      <c r="AE544" s="307"/>
      <c r="AF544" s="307"/>
      <c r="AG544" s="307"/>
      <c r="AH544" s="307"/>
      <c r="AI544" s="307"/>
      <c r="AJ544" s="307"/>
      <c r="AK544" s="307"/>
      <c r="AL544" s="307"/>
      <c r="AM544" s="307"/>
      <c r="AN544" s="307"/>
      <c r="AO544" s="307"/>
      <c r="AP544" s="307"/>
      <c r="AQ544" s="208"/>
      <c r="AR544" s="208"/>
      <c r="AS544" s="208"/>
      <c r="AT544" s="208"/>
      <c r="AU544" s="208"/>
      <c r="AV544" s="208"/>
      <c r="AW544" s="208"/>
      <c r="AX544" s="208"/>
      <c r="AY544" s="208"/>
      <c r="AZ544" s="208"/>
      <c r="BA544" s="208"/>
      <c r="BB544" s="208"/>
      <c r="BC544" s="208"/>
      <c r="BD544" s="208"/>
      <c r="BE544" s="208"/>
      <c r="BF544" s="208"/>
      <c r="BG544" s="208"/>
      <c r="BH544" s="208"/>
      <c r="BI544" s="208"/>
      <c r="BJ544" s="208"/>
      <c r="BK544" s="208"/>
      <c r="BL544" s="208"/>
      <c r="BM544" s="208"/>
      <c r="BN544" s="208"/>
      <c r="BO544" s="208"/>
      <c r="BP544" s="208"/>
      <c r="BQ544" s="208"/>
      <c r="BR544" s="208"/>
      <c r="BS544" s="491"/>
      <c r="BT544" s="491"/>
    </row>
    <row r="545" spans="1:72" ht="15.75" customHeight="1">
      <c r="A545" s="317"/>
      <c r="B545" s="317"/>
      <c r="C545" s="317" t="s">
        <v>2878</v>
      </c>
      <c r="D545" s="492">
        <f>COUNTIF(J2:J543,"Ativo")</f>
        <v>52</v>
      </c>
      <c r="E545" s="307"/>
      <c r="F545" s="307"/>
      <c r="G545" s="307"/>
      <c r="H545" s="307"/>
      <c r="I545" s="307"/>
      <c r="J545" s="307"/>
      <c r="K545" s="307"/>
      <c r="L545" s="307"/>
      <c r="M545" s="307"/>
      <c r="N545" s="307"/>
      <c r="O545" s="307"/>
      <c r="P545" s="309"/>
      <c r="Q545" s="311"/>
      <c r="R545" s="490"/>
      <c r="S545" s="307"/>
      <c r="T545" s="307"/>
      <c r="U545" s="307"/>
      <c r="V545" s="307"/>
      <c r="W545" s="493">
        <f t="shared" ref="W545:AY545" si="58">SUM(W3:W543)</f>
        <v>0</v>
      </c>
      <c r="X545" s="493">
        <f t="shared" si="58"/>
        <v>0</v>
      </c>
      <c r="Y545" s="493">
        <f t="shared" si="58"/>
        <v>0</v>
      </c>
      <c r="Z545" s="493">
        <f t="shared" si="58"/>
        <v>0</v>
      </c>
      <c r="AA545" s="493">
        <f t="shared" si="58"/>
        <v>0</v>
      </c>
      <c r="AB545" s="493">
        <f t="shared" si="58"/>
        <v>0</v>
      </c>
      <c r="AC545" s="493">
        <f t="shared" si="58"/>
        <v>0</v>
      </c>
      <c r="AD545" s="493">
        <f t="shared" si="58"/>
        <v>0</v>
      </c>
      <c r="AE545" s="493">
        <f t="shared" si="58"/>
        <v>0</v>
      </c>
      <c r="AF545" s="493">
        <f t="shared" si="58"/>
        <v>0</v>
      </c>
      <c r="AG545" s="493">
        <f t="shared" si="58"/>
        <v>0</v>
      </c>
      <c r="AH545" s="493">
        <f t="shared" si="58"/>
        <v>0</v>
      </c>
      <c r="AI545" s="493">
        <f t="shared" si="58"/>
        <v>0</v>
      </c>
      <c r="AJ545" s="493">
        <f t="shared" si="58"/>
        <v>0</v>
      </c>
      <c r="AK545" s="493">
        <f t="shared" si="58"/>
        <v>49939606.470000014</v>
      </c>
      <c r="AL545" s="493">
        <f t="shared" si="58"/>
        <v>56320445.300000004</v>
      </c>
      <c r="AM545" s="493">
        <f t="shared" si="58"/>
        <v>61178277.870000005</v>
      </c>
      <c r="AN545" s="493">
        <f t="shared" si="58"/>
        <v>127507477.94999994</v>
      </c>
      <c r="AO545" s="493">
        <f t="shared" si="58"/>
        <v>122724856.14999998</v>
      </c>
      <c r="AP545" s="493">
        <f t="shared" si="58"/>
        <v>131155083.36000003</v>
      </c>
      <c r="AQ545" s="493">
        <f t="shared" si="58"/>
        <v>131412065.36999987</v>
      </c>
      <c r="AR545" s="493">
        <f t="shared" si="58"/>
        <v>136452066.23000005</v>
      </c>
      <c r="AS545" s="493">
        <f t="shared" si="58"/>
        <v>140158681.62999994</v>
      </c>
      <c r="AT545" s="493">
        <f t="shared" si="58"/>
        <v>71262668.030000046</v>
      </c>
      <c r="AU545" s="493">
        <f t="shared" si="58"/>
        <v>69124058.379999965</v>
      </c>
      <c r="AV545" s="493">
        <f t="shared" si="58"/>
        <v>76850538.540000021</v>
      </c>
      <c r="AW545" s="493">
        <f t="shared" si="58"/>
        <v>69027370.699999988</v>
      </c>
      <c r="AX545" s="493">
        <f t="shared" si="58"/>
        <v>73362806.810000017</v>
      </c>
      <c r="AY545" s="493">
        <f t="shared" si="58"/>
        <v>80914890.299999967</v>
      </c>
      <c r="AZ545" s="493">
        <f t="shared" ref="AZ545:BS545" si="59">SUM(AZ2:AZ543)</f>
        <v>86755962.909999952</v>
      </c>
      <c r="BA545" s="493">
        <f t="shared" si="59"/>
        <v>91413422.460000008</v>
      </c>
      <c r="BB545" s="493">
        <f t="shared" si="59"/>
        <v>101114599.57000002</v>
      </c>
      <c r="BC545" s="493">
        <f t="shared" si="59"/>
        <v>97384990.450000033</v>
      </c>
      <c r="BD545" s="493">
        <f t="shared" si="59"/>
        <v>129049070.0999999</v>
      </c>
      <c r="BE545" s="493">
        <f t="shared" si="59"/>
        <v>133680411.01000002</v>
      </c>
      <c r="BF545" s="493">
        <f t="shared" si="59"/>
        <v>132712631.89000002</v>
      </c>
      <c r="BG545" s="493">
        <f t="shared" si="59"/>
        <v>133649376.43413897</v>
      </c>
      <c r="BH545" s="493">
        <f t="shared" si="59"/>
        <v>134917880.01000002</v>
      </c>
      <c r="BI545" s="493">
        <f t="shared" si="59"/>
        <v>135978013.65000004</v>
      </c>
      <c r="BJ545" s="493">
        <f t="shared" si="59"/>
        <v>129078340.16000009</v>
      </c>
      <c r="BK545" s="493">
        <f t="shared" si="59"/>
        <v>134130576.28000006</v>
      </c>
      <c r="BL545" s="493">
        <f t="shared" si="59"/>
        <v>118095517.37000006</v>
      </c>
      <c r="BM545" s="493">
        <f t="shared" si="59"/>
        <v>79431765.169999987</v>
      </c>
      <c r="BN545" s="493">
        <f t="shared" si="59"/>
        <v>40285042.400000021</v>
      </c>
      <c r="BO545" s="493">
        <f t="shared" si="59"/>
        <v>25774006.549999997</v>
      </c>
      <c r="BP545" s="493">
        <f t="shared" si="59"/>
        <v>20333651.860000007</v>
      </c>
      <c r="BQ545" s="493">
        <f t="shared" si="59"/>
        <v>17231025.399999995</v>
      </c>
      <c r="BR545" s="493">
        <f t="shared" si="59"/>
        <v>14167989.990000002</v>
      </c>
      <c r="BS545" s="378" t="e">
        <f t="shared" ca="1" si="59"/>
        <v>#NAME?</v>
      </c>
      <c r="BT545" s="414"/>
    </row>
    <row r="546" spans="1:72" ht="15.75" customHeight="1">
      <c r="A546" s="317"/>
      <c r="B546" s="317"/>
      <c r="C546" s="317" t="s">
        <v>2880</v>
      </c>
      <c r="D546" s="492">
        <f>COUNTIF(J2:J543,"Encerrado")</f>
        <v>204</v>
      </c>
      <c r="E546" s="307"/>
      <c r="F546" s="307"/>
      <c r="G546" s="494"/>
      <c r="H546" s="307"/>
      <c r="I546" s="307"/>
      <c r="J546" s="307"/>
      <c r="K546" s="307"/>
      <c r="L546" s="307"/>
      <c r="M546" s="307"/>
      <c r="N546" s="307"/>
      <c r="O546" s="307"/>
      <c r="P546" s="309"/>
      <c r="Q546" s="311"/>
      <c r="R546" s="490"/>
      <c r="S546" s="307"/>
      <c r="T546" s="307"/>
      <c r="U546" s="307"/>
      <c r="V546" s="307"/>
      <c r="W546" s="307"/>
      <c r="X546" s="307"/>
      <c r="Y546" s="307"/>
      <c r="Z546" s="307"/>
      <c r="AA546" s="307"/>
      <c r="AB546" s="307"/>
      <c r="AC546" s="307"/>
      <c r="AD546" s="307"/>
      <c r="AE546" s="307"/>
      <c r="AF546" s="307"/>
      <c r="AG546" s="307"/>
      <c r="AH546" s="307"/>
      <c r="AI546" s="307"/>
      <c r="AJ546" s="307"/>
      <c r="AK546" s="307"/>
      <c r="AL546" s="307"/>
      <c r="AM546" s="307"/>
      <c r="AN546" s="307"/>
      <c r="AO546" s="307"/>
      <c r="AP546" s="307"/>
      <c r="AQ546" s="208"/>
      <c r="AR546" s="208"/>
      <c r="AS546" s="208"/>
      <c r="AT546" s="208"/>
      <c r="AU546" s="208"/>
      <c r="AV546" s="208"/>
      <c r="AW546" s="208"/>
      <c r="AX546" s="208"/>
      <c r="AY546" s="208"/>
      <c r="AZ546" s="208"/>
      <c r="BA546" s="208"/>
      <c r="BB546" s="208"/>
      <c r="BC546" s="208"/>
      <c r="BD546" s="208"/>
      <c r="BE546" s="208"/>
      <c r="BF546" s="208"/>
      <c r="BG546" s="208"/>
      <c r="BH546" s="208"/>
      <c r="BI546" s="354"/>
      <c r="BJ546" s="354"/>
      <c r="BK546" s="354"/>
      <c r="BL546" s="354"/>
      <c r="BM546" s="208"/>
      <c r="BN546" s="208"/>
      <c r="BO546" s="208"/>
      <c r="BP546" s="208"/>
      <c r="BQ546" s="208"/>
      <c r="BR546" s="208"/>
      <c r="BS546" s="491"/>
      <c r="BT546" s="491"/>
    </row>
    <row r="547" spans="1:72" ht="15.75" customHeight="1">
      <c r="A547" s="317"/>
      <c r="B547" s="317"/>
      <c r="C547" s="317" t="s">
        <v>5400</v>
      </c>
      <c r="D547" s="492">
        <f>COUNTIF(J2:J543,"Sem Patrimônio")</f>
        <v>285</v>
      </c>
      <c r="E547" s="307"/>
      <c r="F547" s="307"/>
      <c r="G547" s="307"/>
      <c r="H547" s="307"/>
      <c r="I547" s="307"/>
      <c r="J547" s="307"/>
      <c r="K547" s="307"/>
      <c r="L547" s="307"/>
      <c r="M547" s="307"/>
      <c r="N547" s="307"/>
      <c r="O547" s="307"/>
      <c r="P547" s="309"/>
      <c r="Q547" s="311"/>
      <c r="R547" s="490"/>
      <c r="S547" s="307"/>
      <c r="T547" s="307"/>
      <c r="U547" s="307"/>
      <c r="V547" s="307"/>
      <c r="W547" s="307"/>
      <c r="X547" s="307"/>
      <c r="Y547" s="307"/>
      <c r="Z547" s="307"/>
      <c r="AA547" s="307"/>
      <c r="AB547" s="307"/>
      <c r="AC547" s="307"/>
      <c r="AD547" s="307"/>
      <c r="AE547" s="307"/>
      <c r="AF547" s="307"/>
      <c r="AG547" s="307"/>
      <c r="AH547" s="307"/>
      <c r="AI547" s="307"/>
      <c r="AJ547" s="307"/>
      <c r="AK547" s="307"/>
      <c r="AL547" s="307"/>
      <c r="AM547" s="307"/>
      <c r="AN547" s="307"/>
      <c r="AO547" s="307"/>
      <c r="AP547" s="307"/>
      <c r="AQ547" s="208"/>
      <c r="AR547" s="208"/>
      <c r="AS547" s="208"/>
      <c r="AT547" s="208"/>
      <c r="AU547" s="208"/>
      <c r="AV547" s="208"/>
      <c r="AW547" s="208"/>
      <c r="AX547" s="208"/>
      <c r="AY547" s="208"/>
      <c r="AZ547" s="208"/>
      <c r="BA547" s="208"/>
      <c r="BB547" s="208"/>
      <c r="BC547" s="208"/>
      <c r="BD547" s="208"/>
      <c r="BE547" s="208"/>
      <c r="BF547" s="208"/>
      <c r="BG547" s="208"/>
      <c r="BH547" s="208"/>
      <c r="BI547" s="208"/>
      <c r="BJ547" s="208" t="s">
        <v>5401</v>
      </c>
      <c r="BK547" s="208" t="s">
        <v>5402</v>
      </c>
      <c r="BL547" s="208" t="s">
        <v>5403</v>
      </c>
      <c r="BM547" s="208"/>
      <c r="BN547" s="208"/>
      <c r="BO547" s="208"/>
      <c r="BP547" s="208"/>
      <c r="BQ547" s="208"/>
      <c r="BR547" s="208"/>
      <c r="BS547" s="491"/>
      <c r="BT547" s="491"/>
    </row>
    <row r="548" spans="1:72" ht="15.75" customHeight="1">
      <c r="A548" s="317"/>
      <c r="B548" s="317"/>
      <c r="C548" s="317" t="s">
        <v>5404</v>
      </c>
      <c r="D548" s="492">
        <f>COUNTIF(J2:J543,"Inativo")</f>
        <v>1</v>
      </c>
      <c r="E548" s="319"/>
      <c r="F548" s="319"/>
      <c r="G548" s="319"/>
      <c r="H548" s="307"/>
      <c r="I548" s="307"/>
      <c r="J548" s="306"/>
      <c r="K548" s="306"/>
      <c r="L548" s="322"/>
      <c r="M548" s="322"/>
      <c r="N548" s="306"/>
      <c r="O548" s="306"/>
      <c r="P548" s="309"/>
      <c r="Q548" s="311"/>
      <c r="R548" s="490"/>
      <c r="S548" s="307"/>
      <c r="T548" s="307"/>
      <c r="U548" s="307"/>
      <c r="V548" s="307"/>
      <c r="W548" s="307"/>
      <c r="X548" s="307"/>
      <c r="Y548" s="307"/>
      <c r="Z548" s="307"/>
      <c r="AA548" s="307"/>
      <c r="AB548" s="307"/>
      <c r="AC548" s="307"/>
      <c r="AD548" s="307"/>
      <c r="AE548" s="307"/>
      <c r="AF548" s="307"/>
      <c r="AG548" s="307"/>
      <c r="AH548" s="307"/>
      <c r="AI548" s="307"/>
      <c r="AJ548" s="307"/>
      <c r="AK548" s="307"/>
      <c r="AL548" s="307"/>
      <c r="AM548" s="307"/>
      <c r="AN548" s="307"/>
      <c r="AO548" s="307"/>
      <c r="AP548" s="307"/>
      <c r="AQ548" s="208"/>
      <c r="AR548" s="208"/>
      <c r="AS548" s="208"/>
      <c r="AT548" s="208"/>
      <c r="AU548" s="208"/>
      <c r="AV548" s="208"/>
      <c r="AW548" s="208"/>
      <c r="AX548" s="208"/>
      <c r="AY548" s="208"/>
      <c r="AZ548" s="208"/>
      <c r="BA548" s="208"/>
      <c r="BB548" s="208"/>
      <c r="BC548" s="208"/>
      <c r="BD548" s="208"/>
      <c r="BE548" s="208"/>
      <c r="BF548" s="208"/>
      <c r="BG548" s="208"/>
      <c r="BH548" s="208"/>
      <c r="BI548" s="208" t="s">
        <v>3785</v>
      </c>
      <c r="BJ548" s="208">
        <v>129078340.16000009</v>
      </c>
      <c r="BK548" s="208"/>
      <c r="BL548" s="208">
        <v>40285042.400000021</v>
      </c>
      <c r="BM548" s="208"/>
      <c r="BN548" s="208"/>
      <c r="BO548" s="208"/>
      <c r="BP548" s="208"/>
      <c r="BQ548" s="208"/>
      <c r="BR548" s="208"/>
      <c r="BS548" s="491"/>
      <c r="BT548" s="491"/>
    </row>
    <row r="549" spans="1:72" ht="15.75" customHeight="1">
      <c r="A549" s="327"/>
      <c r="B549" s="327"/>
      <c r="C549" s="327"/>
      <c r="D549" s="328"/>
      <c r="E549" s="319"/>
      <c r="F549" s="319"/>
      <c r="G549" s="329"/>
      <c r="H549" s="307"/>
      <c r="I549" s="307"/>
      <c r="J549" s="495"/>
      <c r="K549" s="495"/>
      <c r="L549" s="320"/>
      <c r="M549" s="320"/>
      <c r="N549" s="307"/>
      <c r="O549" s="307"/>
      <c r="P549" s="309"/>
      <c r="Q549" s="311"/>
      <c r="R549" s="490"/>
      <c r="S549" s="307"/>
      <c r="T549" s="307"/>
      <c r="U549" s="307"/>
      <c r="V549" s="307"/>
      <c r="W549" s="307"/>
      <c r="X549" s="307"/>
      <c r="Y549" s="307"/>
      <c r="Z549" s="307"/>
      <c r="AA549" s="307"/>
      <c r="AB549" s="307"/>
      <c r="AC549" s="307"/>
      <c r="AD549" s="307"/>
      <c r="AE549" s="307"/>
      <c r="AF549" s="307"/>
      <c r="AG549" s="307"/>
      <c r="AH549" s="307"/>
      <c r="AI549" s="307"/>
      <c r="AJ549" s="307"/>
      <c r="AK549" s="307"/>
      <c r="AL549" s="307"/>
      <c r="AM549" s="307"/>
      <c r="AN549" s="307"/>
      <c r="AO549" s="307"/>
      <c r="AP549" s="307"/>
      <c r="AQ549" s="208"/>
      <c r="AR549" s="208"/>
      <c r="AS549" s="208"/>
      <c r="AT549" s="208"/>
      <c r="AU549" s="208"/>
      <c r="AV549" s="208"/>
      <c r="AW549" s="208"/>
      <c r="AX549" s="208"/>
      <c r="AY549" s="208"/>
      <c r="AZ549" s="208"/>
      <c r="BA549" s="208"/>
      <c r="BB549" s="208"/>
      <c r="BC549" s="208"/>
      <c r="BD549" s="208"/>
      <c r="BE549" s="208"/>
      <c r="BF549" s="208"/>
      <c r="BG549" s="208"/>
      <c r="BH549" s="208"/>
      <c r="BI549" s="208" t="s">
        <v>2921</v>
      </c>
      <c r="BJ549" s="208">
        <v>92232065.630000025</v>
      </c>
      <c r="BK549" s="208">
        <v>84062748.480000034</v>
      </c>
      <c r="BL549" s="208">
        <v>84062748.480000034</v>
      </c>
      <c r="BM549" s="208"/>
      <c r="BN549" s="208"/>
      <c r="BO549" s="208"/>
      <c r="BP549" s="208"/>
      <c r="BQ549" s="208"/>
      <c r="BR549" s="208"/>
      <c r="BS549" s="491"/>
      <c r="BT549" s="491"/>
    </row>
    <row r="550" spans="1:72" ht="15.75" customHeight="1">
      <c r="A550" s="304"/>
      <c r="B550" s="304"/>
      <c r="C550" s="304"/>
      <c r="D550" s="328"/>
      <c r="E550" s="319"/>
      <c r="F550" s="319"/>
      <c r="G550" s="319"/>
      <c r="H550" s="307"/>
      <c r="I550" s="307"/>
      <c r="J550" s="208"/>
      <c r="K550" s="208"/>
      <c r="L550" s="322"/>
      <c r="M550" s="322"/>
      <c r="N550" s="307"/>
      <c r="O550" s="307"/>
      <c r="P550" s="309"/>
      <c r="Q550" s="311"/>
      <c r="R550" s="490"/>
      <c r="S550" s="307"/>
      <c r="T550" s="307"/>
      <c r="U550" s="307"/>
      <c r="V550" s="307"/>
      <c r="W550" s="307"/>
      <c r="X550" s="307"/>
      <c r="Y550" s="307"/>
      <c r="Z550" s="307"/>
      <c r="AA550" s="307"/>
      <c r="AB550" s="307"/>
      <c r="AC550" s="307"/>
      <c r="AD550" s="307"/>
      <c r="AE550" s="307"/>
      <c r="AF550" s="307"/>
      <c r="AG550" s="307"/>
      <c r="AH550" s="307"/>
      <c r="AI550" s="307"/>
      <c r="AJ550" s="307"/>
      <c r="AK550" s="307"/>
      <c r="AL550" s="307"/>
      <c r="AM550" s="307"/>
      <c r="AN550" s="307"/>
      <c r="AO550" s="307"/>
      <c r="AP550" s="307"/>
      <c r="AQ550" s="208"/>
      <c r="AR550" s="208"/>
      <c r="AS550" s="208"/>
      <c r="AT550" s="208"/>
      <c r="AU550" s="208"/>
      <c r="AV550" s="208"/>
      <c r="AW550" s="208"/>
      <c r="AX550" s="208"/>
      <c r="AY550" s="208"/>
      <c r="AZ550" s="208"/>
      <c r="BA550" s="208"/>
      <c r="BB550" s="208"/>
      <c r="BC550" s="208"/>
      <c r="BD550" s="208"/>
      <c r="BE550" s="208"/>
      <c r="BF550" s="208"/>
      <c r="BG550" s="208"/>
      <c r="BH550" s="208"/>
      <c r="BI550" s="208" t="s">
        <v>3573</v>
      </c>
      <c r="BJ550" s="208">
        <v>0</v>
      </c>
      <c r="BK550" s="208">
        <v>2329685.9500000002</v>
      </c>
      <c r="BL550" s="208">
        <v>2329685.9500000002</v>
      </c>
      <c r="BM550" s="208"/>
      <c r="BN550" s="208"/>
      <c r="BO550" s="208"/>
      <c r="BP550" s="208"/>
      <c r="BQ550" s="208"/>
      <c r="BR550" s="208"/>
      <c r="BS550" s="491"/>
      <c r="BT550" s="491"/>
    </row>
    <row r="551" spans="1:72" ht="15.75" customHeight="1">
      <c r="A551" s="327"/>
      <c r="B551" s="327"/>
      <c r="C551" s="327"/>
      <c r="D551" s="328"/>
      <c r="E551" s="319"/>
      <c r="F551" s="319"/>
      <c r="G551" s="319"/>
      <c r="H551" s="307"/>
      <c r="I551" s="307"/>
      <c r="J551" s="496"/>
      <c r="K551" s="496"/>
      <c r="L551" s="320"/>
      <c r="M551" s="320"/>
      <c r="N551" s="306"/>
      <c r="O551" s="306"/>
      <c r="P551" s="309"/>
      <c r="Q551" s="311"/>
      <c r="R551" s="490"/>
      <c r="S551" s="307"/>
      <c r="T551" s="307"/>
      <c r="U551" s="307"/>
      <c r="V551" s="307"/>
      <c r="W551" s="307"/>
      <c r="X551" s="307"/>
      <c r="Y551" s="307"/>
      <c r="Z551" s="307"/>
      <c r="AA551" s="307"/>
      <c r="AB551" s="307"/>
      <c r="AC551" s="307"/>
      <c r="AD551" s="307"/>
      <c r="AE551" s="307"/>
      <c r="AF551" s="307"/>
      <c r="AG551" s="307"/>
      <c r="AH551" s="307"/>
      <c r="AI551" s="307"/>
      <c r="AJ551" s="307"/>
      <c r="AK551" s="307"/>
      <c r="AL551" s="307"/>
      <c r="AM551" s="307"/>
      <c r="AN551" s="307"/>
      <c r="AO551" s="307"/>
      <c r="AP551" s="307"/>
      <c r="AQ551" s="208"/>
      <c r="AR551" s="208"/>
      <c r="AS551" s="208"/>
      <c r="AT551" s="208"/>
      <c r="AU551" s="208"/>
      <c r="AV551" s="208"/>
      <c r="AW551" s="208"/>
      <c r="AX551" s="208"/>
      <c r="AY551" s="208"/>
      <c r="AZ551" s="208"/>
      <c r="BA551" s="208"/>
      <c r="BB551" s="208"/>
      <c r="BC551" s="208"/>
      <c r="BD551" s="208"/>
      <c r="BE551" s="208"/>
      <c r="BF551" s="208"/>
      <c r="BG551" s="208"/>
      <c r="BH551" s="208"/>
      <c r="BI551" s="208" t="s">
        <v>3607</v>
      </c>
      <c r="BJ551" s="208">
        <v>2401947.46</v>
      </c>
      <c r="BK551" s="208">
        <v>2421812.0799999996</v>
      </c>
      <c r="BL551" s="208">
        <v>2421812.0799999996</v>
      </c>
      <c r="BM551" s="208"/>
      <c r="BN551" s="208"/>
      <c r="BO551" s="208"/>
      <c r="BP551" s="208"/>
      <c r="BQ551" s="208"/>
      <c r="BR551" s="208"/>
      <c r="BS551" s="491"/>
      <c r="BT551" s="491"/>
    </row>
    <row r="552" spans="1:72" ht="15.75" customHeight="1">
      <c r="A552" s="327"/>
      <c r="B552" s="327"/>
      <c r="C552" s="327"/>
      <c r="D552" s="328"/>
      <c r="E552" s="319"/>
      <c r="F552" s="319"/>
      <c r="G552" s="319"/>
      <c r="H552" s="307"/>
      <c r="I552" s="307"/>
      <c r="J552" s="208"/>
      <c r="K552" s="208"/>
      <c r="L552" s="320"/>
      <c r="M552" s="320"/>
      <c r="N552" s="307"/>
      <c r="O552" s="307"/>
      <c r="P552" s="309"/>
      <c r="Q552" s="311"/>
      <c r="R552" s="490"/>
      <c r="S552" s="307"/>
      <c r="T552" s="307"/>
      <c r="U552" s="307"/>
      <c r="V552" s="307"/>
      <c r="W552" s="307"/>
      <c r="X552" s="307"/>
      <c r="Y552" s="307"/>
      <c r="Z552" s="307"/>
      <c r="AA552" s="307"/>
      <c r="AB552" s="307"/>
      <c r="AC552" s="307"/>
      <c r="AD552" s="307"/>
      <c r="AE552" s="307"/>
      <c r="AF552" s="307"/>
      <c r="AG552" s="307"/>
      <c r="AH552" s="307"/>
      <c r="AI552" s="307"/>
      <c r="AJ552" s="307"/>
      <c r="AK552" s="307"/>
      <c r="AL552" s="307"/>
      <c r="AM552" s="307"/>
      <c r="AN552" s="307"/>
      <c r="AO552" s="307"/>
      <c r="AP552" s="307"/>
      <c r="AQ552" s="208"/>
      <c r="AR552" s="208"/>
      <c r="AS552" s="208"/>
      <c r="AT552" s="208"/>
      <c r="AU552" s="208"/>
      <c r="AV552" s="208"/>
      <c r="AW552" s="208"/>
      <c r="AX552" s="208"/>
      <c r="AY552" s="208"/>
      <c r="AZ552" s="208"/>
      <c r="BA552" s="208"/>
      <c r="BB552" s="208"/>
      <c r="BC552" s="208"/>
      <c r="BD552" s="208"/>
      <c r="BE552" s="208"/>
      <c r="BF552" s="208"/>
      <c r="BG552" s="208"/>
      <c r="BH552" s="208"/>
      <c r="BI552" s="208"/>
      <c r="BJ552" s="208">
        <f t="shared" ref="BJ552:BL552" si="60">SUM(BJ548:BJ551)</f>
        <v>223712353.25000012</v>
      </c>
      <c r="BK552" s="208">
        <f t="shared" si="60"/>
        <v>88814246.510000035</v>
      </c>
      <c r="BL552" s="208">
        <f t="shared" si="60"/>
        <v>129099288.91000006</v>
      </c>
      <c r="BM552" s="208"/>
      <c r="BN552" s="208"/>
      <c r="BO552" s="208"/>
      <c r="BP552" s="208"/>
      <c r="BQ552" s="208"/>
      <c r="BR552" s="208"/>
      <c r="BS552" s="491"/>
      <c r="BT552" s="491"/>
    </row>
    <row r="553" spans="1:72" ht="15.75" customHeight="1">
      <c r="A553" s="327"/>
      <c r="B553" s="327"/>
      <c r="C553" s="327"/>
      <c r="D553" s="328"/>
      <c r="E553" s="319"/>
      <c r="F553" s="319"/>
      <c r="G553" s="319"/>
      <c r="H553" s="307"/>
      <c r="I553" s="307"/>
      <c r="J553" s="496"/>
      <c r="K553" s="496"/>
      <c r="L553" s="320"/>
      <c r="M553" s="320"/>
      <c r="N553" s="306"/>
      <c r="O553" s="306"/>
      <c r="P553" s="309"/>
      <c r="Q553" s="311"/>
      <c r="R553" s="490"/>
      <c r="S553" s="307"/>
      <c r="T553" s="307"/>
      <c r="U553" s="307"/>
      <c r="V553" s="307"/>
      <c r="W553" s="307"/>
      <c r="X553" s="307"/>
      <c r="Y553" s="307"/>
      <c r="Z553" s="307"/>
      <c r="AA553" s="307"/>
      <c r="AB553" s="307"/>
      <c r="AC553" s="307"/>
      <c r="AD553" s="307"/>
      <c r="AE553" s="307"/>
      <c r="AF553" s="307"/>
      <c r="AG553" s="307"/>
      <c r="AH553" s="307"/>
      <c r="AI553" s="307"/>
      <c r="AJ553" s="307"/>
      <c r="AK553" s="307"/>
      <c r="AL553" s="307"/>
      <c r="AM553" s="307"/>
      <c r="AN553" s="307"/>
      <c r="AO553" s="307"/>
      <c r="AP553" s="307"/>
      <c r="AQ553" s="208"/>
      <c r="AR553" s="208"/>
      <c r="AS553" s="208"/>
      <c r="AT553" s="208"/>
      <c r="AU553" s="208"/>
      <c r="AV553" s="208"/>
      <c r="AW553" s="208"/>
      <c r="AX553" s="208"/>
      <c r="AY553" s="208"/>
      <c r="AZ553" s="208"/>
      <c r="BA553" s="208"/>
      <c r="BB553" s="208"/>
      <c r="BC553" s="208"/>
      <c r="BD553" s="208"/>
      <c r="BE553" s="208"/>
      <c r="BF553" s="208"/>
      <c r="BG553" s="208"/>
      <c r="BH553" s="208"/>
      <c r="BI553" s="208"/>
      <c r="BJ553" s="208"/>
      <c r="BK553" s="208"/>
      <c r="BL553" s="208"/>
      <c r="BM553" s="208"/>
      <c r="BN553" s="208"/>
      <c r="BO553" s="208"/>
      <c r="BP553" s="208"/>
      <c r="BQ553" s="208"/>
      <c r="BR553" s="208"/>
      <c r="BS553" s="491"/>
      <c r="BT553" s="491"/>
    </row>
    <row r="554" spans="1:72" ht="15.75" customHeight="1">
      <c r="A554" s="327"/>
      <c r="B554" s="327"/>
      <c r="C554" s="327"/>
      <c r="D554" s="328"/>
      <c r="E554" s="319"/>
      <c r="F554" s="319"/>
      <c r="G554" s="319"/>
      <c r="H554" s="307"/>
      <c r="I554" s="307"/>
      <c r="J554" s="208"/>
      <c r="K554" s="208"/>
      <c r="L554" s="320"/>
      <c r="M554" s="320"/>
      <c r="N554" s="307"/>
      <c r="O554" s="307"/>
      <c r="P554" s="309"/>
      <c r="Q554" s="311"/>
      <c r="R554" s="490"/>
      <c r="S554" s="307"/>
      <c r="T554" s="307"/>
      <c r="U554" s="307"/>
      <c r="V554" s="307"/>
      <c r="W554" s="307"/>
      <c r="X554" s="307"/>
      <c r="Y554" s="307"/>
      <c r="Z554" s="307"/>
      <c r="AA554" s="307"/>
      <c r="AB554" s="307"/>
      <c r="AC554" s="307"/>
      <c r="AD554" s="307"/>
      <c r="AE554" s="307"/>
      <c r="AF554" s="307"/>
      <c r="AG554" s="307"/>
      <c r="AH554" s="307"/>
      <c r="AI554" s="307"/>
      <c r="AJ554" s="307"/>
      <c r="AK554" s="307"/>
      <c r="AL554" s="307"/>
      <c r="AM554" s="307"/>
      <c r="AN554" s="307"/>
      <c r="AO554" s="307"/>
      <c r="AP554" s="307"/>
      <c r="AQ554" s="208"/>
      <c r="AR554" s="208"/>
      <c r="AS554" s="208"/>
      <c r="AT554" s="208"/>
      <c r="AU554" s="208"/>
      <c r="AV554" s="208"/>
      <c r="AW554" s="208"/>
      <c r="AX554" s="208"/>
      <c r="AY554" s="208"/>
      <c r="AZ554" s="208"/>
      <c r="BA554" s="208"/>
      <c r="BB554" s="208"/>
      <c r="BC554" s="208"/>
      <c r="BD554" s="208"/>
      <c r="BE554" s="208"/>
      <c r="BF554" s="208"/>
      <c r="BG554" s="208"/>
      <c r="BH554" s="208"/>
      <c r="BI554" s="208" t="s">
        <v>5405</v>
      </c>
      <c r="BJ554" s="208" t="s">
        <v>5406</v>
      </c>
      <c r="BK554" s="208" t="s">
        <v>5407</v>
      </c>
      <c r="BL554" s="208" t="s">
        <v>5407</v>
      </c>
      <c r="BM554" s="208"/>
      <c r="BN554" s="208"/>
      <c r="BO554" s="208"/>
      <c r="BP554" s="208"/>
      <c r="BQ554" s="208"/>
      <c r="BR554" s="208"/>
      <c r="BS554" s="491"/>
      <c r="BT554" s="491"/>
    </row>
  </sheetData>
  <customSheetViews>
    <customSheetView guid="{31BAD605-5612-4733-8F02-7FA30239EFFB}" filter="1" showAutoFilter="1">
      <pageMargins left="0.511811024" right="0.511811024" top="0.78740157499999996" bottom="0.78740157499999996" header="0.31496062000000002" footer="0.31496062000000002"/>
      <autoFilter ref="C1:BN543" xr:uid="{0F3A8D58-259B-4465-AB8A-180DF1626994}"/>
    </customSheetView>
    <customSheetView guid="{BB552302-83D7-4E75-9721-4A908E1DD9C4}" filter="1" showAutoFilter="1">
      <pageMargins left="0.511811024" right="0.511811024" top="0.78740157499999996" bottom="0.78740157499999996" header="0.31496062000000002" footer="0.31496062000000002"/>
      <autoFilter ref="C1:BS543" xr:uid="{ADB20AB6-5CF5-420A-BB6B-1613DE9FC1BD}">
        <filterColumn colId="14">
          <filters>
            <filter val="Resgate TOTAL"/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</filters>
        </filterColumn>
      </autoFilter>
    </customSheetView>
  </customSheetViews>
  <conditionalFormatting sqref="E389 G389">
    <cfRule type="cellIs" dxfId="155" priority="194" operator="equal">
      <formula>"Voga"</formula>
    </cfRule>
    <cfRule type="cellIs" dxfId="154" priority="193" operator="equal">
      <formula>"Conquest"</formula>
    </cfRule>
  </conditionalFormatting>
  <conditionalFormatting sqref="F2">
    <cfRule type="cellIs" dxfId="153" priority="75" operator="equal">
      <formula>"Conquest"</formula>
    </cfRule>
    <cfRule type="cellIs" dxfId="152" priority="76" operator="equal">
      <formula>"Voga"</formula>
    </cfRule>
  </conditionalFormatting>
  <conditionalFormatting sqref="F5 F24:F25 F63:G63 F99:F100 F138 F149:F151 F153:F154 F156:F157 F164:F165 F175 F177 F179:F181 F187 F224 F236:F237 F255 F257:F259 F267 F270:F271 F293:F295 F298:F301 F304:F305 F342 F371 F393:G394 F402 F412 F428:G428 P428 Y428 AE428 AK428 AQ428 AW428 F483 F515:F516">
    <cfRule type="cellIs" dxfId="151" priority="1" operator="equal">
      <formula>"Conquest"</formula>
    </cfRule>
    <cfRule type="cellIs" dxfId="150" priority="2" operator="equal">
      <formula>"Voga"</formula>
    </cfRule>
  </conditionalFormatting>
  <conditionalFormatting sqref="F14:F16">
    <cfRule type="cellIs" dxfId="149" priority="34" operator="equal">
      <formula>"Voga"</formula>
    </cfRule>
    <cfRule type="cellIs" dxfId="148" priority="33" operator="equal">
      <formula>"Conquest"</formula>
    </cfRule>
  </conditionalFormatting>
  <conditionalFormatting sqref="F22">
    <cfRule type="cellIs" dxfId="147" priority="53" operator="equal">
      <formula>"Conquest"</formula>
    </cfRule>
    <cfRule type="cellIs" dxfId="146" priority="54" operator="equal">
      <formula>"Voga"</formula>
    </cfRule>
  </conditionalFormatting>
  <conditionalFormatting sqref="F27 F30 F33:F36 F41:F43 F51 F55 F60:F62 F84 F87:F92 F94 F119:F120 F168 F170:F173 F205:F206 F208 F211:F213 F215:F216 F218">
    <cfRule type="cellIs" dxfId="145" priority="97" operator="equal">
      <formula>"Conquest"</formula>
    </cfRule>
    <cfRule type="cellIs" dxfId="144" priority="98" operator="equal">
      <formula>"Voga"</formula>
    </cfRule>
  </conditionalFormatting>
  <conditionalFormatting sqref="F33:F35">
    <cfRule type="cellIs" dxfId="143" priority="229" operator="equal">
      <formula>"Bluemetrix"</formula>
    </cfRule>
  </conditionalFormatting>
  <conditionalFormatting sqref="F50">
    <cfRule type="cellIs" dxfId="142" priority="225" operator="equal">
      <formula>"Bluemetrix"</formula>
    </cfRule>
  </conditionalFormatting>
  <conditionalFormatting sqref="F57">
    <cfRule type="cellIs" dxfId="141" priority="78" operator="equal">
      <formula>"Voga"</formula>
    </cfRule>
    <cfRule type="cellIs" dxfId="140" priority="77" operator="equal">
      <formula>"Conquest"</formula>
    </cfRule>
  </conditionalFormatting>
  <conditionalFormatting sqref="F64:F65 G11:I11">
    <cfRule type="containsBlanks" dxfId="139" priority="246">
      <formula>LEN(TRIM(F64))=0</formula>
    </cfRule>
  </conditionalFormatting>
  <conditionalFormatting sqref="F64:F65">
    <cfRule type="cellIs" dxfId="138" priority="189" operator="equal">
      <formula>"Voga"</formula>
    </cfRule>
    <cfRule type="cellIs" dxfId="137" priority="190" operator="equal">
      <formula>"Conquest"</formula>
    </cfRule>
  </conditionalFormatting>
  <conditionalFormatting sqref="F67:F68">
    <cfRule type="cellIs" dxfId="136" priority="57" operator="equal">
      <formula>"Voga"</formula>
    </cfRule>
    <cfRule type="cellIs" dxfId="135" priority="58" operator="equal">
      <formula>"Conquest"</formula>
    </cfRule>
  </conditionalFormatting>
  <conditionalFormatting sqref="F73">
    <cfRule type="cellIs" dxfId="134" priority="117" operator="equal">
      <formula>"Voga"</formula>
    </cfRule>
    <cfRule type="cellIs" dxfId="133" priority="118" operator="equal">
      <formula>"Conquest"</formula>
    </cfRule>
  </conditionalFormatting>
  <conditionalFormatting sqref="F76">
    <cfRule type="cellIs" dxfId="132" priority="95" operator="equal">
      <formula>"Voga"</formula>
    </cfRule>
    <cfRule type="cellIs" dxfId="131" priority="96" operator="equal">
      <formula>"Conquest"</formula>
    </cfRule>
  </conditionalFormatting>
  <conditionalFormatting sqref="F78:F82">
    <cfRule type="cellIs" dxfId="130" priority="79" operator="equal">
      <formula>"Conquest"</formula>
    </cfRule>
    <cfRule type="cellIs" dxfId="129" priority="80" operator="equal">
      <formula>"Voga"</formula>
    </cfRule>
  </conditionalFormatting>
  <conditionalFormatting sqref="F96">
    <cfRule type="cellIs" dxfId="128" priority="119" operator="equal">
      <formula>"Conquest"</formula>
    </cfRule>
    <cfRule type="cellIs" dxfId="127" priority="120" operator="equal">
      <formula>"Voga"</formula>
    </cfRule>
  </conditionalFormatting>
  <conditionalFormatting sqref="F103:F104">
    <cfRule type="cellIs" dxfId="126" priority="153" operator="equal">
      <formula>"Voga"</formula>
    </cfRule>
    <cfRule type="cellIs" dxfId="125" priority="154" operator="equal">
      <formula>"Conquest"</formula>
    </cfRule>
  </conditionalFormatting>
  <conditionalFormatting sqref="F112:F113">
    <cfRule type="cellIs" dxfId="124" priority="202" operator="equal">
      <formula>"Voga"</formula>
    </cfRule>
    <cfRule type="cellIs" dxfId="123" priority="201" operator="equal">
      <formula>"Conquest"</formula>
    </cfRule>
  </conditionalFormatting>
  <conditionalFormatting sqref="F115:F117">
    <cfRule type="cellIs" dxfId="122" priority="107" operator="equal">
      <formula>"Conquest"</formula>
    </cfRule>
    <cfRule type="cellIs" dxfId="121" priority="108" operator="equal">
      <formula>"Voga"</formula>
    </cfRule>
  </conditionalFormatting>
  <conditionalFormatting sqref="F122:F125">
    <cfRule type="cellIs" dxfId="120" priority="92" operator="equal">
      <formula>"Conquest"</formula>
    </cfRule>
    <cfRule type="cellIs" dxfId="119" priority="91" operator="equal">
      <formula>"Voga"</formula>
    </cfRule>
  </conditionalFormatting>
  <conditionalFormatting sqref="F129">
    <cfRule type="cellIs" dxfId="118" priority="148" operator="equal">
      <formula>"Voga"</formula>
    </cfRule>
    <cfRule type="cellIs" dxfId="117" priority="147" operator="equal">
      <formula>"Conquest"</formula>
    </cfRule>
  </conditionalFormatting>
  <conditionalFormatting sqref="F135">
    <cfRule type="cellIs" dxfId="116" priority="93" operator="equal">
      <formula>"Voga"</formula>
    </cfRule>
    <cfRule type="cellIs" dxfId="115" priority="94" operator="equal">
      <formula>"Conquest"</formula>
    </cfRule>
  </conditionalFormatting>
  <conditionalFormatting sqref="F156:F157">
    <cfRule type="cellIs" dxfId="114" priority="238" operator="equal">
      <formula>"Bluemetrix"</formula>
    </cfRule>
  </conditionalFormatting>
  <conditionalFormatting sqref="F161">
    <cfRule type="cellIs" dxfId="113" priority="65" operator="equal">
      <formula>"Conquest"</formula>
    </cfRule>
    <cfRule type="cellIs" dxfId="112" priority="66" operator="equal">
      <formula>"Voga"</formula>
    </cfRule>
  </conditionalFormatting>
  <conditionalFormatting sqref="F194:F197">
    <cfRule type="cellIs" dxfId="111" priority="104" operator="equal">
      <formula>"Conquest"</formula>
    </cfRule>
    <cfRule type="cellIs" dxfId="110" priority="103" operator="equal">
      <formula>"Voga"</formula>
    </cfRule>
  </conditionalFormatting>
  <conditionalFormatting sqref="F206">
    <cfRule type="cellIs" dxfId="109" priority="221" operator="equal">
      <formula>"Bluemetrix"</formula>
    </cfRule>
  </conditionalFormatting>
  <conditionalFormatting sqref="F226">
    <cfRule type="cellIs" dxfId="108" priority="85" operator="equal">
      <formula>"Voga"</formula>
    </cfRule>
    <cfRule type="cellIs" dxfId="107" priority="86" operator="equal">
      <formula>"Conquest"</formula>
    </cfRule>
  </conditionalFormatting>
  <conditionalFormatting sqref="F229:F231">
    <cfRule type="cellIs" dxfId="106" priority="74" operator="equal">
      <formula>"Voga"</formula>
    </cfRule>
    <cfRule type="cellIs" dxfId="105" priority="73" operator="equal">
      <formula>"Conquest"</formula>
    </cfRule>
  </conditionalFormatting>
  <conditionalFormatting sqref="F244:F245">
    <cfRule type="cellIs" dxfId="104" priority="72" operator="equal">
      <formula>"Voga"</formula>
    </cfRule>
    <cfRule type="cellIs" dxfId="103" priority="71" operator="equal">
      <formula>"Conquest"</formula>
    </cfRule>
  </conditionalFormatting>
  <conditionalFormatting sqref="F248">
    <cfRule type="cellIs" dxfId="102" priority="84" operator="equal">
      <formula>"Voga"</formula>
    </cfRule>
    <cfRule type="cellIs" dxfId="101" priority="83" operator="equal">
      <formula>"Conquest"</formula>
    </cfRule>
  </conditionalFormatting>
  <conditionalFormatting sqref="F273:F274">
    <cfRule type="cellIs" dxfId="100" priority="8" operator="equal">
      <formula>"Voga"</formula>
    </cfRule>
    <cfRule type="cellIs" dxfId="99" priority="7" operator="equal">
      <formula>"Conquest"</formula>
    </cfRule>
  </conditionalFormatting>
  <conditionalFormatting sqref="F281">
    <cfRule type="cellIs" dxfId="98" priority="165" operator="equal">
      <formula>"Conquest"</formula>
    </cfRule>
    <cfRule type="cellIs" dxfId="97" priority="166" operator="equal">
      <formula>"Voga"</formula>
    </cfRule>
  </conditionalFormatting>
  <conditionalFormatting sqref="F286:F289">
    <cfRule type="cellIs" dxfId="96" priority="161" operator="equal">
      <formula>"Conquest"</formula>
    </cfRule>
    <cfRule type="cellIs" dxfId="95" priority="162" operator="equal">
      <formula>"Voga"</formula>
    </cfRule>
  </conditionalFormatting>
  <conditionalFormatting sqref="F304">
    <cfRule type="cellIs" dxfId="94" priority="218" operator="equal">
      <formula>"Bluemetrix"</formula>
    </cfRule>
  </conditionalFormatting>
  <conditionalFormatting sqref="F310:F313">
    <cfRule type="cellIs" dxfId="93" priority="17" operator="equal">
      <formula>"Conquest"</formula>
    </cfRule>
    <cfRule type="cellIs" dxfId="92" priority="18" operator="equal">
      <formula>"Voga"</formula>
    </cfRule>
  </conditionalFormatting>
  <conditionalFormatting sqref="F320:F321">
    <cfRule type="cellIs" dxfId="91" priority="111" operator="equal">
      <formula>"Conquest"</formula>
    </cfRule>
    <cfRule type="cellIs" dxfId="90" priority="112" operator="equal">
      <formula>"Voga"</formula>
    </cfRule>
  </conditionalFormatting>
  <conditionalFormatting sqref="F323:F324">
    <cfRule type="cellIs" dxfId="89" priority="198" operator="equal">
      <formula>"Voga"</formula>
    </cfRule>
    <cfRule type="cellIs" dxfId="88" priority="197" operator="equal">
      <formula>"Conquest"</formula>
    </cfRule>
  </conditionalFormatting>
  <conditionalFormatting sqref="F330:F331">
    <cfRule type="cellIs" dxfId="87" priority="113" operator="equal">
      <formula>"Voga"</formula>
    </cfRule>
    <cfRule type="cellIs" dxfId="86" priority="114" operator="equal">
      <formula>"Conquest"</formula>
    </cfRule>
  </conditionalFormatting>
  <conditionalFormatting sqref="F335">
    <cfRule type="cellIs" dxfId="85" priority="130" operator="equal">
      <formula>"Voga"</formula>
    </cfRule>
    <cfRule type="cellIs" dxfId="84" priority="129" operator="equal">
      <formula>"Conquest"</formula>
    </cfRule>
  </conditionalFormatting>
  <conditionalFormatting sqref="F345:F347">
    <cfRule type="cellIs" dxfId="83" priority="11" operator="equal">
      <formula>"Voga"</formula>
    </cfRule>
    <cfRule type="cellIs" dxfId="82" priority="12" operator="equal">
      <formula>"Conquest"</formula>
    </cfRule>
  </conditionalFormatting>
  <conditionalFormatting sqref="F349:F350">
    <cfRule type="cellIs" dxfId="81" priority="185" operator="equal">
      <formula>"Voga"</formula>
    </cfRule>
    <cfRule type="cellIs" dxfId="80" priority="186" operator="equal">
      <formula>"Conquest"</formula>
    </cfRule>
  </conditionalFormatting>
  <conditionalFormatting sqref="F360:F362">
    <cfRule type="cellIs" dxfId="79" priority="100" operator="equal">
      <formula>"Voga"</formula>
    </cfRule>
    <cfRule type="cellIs" dxfId="78" priority="99" operator="equal">
      <formula>"Conquest"</formula>
    </cfRule>
  </conditionalFormatting>
  <conditionalFormatting sqref="F376:F378">
    <cfRule type="cellIs" dxfId="77" priority="62" operator="equal">
      <formula>"Voga"</formula>
    </cfRule>
    <cfRule type="cellIs" dxfId="76" priority="61" operator="equal">
      <formula>"Conquest"</formula>
    </cfRule>
  </conditionalFormatting>
  <conditionalFormatting sqref="F388:F391">
    <cfRule type="cellIs" dxfId="75" priority="50" operator="equal">
      <formula>"Voga"</formula>
    </cfRule>
    <cfRule type="cellIs" dxfId="74" priority="49" operator="equal">
      <formula>"Conquest"</formula>
    </cfRule>
  </conditionalFormatting>
  <conditionalFormatting sqref="F396">
    <cfRule type="cellIs" dxfId="73" priority="232" operator="equal">
      <formula>"Bluemetrix"</formula>
    </cfRule>
  </conditionalFormatting>
  <conditionalFormatting sqref="F396:F398">
    <cfRule type="cellIs" dxfId="72" priority="183" operator="equal">
      <formula>"Conquest"</formula>
    </cfRule>
    <cfRule type="cellIs" dxfId="71" priority="184" operator="equal">
      <formula>"Voga"</formula>
    </cfRule>
  </conditionalFormatting>
  <conditionalFormatting sqref="F404:F405">
    <cfRule type="cellIs" dxfId="70" priority="3" operator="equal">
      <formula>"Conquest"</formula>
    </cfRule>
    <cfRule type="cellIs" dxfId="69" priority="4" operator="equal">
      <formula>"Voga"</formula>
    </cfRule>
  </conditionalFormatting>
  <conditionalFormatting sqref="F407">
    <cfRule type="cellIs" dxfId="68" priority="122" operator="equal">
      <formula>"Voga"</formula>
    </cfRule>
    <cfRule type="cellIs" dxfId="67" priority="121" operator="equal">
      <formula>"Conquest"</formula>
    </cfRule>
  </conditionalFormatting>
  <conditionalFormatting sqref="F417">
    <cfRule type="cellIs" dxfId="66" priority="45" operator="equal">
      <formula>"Conquest"</formula>
    </cfRule>
    <cfRule type="cellIs" dxfId="65" priority="46" operator="equal">
      <formula>"Voga"</formula>
    </cfRule>
  </conditionalFormatting>
  <conditionalFormatting sqref="F419:F422">
    <cfRule type="cellIs" dxfId="64" priority="213" operator="equal">
      <formula>"Bluemetrix"</formula>
    </cfRule>
    <cfRule type="cellIs" dxfId="63" priority="214" operator="equal">
      <formula>"Conquest"</formula>
    </cfRule>
    <cfRule type="cellIs" dxfId="62" priority="215" operator="equal">
      <formula>"Voga"</formula>
    </cfRule>
  </conditionalFormatting>
  <conditionalFormatting sqref="F426">
    <cfRule type="cellIs" dxfId="61" priority="170" operator="equal">
      <formula>"Voga"</formula>
    </cfRule>
    <cfRule type="cellIs" dxfId="60" priority="169" operator="equal">
      <formula>"Conquest"</formula>
    </cfRule>
  </conditionalFormatting>
  <conditionalFormatting sqref="F429:F433">
    <cfRule type="cellIs" dxfId="59" priority="68" operator="equal">
      <formula>"Voga"</formula>
    </cfRule>
    <cfRule type="cellIs" dxfId="58" priority="67" operator="equal">
      <formula>"Conquest"</formula>
    </cfRule>
  </conditionalFormatting>
  <conditionalFormatting sqref="F435">
    <cfRule type="cellIs" dxfId="57" priority="88" operator="equal">
      <formula>"Conquest"</formula>
    </cfRule>
    <cfRule type="cellIs" dxfId="56" priority="87" operator="equal">
      <formula>"Voga"</formula>
    </cfRule>
  </conditionalFormatting>
  <conditionalFormatting sqref="F440:F441 F457:F458">
    <cfRule type="cellIs" dxfId="55" priority="188" operator="equal">
      <formula>"Voga"</formula>
    </cfRule>
    <cfRule type="cellIs" dxfId="54" priority="187" operator="equal">
      <formula>"Conquest"</formula>
    </cfRule>
  </conditionalFormatting>
  <conditionalFormatting sqref="F441">
    <cfRule type="cellIs" dxfId="53" priority="210" operator="equal">
      <formula>"Bluemetrix"</formula>
    </cfRule>
  </conditionalFormatting>
  <conditionalFormatting sqref="F453">
    <cfRule type="cellIs" dxfId="52" priority="133" operator="equal">
      <formula>"Voga"</formula>
    </cfRule>
    <cfRule type="cellIs" dxfId="51" priority="134" operator="equal">
      <formula>"Conquest"</formula>
    </cfRule>
  </conditionalFormatting>
  <conditionalFormatting sqref="F461">
    <cfRule type="cellIs" dxfId="50" priority="37" operator="equal">
      <formula>"Conquest"</formula>
    </cfRule>
    <cfRule type="cellIs" dxfId="49" priority="38" operator="equal">
      <formula>"Voga"</formula>
    </cfRule>
  </conditionalFormatting>
  <conditionalFormatting sqref="F463:F468">
    <cfRule type="cellIs" dxfId="48" priority="26" operator="equal">
      <formula>"Voga"</formula>
    </cfRule>
    <cfRule type="cellIs" dxfId="47" priority="25" operator="equal">
      <formula>"Conquest"</formula>
    </cfRule>
  </conditionalFormatting>
  <conditionalFormatting sqref="F478">
    <cfRule type="cellIs" dxfId="46" priority="177" operator="equal">
      <formula>"Conquest"</formula>
    </cfRule>
    <cfRule type="cellIs" dxfId="45" priority="178" operator="equal">
      <formula>"Voga"</formula>
    </cfRule>
  </conditionalFormatting>
  <conditionalFormatting sqref="F488">
    <cfRule type="cellIs" dxfId="44" priority="244" operator="equal">
      <formula>"Bluemetrix"</formula>
    </cfRule>
    <cfRule type="cellIs" dxfId="43" priority="242" operator="equal">
      <formula>"Voga"</formula>
    </cfRule>
    <cfRule type="cellIs" dxfId="42" priority="243" operator="equal">
      <formula>"Conquest"</formula>
    </cfRule>
  </conditionalFormatting>
  <conditionalFormatting sqref="F492">
    <cfRule type="cellIs" dxfId="41" priority="179" operator="equal">
      <formula>"Conquest"</formula>
    </cfRule>
    <cfRule type="cellIs" dxfId="40" priority="180" operator="equal">
      <formula>"Voga"</formula>
    </cfRule>
  </conditionalFormatting>
  <conditionalFormatting sqref="F494:F495">
    <cfRule type="cellIs" dxfId="39" priority="223" operator="equal">
      <formula>"Conquest"</formula>
    </cfRule>
    <cfRule type="cellIs" dxfId="38" priority="222" operator="equal">
      <formula>"Voga"</formula>
    </cfRule>
    <cfRule type="cellIs" dxfId="37" priority="224" operator="equal">
      <formula>"Bluemetrix"</formula>
    </cfRule>
  </conditionalFormatting>
  <conditionalFormatting sqref="F500">
    <cfRule type="cellIs" dxfId="36" priority="13" operator="equal">
      <formula>"Conquest"</formula>
    </cfRule>
    <cfRule type="cellIs" dxfId="35" priority="14" operator="equal">
      <formula>"Voga"</formula>
    </cfRule>
  </conditionalFormatting>
  <conditionalFormatting sqref="F503:F504">
    <cfRule type="cellIs" dxfId="34" priority="235" operator="equal">
      <formula>"Conquest"</formula>
    </cfRule>
    <cfRule type="cellIs" dxfId="33" priority="237" operator="equal">
      <formula>"Bluemetrix"</formula>
    </cfRule>
    <cfRule type="cellIs" dxfId="32" priority="236" operator="equal">
      <formula>"Voga"</formula>
    </cfRule>
  </conditionalFormatting>
  <conditionalFormatting sqref="F506:F507">
    <cfRule type="cellIs" dxfId="31" priority="140" operator="equal">
      <formula>"Voga"</formula>
    </cfRule>
    <cfRule type="cellIs" dxfId="30" priority="139" operator="equal">
      <formula>"Conquest"</formula>
    </cfRule>
  </conditionalFormatting>
  <conditionalFormatting sqref="F510">
    <cfRule type="cellIs" dxfId="29" priority="102" operator="equal">
      <formula>"Conquest"</formula>
    </cfRule>
    <cfRule type="cellIs" dxfId="28" priority="101" operator="equal">
      <formula>"Voga"</formula>
    </cfRule>
  </conditionalFormatting>
  <conditionalFormatting sqref="F519">
    <cfRule type="cellIs" dxfId="27" priority="158" operator="equal">
      <formula>"Conquest"</formula>
    </cfRule>
    <cfRule type="cellIs" dxfId="26" priority="157" operator="equal">
      <formula>"Voga"</formula>
    </cfRule>
  </conditionalFormatting>
  <conditionalFormatting sqref="F524">
    <cfRule type="cellIs" dxfId="25" priority="181" operator="equal">
      <formula>"Conquest"</formula>
    </cfRule>
    <cfRule type="cellIs" dxfId="24" priority="182" operator="equal">
      <formula>"Voga"</formula>
    </cfRule>
  </conditionalFormatting>
  <conditionalFormatting sqref="F526">
    <cfRule type="cellIs" dxfId="23" priority="135" operator="equal">
      <formula>"Conquest"</formula>
    </cfRule>
    <cfRule type="cellIs" dxfId="22" priority="136" operator="equal">
      <formula>"Voga"</formula>
    </cfRule>
  </conditionalFormatting>
  <conditionalFormatting sqref="F529:F531">
    <cfRule type="cellIs" dxfId="21" priority="155" operator="equal">
      <formula>"Voga"</formula>
    </cfRule>
    <cfRule type="cellIs" dxfId="20" priority="156" operator="equal">
      <formula>"Conquest"</formula>
    </cfRule>
  </conditionalFormatting>
  <conditionalFormatting sqref="F532">
    <cfRule type="cellIs" dxfId="19" priority="241" operator="equal">
      <formula>"Bluemetrix"</formula>
    </cfRule>
  </conditionalFormatting>
  <conditionalFormatting sqref="F539">
    <cfRule type="cellIs" dxfId="18" priority="90" operator="equal">
      <formula>"Voga"</formula>
    </cfRule>
    <cfRule type="cellIs" dxfId="17" priority="89" operator="equal">
      <formula>"Conquest"</formula>
    </cfRule>
  </conditionalFormatting>
  <conditionalFormatting sqref="F29:I29">
    <cfRule type="cellIs" dxfId="16" priority="144" operator="equal">
      <formula>"Voga"</formula>
    </cfRule>
    <cfRule type="cellIs" dxfId="15" priority="143" operator="equal">
      <formula>"Conquest"</formula>
    </cfRule>
  </conditionalFormatting>
  <conditionalFormatting sqref="G5 F112 G305 G390 G515:G516 G530">
    <cfRule type="cellIs" dxfId="14" priority="207" operator="equal">
      <formula>"Bluemetrix"</formula>
    </cfRule>
  </conditionalFormatting>
  <conditionalFormatting sqref="G419">
    <cfRule type="cellIs" dxfId="13" priority="226" operator="equal">
      <formula>"Bluemetrix"</formula>
    </cfRule>
  </conditionalFormatting>
  <conditionalFormatting sqref="G11:I11 F64:F65">
    <cfRule type="cellIs" dxfId="12" priority="247" operator="equal">
      <formula>"GUIDE"</formula>
    </cfRule>
    <cfRule type="cellIs" dxfId="11" priority="248" operator="equal">
      <formula>"XP"</formula>
    </cfRule>
    <cfRule type="cellIs" dxfId="10" priority="249" operator="equal">
      <formula>"GENIAL"</formula>
    </cfRule>
  </conditionalFormatting>
  <conditionalFormatting sqref="G11:I11">
    <cfRule type="cellIs" dxfId="9" priority="250" operator="equal">
      <formula>"Bluemetrix"</formula>
    </cfRule>
  </conditionalFormatting>
  <conditionalFormatting sqref="H13:I16 G13:G262 G264:G292 G302:G303 G326 G329 G336 G355:G356 G373:G375 G405:G406 G425 G427 G448 G460 G481 G497 G505 G522:G523 G533:G534 G552">
    <cfRule type="cellIs" dxfId="8" priority="245" operator="equal">
      <formula>"Bluemetrix"</formula>
    </cfRule>
  </conditionalFormatting>
  <conditionalFormatting sqref="H375:I375">
    <cfRule type="cellIs" dxfId="7" priority="145" operator="equal">
      <formula>"Conquest"</formula>
    </cfRule>
    <cfRule type="cellIs" dxfId="6" priority="146" operator="equal">
      <formula>"Voga"</formula>
    </cfRule>
  </conditionalFormatting>
  <dataValidations count="1">
    <dataValidation type="list" allowBlank="1" showErrorMessage="1" sqref="J2:J543" xr:uid="{00000000-0002-0000-0900-000000000000}">
      <formula1>"Ativo,Inativo,Encerrado,Sem Patrimônio"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01820"/>
    <outlinePr summaryBelow="0" summaryRight="0"/>
  </sheetPr>
  <dimension ref="A1:P670"/>
  <sheetViews>
    <sheetView workbookViewId="0"/>
  </sheetViews>
  <sheetFormatPr defaultColWidth="12.5703125" defaultRowHeight="15" customHeight="1"/>
  <cols>
    <col min="1" max="1" width="10.140625" customWidth="1"/>
    <col min="2" max="2" width="13.5703125" customWidth="1"/>
    <col min="3" max="3" width="12.7109375" customWidth="1"/>
    <col min="4" max="4" width="5.7109375" customWidth="1"/>
    <col min="5" max="5" width="10" customWidth="1"/>
    <col min="6" max="6" width="9.42578125" customWidth="1"/>
    <col min="7" max="7" width="6.140625" customWidth="1"/>
    <col min="8" max="8" width="10.85546875" customWidth="1"/>
    <col min="9" max="9" width="10.7109375" customWidth="1"/>
    <col min="10" max="10" width="7.85546875" customWidth="1"/>
    <col min="11" max="11" width="11" customWidth="1"/>
    <col min="12" max="12" width="11.5703125" customWidth="1"/>
    <col min="13" max="13" width="5.7109375" customWidth="1"/>
    <col min="14" max="14" width="7.42578125" customWidth="1"/>
    <col min="15" max="15" width="50.42578125" customWidth="1"/>
    <col min="16" max="16" width="9.42578125" customWidth="1"/>
  </cols>
  <sheetData>
    <row r="1" spans="1:16">
      <c r="A1" s="659" t="s">
        <v>5408</v>
      </c>
      <c r="B1" s="647"/>
      <c r="C1" s="647"/>
      <c r="E1" s="497"/>
      <c r="F1" s="497"/>
      <c r="H1" s="659" t="s">
        <v>5409</v>
      </c>
      <c r="I1" s="647"/>
      <c r="K1" s="659" t="s">
        <v>5410</v>
      </c>
      <c r="L1" s="647"/>
      <c r="N1" s="659" t="s">
        <v>3785</v>
      </c>
      <c r="O1" s="647"/>
      <c r="P1" s="647"/>
    </row>
    <row r="2" spans="1:16">
      <c r="A2" s="498" t="s">
        <v>1</v>
      </c>
      <c r="B2" s="499" t="s">
        <v>0</v>
      </c>
      <c r="C2" s="499" t="s">
        <v>5411</v>
      </c>
      <c r="E2" s="500" t="s">
        <v>5412</v>
      </c>
      <c r="F2" s="501">
        <v>45596</v>
      </c>
      <c r="H2" s="498" t="s">
        <v>1</v>
      </c>
      <c r="I2" s="499" t="s">
        <v>5411</v>
      </c>
      <c r="K2" s="498" t="s">
        <v>1</v>
      </c>
      <c r="L2" s="499" t="s">
        <v>5411</v>
      </c>
      <c r="N2" s="498" t="s">
        <v>1</v>
      </c>
      <c r="O2" s="499" t="s">
        <v>0</v>
      </c>
      <c r="P2" s="499" t="s">
        <v>5411</v>
      </c>
    </row>
    <row r="3" spans="1:16" ht="14.25">
      <c r="A3" s="502" t="s">
        <v>1341</v>
      </c>
      <c r="B3" s="503" t="s">
        <v>5413</v>
      </c>
      <c r="C3" s="504">
        <v>15598554.07</v>
      </c>
      <c r="H3" s="398">
        <v>579904</v>
      </c>
      <c r="I3" s="505">
        <v>0</v>
      </c>
      <c r="K3" s="382">
        <v>11005560</v>
      </c>
      <c r="L3" s="505">
        <v>3343931.54</v>
      </c>
      <c r="N3" s="398">
        <v>9183025</v>
      </c>
      <c r="O3" s="398" t="s">
        <v>5414</v>
      </c>
      <c r="P3" s="505">
        <v>0</v>
      </c>
    </row>
    <row r="4" spans="1:16" ht="14.25">
      <c r="A4" s="502" t="s">
        <v>440</v>
      </c>
      <c r="B4" s="503" t="s">
        <v>5415</v>
      </c>
      <c r="C4" s="504">
        <v>8536651.1799999997</v>
      </c>
      <c r="H4" s="398">
        <v>36881</v>
      </c>
      <c r="I4" s="505">
        <v>0</v>
      </c>
      <c r="K4" s="382">
        <v>10940590</v>
      </c>
      <c r="L4" s="505">
        <v>776723.97</v>
      </c>
      <c r="N4" s="398">
        <v>6852608</v>
      </c>
      <c r="O4" s="398" t="s">
        <v>5416</v>
      </c>
      <c r="P4" s="505">
        <v>0</v>
      </c>
    </row>
    <row r="5" spans="1:16" ht="14.25">
      <c r="A5" s="502" t="s">
        <v>420</v>
      </c>
      <c r="B5" s="503" t="s">
        <v>5417</v>
      </c>
      <c r="C5" s="504">
        <v>6469656.3300000001</v>
      </c>
      <c r="H5" s="398">
        <v>34899</v>
      </c>
      <c r="I5" s="505">
        <v>0</v>
      </c>
      <c r="K5" s="382" t="s">
        <v>3580</v>
      </c>
      <c r="L5" s="505">
        <v>40950.050000000003</v>
      </c>
      <c r="N5" s="398">
        <v>6188251</v>
      </c>
      <c r="O5" s="398" t="s">
        <v>5418</v>
      </c>
      <c r="P5" s="505">
        <v>0</v>
      </c>
    </row>
    <row r="6" spans="1:16" ht="14.25">
      <c r="A6" s="502" t="s">
        <v>520</v>
      </c>
      <c r="B6" s="503" t="s">
        <v>5419</v>
      </c>
      <c r="C6" s="504">
        <v>4234335.51</v>
      </c>
      <c r="H6" s="398">
        <v>439947</v>
      </c>
      <c r="I6" s="505">
        <v>0</v>
      </c>
      <c r="K6" s="382">
        <v>10982276</v>
      </c>
      <c r="L6" s="505">
        <v>0</v>
      </c>
      <c r="N6" s="398">
        <v>4848711</v>
      </c>
      <c r="O6" s="398" t="s">
        <v>5420</v>
      </c>
      <c r="P6" s="505">
        <v>0</v>
      </c>
    </row>
    <row r="7" spans="1:16" ht="14.25">
      <c r="A7" s="502" t="s">
        <v>796</v>
      </c>
      <c r="B7" s="503" t="s">
        <v>5421</v>
      </c>
      <c r="C7" s="504">
        <v>3881629.66</v>
      </c>
      <c r="H7" s="398">
        <v>442725</v>
      </c>
      <c r="I7" s="505">
        <v>55750.71</v>
      </c>
      <c r="K7" s="382" t="s">
        <v>3584</v>
      </c>
      <c r="L7" s="505">
        <v>9822338.0500000007</v>
      </c>
      <c r="N7" s="398">
        <v>4783402</v>
      </c>
      <c r="O7" s="398" t="s">
        <v>5422</v>
      </c>
      <c r="P7" s="505">
        <v>0</v>
      </c>
    </row>
    <row r="8" spans="1:16" ht="14.25">
      <c r="A8" s="502" t="s">
        <v>906</v>
      </c>
      <c r="B8" s="503" t="s">
        <v>5423</v>
      </c>
      <c r="C8" s="504">
        <v>3590193.11</v>
      </c>
      <c r="H8" s="398">
        <v>421731</v>
      </c>
      <c r="I8" s="505">
        <v>20591.349999999999</v>
      </c>
      <c r="K8" s="382">
        <v>3844136</v>
      </c>
      <c r="L8" s="505">
        <v>54556.2</v>
      </c>
      <c r="N8" s="398">
        <v>226343</v>
      </c>
      <c r="O8" s="398" t="s">
        <v>5424</v>
      </c>
      <c r="P8" s="505">
        <v>0</v>
      </c>
    </row>
    <row r="9" spans="1:16" ht="14.25">
      <c r="A9" s="502" t="s">
        <v>1697</v>
      </c>
      <c r="B9" s="503" t="s">
        <v>5425</v>
      </c>
      <c r="C9" s="504">
        <v>3544809.31</v>
      </c>
      <c r="H9" s="398">
        <v>376503</v>
      </c>
      <c r="I9" s="505">
        <v>393131.63</v>
      </c>
      <c r="K9" s="382">
        <v>10936630</v>
      </c>
      <c r="L9" s="505">
        <v>0</v>
      </c>
      <c r="N9" s="398">
        <v>4841428</v>
      </c>
      <c r="O9" s="398" t="s">
        <v>5426</v>
      </c>
      <c r="P9" s="505">
        <v>0</v>
      </c>
    </row>
    <row r="10" spans="1:16" ht="14.25">
      <c r="A10" s="502" t="s">
        <v>2344</v>
      </c>
      <c r="B10" s="503" t="s">
        <v>5427</v>
      </c>
      <c r="C10" s="504">
        <v>3410391.51</v>
      </c>
      <c r="H10" s="398">
        <v>376732</v>
      </c>
      <c r="I10" s="505">
        <v>347144.69</v>
      </c>
      <c r="K10" s="382">
        <v>10944986</v>
      </c>
      <c r="L10" s="505">
        <v>0</v>
      </c>
      <c r="N10" s="398">
        <v>2096281</v>
      </c>
      <c r="O10" s="398" t="s">
        <v>5428</v>
      </c>
      <c r="P10" s="505">
        <v>268901.46999999997</v>
      </c>
    </row>
    <row r="11" spans="1:16" ht="14.25">
      <c r="A11" s="502" t="s">
        <v>1972</v>
      </c>
      <c r="B11" s="503" t="s">
        <v>5429</v>
      </c>
      <c r="C11" s="504">
        <v>3100895.55</v>
      </c>
      <c r="H11" s="398">
        <v>420111</v>
      </c>
      <c r="I11" s="505">
        <v>2147.3000000000002</v>
      </c>
      <c r="K11" s="382">
        <v>11071318</v>
      </c>
      <c r="L11" s="505">
        <v>360906.66</v>
      </c>
      <c r="N11" s="398">
        <v>4805165</v>
      </c>
      <c r="O11" s="398" t="s">
        <v>5430</v>
      </c>
      <c r="P11" s="505">
        <v>2582.0100000000002</v>
      </c>
    </row>
    <row r="12" spans="1:16" ht="14.25">
      <c r="A12" s="502" t="s">
        <v>523</v>
      </c>
      <c r="B12" s="503" t="s">
        <v>5431</v>
      </c>
      <c r="C12" s="504">
        <v>2979611.77</v>
      </c>
      <c r="H12" s="398">
        <v>47785</v>
      </c>
      <c r="I12" s="398">
        <v>0</v>
      </c>
      <c r="K12" s="382" t="s">
        <v>3589</v>
      </c>
      <c r="L12" s="505">
        <v>0</v>
      </c>
      <c r="N12" s="398">
        <v>7783008</v>
      </c>
      <c r="O12" s="398" t="s">
        <v>5432</v>
      </c>
      <c r="P12" s="505">
        <v>0</v>
      </c>
    </row>
    <row r="13" spans="1:16" ht="14.25">
      <c r="A13" s="502" t="s">
        <v>1580</v>
      </c>
      <c r="B13" s="503" t="s">
        <v>5433</v>
      </c>
      <c r="C13" s="504">
        <v>2931031.46</v>
      </c>
      <c r="H13" s="398">
        <v>49819</v>
      </c>
      <c r="I13" s="398">
        <v>0</v>
      </c>
      <c r="K13" s="382">
        <v>11026371</v>
      </c>
      <c r="L13" s="505">
        <v>2863045.88</v>
      </c>
      <c r="N13" s="398">
        <v>4831456</v>
      </c>
      <c r="O13" s="398" t="s">
        <v>5434</v>
      </c>
      <c r="P13" s="505">
        <v>0</v>
      </c>
    </row>
    <row r="14" spans="1:16" ht="14.25">
      <c r="A14" s="502" t="s">
        <v>548</v>
      </c>
      <c r="B14" s="503" t="s">
        <v>5435</v>
      </c>
      <c r="C14" s="504">
        <v>2762400.53</v>
      </c>
      <c r="H14" s="398">
        <v>379151</v>
      </c>
      <c r="I14" s="505">
        <v>268138.96000000002</v>
      </c>
      <c r="K14" s="382" t="s">
        <v>3592</v>
      </c>
      <c r="L14" s="505">
        <v>490532.57</v>
      </c>
      <c r="N14" s="398">
        <v>447631</v>
      </c>
      <c r="O14" s="398" t="s">
        <v>5436</v>
      </c>
      <c r="P14" s="505">
        <v>0</v>
      </c>
    </row>
    <row r="15" spans="1:16" ht="14.25">
      <c r="A15" s="502" t="s">
        <v>888</v>
      </c>
      <c r="B15" s="503" t="s">
        <v>5437</v>
      </c>
      <c r="C15" s="504">
        <v>2440654.71</v>
      </c>
      <c r="H15" s="398">
        <v>253852</v>
      </c>
      <c r="I15" s="398">
        <v>0</v>
      </c>
      <c r="K15" s="382" t="s">
        <v>3594</v>
      </c>
      <c r="L15" s="505">
        <v>0</v>
      </c>
      <c r="N15" s="398">
        <v>4358218</v>
      </c>
      <c r="O15" s="398" t="s">
        <v>5438</v>
      </c>
      <c r="P15" s="505">
        <v>0</v>
      </c>
    </row>
    <row r="16" spans="1:16" ht="14.25">
      <c r="A16" s="502" t="s">
        <v>1353</v>
      </c>
      <c r="B16" s="503" t="s">
        <v>5439</v>
      </c>
      <c r="C16" s="504">
        <v>2156594.4500000002</v>
      </c>
      <c r="H16" s="398">
        <v>34380</v>
      </c>
      <c r="I16" s="505">
        <v>0</v>
      </c>
      <c r="N16" s="398">
        <v>8023410</v>
      </c>
      <c r="O16" s="398" t="s">
        <v>5440</v>
      </c>
      <c r="P16" s="505">
        <v>0</v>
      </c>
    </row>
    <row r="17" spans="1:16" ht="14.25">
      <c r="A17" s="502" t="s">
        <v>203</v>
      </c>
      <c r="B17" s="503" t="s">
        <v>5441</v>
      </c>
      <c r="C17" s="504">
        <v>2155714.92</v>
      </c>
      <c r="H17" s="398">
        <v>578360</v>
      </c>
      <c r="I17" s="398">
        <v>0</v>
      </c>
      <c r="N17" s="398">
        <v>2720929</v>
      </c>
      <c r="O17" s="398" t="s">
        <v>5442</v>
      </c>
      <c r="P17" s="505">
        <v>0</v>
      </c>
    </row>
    <row r="18" spans="1:16" ht="14.25">
      <c r="A18" s="502" t="s">
        <v>1534</v>
      </c>
      <c r="B18" s="503" t="s">
        <v>5443</v>
      </c>
      <c r="C18" s="504">
        <v>2122724.2799999998</v>
      </c>
      <c r="H18" s="398">
        <v>32319</v>
      </c>
      <c r="I18" s="505">
        <v>13133.48</v>
      </c>
      <c r="N18" s="398">
        <v>6889397</v>
      </c>
      <c r="O18" s="398" t="s">
        <v>5444</v>
      </c>
      <c r="P18" s="505">
        <v>0</v>
      </c>
    </row>
    <row r="19" spans="1:16" ht="14.25">
      <c r="A19" s="502" t="s">
        <v>1056</v>
      </c>
      <c r="B19" s="503" t="s">
        <v>5445</v>
      </c>
      <c r="C19" s="504">
        <v>2006337.14</v>
      </c>
      <c r="H19" s="398">
        <v>36944</v>
      </c>
      <c r="I19" s="505">
        <v>97964.31</v>
      </c>
      <c r="N19" s="398">
        <v>8524764</v>
      </c>
      <c r="O19" s="398" t="s">
        <v>5446</v>
      </c>
      <c r="P19" s="505">
        <v>0</v>
      </c>
    </row>
    <row r="20" spans="1:16" ht="14.25">
      <c r="A20" s="502" t="s">
        <v>427</v>
      </c>
      <c r="B20" s="503" t="s">
        <v>5447</v>
      </c>
      <c r="C20" s="504">
        <v>2005875.13</v>
      </c>
      <c r="H20" s="398">
        <v>446649</v>
      </c>
      <c r="I20" s="398">
        <v>7.19</v>
      </c>
      <c r="N20" s="398">
        <v>5648950</v>
      </c>
      <c r="O20" s="398" t="s">
        <v>5448</v>
      </c>
      <c r="P20" s="505">
        <v>0</v>
      </c>
    </row>
    <row r="21" spans="1:16" ht="15.75" customHeight="1">
      <c r="A21" s="502" t="s">
        <v>615</v>
      </c>
      <c r="B21" s="503" t="s">
        <v>5449</v>
      </c>
      <c r="C21" s="504">
        <v>1935199.49</v>
      </c>
      <c r="H21" s="398">
        <v>352574</v>
      </c>
      <c r="I21" s="398">
        <v>0</v>
      </c>
      <c r="N21" s="398">
        <v>4418396</v>
      </c>
      <c r="O21" s="398" t="s">
        <v>5450</v>
      </c>
      <c r="P21" s="505">
        <v>0</v>
      </c>
    </row>
    <row r="22" spans="1:16" ht="15.75" customHeight="1">
      <c r="A22" s="502" t="s">
        <v>2246</v>
      </c>
      <c r="B22" s="503" t="s">
        <v>5451</v>
      </c>
      <c r="C22" s="504">
        <v>1932949.72</v>
      </c>
      <c r="H22" s="398">
        <v>34467</v>
      </c>
      <c r="I22" s="398">
        <v>0</v>
      </c>
      <c r="N22" s="398">
        <v>8233833</v>
      </c>
      <c r="O22" s="398" t="s">
        <v>5442</v>
      </c>
      <c r="P22" s="505">
        <v>0</v>
      </c>
    </row>
    <row r="23" spans="1:16" ht="15.75" customHeight="1">
      <c r="A23" s="502" t="s">
        <v>1480</v>
      </c>
      <c r="B23" s="503" t="s">
        <v>5452</v>
      </c>
      <c r="C23" s="504">
        <v>1886281.2</v>
      </c>
      <c r="H23" s="398">
        <v>32262</v>
      </c>
      <c r="I23" s="398">
        <v>0</v>
      </c>
      <c r="N23" s="398">
        <v>4598320</v>
      </c>
      <c r="O23" s="398" t="s">
        <v>5453</v>
      </c>
      <c r="P23" s="505">
        <v>0</v>
      </c>
    </row>
    <row r="24" spans="1:16" ht="15.75" customHeight="1">
      <c r="A24" s="502" t="s">
        <v>2766</v>
      </c>
      <c r="B24" s="503" t="s">
        <v>5454</v>
      </c>
      <c r="C24" s="504">
        <v>1836674.85</v>
      </c>
      <c r="H24" s="398">
        <v>293395</v>
      </c>
      <c r="I24" s="398">
        <v>0</v>
      </c>
      <c r="N24" s="398">
        <v>58954</v>
      </c>
      <c r="O24" s="398" t="s">
        <v>5455</v>
      </c>
      <c r="P24" s="505">
        <v>159271.18</v>
      </c>
    </row>
    <row r="25" spans="1:16" ht="15.75" customHeight="1">
      <c r="A25" s="502" t="s">
        <v>1996</v>
      </c>
      <c r="B25" s="503" t="s">
        <v>5429</v>
      </c>
      <c r="C25" s="504">
        <v>1828006.92</v>
      </c>
      <c r="H25" s="398">
        <v>33002</v>
      </c>
      <c r="I25" s="505">
        <v>0</v>
      </c>
      <c r="N25" s="398">
        <v>6032020</v>
      </c>
      <c r="O25" s="398" t="s">
        <v>5456</v>
      </c>
      <c r="P25" s="505">
        <v>0</v>
      </c>
    </row>
    <row r="26" spans="1:16" ht="15.75" customHeight="1">
      <c r="A26" s="502" t="s">
        <v>1098</v>
      </c>
      <c r="B26" s="503" t="s">
        <v>5457</v>
      </c>
      <c r="C26" s="504">
        <v>1808083.49</v>
      </c>
      <c r="H26" s="398">
        <v>627408</v>
      </c>
      <c r="I26" s="398">
        <v>0</v>
      </c>
      <c r="N26" s="398">
        <v>3774100</v>
      </c>
      <c r="O26" s="398" t="s">
        <v>5458</v>
      </c>
      <c r="P26" s="505">
        <v>0</v>
      </c>
    </row>
    <row r="27" spans="1:16" ht="15.75" customHeight="1">
      <c r="A27" s="502" t="s">
        <v>1215</v>
      </c>
      <c r="B27" s="503" t="s">
        <v>5459</v>
      </c>
      <c r="C27" s="504">
        <v>1779494.89</v>
      </c>
      <c r="H27" s="398">
        <v>624508</v>
      </c>
      <c r="I27" s="398">
        <v>0</v>
      </c>
      <c r="N27" s="398">
        <v>4652696</v>
      </c>
      <c r="O27" s="398" t="s">
        <v>5460</v>
      </c>
      <c r="P27" s="505">
        <v>46779.89</v>
      </c>
    </row>
    <row r="28" spans="1:16" ht="15.75" customHeight="1">
      <c r="A28" s="502" t="s">
        <v>2098</v>
      </c>
      <c r="B28" s="503" t="s">
        <v>5461</v>
      </c>
      <c r="C28" s="504">
        <v>1774745.43</v>
      </c>
      <c r="H28" s="398">
        <v>270211</v>
      </c>
      <c r="I28" s="398">
        <v>355.86</v>
      </c>
      <c r="N28" s="398">
        <v>5661723</v>
      </c>
      <c r="O28" s="398" t="s">
        <v>5462</v>
      </c>
      <c r="P28" s="505">
        <v>0</v>
      </c>
    </row>
    <row r="29" spans="1:16" ht="15.75" customHeight="1">
      <c r="A29" s="502" t="s">
        <v>2202</v>
      </c>
      <c r="B29" s="503" t="s">
        <v>5463</v>
      </c>
      <c r="C29" s="504">
        <v>1738498.98</v>
      </c>
      <c r="H29" s="398">
        <v>451734</v>
      </c>
      <c r="I29" s="505">
        <v>0</v>
      </c>
      <c r="N29" s="398">
        <v>4988368</v>
      </c>
      <c r="O29" s="398" t="s">
        <v>5464</v>
      </c>
      <c r="P29" s="505">
        <v>88830.55</v>
      </c>
    </row>
    <row r="30" spans="1:16" ht="15.75" customHeight="1">
      <c r="A30" s="502" t="s">
        <v>2119</v>
      </c>
      <c r="B30" s="503" t="s">
        <v>5465</v>
      </c>
      <c r="C30" s="504">
        <v>1722436.05</v>
      </c>
      <c r="H30" s="398">
        <v>624134</v>
      </c>
      <c r="I30" s="398">
        <v>0</v>
      </c>
      <c r="N30" s="398">
        <v>4416642</v>
      </c>
      <c r="O30" s="398" t="s">
        <v>5466</v>
      </c>
      <c r="P30" s="505">
        <v>0</v>
      </c>
    </row>
    <row r="31" spans="1:16" ht="15.75" customHeight="1">
      <c r="A31" s="502" t="s">
        <v>2116</v>
      </c>
      <c r="B31" s="503" t="s">
        <v>5467</v>
      </c>
      <c r="C31" s="504">
        <v>1719302.39</v>
      </c>
      <c r="H31" s="398">
        <v>35841</v>
      </c>
      <c r="I31" s="398">
        <v>0</v>
      </c>
      <c r="N31" s="398">
        <v>4903270</v>
      </c>
      <c r="O31" s="398" t="s">
        <v>5468</v>
      </c>
      <c r="P31" s="505">
        <v>0</v>
      </c>
    </row>
    <row r="32" spans="1:16" ht="15.75" customHeight="1">
      <c r="A32" s="502" t="s">
        <v>1632</v>
      </c>
      <c r="B32" s="503" t="s">
        <v>5469</v>
      </c>
      <c r="C32" s="504">
        <v>1683834.6</v>
      </c>
      <c r="H32" s="398">
        <v>36284</v>
      </c>
      <c r="I32" s="398">
        <v>0</v>
      </c>
      <c r="N32" s="398">
        <v>8155858</v>
      </c>
      <c r="O32" s="398" t="s">
        <v>5470</v>
      </c>
      <c r="P32" s="505">
        <v>0</v>
      </c>
    </row>
    <row r="33" spans="1:16" ht="15.75" customHeight="1">
      <c r="A33" s="502" t="s">
        <v>2101</v>
      </c>
      <c r="B33" s="503" t="s">
        <v>5461</v>
      </c>
      <c r="C33" s="504">
        <v>1670091.34</v>
      </c>
      <c r="H33" s="398">
        <v>46477</v>
      </c>
      <c r="I33" s="398">
        <v>0</v>
      </c>
      <c r="N33" s="398">
        <v>4459682</v>
      </c>
      <c r="O33" s="398" t="s">
        <v>5471</v>
      </c>
      <c r="P33" s="505">
        <v>239.42</v>
      </c>
    </row>
    <row r="34" spans="1:16" ht="15.75" customHeight="1">
      <c r="A34" s="502" t="s">
        <v>2142</v>
      </c>
      <c r="B34" s="503" t="s">
        <v>5472</v>
      </c>
      <c r="C34" s="504">
        <v>1655830.46</v>
      </c>
      <c r="H34" s="398">
        <v>39943</v>
      </c>
      <c r="I34" s="398">
        <v>0</v>
      </c>
      <c r="N34" s="398">
        <v>7518857</v>
      </c>
      <c r="O34" s="398" t="s">
        <v>5473</v>
      </c>
      <c r="P34" s="505">
        <v>0</v>
      </c>
    </row>
    <row r="35" spans="1:16" ht="15.75" customHeight="1">
      <c r="A35" s="502" t="s">
        <v>364</v>
      </c>
      <c r="B35" s="503" t="s">
        <v>5474</v>
      </c>
      <c r="C35" s="504">
        <v>1645751.29</v>
      </c>
      <c r="H35" s="398">
        <v>32049</v>
      </c>
      <c r="I35" s="398">
        <v>0</v>
      </c>
      <c r="N35" s="398">
        <v>2889018</v>
      </c>
      <c r="O35" s="398" t="s">
        <v>5475</v>
      </c>
      <c r="P35" s="505">
        <v>21551.3</v>
      </c>
    </row>
    <row r="36" spans="1:16" ht="15.75" customHeight="1">
      <c r="A36" s="502" t="s">
        <v>2186</v>
      </c>
      <c r="B36" s="503" t="s">
        <v>5476</v>
      </c>
      <c r="C36" s="504">
        <v>1620962.11</v>
      </c>
      <c r="H36" s="398">
        <v>35069</v>
      </c>
      <c r="I36" s="398">
        <v>0</v>
      </c>
      <c r="N36" s="398">
        <v>4488691</v>
      </c>
      <c r="O36" s="398" t="s">
        <v>5477</v>
      </c>
      <c r="P36" s="505">
        <v>0</v>
      </c>
    </row>
    <row r="37" spans="1:16" ht="15.75" customHeight="1">
      <c r="A37" s="502" t="s">
        <v>2244</v>
      </c>
      <c r="B37" s="503" t="s">
        <v>5451</v>
      </c>
      <c r="C37" s="504">
        <v>1564831.14</v>
      </c>
      <c r="H37" s="398">
        <v>32441</v>
      </c>
      <c r="I37" s="398">
        <v>0</v>
      </c>
      <c r="N37" s="398">
        <v>4793812</v>
      </c>
      <c r="O37" s="398" t="s">
        <v>5422</v>
      </c>
      <c r="P37" s="505">
        <v>0</v>
      </c>
    </row>
    <row r="38" spans="1:16" ht="15.75" customHeight="1">
      <c r="A38" s="502" t="s">
        <v>2651</v>
      </c>
      <c r="B38" s="503" t="s">
        <v>5478</v>
      </c>
      <c r="C38" s="504">
        <v>1543444.93</v>
      </c>
      <c r="H38" s="398">
        <v>37718</v>
      </c>
      <c r="I38" s="398">
        <v>0</v>
      </c>
      <c r="N38" s="398">
        <v>7782720</v>
      </c>
      <c r="O38" s="398" t="s">
        <v>5479</v>
      </c>
      <c r="P38" s="505">
        <v>-21.91</v>
      </c>
    </row>
    <row r="39" spans="1:16" ht="15.75" customHeight="1">
      <c r="A39" s="502" t="s">
        <v>1920</v>
      </c>
      <c r="B39" s="503" t="s">
        <v>5480</v>
      </c>
      <c r="C39" s="504">
        <v>1503733.94</v>
      </c>
      <c r="H39" s="398">
        <v>33153</v>
      </c>
      <c r="I39" s="505">
        <v>0</v>
      </c>
      <c r="N39" s="398">
        <v>8598875</v>
      </c>
      <c r="O39" s="398" t="s">
        <v>5446</v>
      </c>
      <c r="P39" s="505">
        <v>0</v>
      </c>
    </row>
    <row r="40" spans="1:16" ht="15.75" customHeight="1">
      <c r="A40" s="502" t="s">
        <v>340</v>
      </c>
      <c r="B40" s="503" t="s">
        <v>5481</v>
      </c>
      <c r="C40" s="504">
        <v>1488883.21</v>
      </c>
      <c r="H40" s="398">
        <v>474439</v>
      </c>
      <c r="I40" s="505">
        <v>0</v>
      </c>
      <c r="N40" s="398">
        <v>2289902</v>
      </c>
      <c r="O40" s="398" t="s">
        <v>5482</v>
      </c>
      <c r="P40" s="505">
        <v>0</v>
      </c>
    </row>
    <row r="41" spans="1:16" ht="15.75" customHeight="1">
      <c r="A41" s="502" t="s">
        <v>2205</v>
      </c>
      <c r="B41" s="503" t="s">
        <v>5463</v>
      </c>
      <c r="C41" s="504">
        <v>1452405.98</v>
      </c>
      <c r="H41" s="398">
        <v>424833</v>
      </c>
      <c r="I41" s="505">
        <v>175663.35</v>
      </c>
      <c r="N41" s="398">
        <v>4398585</v>
      </c>
      <c r="O41" s="398" t="s">
        <v>5483</v>
      </c>
      <c r="P41" s="505">
        <v>0</v>
      </c>
    </row>
    <row r="42" spans="1:16" ht="15.75" customHeight="1">
      <c r="A42" s="502" t="s">
        <v>1337</v>
      </c>
      <c r="B42" s="503" t="s">
        <v>5484</v>
      </c>
      <c r="C42" s="504">
        <v>1423614.41</v>
      </c>
      <c r="H42" s="398">
        <v>253798</v>
      </c>
      <c r="I42" s="505">
        <v>0</v>
      </c>
      <c r="N42" s="398">
        <v>4637696</v>
      </c>
      <c r="O42" s="398" t="s">
        <v>5485</v>
      </c>
      <c r="P42" s="505">
        <v>0</v>
      </c>
    </row>
    <row r="43" spans="1:16" ht="15.75" customHeight="1">
      <c r="A43" s="502" t="s">
        <v>1116</v>
      </c>
      <c r="B43" s="503" t="s">
        <v>5486</v>
      </c>
      <c r="C43" s="504">
        <v>1364630.89</v>
      </c>
      <c r="H43" s="398">
        <v>32208</v>
      </c>
      <c r="I43" s="505">
        <v>0</v>
      </c>
      <c r="N43" s="398">
        <v>6320705</v>
      </c>
      <c r="O43" s="398" t="s">
        <v>5487</v>
      </c>
      <c r="P43" s="505">
        <v>0.15</v>
      </c>
    </row>
    <row r="44" spans="1:16" ht="15.75" customHeight="1">
      <c r="A44" s="502" t="s">
        <v>1690</v>
      </c>
      <c r="B44" s="503" t="s">
        <v>5488</v>
      </c>
      <c r="C44" s="504">
        <v>1361577.5</v>
      </c>
      <c r="H44" s="398">
        <v>48783</v>
      </c>
      <c r="I44" s="398">
        <v>0</v>
      </c>
      <c r="N44" s="398">
        <v>5682953</v>
      </c>
      <c r="O44" s="398" t="s">
        <v>5489</v>
      </c>
      <c r="P44" s="505">
        <v>54921.86</v>
      </c>
    </row>
    <row r="45" spans="1:16" ht="15.75" customHeight="1">
      <c r="A45" s="502" t="s">
        <v>2126</v>
      </c>
      <c r="B45" s="503" t="s">
        <v>5490</v>
      </c>
      <c r="C45" s="504">
        <v>1353030.15</v>
      </c>
      <c r="H45" s="398">
        <v>441042</v>
      </c>
      <c r="I45" s="505">
        <v>0</v>
      </c>
      <c r="N45" s="398">
        <v>2214585</v>
      </c>
      <c r="O45" s="398" t="s">
        <v>5491</v>
      </c>
      <c r="P45" s="505">
        <v>0</v>
      </c>
    </row>
    <row r="46" spans="1:16" ht="15.75" customHeight="1">
      <c r="A46" s="502" t="s">
        <v>1958</v>
      </c>
      <c r="B46" s="503" t="s">
        <v>5429</v>
      </c>
      <c r="C46" s="504">
        <v>1347027.2</v>
      </c>
      <c r="H46" s="398">
        <v>455761</v>
      </c>
      <c r="I46" s="398">
        <v>0</v>
      </c>
      <c r="N46" s="398">
        <v>2660830</v>
      </c>
      <c r="O46" s="398" t="s">
        <v>5492</v>
      </c>
      <c r="P46" s="505">
        <v>0</v>
      </c>
    </row>
    <row r="47" spans="1:16" ht="15.75" customHeight="1">
      <c r="A47" s="502" t="s">
        <v>1737</v>
      </c>
      <c r="B47" s="503" t="s">
        <v>5493</v>
      </c>
      <c r="C47" s="504">
        <v>1324388.42</v>
      </c>
      <c r="H47" s="398">
        <v>362237</v>
      </c>
      <c r="I47" s="398">
        <v>0</v>
      </c>
      <c r="N47" s="398">
        <v>7854925</v>
      </c>
      <c r="O47" s="398" t="s">
        <v>5494</v>
      </c>
      <c r="P47" s="505">
        <v>0</v>
      </c>
    </row>
    <row r="48" spans="1:16" ht="15.75" customHeight="1">
      <c r="A48" s="502" t="s">
        <v>2483</v>
      </c>
      <c r="B48" s="503" t="s">
        <v>5495</v>
      </c>
      <c r="C48" s="504">
        <v>1313910.53</v>
      </c>
      <c r="H48" s="398">
        <v>36371</v>
      </c>
      <c r="I48" s="398">
        <v>0</v>
      </c>
      <c r="N48" s="398">
        <v>8118585</v>
      </c>
      <c r="O48" s="398" t="s">
        <v>5496</v>
      </c>
      <c r="P48" s="505">
        <v>0</v>
      </c>
    </row>
    <row r="49" spans="1:16" ht="15.75" customHeight="1">
      <c r="A49" s="502" t="s">
        <v>2332</v>
      </c>
      <c r="B49" s="503" t="s">
        <v>5497</v>
      </c>
      <c r="C49" s="504">
        <v>1265903.8999999999</v>
      </c>
      <c r="H49" s="398">
        <v>560488</v>
      </c>
      <c r="I49" s="398">
        <v>0</v>
      </c>
      <c r="N49" s="398">
        <v>4680045</v>
      </c>
      <c r="O49" s="398" t="s">
        <v>5498</v>
      </c>
      <c r="P49" s="505">
        <v>0</v>
      </c>
    </row>
    <row r="50" spans="1:16" ht="15.75" customHeight="1">
      <c r="A50" s="502" t="s">
        <v>1274</v>
      </c>
      <c r="B50" s="503" t="s">
        <v>5499</v>
      </c>
      <c r="C50" s="504">
        <v>1249239.33</v>
      </c>
      <c r="H50" s="398">
        <v>266130</v>
      </c>
      <c r="I50" s="505">
        <v>0</v>
      </c>
      <c r="N50" s="398">
        <v>4608802</v>
      </c>
      <c r="O50" s="398" t="s">
        <v>5500</v>
      </c>
      <c r="P50" s="505">
        <v>83360.460000000006</v>
      </c>
    </row>
    <row r="51" spans="1:16" ht="15.75" customHeight="1">
      <c r="A51" s="502" t="s">
        <v>1471</v>
      </c>
      <c r="B51" s="503" t="s">
        <v>5501</v>
      </c>
      <c r="C51" s="504">
        <v>1236935.21</v>
      </c>
      <c r="H51" s="398">
        <v>435801</v>
      </c>
      <c r="I51" s="505">
        <v>243415.32</v>
      </c>
      <c r="N51" s="398">
        <v>4559307</v>
      </c>
      <c r="O51" s="398" t="s">
        <v>5502</v>
      </c>
      <c r="P51" s="505">
        <v>0</v>
      </c>
    </row>
    <row r="52" spans="1:16" ht="15.75" customHeight="1">
      <c r="A52" s="502" t="s">
        <v>2103</v>
      </c>
      <c r="B52" s="503" t="s">
        <v>5503</v>
      </c>
      <c r="C52" s="504">
        <v>1219253.5</v>
      </c>
      <c r="H52" s="398">
        <v>363494</v>
      </c>
      <c r="I52" s="398">
        <v>0</v>
      </c>
      <c r="N52" s="398">
        <v>6486558</v>
      </c>
      <c r="O52" s="398" t="s">
        <v>5504</v>
      </c>
      <c r="P52" s="505">
        <v>150228.25</v>
      </c>
    </row>
    <row r="53" spans="1:16" ht="15.75" customHeight="1">
      <c r="A53" s="502" t="s">
        <v>1987</v>
      </c>
      <c r="B53" s="503" t="s">
        <v>5429</v>
      </c>
      <c r="C53" s="504">
        <v>1218792.55</v>
      </c>
      <c r="H53" s="398">
        <v>79850</v>
      </c>
      <c r="I53" s="398">
        <v>0</v>
      </c>
      <c r="N53" s="398">
        <v>6480340</v>
      </c>
      <c r="O53" s="398" t="s">
        <v>5505</v>
      </c>
      <c r="P53" s="505">
        <v>0</v>
      </c>
    </row>
    <row r="54" spans="1:16" ht="15.75" customHeight="1">
      <c r="A54" s="502" t="s">
        <v>1873</v>
      </c>
      <c r="B54" s="503" t="s">
        <v>5506</v>
      </c>
      <c r="C54" s="504">
        <v>1177034.7</v>
      </c>
      <c r="H54" s="398">
        <v>449049</v>
      </c>
      <c r="I54" s="398">
        <v>0</v>
      </c>
      <c r="N54" s="398">
        <v>2551563</v>
      </c>
      <c r="O54" s="398" t="s">
        <v>5507</v>
      </c>
      <c r="P54" s="505">
        <v>50033.56</v>
      </c>
    </row>
    <row r="55" spans="1:16" ht="15.75" customHeight="1">
      <c r="A55" s="502" t="s">
        <v>729</v>
      </c>
      <c r="B55" s="503" t="s">
        <v>5508</v>
      </c>
      <c r="C55" s="504">
        <v>1125723.96</v>
      </c>
      <c r="H55" s="398">
        <v>338439</v>
      </c>
      <c r="I55" s="398">
        <v>0</v>
      </c>
      <c r="N55" s="398">
        <v>7046512</v>
      </c>
      <c r="O55" s="398" t="s">
        <v>5509</v>
      </c>
      <c r="P55" s="505">
        <v>0</v>
      </c>
    </row>
    <row r="56" spans="1:16" ht="15.75" customHeight="1">
      <c r="A56" s="502" t="s">
        <v>993</v>
      </c>
      <c r="B56" s="503" t="s">
        <v>5510</v>
      </c>
      <c r="C56" s="504">
        <v>1115454.99</v>
      </c>
      <c r="H56" s="398">
        <v>36791</v>
      </c>
      <c r="I56" s="398">
        <v>0</v>
      </c>
      <c r="N56" s="398">
        <v>8742121</v>
      </c>
      <c r="O56" s="398" t="s">
        <v>5511</v>
      </c>
      <c r="P56" s="505">
        <v>0</v>
      </c>
    </row>
    <row r="57" spans="1:16" ht="15.75" customHeight="1">
      <c r="A57" s="502" t="s">
        <v>2306</v>
      </c>
      <c r="B57" s="503" t="s">
        <v>5512</v>
      </c>
      <c r="C57" s="504">
        <v>1098078.27</v>
      </c>
      <c r="H57" s="398">
        <v>32374</v>
      </c>
      <c r="I57" s="398">
        <v>0</v>
      </c>
      <c r="N57" s="398">
        <v>4416789</v>
      </c>
      <c r="O57" s="398" t="s">
        <v>5513</v>
      </c>
      <c r="P57" s="505">
        <v>0</v>
      </c>
    </row>
    <row r="58" spans="1:16" ht="15.75" customHeight="1">
      <c r="A58" s="502" t="s">
        <v>831</v>
      </c>
      <c r="B58" s="503" t="s">
        <v>5514</v>
      </c>
      <c r="C58" s="504">
        <v>1097277.73</v>
      </c>
      <c r="H58" s="398">
        <v>362767</v>
      </c>
      <c r="I58" s="505">
        <v>0</v>
      </c>
      <c r="N58" s="398">
        <v>8685427</v>
      </c>
      <c r="O58" s="398" t="s">
        <v>5515</v>
      </c>
      <c r="P58" s="505">
        <v>0</v>
      </c>
    </row>
    <row r="59" spans="1:16" ht="15.75" customHeight="1">
      <c r="A59" s="502" t="s">
        <v>2192</v>
      </c>
      <c r="B59" s="503" t="s">
        <v>5516</v>
      </c>
      <c r="C59" s="504">
        <v>1080256.97</v>
      </c>
      <c r="H59" s="398">
        <v>38407</v>
      </c>
      <c r="I59" s="505">
        <v>0</v>
      </c>
      <c r="N59" s="398">
        <v>7667659</v>
      </c>
      <c r="O59" s="398" t="s">
        <v>5517</v>
      </c>
      <c r="P59" s="505">
        <v>22819.97</v>
      </c>
    </row>
    <row r="60" spans="1:16" ht="15.75" customHeight="1">
      <c r="A60" s="502" t="s">
        <v>1799</v>
      </c>
      <c r="B60" s="503" t="s">
        <v>5518</v>
      </c>
      <c r="C60" s="504">
        <v>1080157.75</v>
      </c>
      <c r="H60" s="398">
        <v>446581</v>
      </c>
      <c r="I60" s="505">
        <v>969723.22</v>
      </c>
      <c r="N60" s="398">
        <v>4634086</v>
      </c>
      <c r="O60" s="398" t="s">
        <v>5519</v>
      </c>
      <c r="P60" s="505">
        <v>0</v>
      </c>
    </row>
    <row r="61" spans="1:16" ht="15.75" customHeight="1">
      <c r="A61" s="502" t="s">
        <v>913</v>
      </c>
      <c r="B61" s="503" t="s">
        <v>5520</v>
      </c>
      <c r="C61" s="504">
        <v>1062241.3500000001</v>
      </c>
      <c r="H61" s="398">
        <v>295437</v>
      </c>
      <c r="I61" s="398">
        <v>0</v>
      </c>
      <c r="N61" s="398">
        <v>3081966</v>
      </c>
      <c r="O61" s="398" t="s">
        <v>5521</v>
      </c>
      <c r="P61" s="505">
        <v>0</v>
      </c>
    </row>
    <row r="62" spans="1:16" ht="15.75" customHeight="1">
      <c r="A62" s="502" t="s">
        <v>2827</v>
      </c>
      <c r="B62" s="503" t="s">
        <v>5522</v>
      </c>
      <c r="C62" s="504">
        <v>1051656.1100000001</v>
      </c>
      <c r="H62" s="398">
        <v>254180</v>
      </c>
      <c r="I62" s="505">
        <v>186599.72</v>
      </c>
      <c r="N62" s="398">
        <v>2699859</v>
      </c>
      <c r="O62" s="398" t="s">
        <v>5523</v>
      </c>
      <c r="P62" s="505">
        <v>0</v>
      </c>
    </row>
    <row r="63" spans="1:16" ht="15.75" customHeight="1">
      <c r="A63" s="502" t="s">
        <v>712</v>
      </c>
      <c r="B63" s="503" t="s">
        <v>5524</v>
      </c>
      <c r="C63" s="504">
        <v>1045934.08</v>
      </c>
      <c r="H63" s="398">
        <v>578866</v>
      </c>
      <c r="I63" s="505">
        <v>296213.12</v>
      </c>
      <c r="N63" s="398">
        <v>8588911</v>
      </c>
      <c r="O63" s="398" t="s">
        <v>5525</v>
      </c>
      <c r="P63" s="505">
        <v>0</v>
      </c>
    </row>
    <row r="64" spans="1:16" ht="15.75" customHeight="1">
      <c r="A64" s="502" t="s">
        <v>2403</v>
      </c>
      <c r="B64" s="503" t="s">
        <v>5526</v>
      </c>
      <c r="C64" s="504">
        <v>1043093.06</v>
      </c>
      <c r="H64" s="398">
        <v>579753</v>
      </c>
      <c r="I64" s="505">
        <v>166054.79</v>
      </c>
      <c r="N64" s="398">
        <v>6029791</v>
      </c>
      <c r="O64" s="398" t="s">
        <v>5527</v>
      </c>
      <c r="P64" s="505">
        <v>0</v>
      </c>
    </row>
    <row r="65" spans="1:16" ht="15.75" customHeight="1">
      <c r="A65" s="502" t="s">
        <v>2322</v>
      </c>
      <c r="B65" s="503" t="s">
        <v>5528</v>
      </c>
      <c r="C65" s="504">
        <v>1040482.38</v>
      </c>
      <c r="H65" s="398">
        <v>368767</v>
      </c>
      <c r="I65" s="505">
        <v>102283.88</v>
      </c>
      <c r="N65" s="398">
        <v>7032839</v>
      </c>
      <c r="O65" s="398" t="s">
        <v>5529</v>
      </c>
      <c r="P65" s="505">
        <v>0</v>
      </c>
    </row>
    <row r="66" spans="1:16" ht="15.75" customHeight="1">
      <c r="A66" s="502" t="s">
        <v>178</v>
      </c>
      <c r="B66" s="503" t="s">
        <v>5530</v>
      </c>
      <c r="C66" s="504">
        <v>1023689.13</v>
      </c>
      <c r="H66" s="398">
        <v>33434</v>
      </c>
      <c r="I66" s="505">
        <v>186395.36</v>
      </c>
      <c r="N66" s="398">
        <v>4945025</v>
      </c>
      <c r="O66" s="398" t="s">
        <v>5531</v>
      </c>
      <c r="P66" s="505">
        <v>0</v>
      </c>
    </row>
    <row r="67" spans="1:16" ht="15.75" customHeight="1">
      <c r="A67" s="502" t="s">
        <v>502</v>
      </c>
      <c r="B67" s="503" t="s">
        <v>5532</v>
      </c>
      <c r="C67" s="504">
        <v>1022301.14</v>
      </c>
      <c r="H67" s="398">
        <v>478599</v>
      </c>
      <c r="I67" s="505">
        <v>0</v>
      </c>
      <c r="N67" s="398">
        <v>4750693</v>
      </c>
      <c r="O67" s="398" t="s">
        <v>5533</v>
      </c>
      <c r="P67" s="505">
        <v>0</v>
      </c>
    </row>
    <row r="68" spans="1:16" ht="15.75" customHeight="1">
      <c r="A68" s="502" t="s">
        <v>2196</v>
      </c>
      <c r="B68" s="503" t="s">
        <v>5534</v>
      </c>
      <c r="C68" s="504">
        <v>1018398.26</v>
      </c>
      <c r="H68" s="398">
        <v>464575</v>
      </c>
      <c r="I68" s="505">
        <v>0</v>
      </c>
      <c r="N68" s="398">
        <v>4571776</v>
      </c>
      <c r="O68" s="398" t="s">
        <v>5535</v>
      </c>
      <c r="P68" s="505">
        <v>0</v>
      </c>
    </row>
    <row r="69" spans="1:16" ht="15.75" customHeight="1">
      <c r="A69" s="502" t="s">
        <v>2793</v>
      </c>
      <c r="B69" s="503" t="s">
        <v>5536</v>
      </c>
      <c r="C69" s="504">
        <v>984829.22</v>
      </c>
      <c r="H69" s="398">
        <v>82859</v>
      </c>
      <c r="I69" s="398">
        <v>33.26</v>
      </c>
      <c r="N69" s="398">
        <v>4425564</v>
      </c>
      <c r="O69" s="398" t="s">
        <v>5537</v>
      </c>
      <c r="P69" s="505">
        <v>0</v>
      </c>
    </row>
    <row r="70" spans="1:16" ht="15.75" customHeight="1">
      <c r="A70" s="502" t="s">
        <v>2154</v>
      </c>
      <c r="B70" s="503" t="s">
        <v>5538</v>
      </c>
      <c r="C70" s="504">
        <v>983877.33</v>
      </c>
      <c r="H70" s="398">
        <v>439818</v>
      </c>
      <c r="I70" s="398">
        <v>0</v>
      </c>
      <c r="N70" s="398">
        <v>515215</v>
      </c>
      <c r="O70" s="398" t="s">
        <v>5539</v>
      </c>
      <c r="P70" s="505">
        <v>0</v>
      </c>
    </row>
    <row r="71" spans="1:16" ht="15.75" customHeight="1">
      <c r="A71" s="502" t="s">
        <v>1627</v>
      </c>
      <c r="B71" s="503" t="s">
        <v>5540</v>
      </c>
      <c r="C71" s="504">
        <v>957407.06</v>
      </c>
      <c r="H71" s="398">
        <v>463648</v>
      </c>
      <c r="I71" s="398">
        <v>0</v>
      </c>
      <c r="N71" s="398">
        <v>4307232</v>
      </c>
      <c r="O71" s="398" t="s">
        <v>5541</v>
      </c>
      <c r="P71" s="505">
        <v>0</v>
      </c>
    </row>
    <row r="72" spans="1:16" ht="15.75" customHeight="1">
      <c r="A72" s="502" t="s">
        <v>175</v>
      </c>
      <c r="B72" s="503" t="s">
        <v>5542</v>
      </c>
      <c r="C72" s="504">
        <v>942588.77</v>
      </c>
      <c r="H72" s="398">
        <v>31956</v>
      </c>
      <c r="I72" s="505">
        <v>0</v>
      </c>
      <c r="N72" s="398">
        <v>417444</v>
      </c>
      <c r="O72" s="398" t="s">
        <v>5543</v>
      </c>
      <c r="P72" s="505">
        <v>0</v>
      </c>
    </row>
    <row r="73" spans="1:16" ht="15.75" customHeight="1">
      <c r="A73" s="502" t="s">
        <v>292</v>
      </c>
      <c r="B73" s="503" t="s">
        <v>5481</v>
      </c>
      <c r="C73" s="504">
        <v>928293.18</v>
      </c>
      <c r="H73" s="398">
        <v>362768</v>
      </c>
      <c r="I73" s="505">
        <v>0</v>
      </c>
      <c r="N73" s="398">
        <v>4548330</v>
      </c>
      <c r="O73" s="398" t="s">
        <v>5544</v>
      </c>
      <c r="P73" s="505">
        <v>0</v>
      </c>
    </row>
    <row r="74" spans="1:16" ht="15.75" customHeight="1">
      <c r="A74" s="502" t="s">
        <v>353</v>
      </c>
      <c r="B74" s="503" t="s">
        <v>5481</v>
      </c>
      <c r="C74" s="504">
        <v>876150.01</v>
      </c>
      <c r="H74" s="398">
        <v>32131</v>
      </c>
      <c r="I74" s="398">
        <v>0</v>
      </c>
      <c r="N74" s="398">
        <v>4847953</v>
      </c>
      <c r="O74" s="398" t="s">
        <v>5545</v>
      </c>
      <c r="P74" s="505">
        <v>0</v>
      </c>
    </row>
    <row r="75" spans="1:16" ht="15.75" customHeight="1">
      <c r="A75" s="502" t="s">
        <v>1152</v>
      </c>
      <c r="B75" s="503" t="s">
        <v>5546</v>
      </c>
      <c r="C75" s="504">
        <v>871891.88</v>
      </c>
      <c r="H75" s="398">
        <v>476148</v>
      </c>
      <c r="I75" s="505">
        <v>0</v>
      </c>
      <c r="N75" s="398">
        <v>4680314</v>
      </c>
      <c r="O75" s="398" t="s">
        <v>5547</v>
      </c>
      <c r="P75" s="505">
        <v>0</v>
      </c>
    </row>
    <row r="76" spans="1:16" ht="15.75" customHeight="1">
      <c r="A76" s="502" t="s">
        <v>1805</v>
      </c>
      <c r="B76" s="503" t="s">
        <v>5518</v>
      </c>
      <c r="C76" s="504">
        <v>862657.23</v>
      </c>
      <c r="H76" s="398">
        <v>433634</v>
      </c>
      <c r="I76" s="505">
        <v>0</v>
      </c>
      <c r="N76" s="398">
        <v>5900668</v>
      </c>
      <c r="O76" s="398" t="s">
        <v>5548</v>
      </c>
      <c r="P76" s="505">
        <v>0</v>
      </c>
    </row>
    <row r="77" spans="1:16" ht="15.75" customHeight="1">
      <c r="A77" s="502" t="s">
        <v>793</v>
      </c>
      <c r="B77" s="503" t="s">
        <v>5421</v>
      </c>
      <c r="C77" s="504">
        <v>857932.63</v>
      </c>
      <c r="H77" s="398">
        <v>376904</v>
      </c>
      <c r="I77" s="505">
        <v>173101.81</v>
      </c>
      <c r="N77" s="398">
        <v>4859015</v>
      </c>
      <c r="O77" s="398" t="s">
        <v>5549</v>
      </c>
      <c r="P77" s="505">
        <v>0</v>
      </c>
    </row>
    <row r="78" spans="1:16" ht="15.75" customHeight="1">
      <c r="A78" s="502" t="s">
        <v>1334</v>
      </c>
      <c r="B78" s="503" t="s">
        <v>5550</v>
      </c>
      <c r="C78" s="504">
        <v>857375.43</v>
      </c>
      <c r="H78" s="398">
        <v>379302</v>
      </c>
      <c r="I78" s="398">
        <v>0</v>
      </c>
      <c r="N78" s="398">
        <v>4085020</v>
      </c>
      <c r="O78" s="398" t="s">
        <v>5551</v>
      </c>
      <c r="P78" s="505">
        <v>3479.5</v>
      </c>
    </row>
    <row r="79" spans="1:16" ht="15.75" customHeight="1">
      <c r="A79" s="502" t="s">
        <v>1315</v>
      </c>
      <c r="B79" s="503" t="s">
        <v>5552</v>
      </c>
      <c r="C79" s="504">
        <v>856721.99</v>
      </c>
      <c r="H79" s="398">
        <v>33712</v>
      </c>
      <c r="I79" s="505">
        <v>1724410.97</v>
      </c>
      <c r="N79" s="398">
        <v>4442405</v>
      </c>
      <c r="O79" s="398" t="s">
        <v>5553</v>
      </c>
      <c r="P79" s="505">
        <v>0.15</v>
      </c>
    </row>
    <row r="80" spans="1:16" ht="15.75" customHeight="1">
      <c r="A80" s="502" t="s">
        <v>1344</v>
      </c>
      <c r="B80" s="503" t="s">
        <v>5413</v>
      </c>
      <c r="C80" s="504">
        <v>855413.88</v>
      </c>
      <c r="H80" s="398">
        <v>320105</v>
      </c>
      <c r="I80" s="398">
        <v>0</v>
      </c>
      <c r="N80" s="398">
        <v>4458091</v>
      </c>
      <c r="O80" s="398" t="s">
        <v>5554</v>
      </c>
      <c r="P80" s="505">
        <v>0</v>
      </c>
    </row>
    <row r="81" spans="1:16" ht="15.75" customHeight="1">
      <c r="A81" s="502" t="s">
        <v>743</v>
      </c>
      <c r="B81" s="503" t="s">
        <v>5555</v>
      </c>
      <c r="C81" s="504">
        <v>853298.94</v>
      </c>
      <c r="H81" s="398">
        <v>436161</v>
      </c>
      <c r="I81" s="505">
        <v>0</v>
      </c>
      <c r="N81" s="398">
        <v>5947531</v>
      </c>
      <c r="O81" s="398" t="s">
        <v>5556</v>
      </c>
      <c r="P81" s="505">
        <v>0</v>
      </c>
    </row>
    <row r="82" spans="1:16" ht="15.75" customHeight="1">
      <c r="A82" s="502" t="s">
        <v>2507</v>
      </c>
      <c r="B82" s="503" t="s">
        <v>5557</v>
      </c>
      <c r="C82" s="504">
        <v>849017.52</v>
      </c>
      <c r="H82" s="398">
        <v>47285</v>
      </c>
      <c r="I82" s="398">
        <v>68.459999999999994</v>
      </c>
      <c r="N82" s="398">
        <v>5577</v>
      </c>
      <c r="O82" s="398" t="s">
        <v>5558</v>
      </c>
      <c r="P82" s="505">
        <v>0</v>
      </c>
    </row>
    <row r="83" spans="1:16" ht="15.75" customHeight="1">
      <c r="A83" s="502" t="s">
        <v>2518</v>
      </c>
      <c r="B83" s="503" t="s">
        <v>5559</v>
      </c>
      <c r="C83" s="504">
        <v>844260.86</v>
      </c>
      <c r="H83" s="398">
        <v>434550</v>
      </c>
      <c r="I83" s="505">
        <v>0</v>
      </c>
      <c r="N83" s="398">
        <v>9009694</v>
      </c>
      <c r="O83" s="398" t="s">
        <v>5560</v>
      </c>
      <c r="P83" s="505">
        <v>0</v>
      </c>
    </row>
    <row r="84" spans="1:16" ht="15.75" customHeight="1">
      <c r="A84" s="502" t="s">
        <v>1499</v>
      </c>
      <c r="B84" s="503" t="s">
        <v>5452</v>
      </c>
      <c r="C84" s="504">
        <v>840472.35</v>
      </c>
      <c r="H84" s="398">
        <v>463906</v>
      </c>
      <c r="I84" s="505">
        <v>0</v>
      </c>
      <c r="N84" s="398">
        <v>3214407</v>
      </c>
      <c r="O84" s="398" t="s">
        <v>5561</v>
      </c>
      <c r="P84" s="505">
        <v>0</v>
      </c>
    </row>
    <row r="85" spans="1:16" ht="15.75" customHeight="1">
      <c r="A85" s="502" t="s">
        <v>1574</v>
      </c>
      <c r="B85" s="503" t="s">
        <v>5562</v>
      </c>
      <c r="C85" s="504">
        <v>839738.71</v>
      </c>
      <c r="H85" s="398">
        <v>446028</v>
      </c>
      <c r="I85" s="398">
        <v>0</v>
      </c>
      <c r="N85" s="398">
        <v>3241823</v>
      </c>
      <c r="O85" s="398" t="s">
        <v>5563</v>
      </c>
      <c r="P85" s="505">
        <v>0</v>
      </c>
    </row>
    <row r="86" spans="1:16" ht="15.75" customHeight="1">
      <c r="A86" s="502" t="s">
        <v>1063</v>
      </c>
      <c r="B86" s="503" t="s">
        <v>5564</v>
      </c>
      <c r="C86" s="504">
        <v>823653.84</v>
      </c>
      <c r="H86" s="398">
        <v>34388</v>
      </c>
      <c r="I86" s="398">
        <v>0</v>
      </c>
      <c r="N86" s="398">
        <v>4468606</v>
      </c>
      <c r="O86" s="398" t="s">
        <v>5496</v>
      </c>
      <c r="P86" s="505">
        <v>0</v>
      </c>
    </row>
    <row r="87" spans="1:16" ht="15.75" customHeight="1">
      <c r="A87" s="502" t="s">
        <v>1517</v>
      </c>
      <c r="B87" s="503" t="s">
        <v>5565</v>
      </c>
      <c r="C87" s="504">
        <v>815020.69</v>
      </c>
      <c r="H87" s="398">
        <v>34321</v>
      </c>
      <c r="I87" s="398">
        <v>0</v>
      </c>
      <c r="N87" s="398">
        <v>8993002</v>
      </c>
      <c r="O87" s="398" t="s">
        <v>5566</v>
      </c>
      <c r="P87" s="505">
        <v>0</v>
      </c>
    </row>
    <row r="88" spans="1:16" ht="15.75" customHeight="1">
      <c r="A88" s="502" t="s">
        <v>2556</v>
      </c>
      <c r="B88" s="503" t="s">
        <v>5567</v>
      </c>
      <c r="C88" s="504">
        <v>814782.58</v>
      </c>
      <c r="H88" s="398">
        <v>39937</v>
      </c>
      <c r="I88" s="398">
        <v>0</v>
      </c>
      <c r="N88" s="398">
        <v>5663320</v>
      </c>
      <c r="O88" s="398" t="s">
        <v>5492</v>
      </c>
      <c r="P88" s="505">
        <v>0</v>
      </c>
    </row>
    <row r="89" spans="1:16" ht="15.75" customHeight="1">
      <c r="A89" s="502" t="s">
        <v>1758</v>
      </c>
      <c r="B89" s="503" t="s">
        <v>5568</v>
      </c>
      <c r="C89" s="504">
        <v>809879.77</v>
      </c>
      <c r="H89" s="398">
        <v>35673</v>
      </c>
      <c r="I89" s="398">
        <v>0</v>
      </c>
      <c r="N89" s="398">
        <v>4452023</v>
      </c>
      <c r="O89" s="398" t="s">
        <v>5569</v>
      </c>
      <c r="P89" s="505">
        <v>114705.59</v>
      </c>
    </row>
    <row r="90" spans="1:16" ht="15.75" customHeight="1">
      <c r="A90" s="502" t="s">
        <v>1630</v>
      </c>
      <c r="B90" s="503" t="s">
        <v>5469</v>
      </c>
      <c r="C90" s="504">
        <v>788022.08</v>
      </c>
      <c r="H90" s="398">
        <v>480861</v>
      </c>
      <c r="I90" s="398">
        <v>0</v>
      </c>
      <c r="N90" s="398">
        <v>5171052</v>
      </c>
      <c r="O90" s="398" t="s">
        <v>5570</v>
      </c>
      <c r="P90" s="505">
        <v>56554.59</v>
      </c>
    </row>
    <row r="91" spans="1:16" ht="15.75" customHeight="1">
      <c r="A91" s="502" t="s">
        <v>2660</v>
      </c>
      <c r="B91" s="503" t="s">
        <v>5571</v>
      </c>
      <c r="C91" s="504">
        <v>774612.79</v>
      </c>
      <c r="H91" s="398">
        <v>86513</v>
      </c>
      <c r="I91" s="505">
        <v>0</v>
      </c>
      <c r="N91" s="398">
        <v>4582050</v>
      </c>
      <c r="O91" s="398" t="s">
        <v>5572</v>
      </c>
      <c r="P91" s="505">
        <v>0</v>
      </c>
    </row>
    <row r="92" spans="1:16" ht="15.75" customHeight="1">
      <c r="A92" s="502" t="s">
        <v>438</v>
      </c>
      <c r="B92" s="503" t="s">
        <v>5415</v>
      </c>
      <c r="C92" s="504">
        <v>750484.75</v>
      </c>
      <c r="H92" s="398">
        <v>32187</v>
      </c>
      <c r="I92" s="398">
        <v>0</v>
      </c>
      <c r="N92" s="398">
        <v>5080319</v>
      </c>
      <c r="O92" s="398" t="s">
        <v>5573</v>
      </c>
      <c r="P92" s="505">
        <v>0</v>
      </c>
    </row>
    <row r="93" spans="1:16" ht="15.75" customHeight="1">
      <c r="A93" s="502" t="s">
        <v>733</v>
      </c>
      <c r="B93" s="503" t="s">
        <v>5574</v>
      </c>
      <c r="C93" s="504">
        <v>749809.81</v>
      </c>
      <c r="H93" s="398">
        <v>445839</v>
      </c>
      <c r="I93" s="505">
        <v>0</v>
      </c>
      <c r="N93" s="398">
        <v>5702220</v>
      </c>
      <c r="O93" s="398" t="s">
        <v>5575</v>
      </c>
      <c r="P93" s="505">
        <v>18181.27</v>
      </c>
    </row>
    <row r="94" spans="1:16" ht="15.75" customHeight="1">
      <c r="A94" s="502" t="s">
        <v>1505</v>
      </c>
      <c r="B94" s="503" t="s">
        <v>5452</v>
      </c>
      <c r="C94" s="504">
        <v>744741.54</v>
      </c>
      <c r="H94" s="398">
        <v>464995</v>
      </c>
      <c r="I94" s="505">
        <v>0</v>
      </c>
      <c r="N94" s="398">
        <v>552896</v>
      </c>
      <c r="O94" s="398" t="s">
        <v>5576</v>
      </c>
      <c r="P94" s="505">
        <v>166326.06</v>
      </c>
    </row>
    <row r="95" spans="1:16" ht="15.75" customHeight="1">
      <c r="A95" s="502" t="s">
        <v>2744</v>
      </c>
      <c r="B95" s="503" t="s">
        <v>5577</v>
      </c>
      <c r="C95" s="504">
        <v>740767.42</v>
      </c>
      <c r="H95" s="398">
        <v>579208</v>
      </c>
      <c r="I95" s="505">
        <v>153476.69</v>
      </c>
      <c r="N95" s="398">
        <v>4396977</v>
      </c>
      <c r="O95" s="398" t="s">
        <v>5578</v>
      </c>
      <c r="P95" s="505">
        <v>0</v>
      </c>
    </row>
    <row r="96" spans="1:16" ht="15.75" customHeight="1">
      <c r="A96" s="502" t="s">
        <v>2229</v>
      </c>
      <c r="B96" s="503" t="s">
        <v>5579</v>
      </c>
      <c r="C96" s="504">
        <v>722345.6</v>
      </c>
      <c r="H96" s="398">
        <v>582180</v>
      </c>
      <c r="I96" s="505">
        <v>73014.06</v>
      </c>
      <c r="N96" s="398">
        <v>4304013</v>
      </c>
      <c r="O96" s="398" t="s">
        <v>5580</v>
      </c>
      <c r="P96" s="505">
        <v>5099.78</v>
      </c>
    </row>
    <row r="97" spans="1:16" ht="15.75" customHeight="1">
      <c r="A97" s="502" t="s">
        <v>319</v>
      </c>
      <c r="B97" s="503" t="s">
        <v>5481</v>
      </c>
      <c r="C97" s="504">
        <v>713557.68</v>
      </c>
      <c r="H97" s="398">
        <v>32115</v>
      </c>
      <c r="I97" s="398">
        <v>0</v>
      </c>
      <c r="N97" s="398">
        <v>429563</v>
      </c>
      <c r="O97" s="398" t="s">
        <v>5581</v>
      </c>
      <c r="P97" s="505">
        <v>0</v>
      </c>
    </row>
    <row r="98" spans="1:16" ht="15.75" customHeight="1">
      <c r="A98" s="502" t="s">
        <v>389</v>
      </c>
      <c r="B98" s="503" t="s">
        <v>5582</v>
      </c>
      <c r="C98" s="504">
        <v>710991.3</v>
      </c>
      <c r="H98" s="398">
        <v>560590</v>
      </c>
      <c r="I98" s="505">
        <v>0</v>
      </c>
      <c r="N98" s="398">
        <v>9274386</v>
      </c>
      <c r="O98" s="398" t="s">
        <v>5583</v>
      </c>
      <c r="P98" s="505">
        <v>0</v>
      </c>
    </row>
    <row r="99" spans="1:16" ht="15.75" customHeight="1">
      <c r="A99" s="502" t="s">
        <v>1093</v>
      </c>
      <c r="B99" s="503" t="s">
        <v>5584</v>
      </c>
      <c r="C99" s="504">
        <v>698343.03</v>
      </c>
      <c r="H99" s="398">
        <v>451702</v>
      </c>
      <c r="I99" s="505">
        <v>115.71</v>
      </c>
      <c r="N99" s="398">
        <v>9215559</v>
      </c>
      <c r="O99" s="398" t="s">
        <v>5585</v>
      </c>
      <c r="P99" s="505">
        <v>0</v>
      </c>
    </row>
    <row r="100" spans="1:16" ht="15.75" customHeight="1">
      <c r="A100" s="502" t="s">
        <v>1951</v>
      </c>
      <c r="B100" s="503" t="s">
        <v>5429</v>
      </c>
      <c r="C100" s="504">
        <v>685444.91</v>
      </c>
      <c r="H100" s="398">
        <v>76952</v>
      </c>
      <c r="I100" s="398">
        <v>0</v>
      </c>
      <c r="N100" s="398">
        <v>4655754</v>
      </c>
      <c r="O100" s="398" t="s">
        <v>5586</v>
      </c>
      <c r="P100" s="505">
        <v>0</v>
      </c>
    </row>
    <row r="101" spans="1:16" ht="15.75" customHeight="1">
      <c r="A101" s="502" t="s">
        <v>336</v>
      </c>
      <c r="B101" s="503" t="s">
        <v>5481</v>
      </c>
      <c r="C101" s="504">
        <v>683971.89</v>
      </c>
      <c r="H101" s="398">
        <v>381137</v>
      </c>
      <c r="I101" s="505">
        <v>48958.38</v>
      </c>
      <c r="N101" s="398">
        <v>3679808</v>
      </c>
      <c r="O101" s="398" t="s">
        <v>5587</v>
      </c>
      <c r="P101" s="505">
        <v>0</v>
      </c>
    </row>
    <row r="102" spans="1:16" ht="15.75" customHeight="1">
      <c r="A102" s="502" t="s">
        <v>1226</v>
      </c>
      <c r="B102" s="503" t="s">
        <v>5588</v>
      </c>
      <c r="C102" s="504">
        <v>682189.8</v>
      </c>
      <c r="H102" s="398">
        <v>31793</v>
      </c>
      <c r="I102" s="505">
        <v>197056.55</v>
      </c>
      <c r="N102" s="398">
        <v>6096787</v>
      </c>
      <c r="O102" s="398" t="s">
        <v>5589</v>
      </c>
      <c r="P102" s="505">
        <v>0</v>
      </c>
    </row>
    <row r="103" spans="1:16" ht="15.75" customHeight="1">
      <c r="A103" s="502" t="s">
        <v>545</v>
      </c>
      <c r="B103" s="503" t="s">
        <v>5435</v>
      </c>
      <c r="C103" s="504">
        <v>681067.2</v>
      </c>
      <c r="H103" s="398">
        <v>266389</v>
      </c>
      <c r="I103" s="505">
        <v>0</v>
      </c>
      <c r="N103" s="398">
        <v>2089993</v>
      </c>
      <c r="O103" s="398" t="s">
        <v>5590</v>
      </c>
      <c r="P103" s="505">
        <v>0</v>
      </c>
    </row>
    <row r="104" spans="1:16" ht="15.75" customHeight="1">
      <c r="A104" s="502" t="s">
        <v>1264</v>
      </c>
      <c r="B104" s="503" t="s">
        <v>5499</v>
      </c>
      <c r="C104" s="504">
        <v>678356.22</v>
      </c>
      <c r="H104" s="398">
        <v>31966</v>
      </c>
      <c r="I104" s="398">
        <v>0</v>
      </c>
      <c r="N104" s="398">
        <v>2523005</v>
      </c>
      <c r="O104" s="398" t="s">
        <v>5591</v>
      </c>
      <c r="P104" s="505">
        <v>0</v>
      </c>
    </row>
    <row r="105" spans="1:16" ht="15.75" customHeight="1">
      <c r="A105" s="502" t="s">
        <v>231</v>
      </c>
      <c r="B105" s="503" t="s">
        <v>5592</v>
      </c>
      <c r="C105" s="504">
        <v>664684.06000000006</v>
      </c>
      <c r="H105" s="398">
        <v>32897</v>
      </c>
      <c r="I105" s="505">
        <v>35.409999999999997</v>
      </c>
      <c r="N105" s="398">
        <v>6199853</v>
      </c>
      <c r="O105" s="398" t="s">
        <v>5593</v>
      </c>
      <c r="P105" s="505">
        <v>0</v>
      </c>
    </row>
    <row r="106" spans="1:16" ht="15.75" customHeight="1">
      <c r="A106" s="502" t="s">
        <v>1294</v>
      </c>
      <c r="B106" s="503" t="s">
        <v>5594</v>
      </c>
      <c r="C106" s="504">
        <v>654303.18999999994</v>
      </c>
      <c r="H106" s="398">
        <v>39137</v>
      </c>
      <c r="I106" s="505">
        <v>0</v>
      </c>
      <c r="N106" s="398">
        <v>6456590</v>
      </c>
      <c r="O106" s="398" t="s">
        <v>5595</v>
      </c>
      <c r="P106" s="505">
        <v>1.06</v>
      </c>
    </row>
    <row r="107" spans="1:16" ht="15.75" customHeight="1">
      <c r="A107" s="502" t="s">
        <v>1243</v>
      </c>
      <c r="B107" s="503" t="s">
        <v>5596</v>
      </c>
      <c r="C107" s="504">
        <v>650670.93999999994</v>
      </c>
      <c r="H107" s="398">
        <v>32362</v>
      </c>
      <c r="I107" s="398">
        <v>0</v>
      </c>
      <c r="N107" s="398">
        <v>8688629</v>
      </c>
      <c r="O107" s="398" t="s">
        <v>5597</v>
      </c>
      <c r="P107" s="505">
        <v>0</v>
      </c>
    </row>
    <row r="108" spans="1:16" ht="15.75" customHeight="1">
      <c r="A108" s="502" t="s">
        <v>416</v>
      </c>
      <c r="B108" s="503" t="s">
        <v>5417</v>
      </c>
      <c r="C108" s="504">
        <v>636672.34</v>
      </c>
      <c r="H108" s="398">
        <v>32254</v>
      </c>
      <c r="I108" s="398">
        <v>0</v>
      </c>
      <c r="N108" s="398">
        <v>3102597</v>
      </c>
      <c r="O108" s="398" t="s">
        <v>5598</v>
      </c>
      <c r="P108" s="505">
        <v>0</v>
      </c>
    </row>
    <row r="109" spans="1:16" ht="15.75" customHeight="1">
      <c r="A109" s="502" t="s">
        <v>2448</v>
      </c>
      <c r="B109" s="503" t="s">
        <v>5599</v>
      </c>
      <c r="C109" s="504">
        <v>633563.42000000004</v>
      </c>
      <c r="H109" s="398">
        <v>577499</v>
      </c>
      <c r="I109" s="398">
        <v>0</v>
      </c>
      <c r="N109" s="398">
        <v>2673476</v>
      </c>
      <c r="O109" s="398" t="s">
        <v>5600</v>
      </c>
      <c r="P109" s="505">
        <v>0.15</v>
      </c>
    </row>
    <row r="110" spans="1:16" ht="15.75" customHeight="1">
      <c r="A110" s="502" t="s">
        <v>514</v>
      </c>
      <c r="B110" s="503" t="s">
        <v>5601</v>
      </c>
      <c r="C110" s="504">
        <v>630989.52</v>
      </c>
      <c r="H110" s="398">
        <v>32702</v>
      </c>
      <c r="I110" s="398">
        <v>0</v>
      </c>
      <c r="N110" s="398">
        <v>3025955</v>
      </c>
      <c r="O110" s="398" t="s">
        <v>5602</v>
      </c>
      <c r="P110" s="505">
        <v>0</v>
      </c>
    </row>
    <row r="111" spans="1:16" ht="15.75" customHeight="1">
      <c r="A111" s="502" t="s">
        <v>1010</v>
      </c>
      <c r="B111" s="503" t="s">
        <v>5603</v>
      </c>
      <c r="C111" s="504">
        <v>629998.39</v>
      </c>
      <c r="H111" s="398">
        <v>435597</v>
      </c>
      <c r="I111" s="505">
        <v>0</v>
      </c>
      <c r="N111" s="398">
        <v>4478774</v>
      </c>
      <c r="O111" s="398" t="s">
        <v>5604</v>
      </c>
      <c r="P111" s="505">
        <v>0</v>
      </c>
    </row>
    <row r="112" spans="1:16" ht="15.75" customHeight="1">
      <c r="A112" s="502" t="s">
        <v>1332</v>
      </c>
      <c r="B112" s="503" t="s">
        <v>5550</v>
      </c>
      <c r="C112" s="504">
        <v>628254.89</v>
      </c>
      <c r="H112" s="398">
        <v>34985</v>
      </c>
      <c r="I112" s="398">
        <v>0</v>
      </c>
      <c r="N112" s="398">
        <v>9145079</v>
      </c>
      <c r="O112" s="398" t="s">
        <v>5605</v>
      </c>
      <c r="P112" s="505">
        <v>2715.53</v>
      </c>
    </row>
    <row r="113" spans="1:16" ht="15.75" customHeight="1">
      <c r="A113" s="502" t="s">
        <v>542</v>
      </c>
      <c r="B113" s="503" t="s">
        <v>5435</v>
      </c>
      <c r="C113" s="504">
        <v>626311.63</v>
      </c>
      <c r="H113" s="398">
        <v>85867</v>
      </c>
      <c r="I113" s="505">
        <v>131269.35</v>
      </c>
      <c r="N113" s="398">
        <v>4622255</v>
      </c>
      <c r="O113" s="398" t="s">
        <v>5606</v>
      </c>
      <c r="P113" s="505">
        <v>0</v>
      </c>
    </row>
    <row r="114" spans="1:16" ht="15.75" customHeight="1">
      <c r="A114" s="502" t="s">
        <v>2735</v>
      </c>
      <c r="B114" s="503" t="s">
        <v>5607</v>
      </c>
      <c r="C114" s="504">
        <v>624502.75</v>
      </c>
      <c r="H114" s="398">
        <v>33722</v>
      </c>
      <c r="I114" s="505">
        <v>0</v>
      </c>
      <c r="N114" s="398">
        <v>7393141</v>
      </c>
      <c r="O114" s="398" t="s">
        <v>5608</v>
      </c>
      <c r="P114" s="505">
        <v>0</v>
      </c>
    </row>
    <row r="115" spans="1:16" ht="15.75" customHeight="1">
      <c r="A115" s="502" t="s">
        <v>2378</v>
      </c>
      <c r="B115" s="503" t="s">
        <v>5427</v>
      </c>
      <c r="C115" s="504">
        <v>623366.69999999995</v>
      </c>
      <c r="H115" s="398">
        <v>388028</v>
      </c>
      <c r="I115" s="398">
        <v>0</v>
      </c>
      <c r="N115" s="398">
        <v>4084071</v>
      </c>
      <c r="O115" s="398" t="s">
        <v>5609</v>
      </c>
      <c r="P115" s="505">
        <v>0</v>
      </c>
    </row>
    <row r="116" spans="1:16" ht="15.75" customHeight="1">
      <c r="A116" s="502" t="s">
        <v>2579</v>
      </c>
      <c r="B116" s="503" t="s">
        <v>5610</v>
      </c>
      <c r="C116" s="504">
        <v>620678.96</v>
      </c>
      <c r="H116" s="398">
        <v>388035</v>
      </c>
      <c r="I116" s="398">
        <v>0</v>
      </c>
      <c r="N116" s="398">
        <v>2160689</v>
      </c>
      <c r="O116" s="398" t="s">
        <v>5611</v>
      </c>
      <c r="P116" s="505">
        <v>51462.29</v>
      </c>
    </row>
    <row r="117" spans="1:16" ht="15.75" customHeight="1">
      <c r="A117" s="502" t="s">
        <v>551</v>
      </c>
      <c r="B117" s="503" t="s">
        <v>5435</v>
      </c>
      <c r="C117" s="504">
        <v>615539.73</v>
      </c>
      <c r="H117" s="398">
        <v>330314</v>
      </c>
      <c r="I117" s="505">
        <v>0</v>
      </c>
      <c r="N117" s="398">
        <v>3658320</v>
      </c>
      <c r="O117" s="398" t="s">
        <v>5612</v>
      </c>
      <c r="P117" s="505">
        <v>0</v>
      </c>
    </row>
    <row r="118" spans="1:16" ht="15.75" customHeight="1">
      <c r="A118" s="502" t="s">
        <v>2092</v>
      </c>
      <c r="B118" s="503" t="s">
        <v>5613</v>
      </c>
      <c r="C118" s="504">
        <v>614834.51</v>
      </c>
      <c r="H118" s="398">
        <v>285004</v>
      </c>
      <c r="I118" s="398">
        <v>0</v>
      </c>
      <c r="N118" s="398">
        <v>4929433</v>
      </c>
      <c r="O118" s="398" t="s">
        <v>5614</v>
      </c>
      <c r="P118" s="505">
        <v>0</v>
      </c>
    </row>
    <row r="119" spans="1:16" ht="15.75" customHeight="1">
      <c r="A119" s="502" t="s">
        <v>1311</v>
      </c>
      <c r="B119" s="503" t="s">
        <v>5615</v>
      </c>
      <c r="C119" s="504">
        <v>610541.80000000005</v>
      </c>
      <c r="H119" s="398">
        <v>32879</v>
      </c>
      <c r="I119" s="505">
        <v>0</v>
      </c>
      <c r="N119" s="398">
        <v>4001766</v>
      </c>
      <c r="O119" s="398" t="s">
        <v>5616</v>
      </c>
      <c r="P119" s="505">
        <v>7.63</v>
      </c>
    </row>
    <row r="120" spans="1:16" ht="15.75" customHeight="1">
      <c r="A120" s="502" t="s">
        <v>2602</v>
      </c>
      <c r="B120" s="503" t="s">
        <v>5617</v>
      </c>
      <c r="C120" s="504">
        <v>604965.49</v>
      </c>
      <c r="H120" s="398">
        <v>33154</v>
      </c>
      <c r="I120" s="505">
        <v>0</v>
      </c>
      <c r="N120" s="398">
        <v>7738705</v>
      </c>
      <c r="O120" s="398" t="s">
        <v>5618</v>
      </c>
      <c r="P120" s="505">
        <v>0</v>
      </c>
    </row>
    <row r="121" spans="1:16" ht="15.75" customHeight="1">
      <c r="A121" s="502" t="s">
        <v>2163</v>
      </c>
      <c r="B121" s="503" t="s">
        <v>5619</v>
      </c>
      <c r="C121" s="504">
        <v>600310.81999999995</v>
      </c>
      <c r="H121" s="398">
        <v>34322</v>
      </c>
      <c r="I121" s="398">
        <v>399.84</v>
      </c>
      <c r="N121" s="398">
        <v>3924234</v>
      </c>
      <c r="O121" s="398" t="s">
        <v>5269</v>
      </c>
      <c r="P121" s="505">
        <v>0</v>
      </c>
    </row>
    <row r="122" spans="1:16" ht="15.75" customHeight="1">
      <c r="A122" s="502" t="s">
        <v>1854</v>
      </c>
      <c r="B122" s="503" t="s">
        <v>5620</v>
      </c>
      <c r="C122" s="504">
        <v>599978.43000000005</v>
      </c>
      <c r="H122" s="398">
        <v>34368</v>
      </c>
      <c r="I122" s="505">
        <v>36.549999999999997</v>
      </c>
      <c r="N122" s="398">
        <v>7514118</v>
      </c>
      <c r="O122" s="398" t="s">
        <v>5621</v>
      </c>
      <c r="P122" s="505">
        <v>0</v>
      </c>
    </row>
    <row r="123" spans="1:16" ht="15.75" customHeight="1">
      <c r="A123" s="502" t="s">
        <v>424</v>
      </c>
      <c r="B123" s="503" t="s">
        <v>5417</v>
      </c>
      <c r="C123" s="504">
        <v>594279.54</v>
      </c>
      <c r="H123" s="398">
        <v>649332</v>
      </c>
      <c r="I123" s="505">
        <v>0</v>
      </c>
      <c r="N123" s="398">
        <v>9009128</v>
      </c>
      <c r="O123" s="398" t="s">
        <v>5622</v>
      </c>
      <c r="P123" s="505">
        <v>0</v>
      </c>
    </row>
    <row r="124" spans="1:16" ht="15.75" customHeight="1">
      <c r="A124" s="502" t="s">
        <v>1324</v>
      </c>
      <c r="B124" s="503" t="s">
        <v>5623</v>
      </c>
      <c r="C124" s="504">
        <v>590215.41</v>
      </c>
      <c r="H124" s="398">
        <v>448575</v>
      </c>
      <c r="I124" s="398">
        <v>0</v>
      </c>
      <c r="N124" s="398">
        <v>3500160</v>
      </c>
      <c r="O124" s="398" t="s">
        <v>5624</v>
      </c>
      <c r="P124" s="505">
        <v>937057.66</v>
      </c>
    </row>
    <row r="125" spans="1:16" ht="15.75" customHeight="1">
      <c r="A125" s="502" t="s">
        <v>985</v>
      </c>
      <c r="B125" s="503" t="s">
        <v>5625</v>
      </c>
      <c r="C125" s="504">
        <v>583031.49</v>
      </c>
      <c r="H125" s="398">
        <v>580912</v>
      </c>
      <c r="I125" s="505">
        <v>0</v>
      </c>
      <c r="N125" s="398">
        <v>3768368</v>
      </c>
      <c r="O125" s="398" t="s">
        <v>5626</v>
      </c>
      <c r="P125" s="505">
        <v>0</v>
      </c>
    </row>
    <row r="126" spans="1:16" ht="15.75" customHeight="1">
      <c r="A126" s="502" t="s">
        <v>2542</v>
      </c>
      <c r="B126" s="503" t="s">
        <v>5627</v>
      </c>
      <c r="C126" s="504">
        <v>579931.13</v>
      </c>
      <c r="H126" s="398">
        <v>382026</v>
      </c>
      <c r="I126" s="505">
        <v>0</v>
      </c>
      <c r="N126" s="398">
        <v>4785856</v>
      </c>
      <c r="O126" s="398" t="s">
        <v>5628</v>
      </c>
      <c r="P126" s="505">
        <v>0</v>
      </c>
    </row>
    <row r="127" spans="1:16" ht="15.75" customHeight="1">
      <c r="A127" s="502" t="s">
        <v>2059</v>
      </c>
      <c r="B127" s="503" t="s">
        <v>5629</v>
      </c>
      <c r="C127" s="504">
        <v>579420.21</v>
      </c>
      <c r="H127" s="398">
        <v>806458</v>
      </c>
      <c r="I127" s="505">
        <v>767735.85</v>
      </c>
      <c r="N127" s="398">
        <v>3581528</v>
      </c>
      <c r="O127" s="398" t="s">
        <v>5630</v>
      </c>
      <c r="P127" s="505">
        <v>0</v>
      </c>
    </row>
    <row r="128" spans="1:16" ht="15.75" customHeight="1">
      <c r="A128" s="502" t="s">
        <v>556</v>
      </c>
      <c r="B128" s="503" t="s">
        <v>5435</v>
      </c>
      <c r="C128" s="504">
        <v>570887.13</v>
      </c>
      <c r="H128" s="398">
        <v>254177</v>
      </c>
      <c r="I128" s="505">
        <v>128395.81</v>
      </c>
      <c r="N128" s="398">
        <v>3221916</v>
      </c>
      <c r="O128" s="398" t="s">
        <v>5631</v>
      </c>
      <c r="P128" s="505">
        <v>0</v>
      </c>
    </row>
    <row r="129" spans="1:16" ht="15.75" customHeight="1">
      <c r="A129" s="502" t="s">
        <v>1296</v>
      </c>
      <c r="B129" s="503" t="s">
        <v>5594</v>
      </c>
      <c r="C129" s="504">
        <v>561718.02</v>
      </c>
      <c r="H129" s="398">
        <v>33371</v>
      </c>
      <c r="I129" s="505">
        <v>324149.14</v>
      </c>
      <c r="N129" s="398">
        <v>188081</v>
      </c>
      <c r="O129" s="398" t="s">
        <v>5632</v>
      </c>
      <c r="P129" s="505">
        <v>0</v>
      </c>
    </row>
    <row r="130" spans="1:16" ht="15.75" customHeight="1">
      <c r="A130" s="502" t="s">
        <v>850</v>
      </c>
      <c r="B130" s="503" t="s">
        <v>5633</v>
      </c>
      <c r="C130" s="504">
        <v>552683.6</v>
      </c>
      <c r="H130" s="398">
        <v>439655</v>
      </c>
      <c r="I130" s="505">
        <v>1240818.3</v>
      </c>
      <c r="N130" s="398">
        <v>7273700</v>
      </c>
      <c r="O130" s="398" t="s">
        <v>5634</v>
      </c>
      <c r="P130" s="505">
        <v>0</v>
      </c>
    </row>
    <row r="131" spans="1:16" ht="15.75" customHeight="1">
      <c r="A131" s="502" t="s">
        <v>753</v>
      </c>
      <c r="B131" s="503" t="s">
        <v>4121</v>
      </c>
      <c r="C131" s="504">
        <v>538700.92000000004</v>
      </c>
      <c r="H131" s="398">
        <v>33344</v>
      </c>
      <c r="I131" s="505">
        <v>0</v>
      </c>
      <c r="N131" s="398">
        <v>4847801</v>
      </c>
      <c r="O131" s="398" t="s">
        <v>5635</v>
      </c>
      <c r="P131" s="505">
        <v>0</v>
      </c>
    </row>
    <row r="132" spans="1:16" ht="15.75" customHeight="1">
      <c r="A132" s="502" t="s">
        <v>2816</v>
      </c>
      <c r="B132" s="503" t="s">
        <v>5636</v>
      </c>
      <c r="C132" s="504">
        <v>535399.42000000004</v>
      </c>
      <c r="H132" s="398">
        <v>47841</v>
      </c>
      <c r="I132" s="398">
        <v>0</v>
      </c>
      <c r="N132" s="398">
        <v>4926548</v>
      </c>
      <c r="O132" s="398" t="s">
        <v>5637</v>
      </c>
      <c r="P132" s="505">
        <v>0</v>
      </c>
    </row>
    <row r="133" spans="1:16" ht="15.75" customHeight="1">
      <c r="A133" s="502" t="s">
        <v>198</v>
      </c>
      <c r="B133" s="503" t="s">
        <v>5441</v>
      </c>
      <c r="C133" s="504">
        <v>530915.75</v>
      </c>
      <c r="H133" s="398">
        <v>451710</v>
      </c>
      <c r="I133" s="505">
        <v>195046.9</v>
      </c>
      <c r="N133" s="398">
        <v>2257037</v>
      </c>
      <c r="O133" s="398" t="s">
        <v>5525</v>
      </c>
      <c r="P133" s="505">
        <v>0</v>
      </c>
    </row>
    <row r="134" spans="1:16" ht="15.75" customHeight="1">
      <c r="A134" s="502" t="s">
        <v>1459</v>
      </c>
      <c r="B134" s="503" t="s">
        <v>5638</v>
      </c>
      <c r="C134" s="504">
        <v>529740.51</v>
      </c>
      <c r="H134" s="398">
        <v>356345</v>
      </c>
      <c r="I134" s="505">
        <v>0</v>
      </c>
      <c r="N134" s="398">
        <v>2834519</v>
      </c>
      <c r="O134" s="398" t="s">
        <v>5639</v>
      </c>
      <c r="P134" s="505">
        <v>66.14</v>
      </c>
    </row>
    <row r="135" spans="1:16" ht="15.75" customHeight="1">
      <c r="A135" s="502" t="s">
        <v>1014</v>
      </c>
      <c r="B135" s="503" t="s">
        <v>5640</v>
      </c>
      <c r="C135" s="504">
        <v>528814.99</v>
      </c>
      <c r="H135" s="398">
        <v>86469</v>
      </c>
      <c r="I135" s="505">
        <v>0</v>
      </c>
      <c r="N135" s="398">
        <v>4600625</v>
      </c>
      <c r="O135" s="398" t="s">
        <v>5641</v>
      </c>
      <c r="P135" s="505">
        <v>0</v>
      </c>
    </row>
    <row r="136" spans="1:16" ht="15.75" customHeight="1">
      <c r="A136" s="502" t="s">
        <v>898</v>
      </c>
      <c r="B136" s="503" t="s">
        <v>5642</v>
      </c>
      <c r="C136" s="504">
        <v>523117.8</v>
      </c>
      <c r="H136" s="398">
        <v>338375</v>
      </c>
      <c r="I136" s="505">
        <v>0</v>
      </c>
      <c r="N136" s="398">
        <v>7032894</v>
      </c>
      <c r="O136" s="398" t="s">
        <v>5496</v>
      </c>
      <c r="P136" s="505">
        <v>36983.97</v>
      </c>
    </row>
    <row r="137" spans="1:16" ht="15.75" customHeight="1">
      <c r="A137" s="502" t="s">
        <v>1603</v>
      </c>
      <c r="B137" s="503" t="s">
        <v>5643</v>
      </c>
      <c r="C137" s="504">
        <v>521094.45</v>
      </c>
      <c r="H137" s="398">
        <v>355808</v>
      </c>
      <c r="I137" s="398">
        <v>0</v>
      </c>
      <c r="N137" s="398">
        <v>4064668</v>
      </c>
      <c r="O137" s="398" t="s">
        <v>5644</v>
      </c>
      <c r="P137" s="505">
        <v>50849.31</v>
      </c>
    </row>
    <row r="138" spans="1:16" ht="15.75" customHeight="1">
      <c r="A138" s="502" t="s">
        <v>890</v>
      </c>
      <c r="B138" s="503" t="s">
        <v>5437</v>
      </c>
      <c r="C138" s="504">
        <v>518769.01</v>
      </c>
      <c r="H138" s="398">
        <v>466367</v>
      </c>
      <c r="I138" s="398">
        <v>0</v>
      </c>
      <c r="N138" s="398">
        <v>4798641</v>
      </c>
      <c r="O138" s="398" t="s">
        <v>5645</v>
      </c>
      <c r="P138" s="505">
        <v>0</v>
      </c>
    </row>
    <row r="139" spans="1:16" ht="15.75" customHeight="1">
      <c r="A139" s="502" t="s">
        <v>1434</v>
      </c>
      <c r="B139" s="503" t="s">
        <v>5646</v>
      </c>
      <c r="C139" s="504">
        <v>512060.43</v>
      </c>
      <c r="H139" s="398">
        <v>75774</v>
      </c>
      <c r="I139" s="505">
        <v>34940.300000000003</v>
      </c>
      <c r="N139" s="398">
        <v>4402972</v>
      </c>
      <c r="O139" s="398" t="s">
        <v>5647</v>
      </c>
      <c r="P139" s="505">
        <v>0</v>
      </c>
    </row>
    <row r="140" spans="1:16" ht="15.75" customHeight="1">
      <c r="A140" s="502" t="s">
        <v>2130</v>
      </c>
      <c r="B140" s="503" t="s">
        <v>5648</v>
      </c>
      <c r="C140" s="504">
        <v>508878.44</v>
      </c>
      <c r="H140" s="398">
        <v>386951</v>
      </c>
      <c r="I140" s="505">
        <v>110004.37</v>
      </c>
      <c r="N140" s="398">
        <v>7605641</v>
      </c>
      <c r="O140" s="398" t="s">
        <v>5621</v>
      </c>
      <c r="P140" s="505">
        <v>0</v>
      </c>
    </row>
    <row r="141" spans="1:16" ht="15.75" customHeight="1">
      <c r="A141" s="502" t="s">
        <v>1740</v>
      </c>
      <c r="B141" s="503" t="s">
        <v>5649</v>
      </c>
      <c r="C141" s="504">
        <v>502459.56</v>
      </c>
      <c r="H141" s="398">
        <v>38503</v>
      </c>
      <c r="I141" s="398">
        <v>57</v>
      </c>
      <c r="N141" s="398">
        <v>4924154</v>
      </c>
      <c r="O141" s="398" t="s">
        <v>5650</v>
      </c>
      <c r="P141" s="505">
        <v>57798.85</v>
      </c>
    </row>
    <row r="142" spans="1:16" ht="15.75" customHeight="1">
      <c r="A142" s="502" t="s">
        <v>1306</v>
      </c>
      <c r="B142" s="503" t="s">
        <v>5651</v>
      </c>
      <c r="C142" s="504">
        <v>498885.42</v>
      </c>
      <c r="H142" s="398">
        <v>34479</v>
      </c>
      <c r="I142" s="398">
        <v>0</v>
      </c>
      <c r="N142" s="398">
        <v>8698050</v>
      </c>
      <c r="O142" s="398" t="s">
        <v>5652</v>
      </c>
      <c r="P142" s="505">
        <v>0</v>
      </c>
    </row>
    <row r="143" spans="1:16" ht="15.75" customHeight="1">
      <c r="A143" s="502" t="s">
        <v>2265</v>
      </c>
      <c r="B143" s="503" t="s">
        <v>5653</v>
      </c>
      <c r="C143" s="504">
        <v>498758.04</v>
      </c>
      <c r="H143" s="398">
        <v>454037</v>
      </c>
      <c r="I143" s="398">
        <v>0</v>
      </c>
      <c r="N143" s="398">
        <v>4461684</v>
      </c>
      <c r="O143" s="398" t="s">
        <v>5654</v>
      </c>
      <c r="P143" s="505">
        <v>0</v>
      </c>
    </row>
    <row r="144" spans="1:16" ht="15.75" customHeight="1">
      <c r="A144" s="502" t="s">
        <v>48</v>
      </c>
      <c r="B144" s="503" t="s">
        <v>5655</v>
      </c>
      <c r="C144" s="504">
        <v>498298.39</v>
      </c>
      <c r="H144" s="398">
        <v>448825</v>
      </c>
      <c r="I144" s="398">
        <v>0</v>
      </c>
      <c r="N144" s="398">
        <v>3428496</v>
      </c>
      <c r="O144" s="398" t="s">
        <v>5656</v>
      </c>
      <c r="P144" s="505">
        <v>0</v>
      </c>
    </row>
    <row r="145" spans="1:16" ht="15.75" customHeight="1">
      <c r="A145" s="502" t="s">
        <v>1390</v>
      </c>
      <c r="B145" s="503" t="s">
        <v>5657</v>
      </c>
      <c r="C145" s="504">
        <v>497136</v>
      </c>
      <c r="H145" s="398">
        <v>86056</v>
      </c>
      <c r="I145" s="398">
        <v>0</v>
      </c>
      <c r="N145" s="398">
        <v>5620188</v>
      </c>
      <c r="O145" s="398" t="s">
        <v>5658</v>
      </c>
      <c r="P145" s="505">
        <v>0</v>
      </c>
    </row>
    <row r="146" spans="1:16" ht="15.75" customHeight="1">
      <c r="A146" s="502" t="s">
        <v>1031</v>
      </c>
      <c r="B146" s="503" t="s">
        <v>5659</v>
      </c>
      <c r="C146" s="504">
        <v>496271.4</v>
      </c>
      <c r="H146" s="398">
        <v>75471</v>
      </c>
      <c r="I146" s="398">
        <v>0</v>
      </c>
      <c r="N146" s="398">
        <v>4422652</v>
      </c>
      <c r="O146" s="398" t="s">
        <v>5660</v>
      </c>
      <c r="P146" s="505">
        <v>0</v>
      </c>
    </row>
    <row r="147" spans="1:16" ht="15.75" customHeight="1">
      <c r="A147" s="502" t="s">
        <v>1327</v>
      </c>
      <c r="B147" s="503" t="s">
        <v>5661</v>
      </c>
      <c r="C147" s="504">
        <v>495452.71</v>
      </c>
      <c r="H147" s="398">
        <v>76397</v>
      </c>
      <c r="I147" s="398">
        <v>0</v>
      </c>
      <c r="N147" s="398">
        <v>4848036</v>
      </c>
      <c r="O147" s="398" t="s">
        <v>5662</v>
      </c>
      <c r="P147" s="505">
        <v>0</v>
      </c>
    </row>
    <row r="148" spans="1:16" ht="15.75" customHeight="1">
      <c r="A148" s="502" t="s">
        <v>2672</v>
      </c>
      <c r="B148" s="503" t="s">
        <v>5663</v>
      </c>
      <c r="C148" s="504">
        <v>492698.6</v>
      </c>
      <c r="H148" s="398">
        <v>78937</v>
      </c>
      <c r="I148" s="398">
        <v>0</v>
      </c>
      <c r="N148" s="398">
        <v>8521711</v>
      </c>
      <c r="O148" s="398" t="s">
        <v>5664</v>
      </c>
      <c r="P148" s="505">
        <v>0</v>
      </c>
    </row>
    <row r="149" spans="1:16" ht="15.75" customHeight="1">
      <c r="A149" s="502" t="s">
        <v>1969</v>
      </c>
      <c r="B149" s="503" t="s">
        <v>5429</v>
      </c>
      <c r="C149" s="504">
        <v>491799.88</v>
      </c>
      <c r="H149" s="398">
        <v>338433</v>
      </c>
      <c r="I149" s="398">
        <v>11.68</v>
      </c>
      <c r="N149" s="398">
        <v>8765907</v>
      </c>
      <c r="O149" s="398" t="s">
        <v>5665</v>
      </c>
      <c r="P149" s="505">
        <v>0</v>
      </c>
    </row>
    <row r="150" spans="1:16" ht="15.75" customHeight="1">
      <c r="A150" s="502" t="s">
        <v>185</v>
      </c>
      <c r="B150" s="503" t="s">
        <v>5666</v>
      </c>
      <c r="C150" s="504">
        <v>491165.92</v>
      </c>
      <c r="H150" s="398">
        <v>452835</v>
      </c>
      <c r="I150" s="505">
        <v>1397.46</v>
      </c>
      <c r="N150" s="398">
        <v>5613795</v>
      </c>
      <c r="O150" s="398" t="s">
        <v>5667</v>
      </c>
      <c r="P150" s="505">
        <v>0</v>
      </c>
    </row>
    <row r="151" spans="1:16" ht="15.75" customHeight="1">
      <c r="A151" s="502" t="s">
        <v>228</v>
      </c>
      <c r="B151" s="503" t="s">
        <v>5592</v>
      </c>
      <c r="C151" s="504">
        <v>487423.33</v>
      </c>
      <c r="H151" s="398">
        <v>287545</v>
      </c>
      <c r="I151" s="398">
        <v>0</v>
      </c>
      <c r="N151" s="398">
        <v>2476582</v>
      </c>
      <c r="O151" s="398" t="s">
        <v>5668</v>
      </c>
      <c r="P151" s="505">
        <v>0</v>
      </c>
    </row>
    <row r="152" spans="1:16" ht="15.75" customHeight="1">
      <c r="A152" s="502" t="s">
        <v>2338</v>
      </c>
      <c r="B152" s="503" t="s">
        <v>5669</v>
      </c>
      <c r="C152" s="504">
        <v>486849.22</v>
      </c>
      <c r="H152" s="398">
        <v>33838</v>
      </c>
      <c r="I152" s="505">
        <v>2010380.79</v>
      </c>
      <c r="N152" s="398">
        <v>7772052</v>
      </c>
      <c r="O152" s="398" t="s">
        <v>5670</v>
      </c>
      <c r="P152" s="505">
        <v>0</v>
      </c>
    </row>
    <row r="153" spans="1:16" ht="15.75" customHeight="1">
      <c r="A153" s="502" t="s">
        <v>2833</v>
      </c>
      <c r="B153" s="503" t="s">
        <v>5671</v>
      </c>
      <c r="C153" s="504">
        <v>482614.2</v>
      </c>
      <c r="H153" s="398">
        <v>32684</v>
      </c>
      <c r="I153" s="398">
        <v>0</v>
      </c>
      <c r="N153" s="398">
        <v>5581002</v>
      </c>
      <c r="O153" s="398" t="s">
        <v>5650</v>
      </c>
      <c r="P153" s="505">
        <v>0</v>
      </c>
    </row>
    <row r="154" spans="1:16" ht="15.75" customHeight="1">
      <c r="A154" s="502" t="s">
        <v>688</v>
      </c>
      <c r="B154" s="503" t="s">
        <v>5672</v>
      </c>
      <c r="C154" s="504">
        <v>481597.53</v>
      </c>
      <c r="H154" s="398">
        <v>85707</v>
      </c>
      <c r="I154" s="505">
        <v>243253.48</v>
      </c>
      <c r="N154" s="398">
        <v>394871</v>
      </c>
      <c r="O154" s="398" t="s">
        <v>5673</v>
      </c>
      <c r="P154" s="505">
        <v>0</v>
      </c>
    </row>
    <row r="155" spans="1:16" ht="15.75" customHeight="1">
      <c r="A155" s="502" t="s">
        <v>1330</v>
      </c>
      <c r="B155" s="503" t="s">
        <v>5674</v>
      </c>
      <c r="C155" s="504">
        <v>477048.27</v>
      </c>
      <c r="H155" s="398">
        <v>378146</v>
      </c>
      <c r="I155" s="505">
        <v>384160.83</v>
      </c>
      <c r="N155" s="398">
        <v>3029846</v>
      </c>
      <c r="O155" s="398" t="s">
        <v>5675</v>
      </c>
      <c r="P155" s="505">
        <v>1266.95</v>
      </c>
    </row>
    <row r="156" spans="1:16" ht="15.75" customHeight="1">
      <c r="A156" s="502" t="s">
        <v>1963</v>
      </c>
      <c r="B156" s="503" t="s">
        <v>5429</v>
      </c>
      <c r="C156" s="504">
        <v>472098.41</v>
      </c>
      <c r="H156" s="398">
        <v>80477</v>
      </c>
      <c r="I156" s="398">
        <v>0</v>
      </c>
      <c r="N156" s="398">
        <v>7263623</v>
      </c>
      <c r="O156" s="398" t="s">
        <v>5676</v>
      </c>
      <c r="P156" s="505">
        <v>0</v>
      </c>
    </row>
    <row r="157" spans="1:16" ht="15.75" customHeight="1">
      <c r="A157" s="502" t="s">
        <v>1487</v>
      </c>
      <c r="B157" s="503" t="s">
        <v>5452</v>
      </c>
      <c r="C157" s="504">
        <v>470231.48</v>
      </c>
      <c r="H157" s="398">
        <v>36945</v>
      </c>
      <c r="I157" s="398">
        <v>0</v>
      </c>
      <c r="N157" s="398">
        <v>8203715</v>
      </c>
      <c r="O157" s="398" t="s">
        <v>5677</v>
      </c>
      <c r="P157" s="505">
        <v>0</v>
      </c>
    </row>
    <row r="158" spans="1:16" ht="15.75" customHeight="1">
      <c r="A158" s="502" t="s">
        <v>430</v>
      </c>
      <c r="B158" s="503" t="s">
        <v>5678</v>
      </c>
      <c r="C158" s="504">
        <v>466653.14</v>
      </c>
      <c r="H158" s="398">
        <v>32359</v>
      </c>
      <c r="I158" s="398">
        <v>0</v>
      </c>
      <c r="N158" s="398">
        <v>7519154</v>
      </c>
      <c r="O158" s="398" t="s">
        <v>5679</v>
      </c>
      <c r="P158" s="505">
        <v>0</v>
      </c>
    </row>
    <row r="159" spans="1:16" ht="15.75" customHeight="1">
      <c r="A159" s="502" t="s">
        <v>2182</v>
      </c>
      <c r="B159" s="503" t="s">
        <v>5680</v>
      </c>
      <c r="C159" s="504">
        <v>458370.01</v>
      </c>
      <c r="H159" s="398">
        <v>453188</v>
      </c>
      <c r="I159" s="505">
        <v>0</v>
      </c>
      <c r="N159" s="398">
        <v>4588112</v>
      </c>
      <c r="O159" s="398" t="s">
        <v>5681</v>
      </c>
      <c r="P159" s="505">
        <v>15529.4</v>
      </c>
    </row>
    <row r="160" spans="1:16" ht="15.75" customHeight="1">
      <c r="A160" s="502" t="s">
        <v>2274</v>
      </c>
      <c r="B160" s="503" t="s">
        <v>5653</v>
      </c>
      <c r="C160" s="504">
        <v>454573.51</v>
      </c>
      <c r="H160" s="398">
        <v>32067</v>
      </c>
      <c r="I160" s="505">
        <v>96.14</v>
      </c>
      <c r="N160" s="398">
        <v>2358079</v>
      </c>
      <c r="O160" s="398" t="s">
        <v>5682</v>
      </c>
      <c r="P160" s="505">
        <v>0</v>
      </c>
    </row>
    <row r="161" spans="1:16" ht="15.75" customHeight="1">
      <c r="A161" s="502" t="s">
        <v>1765</v>
      </c>
      <c r="B161" s="503" t="s">
        <v>5683</v>
      </c>
      <c r="C161" s="504">
        <v>454490.09</v>
      </c>
      <c r="H161" s="398">
        <v>367566</v>
      </c>
      <c r="I161" s="398">
        <v>0</v>
      </c>
      <c r="N161" s="398">
        <v>2897612</v>
      </c>
      <c r="O161" s="398" t="s">
        <v>5684</v>
      </c>
      <c r="P161" s="505">
        <v>966.74</v>
      </c>
    </row>
    <row r="162" spans="1:16" ht="15.75" customHeight="1">
      <c r="A162" s="502" t="s">
        <v>1299</v>
      </c>
      <c r="B162" s="503" t="s">
        <v>5594</v>
      </c>
      <c r="C162" s="504">
        <v>446794.62</v>
      </c>
      <c r="H162" s="398">
        <v>465880</v>
      </c>
      <c r="I162" s="398">
        <v>0</v>
      </c>
      <c r="N162" s="398">
        <v>6519491</v>
      </c>
      <c r="O162" s="398" t="s">
        <v>5685</v>
      </c>
      <c r="P162" s="505">
        <v>0</v>
      </c>
    </row>
    <row r="163" spans="1:16" ht="15.75" customHeight="1">
      <c r="A163" s="502" t="s">
        <v>2438</v>
      </c>
      <c r="B163" s="503" t="s">
        <v>5686</v>
      </c>
      <c r="C163" s="504">
        <v>442094.38</v>
      </c>
      <c r="H163" s="398">
        <v>74276</v>
      </c>
      <c r="I163" s="398">
        <v>0</v>
      </c>
      <c r="N163" s="398">
        <v>7519150</v>
      </c>
      <c r="O163" s="398" t="s">
        <v>5496</v>
      </c>
      <c r="P163" s="505">
        <v>0</v>
      </c>
    </row>
    <row r="164" spans="1:16" ht="15.75" customHeight="1">
      <c r="A164" s="502" t="s">
        <v>1785</v>
      </c>
      <c r="B164" s="503" t="s">
        <v>5687</v>
      </c>
      <c r="C164" s="504">
        <v>441665.25</v>
      </c>
      <c r="H164" s="398">
        <v>344424</v>
      </c>
      <c r="I164" s="398">
        <v>0</v>
      </c>
      <c r="N164" s="398">
        <v>6866947</v>
      </c>
      <c r="O164" s="398" t="s">
        <v>5688</v>
      </c>
      <c r="P164" s="505">
        <v>0</v>
      </c>
    </row>
    <row r="165" spans="1:16" ht="15.75" customHeight="1">
      <c r="A165" s="502" t="s">
        <v>1847</v>
      </c>
      <c r="B165" s="503" t="s">
        <v>5689</v>
      </c>
      <c r="C165" s="504">
        <v>438463.8</v>
      </c>
      <c r="H165" s="398">
        <v>319435</v>
      </c>
      <c r="I165" s="398">
        <v>31.14</v>
      </c>
      <c r="N165" s="398">
        <v>4696943</v>
      </c>
      <c r="O165" s="398" t="s">
        <v>5690</v>
      </c>
      <c r="P165" s="505">
        <v>0</v>
      </c>
    </row>
    <row r="166" spans="1:16" ht="15.75" customHeight="1">
      <c r="A166" s="502" t="s">
        <v>1465</v>
      </c>
      <c r="B166" s="503" t="s">
        <v>5501</v>
      </c>
      <c r="C166" s="504">
        <v>424326.2</v>
      </c>
      <c r="H166" s="398">
        <v>577357</v>
      </c>
      <c r="I166" s="398">
        <v>758.58</v>
      </c>
      <c r="N166" s="398">
        <v>4553905</v>
      </c>
      <c r="O166" s="398" t="s">
        <v>5691</v>
      </c>
      <c r="P166" s="505">
        <v>0</v>
      </c>
    </row>
    <row r="167" spans="1:16" ht="15.75" customHeight="1">
      <c r="A167" s="502" t="s">
        <v>1933</v>
      </c>
      <c r="B167" s="503" t="s">
        <v>5692</v>
      </c>
      <c r="C167" s="504">
        <v>406064.68</v>
      </c>
      <c r="H167" s="398">
        <v>379728</v>
      </c>
      <c r="I167" s="505">
        <v>418516.19</v>
      </c>
      <c r="N167" s="398">
        <v>2602612</v>
      </c>
      <c r="O167" s="398" t="s">
        <v>5693</v>
      </c>
      <c r="P167" s="505">
        <v>0</v>
      </c>
    </row>
    <row r="168" spans="1:16" ht="15.75" customHeight="1">
      <c r="A168" s="502" t="s">
        <v>2717</v>
      </c>
      <c r="B168" s="503" t="s">
        <v>5694</v>
      </c>
      <c r="C168" s="504">
        <v>405897.77</v>
      </c>
      <c r="H168" s="398">
        <v>31954</v>
      </c>
      <c r="I168" s="398">
        <v>25.23</v>
      </c>
      <c r="N168" s="398">
        <v>7048589</v>
      </c>
      <c r="O168" s="398" t="s">
        <v>5695</v>
      </c>
      <c r="P168" s="505">
        <v>0</v>
      </c>
    </row>
    <row r="169" spans="1:16" ht="15.75" customHeight="1">
      <c r="A169" s="502" t="s">
        <v>193</v>
      </c>
      <c r="B169" s="503" t="s">
        <v>5696</v>
      </c>
      <c r="C169" s="504">
        <v>405039.87</v>
      </c>
      <c r="H169" s="398">
        <v>559569</v>
      </c>
      <c r="I169" s="505">
        <v>3955.01</v>
      </c>
      <c r="N169" s="398">
        <v>8446035</v>
      </c>
      <c r="O169" s="398" t="s">
        <v>5697</v>
      </c>
      <c r="P169" s="505">
        <v>0</v>
      </c>
    </row>
    <row r="170" spans="1:16" ht="15.75" customHeight="1">
      <c r="A170" s="502" t="s">
        <v>2614</v>
      </c>
      <c r="B170" s="503" t="s">
        <v>5698</v>
      </c>
      <c r="C170" s="504">
        <v>404164.78</v>
      </c>
      <c r="H170" s="398">
        <v>33814</v>
      </c>
      <c r="I170" s="505">
        <v>1436929.86</v>
      </c>
      <c r="N170" s="398">
        <v>6592638</v>
      </c>
      <c r="O170" s="398" t="s">
        <v>5699</v>
      </c>
      <c r="P170" s="505">
        <v>88224.19</v>
      </c>
    </row>
    <row r="171" spans="1:16" ht="15.75" customHeight="1">
      <c r="A171" s="502" t="s">
        <v>1762</v>
      </c>
      <c r="B171" s="503" t="s">
        <v>5700</v>
      </c>
      <c r="C171" s="504">
        <v>402554.73</v>
      </c>
      <c r="H171" s="398">
        <v>296589</v>
      </c>
      <c r="I171" s="505">
        <v>1085335.83</v>
      </c>
      <c r="N171" s="398">
        <v>9268978</v>
      </c>
      <c r="O171" s="398" t="s">
        <v>5701</v>
      </c>
      <c r="P171" s="505">
        <v>0</v>
      </c>
    </row>
    <row r="172" spans="1:16" ht="15.75" customHeight="1">
      <c r="A172" s="502" t="s">
        <v>1257</v>
      </c>
      <c r="B172" s="503" t="s">
        <v>5499</v>
      </c>
      <c r="C172" s="504">
        <v>398678.14</v>
      </c>
      <c r="H172" s="398">
        <v>376731</v>
      </c>
      <c r="I172" s="505">
        <v>226051.89</v>
      </c>
      <c r="N172" s="398">
        <v>2503816</v>
      </c>
      <c r="O172" s="398" t="s">
        <v>5547</v>
      </c>
      <c r="P172" s="505">
        <v>19970.5</v>
      </c>
    </row>
    <row r="173" spans="1:16" ht="15.75" customHeight="1">
      <c r="A173" s="502" t="s">
        <v>1287</v>
      </c>
      <c r="B173" s="503" t="s">
        <v>5594</v>
      </c>
      <c r="C173" s="504">
        <v>398044.93</v>
      </c>
      <c r="H173" s="398">
        <v>253486</v>
      </c>
      <c r="I173" s="398">
        <v>372.19</v>
      </c>
      <c r="N173" s="398">
        <v>9020656</v>
      </c>
      <c r="O173" s="398" t="s">
        <v>5702</v>
      </c>
      <c r="P173" s="505">
        <v>0</v>
      </c>
    </row>
    <row r="174" spans="1:16" ht="15.75" customHeight="1">
      <c r="A174" s="502" t="s">
        <v>2835</v>
      </c>
      <c r="B174" s="503" t="s">
        <v>5703</v>
      </c>
      <c r="C174" s="504">
        <v>397624.3</v>
      </c>
      <c r="H174" s="398">
        <v>35132</v>
      </c>
      <c r="I174" s="398">
        <v>397.51</v>
      </c>
      <c r="N174" s="398">
        <v>4695301</v>
      </c>
      <c r="O174" s="398" t="s">
        <v>5704</v>
      </c>
      <c r="P174" s="505">
        <v>0</v>
      </c>
    </row>
    <row r="175" spans="1:16" ht="15.75" customHeight="1">
      <c r="A175" s="502" t="s">
        <v>1844</v>
      </c>
      <c r="B175" s="503" t="s">
        <v>5705</v>
      </c>
      <c r="C175" s="504">
        <v>388472.45</v>
      </c>
      <c r="H175" s="398">
        <v>378873</v>
      </c>
      <c r="I175" s="505">
        <v>2955.19</v>
      </c>
      <c r="N175" s="398">
        <v>5182986</v>
      </c>
      <c r="O175" s="398" t="s">
        <v>5706</v>
      </c>
      <c r="P175" s="505">
        <v>0</v>
      </c>
    </row>
    <row r="176" spans="1:16" ht="15.75" customHeight="1">
      <c r="A176" s="502" t="s">
        <v>2546</v>
      </c>
      <c r="B176" s="503" t="s">
        <v>5627</v>
      </c>
      <c r="C176" s="504">
        <v>388070.24</v>
      </c>
      <c r="H176" s="398">
        <v>378997</v>
      </c>
      <c r="I176" s="505">
        <v>6669.95</v>
      </c>
      <c r="N176" s="398">
        <v>7012555</v>
      </c>
      <c r="O176" s="398" t="s">
        <v>5679</v>
      </c>
      <c r="P176" s="505">
        <v>0</v>
      </c>
    </row>
    <row r="177" spans="1:16" ht="15.75" customHeight="1">
      <c r="A177" s="502" t="s">
        <v>1220</v>
      </c>
      <c r="B177" s="503" t="s">
        <v>5707</v>
      </c>
      <c r="C177" s="504">
        <v>382278.25</v>
      </c>
      <c r="H177" s="398">
        <v>48619</v>
      </c>
      <c r="I177" s="398">
        <v>0</v>
      </c>
      <c r="N177" s="398">
        <v>4587723</v>
      </c>
      <c r="O177" s="398" t="s">
        <v>5626</v>
      </c>
      <c r="P177" s="505">
        <v>0</v>
      </c>
    </row>
    <row r="178" spans="1:16" ht="15.75" customHeight="1">
      <c r="A178" s="502" t="s">
        <v>2464</v>
      </c>
      <c r="B178" s="503" t="s">
        <v>5708</v>
      </c>
      <c r="C178" s="504">
        <v>381450.17</v>
      </c>
      <c r="H178" s="398">
        <v>85179</v>
      </c>
      <c r="I178" s="398">
        <v>0</v>
      </c>
      <c r="N178" s="398">
        <v>260123</v>
      </c>
      <c r="O178" s="398" t="s">
        <v>5709</v>
      </c>
      <c r="P178" s="505">
        <v>0</v>
      </c>
    </row>
    <row r="179" spans="1:16" ht="15.75" customHeight="1">
      <c r="A179" s="502" t="s">
        <v>2217</v>
      </c>
      <c r="B179" s="503" t="s">
        <v>5579</v>
      </c>
      <c r="C179" s="504">
        <v>380995.16</v>
      </c>
      <c r="H179" s="398">
        <v>334022</v>
      </c>
      <c r="I179" s="398">
        <v>0</v>
      </c>
      <c r="N179" s="398">
        <v>5958737</v>
      </c>
      <c r="O179" s="398" t="s">
        <v>5710</v>
      </c>
      <c r="P179" s="505">
        <v>0</v>
      </c>
    </row>
    <row r="180" spans="1:16" ht="15.75" customHeight="1">
      <c r="A180" s="502" t="s">
        <v>590</v>
      </c>
      <c r="B180" s="503" t="s">
        <v>5449</v>
      </c>
      <c r="C180" s="504">
        <v>377311.47</v>
      </c>
      <c r="H180" s="398">
        <v>338425</v>
      </c>
      <c r="I180" s="398">
        <v>173.81</v>
      </c>
      <c r="N180" s="398">
        <v>218909</v>
      </c>
      <c r="O180" s="398" t="s">
        <v>5711</v>
      </c>
      <c r="P180" s="505">
        <v>0</v>
      </c>
    </row>
    <row r="181" spans="1:16" ht="15.75" customHeight="1">
      <c r="A181" s="502" t="s">
        <v>904</v>
      </c>
      <c r="B181" s="503" t="s">
        <v>5423</v>
      </c>
      <c r="C181" s="504">
        <v>374970.29</v>
      </c>
      <c r="H181" s="398">
        <v>450254</v>
      </c>
      <c r="I181" s="398">
        <v>0</v>
      </c>
      <c r="N181" s="398">
        <v>8039639</v>
      </c>
      <c r="O181" s="398" t="s">
        <v>5712</v>
      </c>
      <c r="P181" s="505">
        <v>0</v>
      </c>
    </row>
    <row r="182" spans="1:16" ht="15.75" customHeight="1">
      <c r="A182" s="502" t="s">
        <v>1110</v>
      </c>
      <c r="B182" s="503" t="s">
        <v>5713</v>
      </c>
      <c r="C182" s="504">
        <v>372832.09</v>
      </c>
      <c r="H182" s="398">
        <v>362762</v>
      </c>
      <c r="I182" s="398">
        <v>0</v>
      </c>
      <c r="N182" s="398">
        <v>396107</v>
      </c>
      <c r="O182" s="398" t="s">
        <v>5714</v>
      </c>
      <c r="P182" s="505">
        <v>81715.48</v>
      </c>
    </row>
    <row r="183" spans="1:16" ht="15.75" customHeight="1">
      <c r="A183" s="502" t="s">
        <v>1208</v>
      </c>
      <c r="B183" s="503" t="s">
        <v>5715</v>
      </c>
      <c r="C183" s="504">
        <v>371426.39</v>
      </c>
      <c r="H183" s="398">
        <v>45860</v>
      </c>
      <c r="I183" s="398">
        <v>0</v>
      </c>
      <c r="N183" s="398">
        <v>2009210</v>
      </c>
      <c r="O183" s="398" t="s">
        <v>5716</v>
      </c>
      <c r="P183" s="505">
        <v>193722.32</v>
      </c>
    </row>
    <row r="184" spans="1:16" ht="15.75" customHeight="1">
      <c r="A184" s="502" t="s">
        <v>828</v>
      </c>
      <c r="B184" s="503" t="s">
        <v>5717</v>
      </c>
      <c r="C184" s="504">
        <v>369054.05</v>
      </c>
      <c r="H184" s="398">
        <v>445690</v>
      </c>
      <c r="I184" s="505">
        <v>4293.4399999999996</v>
      </c>
      <c r="N184" s="398">
        <v>2284049</v>
      </c>
      <c r="O184" s="398" t="s">
        <v>5718</v>
      </c>
      <c r="P184" s="505">
        <v>5249.61</v>
      </c>
    </row>
    <row r="185" spans="1:16" ht="15.75" customHeight="1">
      <c r="A185" s="502" t="s">
        <v>646</v>
      </c>
      <c r="B185" s="503" t="s">
        <v>5719</v>
      </c>
      <c r="C185" s="504">
        <v>365742.23</v>
      </c>
      <c r="H185" s="398">
        <v>86748</v>
      </c>
      <c r="I185" s="505">
        <v>92726.75</v>
      </c>
      <c r="N185" s="398">
        <v>3353688</v>
      </c>
      <c r="O185" s="398" t="s">
        <v>5720</v>
      </c>
      <c r="P185" s="505">
        <v>0</v>
      </c>
    </row>
    <row r="186" spans="1:16" ht="15.75" customHeight="1">
      <c r="A186" s="502" t="s">
        <v>825</v>
      </c>
      <c r="B186" s="503" t="s">
        <v>5721</v>
      </c>
      <c r="C186" s="504">
        <v>354875.98</v>
      </c>
      <c r="H186" s="398">
        <v>582189</v>
      </c>
      <c r="I186" s="398">
        <v>0</v>
      </c>
      <c r="N186" s="398">
        <v>4648767</v>
      </c>
      <c r="O186" s="398" t="s">
        <v>5722</v>
      </c>
      <c r="P186" s="505">
        <v>0</v>
      </c>
    </row>
    <row r="187" spans="1:16" ht="15.75" customHeight="1">
      <c r="A187" s="502" t="s">
        <v>1708</v>
      </c>
      <c r="B187" s="503" t="s">
        <v>5723</v>
      </c>
      <c r="C187" s="504">
        <v>354709.58</v>
      </c>
      <c r="H187" s="398">
        <v>34745</v>
      </c>
      <c r="I187" s="398">
        <v>0</v>
      </c>
      <c r="N187" s="398">
        <v>2536076</v>
      </c>
      <c r="O187" s="398" t="s">
        <v>5724</v>
      </c>
      <c r="P187" s="505">
        <v>0</v>
      </c>
    </row>
    <row r="188" spans="1:16" ht="15.75" customHeight="1">
      <c r="A188" s="502" t="s">
        <v>1755</v>
      </c>
      <c r="B188" s="503" t="s">
        <v>5725</v>
      </c>
      <c r="C188" s="504">
        <v>354375.91</v>
      </c>
      <c r="H188" s="398">
        <v>453470</v>
      </c>
      <c r="I188" s="398">
        <v>0</v>
      </c>
      <c r="N188" s="398">
        <v>2004579</v>
      </c>
      <c r="O188" s="398" t="s">
        <v>5676</v>
      </c>
      <c r="P188" s="505">
        <v>21729.06</v>
      </c>
    </row>
    <row r="189" spans="1:16" ht="15.75" customHeight="1">
      <c r="A189" s="502" t="s">
        <v>1772</v>
      </c>
      <c r="B189" s="503" t="s">
        <v>5687</v>
      </c>
      <c r="C189" s="504">
        <v>354076.69</v>
      </c>
      <c r="H189" s="398">
        <v>424158</v>
      </c>
      <c r="I189" s="398">
        <v>0</v>
      </c>
      <c r="N189" s="398">
        <v>2204868</v>
      </c>
      <c r="O189" s="398" t="s">
        <v>5726</v>
      </c>
      <c r="P189" s="505">
        <v>0</v>
      </c>
    </row>
    <row r="190" spans="1:16" ht="15.75" customHeight="1">
      <c r="A190" s="502" t="s">
        <v>1357</v>
      </c>
      <c r="B190" s="503" t="s">
        <v>5727</v>
      </c>
      <c r="C190" s="504">
        <v>351186.25</v>
      </c>
      <c r="H190" s="398">
        <v>343714</v>
      </c>
      <c r="I190" s="398">
        <v>0</v>
      </c>
      <c r="N190" s="398">
        <v>4679169</v>
      </c>
      <c r="O190" s="398" t="s">
        <v>5428</v>
      </c>
      <c r="P190" s="505">
        <v>0</v>
      </c>
    </row>
    <row r="191" spans="1:16" ht="15.75" customHeight="1">
      <c r="A191" s="502" t="s">
        <v>2287</v>
      </c>
      <c r="B191" s="503" t="s">
        <v>5512</v>
      </c>
      <c r="C191" s="504">
        <v>350841.24</v>
      </c>
      <c r="H191" s="398">
        <v>459540</v>
      </c>
      <c r="I191" s="398">
        <v>0</v>
      </c>
      <c r="N191" s="398">
        <v>5975647</v>
      </c>
      <c r="O191" s="398" t="s">
        <v>5728</v>
      </c>
      <c r="P191" s="505">
        <v>0</v>
      </c>
    </row>
    <row r="192" spans="1:16" ht="15.75" customHeight="1">
      <c r="A192" s="502" t="s">
        <v>675</v>
      </c>
      <c r="B192" s="503" t="s">
        <v>5729</v>
      </c>
      <c r="C192" s="504">
        <v>350698.66</v>
      </c>
      <c r="H192" s="398">
        <v>34113</v>
      </c>
      <c r="I192" s="505">
        <v>122957.46</v>
      </c>
      <c r="N192" s="398">
        <v>3360893</v>
      </c>
      <c r="O192" s="398" t="s">
        <v>5730</v>
      </c>
      <c r="P192" s="505">
        <v>0</v>
      </c>
    </row>
    <row r="193" spans="1:16" ht="15.75" customHeight="1">
      <c r="A193" s="502" t="s">
        <v>1647</v>
      </c>
      <c r="B193" s="503" t="s">
        <v>5731</v>
      </c>
      <c r="C193" s="504">
        <v>350612.6</v>
      </c>
      <c r="H193" s="398">
        <v>32948</v>
      </c>
      <c r="I193" s="505">
        <v>624995.36</v>
      </c>
      <c r="N193" s="398">
        <v>4556454</v>
      </c>
      <c r="O193" s="398" t="s">
        <v>5732</v>
      </c>
      <c r="P193" s="505">
        <v>0</v>
      </c>
    </row>
    <row r="194" spans="1:16" ht="15.75" customHeight="1">
      <c r="A194" s="502" t="s">
        <v>895</v>
      </c>
      <c r="B194" s="503" t="s">
        <v>5733</v>
      </c>
      <c r="C194" s="504">
        <v>349207.08</v>
      </c>
      <c r="H194" s="398">
        <v>738272</v>
      </c>
      <c r="I194" s="505">
        <v>59427.17</v>
      </c>
      <c r="N194" s="398">
        <v>5146477</v>
      </c>
      <c r="O194" s="398" t="s">
        <v>5734</v>
      </c>
      <c r="P194" s="505">
        <v>23752.55</v>
      </c>
    </row>
    <row r="195" spans="1:16" ht="15.75" customHeight="1">
      <c r="A195" s="502" t="s">
        <v>2776</v>
      </c>
      <c r="B195" s="503" t="s">
        <v>5735</v>
      </c>
      <c r="C195" s="504">
        <v>345090.72</v>
      </c>
      <c r="H195" s="398">
        <v>32311</v>
      </c>
      <c r="I195" s="398">
        <v>0</v>
      </c>
      <c r="N195" s="398">
        <v>4695581</v>
      </c>
      <c r="O195" s="398" t="s">
        <v>5736</v>
      </c>
      <c r="P195" s="505">
        <v>0</v>
      </c>
    </row>
    <row r="196" spans="1:16" ht="15.75" customHeight="1">
      <c r="A196" s="502" t="s">
        <v>272</v>
      </c>
      <c r="B196" s="503" t="s">
        <v>5737</v>
      </c>
      <c r="C196" s="504">
        <v>344361.41</v>
      </c>
      <c r="H196" s="398">
        <v>476032</v>
      </c>
      <c r="I196" s="398">
        <v>0</v>
      </c>
      <c r="N196" s="398">
        <v>3403198</v>
      </c>
      <c r="O196" s="398" t="s">
        <v>5738</v>
      </c>
      <c r="P196" s="505">
        <v>0</v>
      </c>
    </row>
    <row r="197" spans="1:16" ht="15.75" customHeight="1">
      <c r="A197" s="502" t="s">
        <v>868</v>
      </c>
      <c r="B197" s="503" t="s">
        <v>5739</v>
      </c>
      <c r="C197" s="504">
        <v>338563.95</v>
      </c>
      <c r="H197" s="398">
        <v>32250</v>
      </c>
      <c r="I197" s="398">
        <v>0</v>
      </c>
      <c r="N197" s="398">
        <v>2694253</v>
      </c>
      <c r="O197" s="398" t="s">
        <v>5740</v>
      </c>
      <c r="P197" s="505">
        <v>564364.79</v>
      </c>
    </row>
    <row r="198" spans="1:16" ht="15.75" customHeight="1">
      <c r="A198" s="502" t="s">
        <v>1412</v>
      </c>
      <c r="B198" s="503" t="s">
        <v>5741</v>
      </c>
      <c r="C198" s="504">
        <v>335212.69</v>
      </c>
      <c r="H198" s="398">
        <v>559843</v>
      </c>
      <c r="I198" s="398">
        <v>17.97</v>
      </c>
      <c r="N198" s="398">
        <v>4437315</v>
      </c>
      <c r="O198" s="398" t="s">
        <v>5742</v>
      </c>
      <c r="P198" s="505">
        <v>0</v>
      </c>
    </row>
    <row r="199" spans="1:16" ht="15.75" customHeight="1">
      <c r="A199" s="502" t="s">
        <v>1561</v>
      </c>
      <c r="B199" s="503" t="s">
        <v>5743</v>
      </c>
      <c r="C199" s="504">
        <v>328775.11</v>
      </c>
      <c r="H199" s="398">
        <v>434160</v>
      </c>
      <c r="I199" s="398">
        <v>0</v>
      </c>
      <c r="N199" s="398">
        <v>6604192</v>
      </c>
      <c r="O199" s="398" t="s">
        <v>5744</v>
      </c>
      <c r="P199" s="505">
        <v>0</v>
      </c>
    </row>
    <row r="200" spans="1:16" ht="15.75" customHeight="1">
      <c r="A200" s="502" t="s">
        <v>2480</v>
      </c>
      <c r="B200" s="503" t="s">
        <v>5495</v>
      </c>
      <c r="C200" s="504">
        <v>326993.13</v>
      </c>
      <c r="H200" s="398">
        <v>87493</v>
      </c>
      <c r="I200" s="505">
        <v>84264.98</v>
      </c>
      <c r="N200" s="398">
        <v>1000249</v>
      </c>
      <c r="O200" s="398" t="s">
        <v>5745</v>
      </c>
      <c r="P200" s="505">
        <v>0</v>
      </c>
    </row>
    <row r="201" spans="1:16" ht="15.75" customHeight="1">
      <c r="A201" s="502" t="s">
        <v>5746</v>
      </c>
      <c r="B201" s="503" t="s">
        <v>5747</v>
      </c>
      <c r="C201" s="504">
        <v>324749.52</v>
      </c>
      <c r="H201" s="398">
        <v>459393</v>
      </c>
      <c r="I201" s="398">
        <v>0</v>
      </c>
      <c r="N201" s="398">
        <v>4616618</v>
      </c>
      <c r="O201" s="398" t="s">
        <v>5549</v>
      </c>
      <c r="P201" s="505">
        <v>0</v>
      </c>
    </row>
    <row r="202" spans="1:16" ht="15.75" customHeight="1">
      <c r="A202" s="502" t="s">
        <v>609</v>
      </c>
      <c r="B202" s="503" t="s">
        <v>5449</v>
      </c>
      <c r="C202" s="504">
        <v>323096.03000000003</v>
      </c>
      <c r="H202" s="398">
        <v>612431</v>
      </c>
      <c r="I202" s="398">
        <v>0</v>
      </c>
      <c r="N202" s="398">
        <v>4367434</v>
      </c>
      <c r="O202" s="398" t="s">
        <v>5748</v>
      </c>
      <c r="P202" s="505">
        <v>0</v>
      </c>
    </row>
    <row r="203" spans="1:16" ht="15.75" customHeight="1">
      <c r="A203" s="502" t="s">
        <v>1025</v>
      </c>
      <c r="B203" s="503" t="s">
        <v>5749</v>
      </c>
      <c r="C203" s="504">
        <v>321869.14</v>
      </c>
      <c r="H203" s="398">
        <v>38387</v>
      </c>
      <c r="I203" s="398">
        <v>0</v>
      </c>
      <c r="N203" s="398">
        <v>7988957</v>
      </c>
      <c r="O203" s="398" t="s">
        <v>5750</v>
      </c>
      <c r="P203" s="505">
        <v>0</v>
      </c>
    </row>
    <row r="204" spans="1:16" ht="15.75" customHeight="1">
      <c r="A204" s="502" t="s">
        <v>650</v>
      </c>
      <c r="B204" s="503" t="s">
        <v>5751</v>
      </c>
      <c r="C204" s="504">
        <v>321276.03000000003</v>
      </c>
      <c r="H204" s="398">
        <v>85872</v>
      </c>
      <c r="I204" s="398">
        <v>0</v>
      </c>
      <c r="N204" s="398">
        <v>8089465</v>
      </c>
      <c r="O204" s="398" t="s">
        <v>5752</v>
      </c>
      <c r="P204" s="505">
        <v>0</v>
      </c>
    </row>
    <row r="205" spans="1:16" ht="15.75" customHeight="1">
      <c r="A205" s="502" t="s">
        <v>1916</v>
      </c>
      <c r="B205" s="503" t="s">
        <v>5480</v>
      </c>
      <c r="C205" s="504">
        <v>317814.96999999997</v>
      </c>
      <c r="H205" s="398">
        <v>438274</v>
      </c>
      <c r="I205" s="398">
        <v>0</v>
      </c>
      <c r="N205" s="398">
        <v>96891</v>
      </c>
      <c r="O205" s="398" t="s">
        <v>5496</v>
      </c>
      <c r="P205" s="505">
        <v>0</v>
      </c>
    </row>
    <row r="206" spans="1:16" ht="15.75" customHeight="1">
      <c r="A206" s="502" t="s">
        <v>599</v>
      </c>
      <c r="B206" s="503" t="s">
        <v>5449</v>
      </c>
      <c r="C206" s="504">
        <v>313610.44</v>
      </c>
      <c r="H206" s="398">
        <v>370249</v>
      </c>
      <c r="I206" s="505">
        <v>174139.95</v>
      </c>
      <c r="N206" s="398">
        <v>3643555</v>
      </c>
      <c r="O206" s="398" t="s">
        <v>5753</v>
      </c>
      <c r="P206" s="505">
        <v>0</v>
      </c>
    </row>
    <row r="207" spans="1:16" ht="15.75" customHeight="1">
      <c r="A207" s="502" t="s">
        <v>619</v>
      </c>
      <c r="B207" s="503" t="s">
        <v>5449</v>
      </c>
      <c r="C207" s="504">
        <v>313444.96999999997</v>
      </c>
      <c r="H207" s="398">
        <v>81772</v>
      </c>
      <c r="I207" s="398">
        <v>0</v>
      </c>
      <c r="N207" s="398">
        <v>43315</v>
      </c>
      <c r="O207" s="398" t="s">
        <v>5754</v>
      </c>
      <c r="P207" s="505">
        <v>0</v>
      </c>
    </row>
    <row r="208" spans="1:16" ht="15.75" customHeight="1">
      <c r="A208" s="502" t="s">
        <v>2172</v>
      </c>
      <c r="B208" s="503" t="s">
        <v>5755</v>
      </c>
      <c r="C208" s="504">
        <v>312875.46000000002</v>
      </c>
      <c r="H208" s="398">
        <v>31787</v>
      </c>
      <c r="I208" s="398">
        <v>0</v>
      </c>
      <c r="N208" s="398">
        <v>4551730</v>
      </c>
      <c r="O208" s="398" t="s">
        <v>5756</v>
      </c>
      <c r="P208" s="505">
        <v>0</v>
      </c>
    </row>
    <row r="209" spans="1:16" ht="15.75" customHeight="1">
      <c r="A209" s="502" t="s">
        <v>2751</v>
      </c>
      <c r="B209" s="503" t="s">
        <v>5757</v>
      </c>
      <c r="C209" s="504">
        <v>312069.39</v>
      </c>
      <c r="H209" s="398">
        <v>86818</v>
      </c>
      <c r="I209" s="505">
        <v>128852.31</v>
      </c>
      <c r="N209" s="398">
        <v>3318900</v>
      </c>
      <c r="O209" s="398" t="s">
        <v>5758</v>
      </c>
      <c r="P209" s="505">
        <v>0</v>
      </c>
    </row>
    <row r="210" spans="1:16" ht="15.75" customHeight="1">
      <c r="A210" s="502" t="s">
        <v>457</v>
      </c>
      <c r="B210" s="503" t="s">
        <v>5759</v>
      </c>
      <c r="C210" s="504">
        <v>311946.12</v>
      </c>
      <c r="H210" s="398">
        <v>440078</v>
      </c>
      <c r="I210" s="398">
        <v>0</v>
      </c>
      <c r="N210" s="398">
        <v>5167097</v>
      </c>
      <c r="O210" s="398" t="s">
        <v>5760</v>
      </c>
      <c r="P210" s="505">
        <v>0</v>
      </c>
    </row>
    <row r="211" spans="1:16" ht="15.75" customHeight="1">
      <c r="A211" s="502" t="s">
        <v>1350</v>
      </c>
      <c r="B211" s="503" t="s">
        <v>5761</v>
      </c>
      <c r="C211" s="504">
        <v>311597.44</v>
      </c>
      <c r="H211" s="398">
        <v>88816</v>
      </c>
      <c r="I211" s="398">
        <v>162.79</v>
      </c>
      <c r="N211" s="398">
        <v>4899222</v>
      </c>
      <c r="O211" s="398" t="s">
        <v>5762</v>
      </c>
      <c r="P211" s="505">
        <v>2841.49</v>
      </c>
    </row>
    <row r="212" spans="1:16" ht="15.75" customHeight="1">
      <c r="A212" s="502" t="s">
        <v>770</v>
      </c>
      <c r="B212" s="503" t="s">
        <v>5763</v>
      </c>
      <c r="C212" s="504">
        <v>311202.2</v>
      </c>
      <c r="H212" s="398">
        <v>32407</v>
      </c>
      <c r="I212" s="398">
        <v>0</v>
      </c>
      <c r="N212" s="398">
        <v>490973</v>
      </c>
      <c r="O212" s="398" t="s">
        <v>5764</v>
      </c>
      <c r="P212" s="505">
        <v>0</v>
      </c>
    </row>
    <row r="213" spans="1:16" ht="15.75" customHeight="1">
      <c r="A213" s="502" t="s">
        <v>1320</v>
      </c>
      <c r="B213" s="503" t="s">
        <v>5552</v>
      </c>
      <c r="C213" s="504">
        <v>310194.46999999997</v>
      </c>
      <c r="H213" s="398">
        <v>582421</v>
      </c>
      <c r="I213" s="398">
        <v>0</v>
      </c>
      <c r="N213" s="398">
        <v>3445098</v>
      </c>
      <c r="O213" s="398" t="s">
        <v>5765</v>
      </c>
      <c r="P213" s="505">
        <v>0</v>
      </c>
    </row>
    <row r="214" spans="1:16" ht="15.75" customHeight="1">
      <c r="A214" s="502" t="s">
        <v>1875</v>
      </c>
      <c r="B214" s="503" t="s">
        <v>5506</v>
      </c>
      <c r="C214" s="504">
        <v>309185.56</v>
      </c>
      <c r="H214" s="398">
        <v>358322</v>
      </c>
      <c r="I214" s="398">
        <v>0</v>
      </c>
      <c r="N214" s="398">
        <v>7336791</v>
      </c>
      <c r="O214" s="398" t="s">
        <v>5766</v>
      </c>
      <c r="P214" s="505">
        <v>0</v>
      </c>
    </row>
    <row r="215" spans="1:16" ht="15.75" customHeight="1">
      <c r="A215" s="502" t="s">
        <v>1473</v>
      </c>
      <c r="B215" s="503" t="s">
        <v>5452</v>
      </c>
      <c r="C215" s="504">
        <v>303628.18</v>
      </c>
      <c r="H215" s="398">
        <v>47922</v>
      </c>
      <c r="I215" s="398">
        <v>0</v>
      </c>
      <c r="N215" s="398">
        <v>3848682</v>
      </c>
      <c r="O215" s="398" t="s">
        <v>5460</v>
      </c>
      <c r="P215" s="505">
        <v>0</v>
      </c>
    </row>
    <row r="216" spans="1:16" ht="15.75" customHeight="1">
      <c r="A216" s="502" t="s">
        <v>1363</v>
      </c>
      <c r="B216" s="503" t="s">
        <v>5767</v>
      </c>
      <c r="C216" s="504">
        <v>302687.15000000002</v>
      </c>
      <c r="H216" s="398">
        <v>577392</v>
      </c>
      <c r="I216" s="398">
        <v>0</v>
      </c>
      <c r="N216" s="398">
        <v>8088158</v>
      </c>
      <c r="O216" s="398" t="s">
        <v>5656</v>
      </c>
      <c r="P216" s="505">
        <v>0</v>
      </c>
    </row>
    <row r="217" spans="1:16" ht="15.75" customHeight="1">
      <c r="A217" s="502" t="s">
        <v>484</v>
      </c>
      <c r="B217" s="503" t="s">
        <v>5768</v>
      </c>
      <c r="C217" s="504">
        <v>300895.53999999998</v>
      </c>
      <c r="H217" s="398">
        <v>384538</v>
      </c>
      <c r="I217" s="505">
        <v>95319.42</v>
      </c>
      <c r="N217" s="398">
        <v>508722</v>
      </c>
      <c r="O217" s="398" t="s">
        <v>5769</v>
      </c>
      <c r="P217" s="505">
        <v>0</v>
      </c>
    </row>
    <row r="218" spans="1:16" ht="15.75" customHeight="1">
      <c r="A218" s="502" t="s">
        <v>1898</v>
      </c>
      <c r="B218" s="503" t="s">
        <v>5770</v>
      </c>
      <c r="C218" s="504">
        <v>300416.52</v>
      </c>
      <c r="H218" s="398">
        <v>576246</v>
      </c>
      <c r="I218" s="398">
        <v>0</v>
      </c>
      <c r="N218" s="398">
        <v>6000381</v>
      </c>
      <c r="O218" s="398" t="s">
        <v>5771</v>
      </c>
      <c r="P218" s="505">
        <v>0</v>
      </c>
    </row>
    <row r="219" spans="1:16" ht="15.75" customHeight="1">
      <c r="A219" s="502" t="s">
        <v>2669</v>
      </c>
      <c r="B219" s="503" t="s">
        <v>5663</v>
      </c>
      <c r="C219" s="504">
        <v>297536.05</v>
      </c>
      <c r="H219" s="398">
        <v>557385</v>
      </c>
      <c r="I219" s="398">
        <v>0</v>
      </c>
      <c r="N219" s="398">
        <v>7046433</v>
      </c>
      <c r="O219" s="398" t="s">
        <v>5529</v>
      </c>
      <c r="P219" s="505">
        <v>0</v>
      </c>
    </row>
    <row r="220" spans="1:16" ht="15.75" customHeight="1">
      <c r="A220" s="502" t="s">
        <v>571</v>
      </c>
      <c r="B220" s="503" t="s">
        <v>5772</v>
      </c>
      <c r="C220" s="504">
        <v>297059.15000000002</v>
      </c>
      <c r="H220" s="398">
        <v>379727</v>
      </c>
      <c r="I220" s="505">
        <v>303126.45</v>
      </c>
      <c r="N220" s="398">
        <v>5635853</v>
      </c>
      <c r="O220" s="398" t="s">
        <v>5773</v>
      </c>
      <c r="P220" s="505">
        <v>0</v>
      </c>
    </row>
    <row r="221" spans="1:16" ht="15.75" customHeight="1">
      <c r="A221" s="502" t="s">
        <v>2113</v>
      </c>
      <c r="B221" s="503" t="s">
        <v>5467</v>
      </c>
      <c r="C221" s="504">
        <v>294586.36</v>
      </c>
      <c r="H221" s="398">
        <v>46143</v>
      </c>
      <c r="I221" s="505">
        <v>1250.83</v>
      </c>
      <c r="N221" s="398">
        <v>4423520</v>
      </c>
      <c r="O221" s="398" t="s">
        <v>5774</v>
      </c>
      <c r="P221" s="505">
        <v>1116.51</v>
      </c>
    </row>
    <row r="222" spans="1:16" ht="15.75" customHeight="1">
      <c r="A222" s="502" t="s">
        <v>2085</v>
      </c>
      <c r="B222" s="503" t="s">
        <v>5775</v>
      </c>
      <c r="C222" s="504">
        <v>290745.95</v>
      </c>
      <c r="H222" s="398">
        <v>443359</v>
      </c>
      <c r="I222" s="398">
        <v>0</v>
      </c>
      <c r="N222" s="398">
        <v>4537910</v>
      </c>
      <c r="O222" s="398" t="s">
        <v>5776</v>
      </c>
      <c r="P222" s="505">
        <v>0</v>
      </c>
    </row>
    <row r="223" spans="1:16" ht="15.75" customHeight="1">
      <c r="A223" s="502" t="s">
        <v>1129</v>
      </c>
      <c r="B223" s="503" t="s">
        <v>5777</v>
      </c>
      <c r="C223" s="504">
        <v>285418.98</v>
      </c>
      <c r="H223" s="398">
        <v>478832</v>
      </c>
      <c r="I223" s="505">
        <v>3324.87</v>
      </c>
      <c r="N223" s="398">
        <v>8118134</v>
      </c>
      <c r="O223" s="398" t="s">
        <v>5778</v>
      </c>
      <c r="P223" s="505">
        <v>0</v>
      </c>
    </row>
    <row r="224" spans="1:16" ht="15.75" customHeight="1">
      <c r="A224" s="502" t="s">
        <v>532</v>
      </c>
      <c r="B224" s="503" t="s">
        <v>5435</v>
      </c>
      <c r="C224" s="504">
        <v>281262.52</v>
      </c>
      <c r="N224" s="398">
        <v>6879934</v>
      </c>
      <c r="O224" s="398" t="s">
        <v>5779</v>
      </c>
      <c r="P224" s="505">
        <v>139.02000000000001</v>
      </c>
    </row>
    <row r="225" spans="1:16" ht="15.75" customHeight="1">
      <c r="A225" s="502" t="s">
        <v>2297</v>
      </c>
      <c r="B225" s="503" t="s">
        <v>5512</v>
      </c>
      <c r="C225" s="504">
        <v>281134.14</v>
      </c>
      <c r="N225" s="398">
        <v>8424056</v>
      </c>
      <c r="O225" s="398" t="s">
        <v>5780</v>
      </c>
      <c r="P225" s="505">
        <v>-5.2</v>
      </c>
    </row>
    <row r="226" spans="1:16" ht="15.75" customHeight="1">
      <c r="A226" s="502" t="s">
        <v>1101</v>
      </c>
      <c r="B226" s="503" t="s">
        <v>5713</v>
      </c>
      <c r="C226" s="504">
        <v>279768.31</v>
      </c>
      <c r="N226" s="398">
        <v>8688674</v>
      </c>
      <c r="O226" s="398" t="s">
        <v>5566</v>
      </c>
      <c r="P226" s="505">
        <v>0</v>
      </c>
    </row>
    <row r="227" spans="1:16" ht="15.75" customHeight="1">
      <c r="A227" s="502" t="s">
        <v>1048</v>
      </c>
      <c r="B227" s="503" t="s">
        <v>5781</v>
      </c>
      <c r="C227" s="504">
        <v>278297.18</v>
      </c>
      <c r="N227" s="398">
        <v>2749522</v>
      </c>
      <c r="O227" s="398" t="s">
        <v>5782</v>
      </c>
      <c r="P227" s="505">
        <v>811595.93</v>
      </c>
    </row>
    <row r="228" spans="1:16" ht="15.75" customHeight="1">
      <c r="A228" s="502" t="s">
        <v>558</v>
      </c>
      <c r="B228" s="503" t="s">
        <v>5783</v>
      </c>
      <c r="C228" s="504">
        <v>276698.96999999997</v>
      </c>
      <c r="N228" s="398">
        <v>2566765</v>
      </c>
      <c r="O228" s="398" t="s">
        <v>5784</v>
      </c>
      <c r="P228" s="505">
        <v>0</v>
      </c>
    </row>
    <row r="229" spans="1:16" ht="15.75" customHeight="1">
      <c r="A229" s="502" t="s">
        <v>445</v>
      </c>
      <c r="B229" s="503" t="s">
        <v>5785</v>
      </c>
      <c r="C229" s="504">
        <v>273704.24</v>
      </c>
      <c r="N229" s="398">
        <v>7998263</v>
      </c>
      <c r="O229" s="398" t="s">
        <v>5786</v>
      </c>
      <c r="P229" s="505">
        <v>0</v>
      </c>
    </row>
    <row r="230" spans="1:16" ht="15.75" customHeight="1">
      <c r="A230" s="502" t="s">
        <v>639</v>
      </c>
      <c r="B230" s="503" t="s">
        <v>5787</v>
      </c>
      <c r="C230" s="504">
        <v>272608.03000000003</v>
      </c>
      <c r="N230" s="398">
        <v>5947460</v>
      </c>
      <c r="O230" s="398" t="s">
        <v>5788</v>
      </c>
      <c r="P230" s="505">
        <v>0</v>
      </c>
    </row>
    <row r="231" spans="1:16" ht="15.75" customHeight="1">
      <c r="A231" s="502" t="s">
        <v>1369</v>
      </c>
      <c r="B231" s="503" t="s">
        <v>5789</v>
      </c>
      <c r="C231" s="504">
        <v>272194.62</v>
      </c>
      <c r="N231" s="398">
        <v>2049496</v>
      </c>
      <c r="O231" s="398" t="s">
        <v>5790</v>
      </c>
      <c r="P231" s="505">
        <v>40645.410000000003</v>
      </c>
    </row>
    <row r="232" spans="1:16" ht="15.75" customHeight="1">
      <c r="A232" s="502" t="s">
        <v>740</v>
      </c>
      <c r="B232" s="503" t="s">
        <v>5791</v>
      </c>
      <c r="C232" s="504">
        <v>266055.52</v>
      </c>
      <c r="N232" s="398">
        <v>2545354</v>
      </c>
      <c r="O232" s="398" t="s">
        <v>5792</v>
      </c>
      <c r="P232" s="505">
        <v>0</v>
      </c>
    </row>
    <row r="233" spans="1:16" ht="15.75" customHeight="1">
      <c r="A233" s="502" t="s">
        <v>871</v>
      </c>
      <c r="B233" s="503" t="s">
        <v>5793</v>
      </c>
      <c r="C233" s="504">
        <v>262234.71000000002</v>
      </c>
      <c r="N233" s="398">
        <v>4441469</v>
      </c>
      <c r="O233" s="398" t="s">
        <v>5794</v>
      </c>
      <c r="P233" s="505">
        <v>0</v>
      </c>
    </row>
    <row r="234" spans="1:16" ht="15.75" customHeight="1">
      <c r="A234" s="502" t="s">
        <v>1725</v>
      </c>
      <c r="B234" s="503" t="s">
        <v>5795</v>
      </c>
      <c r="C234" s="504">
        <v>261437.78</v>
      </c>
      <c r="N234" s="398">
        <v>6675462</v>
      </c>
      <c r="O234" s="398" t="s">
        <v>5796</v>
      </c>
      <c r="P234" s="505">
        <v>0</v>
      </c>
    </row>
    <row r="235" spans="1:16" ht="15.75" customHeight="1">
      <c r="A235" s="502" t="s">
        <v>2773</v>
      </c>
      <c r="B235" s="503" t="s">
        <v>5797</v>
      </c>
      <c r="C235" s="504">
        <v>261401.8</v>
      </c>
      <c r="N235" s="398">
        <v>3412436</v>
      </c>
      <c r="O235" s="398" t="s">
        <v>5798</v>
      </c>
      <c r="P235" s="505">
        <v>0</v>
      </c>
    </row>
    <row r="236" spans="1:16" ht="15.75" customHeight="1">
      <c r="A236" s="502" t="s">
        <v>1641</v>
      </c>
      <c r="B236" s="503" t="s">
        <v>5799</v>
      </c>
      <c r="C236" s="504">
        <v>261018.99</v>
      </c>
      <c r="N236" s="398">
        <v>5183783</v>
      </c>
      <c r="O236" s="398" t="s">
        <v>5800</v>
      </c>
      <c r="P236" s="505">
        <v>0</v>
      </c>
    </row>
    <row r="237" spans="1:16" ht="15.75" customHeight="1">
      <c r="A237" s="502" t="s">
        <v>1905</v>
      </c>
      <c r="B237" s="503" t="s">
        <v>5770</v>
      </c>
      <c r="C237" s="504">
        <v>258316.28</v>
      </c>
      <c r="N237" s="398">
        <v>4460007</v>
      </c>
      <c r="O237" s="398" t="s">
        <v>5801</v>
      </c>
      <c r="P237" s="505">
        <v>0</v>
      </c>
    </row>
    <row r="238" spans="1:16" ht="15.75" customHeight="1">
      <c r="A238" s="502" t="s">
        <v>2251</v>
      </c>
      <c r="B238" s="503" t="s">
        <v>5451</v>
      </c>
      <c r="C238" s="504">
        <v>257187.58</v>
      </c>
      <c r="N238" s="398">
        <v>2218849</v>
      </c>
      <c r="O238" s="398" t="s">
        <v>5802</v>
      </c>
      <c r="P238" s="505">
        <v>0</v>
      </c>
    </row>
    <row r="239" spans="1:16" ht="15.75" customHeight="1">
      <c r="A239" s="502" t="s">
        <v>1239</v>
      </c>
      <c r="B239" s="503" t="s">
        <v>5803</v>
      </c>
      <c r="C239" s="504">
        <v>254924.4</v>
      </c>
      <c r="N239" s="398">
        <v>6065019</v>
      </c>
      <c r="O239" s="398" t="s">
        <v>5804</v>
      </c>
      <c r="P239" s="505">
        <v>0</v>
      </c>
    </row>
    <row r="240" spans="1:16" ht="15.75" customHeight="1">
      <c r="A240" s="502" t="s">
        <v>917</v>
      </c>
      <c r="B240" s="503" t="s">
        <v>5805</v>
      </c>
      <c r="C240" s="504">
        <v>253997.49</v>
      </c>
      <c r="N240" s="398">
        <v>8392987</v>
      </c>
      <c r="O240" s="398" t="s">
        <v>5806</v>
      </c>
      <c r="P240" s="505">
        <v>0</v>
      </c>
    </row>
    <row r="241" spans="1:16" ht="15.75" customHeight="1">
      <c r="A241" s="502" t="s">
        <v>2069</v>
      </c>
      <c r="B241" s="503" t="s">
        <v>5807</v>
      </c>
      <c r="C241" s="504">
        <v>249752.51</v>
      </c>
      <c r="N241" s="398">
        <v>9274292</v>
      </c>
      <c r="O241" s="398" t="s">
        <v>5808</v>
      </c>
      <c r="P241" s="505">
        <v>0</v>
      </c>
    </row>
    <row r="242" spans="1:16" ht="15.75" customHeight="1">
      <c r="A242" s="502" t="s">
        <v>238</v>
      </c>
      <c r="B242" s="503" t="s">
        <v>5809</v>
      </c>
      <c r="C242" s="504">
        <v>249147.71</v>
      </c>
      <c r="N242" s="398">
        <v>4879786</v>
      </c>
      <c r="O242" s="398" t="s">
        <v>5810</v>
      </c>
      <c r="P242" s="505">
        <v>0</v>
      </c>
    </row>
    <row r="243" spans="1:16" ht="15.75" customHeight="1">
      <c r="A243" s="502" t="s">
        <v>2221</v>
      </c>
      <c r="B243" s="503" t="s">
        <v>5579</v>
      </c>
      <c r="C243" s="504">
        <v>248144.02</v>
      </c>
      <c r="N243" s="398">
        <v>4744962</v>
      </c>
      <c r="O243" s="398" t="s">
        <v>5811</v>
      </c>
      <c r="P243" s="505">
        <v>0</v>
      </c>
    </row>
    <row r="244" spans="1:16" ht="15.75" customHeight="1">
      <c r="A244" s="502" t="s">
        <v>764</v>
      </c>
      <c r="B244" s="503" t="s">
        <v>5763</v>
      </c>
      <c r="C244" s="504">
        <v>246982.87</v>
      </c>
      <c r="N244" s="398">
        <v>6456469</v>
      </c>
      <c r="O244" s="398" t="s">
        <v>5812</v>
      </c>
      <c r="P244" s="505">
        <v>643304.71</v>
      </c>
    </row>
    <row r="245" spans="1:16" ht="15.75" customHeight="1">
      <c r="A245" s="502" t="s">
        <v>2630</v>
      </c>
      <c r="B245" s="503" t="s">
        <v>5813</v>
      </c>
      <c r="C245" s="504">
        <v>243996.65</v>
      </c>
      <c r="N245" s="398">
        <v>6493585</v>
      </c>
      <c r="O245" s="398" t="s">
        <v>5814</v>
      </c>
      <c r="P245" s="505">
        <v>0</v>
      </c>
    </row>
    <row r="246" spans="1:16" ht="15.75" customHeight="1">
      <c r="A246" s="502" t="s">
        <v>2769</v>
      </c>
      <c r="B246" s="503" t="s">
        <v>5797</v>
      </c>
      <c r="C246" s="504">
        <v>243333.34</v>
      </c>
      <c r="N246" s="398">
        <v>8104478</v>
      </c>
      <c r="O246" s="398" t="s">
        <v>5815</v>
      </c>
      <c r="P246" s="505">
        <v>0</v>
      </c>
    </row>
    <row r="247" spans="1:16" ht="15.75" customHeight="1">
      <c r="A247" s="502" t="s">
        <v>979</v>
      </c>
      <c r="B247" s="503" t="s">
        <v>5816</v>
      </c>
      <c r="C247" s="504">
        <v>241233.96</v>
      </c>
      <c r="N247" s="398">
        <v>581733</v>
      </c>
      <c r="O247" s="398" t="s">
        <v>5752</v>
      </c>
      <c r="P247" s="505">
        <v>0</v>
      </c>
    </row>
    <row r="248" spans="1:16" ht="15.75" customHeight="1">
      <c r="A248" s="502" t="s">
        <v>2011</v>
      </c>
      <c r="B248" s="503" t="s">
        <v>5817</v>
      </c>
      <c r="C248" s="504">
        <v>234990.85</v>
      </c>
      <c r="N248" s="398">
        <v>4848604</v>
      </c>
      <c r="O248" s="398" t="s">
        <v>5818</v>
      </c>
      <c r="P248" s="505">
        <v>0</v>
      </c>
    </row>
    <row r="249" spans="1:16" ht="15.75" customHeight="1">
      <c r="A249" s="502" t="s">
        <v>1372</v>
      </c>
      <c r="B249" s="503" t="s">
        <v>5819</v>
      </c>
      <c r="C249" s="504">
        <v>234834.82</v>
      </c>
      <c r="N249" s="398">
        <v>8461167</v>
      </c>
      <c r="O249" s="398" t="s">
        <v>5820</v>
      </c>
      <c r="P249" s="505">
        <v>0</v>
      </c>
    </row>
    <row r="250" spans="1:16" ht="15.75" customHeight="1">
      <c r="A250" s="502" t="s">
        <v>2536</v>
      </c>
      <c r="B250" s="503" t="s">
        <v>5821</v>
      </c>
      <c r="C250" s="504">
        <v>232648.21</v>
      </c>
      <c r="N250" s="398">
        <v>2866620</v>
      </c>
      <c r="O250" s="398" t="s">
        <v>5822</v>
      </c>
      <c r="P250" s="505">
        <v>0</v>
      </c>
    </row>
    <row r="251" spans="1:16" ht="15.75" customHeight="1">
      <c r="A251" s="502" t="s">
        <v>1508</v>
      </c>
      <c r="B251" s="503" t="s">
        <v>5452</v>
      </c>
      <c r="C251" s="504">
        <v>231473.11</v>
      </c>
      <c r="N251" s="398">
        <v>4089984</v>
      </c>
      <c r="O251" s="398" t="s">
        <v>5823</v>
      </c>
      <c r="P251" s="505">
        <v>49234.64</v>
      </c>
    </row>
    <row r="252" spans="1:16" ht="15.75" customHeight="1">
      <c r="A252" s="502" t="s">
        <v>1550</v>
      </c>
      <c r="B252" s="503" t="s">
        <v>5824</v>
      </c>
      <c r="C252" s="504">
        <v>229888.47</v>
      </c>
      <c r="N252" s="398">
        <v>4606048</v>
      </c>
      <c r="O252" s="398" t="s">
        <v>5825</v>
      </c>
      <c r="P252" s="505">
        <v>8229.2000000000007</v>
      </c>
    </row>
    <row r="253" spans="1:16" ht="15.75" customHeight="1">
      <c r="A253" s="502" t="s">
        <v>1440</v>
      </c>
      <c r="B253" s="503" t="s">
        <v>5646</v>
      </c>
      <c r="C253" s="504">
        <v>228733.48</v>
      </c>
      <c r="N253" s="398">
        <v>3457906</v>
      </c>
      <c r="O253" s="398" t="s">
        <v>5826</v>
      </c>
      <c r="P253" s="505">
        <v>0</v>
      </c>
    </row>
    <row r="254" spans="1:16" ht="15.75" customHeight="1">
      <c r="A254" s="502" t="s">
        <v>1035</v>
      </c>
      <c r="B254" s="503" t="s">
        <v>5827</v>
      </c>
      <c r="C254" s="504">
        <v>225780.48000000001</v>
      </c>
      <c r="N254" s="398">
        <v>3022313</v>
      </c>
      <c r="O254" s="398" t="s">
        <v>5828</v>
      </c>
      <c r="P254" s="505">
        <v>162129.41</v>
      </c>
    </row>
    <row r="255" spans="1:16" ht="15.75" customHeight="1">
      <c r="A255" s="502" t="s">
        <v>2359</v>
      </c>
      <c r="B255" s="503" t="s">
        <v>5427</v>
      </c>
      <c r="C255" s="504">
        <v>222800.2</v>
      </c>
      <c r="N255" s="398">
        <v>2997463</v>
      </c>
      <c r="O255" s="398" t="s">
        <v>5829</v>
      </c>
      <c r="P255" s="505">
        <v>0</v>
      </c>
    </row>
    <row r="256" spans="1:16" ht="15.75" customHeight="1">
      <c r="A256" s="502" t="s">
        <v>539</v>
      </c>
      <c r="B256" s="503" t="s">
        <v>5435</v>
      </c>
      <c r="C256" s="504">
        <v>221029.24</v>
      </c>
      <c r="N256" s="398">
        <v>5537937</v>
      </c>
      <c r="O256" s="398" t="s">
        <v>5830</v>
      </c>
      <c r="P256" s="505">
        <v>0</v>
      </c>
    </row>
    <row r="257" spans="1:16" ht="15.75" customHeight="1">
      <c r="A257" s="502" t="s">
        <v>2641</v>
      </c>
      <c r="B257" s="503" t="s">
        <v>5831</v>
      </c>
      <c r="C257" s="504">
        <v>217702.21</v>
      </c>
      <c r="N257" s="398">
        <v>4113513</v>
      </c>
      <c r="O257" s="398" t="s">
        <v>5832</v>
      </c>
      <c r="P257" s="505">
        <v>56514.1</v>
      </c>
    </row>
    <row r="258" spans="1:16" ht="15.75" customHeight="1">
      <c r="A258" s="502" t="s">
        <v>2335</v>
      </c>
      <c r="B258" s="503" t="s">
        <v>5497</v>
      </c>
      <c r="C258" s="504">
        <v>215609.11</v>
      </c>
      <c r="N258" s="398">
        <v>4461647</v>
      </c>
      <c r="O258" s="398" t="s">
        <v>5833</v>
      </c>
      <c r="P258" s="505">
        <v>0.01</v>
      </c>
    </row>
    <row r="259" spans="1:16" ht="15.75" customHeight="1">
      <c r="A259" s="502" t="s">
        <v>218</v>
      </c>
      <c r="B259" s="503" t="s">
        <v>5592</v>
      </c>
      <c r="C259" s="504">
        <v>214053.91</v>
      </c>
      <c r="N259" s="398">
        <v>9398037</v>
      </c>
      <c r="O259" s="398" t="s">
        <v>5834</v>
      </c>
      <c r="P259" s="505">
        <v>60916.81</v>
      </c>
    </row>
    <row r="260" spans="1:16" ht="15.75" customHeight="1">
      <c r="A260" s="502" t="s">
        <v>2862</v>
      </c>
      <c r="B260" s="503" t="s">
        <v>5835</v>
      </c>
      <c r="C260" s="504">
        <v>211097.32</v>
      </c>
      <c r="N260" s="398">
        <v>4644940</v>
      </c>
      <c r="O260" s="398" t="s">
        <v>5836</v>
      </c>
      <c r="P260" s="505">
        <v>0</v>
      </c>
    </row>
    <row r="261" spans="1:16" ht="15.75" customHeight="1">
      <c r="A261" s="502" t="s">
        <v>2599</v>
      </c>
      <c r="B261" s="503" t="s">
        <v>5837</v>
      </c>
      <c r="C261" s="504">
        <v>210382.04</v>
      </c>
      <c r="N261" s="398">
        <v>4911406</v>
      </c>
      <c r="O261" s="398" t="s">
        <v>5838</v>
      </c>
      <c r="P261" s="505">
        <v>0</v>
      </c>
    </row>
    <row r="262" spans="1:16" ht="15.75" customHeight="1">
      <c r="A262" s="502" t="s">
        <v>1400</v>
      </c>
      <c r="B262" s="503" t="s">
        <v>5839</v>
      </c>
      <c r="C262" s="504">
        <v>210353.06</v>
      </c>
      <c r="N262" s="398">
        <v>5681841</v>
      </c>
      <c r="O262" s="398" t="s">
        <v>5840</v>
      </c>
      <c r="P262" s="505">
        <v>0</v>
      </c>
    </row>
    <row r="263" spans="1:16" ht="15.75" customHeight="1">
      <c r="A263" s="502" t="s">
        <v>698</v>
      </c>
      <c r="B263" s="503" t="s">
        <v>5841</v>
      </c>
      <c r="C263" s="504">
        <v>209716.79</v>
      </c>
      <c r="N263" s="398">
        <v>2427806</v>
      </c>
      <c r="O263" s="398" t="s">
        <v>5842</v>
      </c>
      <c r="P263" s="505">
        <v>58102.96</v>
      </c>
    </row>
    <row r="264" spans="1:16" ht="15.75" customHeight="1">
      <c r="A264" s="502" t="s">
        <v>2399</v>
      </c>
      <c r="B264" s="503" t="s">
        <v>5843</v>
      </c>
      <c r="C264" s="504">
        <v>206736.45</v>
      </c>
      <c r="N264" s="398">
        <v>4696470</v>
      </c>
      <c r="O264" s="398" t="s">
        <v>5844</v>
      </c>
      <c r="P264" s="505">
        <v>0</v>
      </c>
    </row>
    <row r="265" spans="1:16" ht="15.75" customHeight="1">
      <c r="A265" s="502" t="s">
        <v>1202</v>
      </c>
      <c r="B265" s="503" t="s">
        <v>5845</v>
      </c>
      <c r="C265" s="504">
        <v>206650.68</v>
      </c>
      <c r="N265" s="398">
        <v>3561110</v>
      </c>
      <c r="O265" s="398" t="s">
        <v>5846</v>
      </c>
      <c r="P265" s="505">
        <v>0</v>
      </c>
    </row>
    <row r="266" spans="1:16" ht="15.75" customHeight="1">
      <c r="A266" s="502" t="s">
        <v>511</v>
      </c>
      <c r="B266" s="503" t="s">
        <v>5847</v>
      </c>
      <c r="C266" s="504">
        <v>205443.32</v>
      </c>
      <c r="N266" s="398">
        <v>8227775</v>
      </c>
      <c r="O266" s="398" t="s">
        <v>5848</v>
      </c>
      <c r="P266" s="505">
        <v>0</v>
      </c>
    </row>
    <row r="267" spans="1:16" ht="15.75" customHeight="1">
      <c r="A267" s="502" t="s">
        <v>1975</v>
      </c>
      <c r="B267" s="503" t="s">
        <v>5429</v>
      </c>
      <c r="C267" s="504">
        <v>205079.08</v>
      </c>
      <c r="N267" s="398">
        <v>2129230</v>
      </c>
      <c r="O267" s="398" t="s">
        <v>5849</v>
      </c>
      <c r="P267" s="505">
        <v>0</v>
      </c>
    </row>
    <row r="268" spans="1:16" ht="15.75" customHeight="1">
      <c r="A268" s="502" t="s">
        <v>2313</v>
      </c>
      <c r="B268" s="503" t="s">
        <v>5512</v>
      </c>
      <c r="C268" s="504">
        <v>204519.37</v>
      </c>
      <c r="N268" s="398">
        <v>4656935</v>
      </c>
      <c r="O268" s="398" t="s">
        <v>5850</v>
      </c>
      <c r="P268" s="505">
        <v>0</v>
      </c>
    </row>
    <row r="269" spans="1:16" ht="15.75" customHeight="1">
      <c r="A269" s="502" t="s">
        <v>838</v>
      </c>
      <c r="B269" s="503" t="s">
        <v>5851</v>
      </c>
      <c r="C269" s="504">
        <v>199660.32</v>
      </c>
      <c r="N269" s="398">
        <v>4550421</v>
      </c>
      <c r="O269" s="398" t="s">
        <v>5852</v>
      </c>
      <c r="P269" s="505">
        <v>0</v>
      </c>
    </row>
    <row r="270" spans="1:16" ht="15.75" customHeight="1">
      <c r="A270" s="502" t="s">
        <v>864</v>
      </c>
      <c r="B270" s="503" t="s">
        <v>5853</v>
      </c>
      <c r="C270" s="504">
        <v>197432.18</v>
      </c>
      <c r="N270" s="398">
        <v>3369465</v>
      </c>
      <c r="O270" s="398" t="s">
        <v>5854</v>
      </c>
      <c r="P270" s="505">
        <v>12072.43</v>
      </c>
    </row>
    <row r="271" spans="1:16" ht="15.75" customHeight="1">
      <c r="A271" s="502" t="s">
        <v>2471</v>
      </c>
      <c r="B271" s="503" t="s">
        <v>5855</v>
      </c>
      <c r="C271" s="504">
        <v>195757.06</v>
      </c>
      <c r="N271" s="398">
        <v>7998405</v>
      </c>
      <c r="O271" s="398" t="s">
        <v>5856</v>
      </c>
      <c r="P271" s="505">
        <v>0</v>
      </c>
    </row>
    <row r="272" spans="1:16" ht="15.75" customHeight="1">
      <c r="A272" s="502" t="s">
        <v>2136</v>
      </c>
      <c r="B272" s="503" t="s">
        <v>5857</v>
      </c>
      <c r="C272" s="504">
        <v>188854.44</v>
      </c>
      <c r="N272" s="398">
        <v>7000733</v>
      </c>
      <c r="O272" s="398" t="s">
        <v>5702</v>
      </c>
      <c r="P272" s="505">
        <v>0</v>
      </c>
    </row>
    <row r="273" spans="1:16" ht="15.75" customHeight="1">
      <c r="A273" s="502" t="s">
        <v>2309</v>
      </c>
      <c r="B273" s="503" t="s">
        <v>5512</v>
      </c>
      <c r="C273" s="504">
        <v>187645</v>
      </c>
      <c r="N273" s="398">
        <v>5646446</v>
      </c>
      <c r="O273" s="398" t="s">
        <v>5858</v>
      </c>
      <c r="P273" s="505">
        <v>0</v>
      </c>
    </row>
    <row r="274" spans="1:16" ht="15.75" customHeight="1">
      <c r="A274" s="502" t="s">
        <v>605</v>
      </c>
      <c r="B274" s="503" t="s">
        <v>5449</v>
      </c>
      <c r="C274" s="504">
        <v>185534.88</v>
      </c>
      <c r="N274" s="398">
        <v>2931994</v>
      </c>
      <c r="O274" s="398" t="s">
        <v>5859</v>
      </c>
      <c r="P274" s="505">
        <v>84.04</v>
      </c>
    </row>
    <row r="275" spans="1:16" ht="15.75" customHeight="1">
      <c r="A275" s="502" t="s">
        <v>1748</v>
      </c>
      <c r="B275" s="503" t="s">
        <v>5649</v>
      </c>
      <c r="C275" s="504">
        <v>182783.4</v>
      </c>
      <c r="N275" s="398">
        <v>9129986</v>
      </c>
      <c r="O275" s="398" t="s">
        <v>5829</v>
      </c>
      <c r="P275" s="505">
        <v>0</v>
      </c>
    </row>
    <row r="276" spans="1:16" ht="15.75" customHeight="1">
      <c r="A276" s="502" t="s">
        <v>726</v>
      </c>
      <c r="B276" s="503" t="s">
        <v>5860</v>
      </c>
      <c r="C276" s="504">
        <v>181827.21</v>
      </c>
      <c r="N276" s="398">
        <v>8853992</v>
      </c>
      <c r="O276" s="398" t="s">
        <v>5861</v>
      </c>
      <c r="P276" s="505">
        <v>0</v>
      </c>
    </row>
    <row r="277" spans="1:16" ht="15.75" customHeight="1">
      <c r="A277" s="502" t="s">
        <v>1250</v>
      </c>
      <c r="B277" s="503" t="s">
        <v>5499</v>
      </c>
      <c r="C277" s="504">
        <v>181512.71</v>
      </c>
      <c r="N277" s="398">
        <v>6164897</v>
      </c>
      <c r="O277" s="398" t="s">
        <v>5862</v>
      </c>
      <c r="P277" s="505">
        <v>1021.33</v>
      </c>
    </row>
    <row r="278" spans="1:16" ht="15.75" customHeight="1">
      <c r="A278" s="502" t="s">
        <v>2845</v>
      </c>
      <c r="B278" s="503" t="s">
        <v>5863</v>
      </c>
      <c r="C278" s="504">
        <v>180641.87</v>
      </c>
      <c r="N278" s="398">
        <v>522975</v>
      </c>
      <c r="O278" s="398" t="s">
        <v>5864</v>
      </c>
      <c r="P278" s="505">
        <v>388.47</v>
      </c>
    </row>
    <row r="279" spans="1:16" ht="15.75" customHeight="1">
      <c r="A279" s="502" t="s">
        <v>2407</v>
      </c>
      <c r="B279" s="503" t="s">
        <v>5865</v>
      </c>
      <c r="C279" s="504">
        <v>180510.04</v>
      </c>
      <c r="N279" s="398">
        <v>4954616</v>
      </c>
      <c r="O279" s="398" t="s">
        <v>5866</v>
      </c>
      <c r="P279" s="505">
        <v>0</v>
      </c>
    </row>
    <row r="280" spans="1:16" ht="15.75" customHeight="1">
      <c r="A280" s="502" t="s">
        <v>2823</v>
      </c>
      <c r="B280" s="503" t="s">
        <v>5867</v>
      </c>
      <c r="C280" s="504">
        <v>176627.29</v>
      </c>
      <c r="N280" s="398">
        <v>7975707</v>
      </c>
      <c r="O280" s="398" t="s">
        <v>5460</v>
      </c>
      <c r="P280" s="505">
        <v>2897.96</v>
      </c>
    </row>
    <row r="281" spans="1:16" ht="15.75" customHeight="1">
      <c r="A281" s="502" t="s">
        <v>1527</v>
      </c>
      <c r="B281" s="503" t="s">
        <v>5868</v>
      </c>
      <c r="C281" s="504">
        <v>176553.58</v>
      </c>
      <c r="N281" s="398">
        <v>2751241</v>
      </c>
      <c r="O281" s="398" t="s">
        <v>5869</v>
      </c>
      <c r="P281" s="505">
        <v>11896.32</v>
      </c>
    </row>
    <row r="282" spans="1:16" ht="15.75" customHeight="1">
      <c r="A282" s="502" t="s">
        <v>786</v>
      </c>
      <c r="B282" s="503" t="s">
        <v>5870</v>
      </c>
      <c r="C282" s="504">
        <v>173875.46</v>
      </c>
      <c r="N282" s="398">
        <v>6200964</v>
      </c>
      <c r="O282" s="398" t="s">
        <v>5871</v>
      </c>
      <c r="P282" s="505">
        <v>0</v>
      </c>
    </row>
    <row r="283" spans="1:16" ht="15.75" customHeight="1">
      <c r="A283" s="502" t="s">
        <v>2697</v>
      </c>
      <c r="B283" s="503" t="s">
        <v>5872</v>
      </c>
      <c r="C283" s="504">
        <v>172417.08</v>
      </c>
      <c r="N283" s="398">
        <v>3286506</v>
      </c>
      <c r="O283" s="398" t="s">
        <v>4026</v>
      </c>
      <c r="P283" s="505">
        <v>0</v>
      </c>
    </row>
    <row r="284" spans="1:16" ht="15.75" customHeight="1">
      <c r="A284" s="502" t="s">
        <v>1565</v>
      </c>
      <c r="B284" s="503" t="s">
        <v>5873</v>
      </c>
      <c r="C284" s="504">
        <v>168745.85</v>
      </c>
      <c r="N284" s="398">
        <v>495561</v>
      </c>
      <c r="O284" s="398" t="s">
        <v>5045</v>
      </c>
      <c r="P284" s="505">
        <v>8.09</v>
      </c>
    </row>
    <row r="285" spans="1:16" ht="15.75" customHeight="1">
      <c r="A285" s="502" t="s">
        <v>1588</v>
      </c>
      <c r="B285" s="503" t="s">
        <v>5874</v>
      </c>
      <c r="C285" s="504">
        <v>168402.39</v>
      </c>
      <c r="N285" s="398">
        <v>3345620</v>
      </c>
      <c r="O285" s="398" t="s">
        <v>5833</v>
      </c>
      <c r="P285" s="505">
        <v>208597.8</v>
      </c>
    </row>
    <row r="286" spans="1:16" ht="15.75" customHeight="1">
      <c r="A286" s="502" t="s">
        <v>2431</v>
      </c>
      <c r="B286" s="503" t="s">
        <v>5686</v>
      </c>
      <c r="C286" s="504">
        <v>167553.09</v>
      </c>
      <c r="N286" s="398">
        <v>111377</v>
      </c>
      <c r="O286" s="398" t="s">
        <v>5875</v>
      </c>
      <c r="P286" s="505">
        <v>0</v>
      </c>
    </row>
    <row r="287" spans="1:16" ht="15.75" customHeight="1">
      <c r="A287" s="502" t="s">
        <v>2820</v>
      </c>
      <c r="B287" s="503" t="s">
        <v>5867</v>
      </c>
      <c r="C287" s="504">
        <v>167460.14000000001</v>
      </c>
      <c r="N287" s="398">
        <v>1000521</v>
      </c>
      <c r="O287" s="398" t="s">
        <v>5875</v>
      </c>
      <c r="P287" s="505">
        <v>0</v>
      </c>
    </row>
    <row r="288" spans="1:16" ht="15.75" customHeight="1">
      <c r="A288" s="502" t="s">
        <v>1017</v>
      </c>
      <c r="B288" s="503" t="s">
        <v>5876</v>
      </c>
      <c r="C288" s="504">
        <v>167359.26</v>
      </c>
      <c r="P288" s="505"/>
    </row>
    <row r="289" spans="1:16" ht="15.75" customHeight="1">
      <c r="A289" s="502" t="s">
        <v>315</v>
      </c>
      <c r="B289" s="503" t="s">
        <v>5481</v>
      </c>
      <c r="C289" s="504">
        <v>166999.5</v>
      </c>
      <c r="P289" s="505"/>
    </row>
    <row r="290" spans="1:16" ht="15.75" customHeight="1">
      <c r="A290" s="502" t="s">
        <v>296</v>
      </c>
      <c r="B290" s="503" t="s">
        <v>5481</v>
      </c>
      <c r="C290" s="504">
        <v>166841.73000000001</v>
      </c>
      <c r="P290" s="505"/>
    </row>
    <row r="291" spans="1:16" ht="15.75" customHeight="1">
      <c r="A291" s="502" t="s">
        <v>323</v>
      </c>
      <c r="B291" s="503" t="s">
        <v>5481</v>
      </c>
      <c r="C291" s="504">
        <v>166782.47</v>
      </c>
      <c r="P291" s="505"/>
    </row>
    <row r="292" spans="1:16" ht="15.75" customHeight="1">
      <c r="A292" s="502" t="s">
        <v>2225</v>
      </c>
      <c r="B292" s="503" t="s">
        <v>5579</v>
      </c>
      <c r="C292" s="504">
        <v>165837.1</v>
      </c>
      <c r="P292" s="505"/>
    </row>
    <row r="293" spans="1:16" ht="15.75" customHeight="1">
      <c r="A293" s="502" t="s">
        <v>1053</v>
      </c>
      <c r="B293" s="503" t="s">
        <v>5877</v>
      </c>
      <c r="C293" s="504">
        <v>162316.5</v>
      </c>
      <c r="P293" s="505"/>
    </row>
    <row r="294" spans="1:16" ht="15.75" customHeight="1">
      <c r="A294" s="502" t="s">
        <v>2302</v>
      </c>
      <c r="B294" s="503" t="s">
        <v>5512</v>
      </c>
      <c r="C294" s="504">
        <v>161384.01999999999</v>
      </c>
    </row>
    <row r="295" spans="1:16" ht="15.75" customHeight="1">
      <c r="A295" s="502" t="s">
        <v>2178</v>
      </c>
      <c r="B295" s="503" t="s">
        <v>5878</v>
      </c>
      <c r="C295" s="504">
        <v>160147.94</v>
      </c>
    </row>
    <row r="296" spans="1:16" ht="15.75" customHeight="1">
      <c r="A296" s="502" t="s">
        <v>671</v>
      </c>
      <c r="B296" s="503" t="s">
        <v>5879</v>
      </c>
      <c r="C296" s="504">
        <v>158426.19</v>
      </c>
    </row>
    <row r="297" spans="1:16" ht="15.75" customHeight="1">
      <c r="A297" s="502" t="s">
        <v>1050</v>
      </c>
      <c r="B297" s="503" t="s">
        <v>5880</v>
      </c>
      <c r="C297" s="504">
        <v>155676.62</v>
      </c>
    </row>
    <row r="298" spans="1:16" ht="15.75" customHeight="1">
      <c r="A298" s="502" t="s">
        <v>773</v>
      </c>
      <c r="B298" s="503" t="s">
        <v>5763</v>
      </c>
      <c r="C298" s="504">
        <v>154674.03</v>
      </c>
    </row>
    <row r="299" spans="1:16" ht="15.75" customHeight="1">
      <c r="A299" s="502" t="s">
        <v>971</v>
      </c>
      <c r="B299" s="503" t="s">
        <v>5881</v>
      </c>
      <c r="C299" s="504">
        <v>153633.96</v>
      </c>
    </row>
    <row r="300" spans="1:16" ht="15.75" customHeight="1">
      <c r="A300" s="502" t="s">
        <v>2280</v>
      </c>
      <c r="B300" s="503" t="s">
        <v>5653</v>
      </c>
      <c r="C300" s="504">
        <v>153561.22</v>
      </c>
    </row>
    <row r="301" spans="1:16" ht="15.75" customHeight="1">
      <c r="A301" s="502" t="s">
        <v>1894</v>
      </c>
      <c r="B301" s="503" t="s">
        <v>5770</v>
      </c>
      <c r="C301" s="504">
        <v>153221.72</v>
      </c>
    </row>
    <row r="302" spans="1:16" ht="15.75" customHeight="1">
      <c r="A302" s="502" t="s">
        <v>280</v>
      </c>
      <c r="B302" s="503" t="s">
        <v>5882</v>
      </c>
      <c r="C302" s="504">
        <v>152772.23000000001</v>
      </c>
    </row>
    <row r="303" spans="1:16" ht="15.75" customHeight="1">
      <c r="A303" s="502" t="s">
        <v>1871</v>
      </c>
      <c r="B303" s="503" t="s">
        <v>5506</v>
      </c>
      <c r="C303" s="504">
        <v>152331.51999999999</v>
      </c>
    </row>
    <row r="304" spans="1:16" ht="15.75" customHeight="1">
      <c r="A304" s="502" t="s">
        <v>2869</v>
      </c>
      <c r="B304" s="503" t="s">
        <v>5883</v>
      </c>
      <c r="C304" s="504">
        <v>151182.65</v>
      </c>
    </row>
    <row r="305" spans="1:3" ht="15.75" customHeight="1">
      <c r="A305" s="502" t="s">
        <v>2019</v>
      </c>
      <c r="B305" s="503" t="s">
        <v>5884</v>
      </c>
      <c r="C305" s="504">
        <v>150497.88</v>
      </c>
    </row>
    <row r="306" spans="1:3" ht="15.75" customHeight="1">
      <c r="A306" s="502" t="s">
        <v>1404</v>
      </c>
      <c r="B306" s="503" t="s">
        <v>5885</v>
      </c>
      <c r="C306" s="504">
        <v>149078.57999999999</v>
      </c>
    </row>
    <row r="307" spans="1:3" ht="15.75" customHeight="1">
      <c r="A307" s="502" t="s">
        <v>261</v>
      </c>
      <c r="B307" s="503" t="s">
        <v>5886</v>
      </c>
      <c r="C307" s="504">
        <v>147952.99</v>
      </c>
    </row>
    <row r="308" spans="1:3" ht="15.75" customHeight="1">
      <c r="A308" s="502" t="s">
        <v>1918</v>
      </c>
      <c r="B308" s="503" t="s">
        <v>5480</v>
      </c>
      <c r="C308" s="504">
        <v>147897.68</v>
      </c>
    </row>
    <row r="309" spans="1:3" ht="15.75" customHeight="1">
      <c r="A309" s="502" t="s">
        <v>1680</v>
      </c>
      <c r="B309" s="503" t="s">
        <v>5887</v>
      </c>
      <c r="C309" s="504">
        <v>147086.31</v>
      </c>
    </row>
    <row r="310" spans="1:3" ht="15.75" customHeight="1">
      <c r="A310" s="502" t="s">
        <v>2627</v>
      </c>
      <c r="B310" s="503" t="s">
        <v>5888</v>
      </c>
      <c r="C310" s="504">
        <v>146580.59</v>
      </c>
    </row>
    <row r="311" spans="1:3" ht="15.75" customHeight="1">
      <c r="A311" s="502" t="s">
        <v>2082</v>
      </c>
      <c r="B311" s="503" t="s">
        <v>5889</v>
      </c>
      <c r="C311" s="504">
        <v>144902.10999999999</v>
      </c>
    </row>
    <row r="312" spans="1:3" ht="15.75" customHeight="1">
      <c r="A312" s="502" t="s">
        <v>234</v>
      </c>
      <c r="B312" s="503" t="s">
        <v>5809</v>
      </c>
      <c r="C312" s="504">
        <v>144868.98000000001</v>
      </c>
    </row>
    <row r="313" spans="1:3" ht="15.75" customHeight="1">
      <c r="A313" s="502" t="s">
        <v>2382</v>
      </c>
      <c r="B313" s="503" t="s">
        <v>5890</v>
      </c>
      <c r="C313" s="504">
        <v>144651.72</v>
      </c>
    </row>
    <row r="314" spans="1:3" ht="15.75" customHeight="1">
      <c r="A314" s="502" t="s">
        <v>2452</v>
      </c>
      <c r="B314" s="503" t="s">
        <v>5599</v>
      </c>
      <c r="C314" s="504">
        <v>144513.67000000001</v>
      </c>
    </row>
    <row r="315" spans="1:3" ht="15.75" customHeight="1">
      <c r="A315" s="502" t="s">
        <v>660</v>
      </c>
      <c r="B315" s="503" t="s">
        <v>5891</v>
      </c>
      <c r="C315" s="504">
        <v>143604.74</v>
      </c>
    </row>
    <row r="316" spans="1:3" ht="15.75" customHeight="1">
      <c r="A316" s="502" t="s">
        <v>156</v>
      </c>
      <c r="B316" s="503" t="s">
        <v>5892</v>
      </c>
      <c r="C316" s="504">
        <v>143591.19</v>
      </c>
    </row>
    <row r="317" spans="1:3" ht="15.75" customHeight="1">
      <c r="A317" s="502" t="s">
        <v>934</v>
      </c>
      <c r="B317" s="503" t="s">
        <v>5893</v>
      </c>
      <c r="C317" s="504">
        <v>143188.28</v>
      </c>
    </row>
    <row r="318" spans="1:3" ht="15.75" customHeight="1">
      <c r="A318" s="502" t="s">
        <v>1107</v>
      </c>
      <c r="B318" s="503" t="s">
        <v>5713</v>
      </c>
      <c r="C318" s="504">
        <v>143185.78</v>
      </c>
    </row>
    <row r="319" spans="1:3" ht="15.75" customHeight="1">
      <c r="A319" s="502" t="s">
        <v>2584</v>
      </c>
      <c r="B319" s="503" t="s">
        <v>5894</v>
      </c>
      <c r="C319" s="504">
        <v>142845</v>
      </c>
    </row>
    <row r="320" spans="1:3" ht="15.75" customHeight="1">
      <c r="A320" s="502" t="s">
        <v>1281</v>
      </c>
      <c r="B320" s="503" t="s">
        <v>5594</v>
      </c>
      <c r="C320" s="504">
        <v>142813.18</v>
      </c>
    </row>
    <row r="321" spans="1:3" ht="15.75" customHeight="1">
      <c r="A321" s="502" t="s">
        <v>2356</v>
      </c>
      <c r="B321" s="503" t="s">
        <v>5427</v>
      </c>
      <c r="C321" s="504">
        <v>142561.88</v>
      </c>
    </row>
    <row r="322" spans="1:3" ht="15.75" customHeight="1">
      <c r="A322" s="502" t="s">
        <v>2654</v>
      </c>
      <c r="B322" s="503" t="s">
        <v>5895</v>
      </c>
      <c r="C322" s="504">
        <v>142285.07</v>
      </c>
    </row>
    <row r="323" spans="1:3" ht="15.75" customHeight="1">
      <c r="A323" s="502" t="s">
        <v>2238</v>
      </c>
      <c r="B323" s="503" t="s">
        <v>5451</v>
      </c>
      <c r="C323" s="504">
        <v>142197.31</v>
      </c>
    </row>
    <row r="324" spans="1:3" ht="15.75" customHeight="1">
      <c r="A324" s="502" t="s">
        <v>1173</v>
      </c>
      <c r="B324" s="503" t="s">
        <v>5896</v>
      </c>
      <c r="C324" s="504">
        <v>140944.82</v>
      </c>
    </row>
    <row r="325" spans="1:3" ht="15.75" customHeight="1">
      <c r="A325" s="502" t="s">
        <v>1864</v>
      </c>
      <c r="B325" s="503" t="s">
        <v>5506</v>
      </c>
      <c r="C325" s="504">
        <v>140891.82999999999</v>
      </c>
    </row>
    <row r="326" spans="1:3" ht="15.75" customHeight="1">
      <c r="A326" s="502" t="s">
        <v>2008</v>
      </c>
      <c r="B326" s="503" t="s">
        <v>5817</v>
      </c>
      <c r="C326" s="504">
        <v>140068.63</v>
      </c>
    </row>
    <row r="327" spans="1:3" ht="15.75" customHeight="1">
      <c r="A327" s="502" t="s">
        <v>2691</v>
      </c>
      <c r="B327" s="503" t="s">
        <v>5897</v>
      </c>
      <c r="C327" s="504">
        <v>137616.97</v>
      </c>
    </row>
    <row r="328" spans="1:3" ht="15.75" customHeight="1">
      <c r="A328" s="502" t="s">
        <v>2028</v>
      </c>
      <c r="B328" s="503" t="s">
        <v>5898</v>
      </c>
      <c r="C328" s="504">
        <v>137424.06</v>
      </c>
    </row>
    <row r="329" spans="1:3" ht="15.75" customHeight="1">
      <c r="A329" s="502" t="s">
        <v>1104</v>
      </c>
      <c r="B329" s="503" t="s">
        <v>5713</v>
      </c>
      <c r="C329" s="504">
        <v>136094.26999999999</v>
      </c>
    </row>
    <row r="330" spans="1:3" ht="15.75" customHeight="1">
      <c r="A330" s="502" t="s">
        <v>2529</v>
      </c>
      <c r="B330" s="503" t="s">
        <v>5899</v>
      </c>
      <c r="C330" s="504">
        <v>135271.64000000001</v>
      </c>
    </row>
    <row r="331" spans="1:3" ht="15.75" customHeight="1">
      <c r="A331" s="502" t="s">
        <v>1366</v>
      </c>
      <c r="B331" s="503" t="s">
        <v>5789</v>
      </c>
      <c r="C331" s="504">
        <v>130214.33</v>
      </c>
    </row>
    <row r="332" spans="1:3" ht="15.75" customHeight="1">
      <c r="A332" s="502" t="s">
        <v>2089</v>
      </c>
      <c r="B332" s="503" t="s">
        <v>5900</v>
      </c>
      <c r="C332" s="504">
        <v>129308.75</v>
      </c>
    </row>
    <row r="333" spans="1:3" ht="15.75" customHeight="1">
      <c r="A333" s="502" t="s">
        <v>2110</v>
      </c>
      <c r="B333" s="503" t="s">
        <v>5467</v>
      </c>
      <c r="C333" s="504">
        <v>129122.11</v>
      </c>
    </row>
    <row r="334" spans="1:3" ht="15.75" customHeight="1">
      <c r="A334" s="502" t="s">
        <v>2211</v>
      </c>
      <c r="B334" s="503" t="s">
        <v>5901</v>
      </c>
      <c r="C334" s="504">
        <v>129060.75</v>
      </c>
    </row>
    <row r="335" spans="1:3" ht="15.75" customHeight="1">
      <c r="A335" s="502" t="s">
        <v>852</v>
      </c>
      <c r="B335" s="503" t="s">
        <v>5633</v>
      </c>
      <c r="C335" s="504">
        <v>126961.92</v>
      </c>
    </row>
    <row r="336" spans="1:3" ht="15.75" customHeight="1">
      <c r="A336" s="502" t="s">
        <v>1044</v>
      </c>
      <c r="B336" s="503" t="s">
        <v>5781</v>
      </c>
      <c r="C336" s="504">
        <v>124417.94</v>
      </c>
    </row>
    <row r="337" spans="1:3" ht="15.75" customHeight="1">
      <c r="A337" s="502" t="s">
        <v>1557</v>
      </c>
      <c r="B337" s="503" t="s">
        <v>5902</v>
      </c>
      <c r="C337" s="504">
        <v>122616.56</v>
      </c>
    </row>
    <row r="338" spans="1:3" ht="15.75" customHeight="1">
      <c r="A338" s="502" t="s">
        <v>1787</v>
      </c>
      <c r="B338" s="503" t="s">
        <v>5687</v>
      </c>
      <c r="C338" s="504">
        <v>121546.38</v>
      </c>
    </row>
    <row r="339" spans="1:3" ht="15.75" customHeight="1">
      <c r="A339" s="502" t="s">
        <v>2565</v>
      </c>
      <c r="B339" s="503" t="s">
        <v>5903</v>
      </c>
      <c r="C339" s="504">
        <v>121379.94</v>
      </c>
    </row>
    <row r="340" spans="1:3" ht="15.75" customHeight="1">
      <c r="A340" s="502" t="s">
        <v>454</v>
      </c>
      <c r="B340" s="503" t="s">
        <v>5904</v>
      </c>
      <c r="C340" s="504">
        <v>121222.62</v>
      </c>
    </row>
    <row r="341" spans="1:3" ht="15.75" customHeight="1">
      <c r="A341" s="502" t="s">
        <v>1512</v>
      </c>
      <c r="B341" s="503" t="s">
        <v>5452</v>
      </c>
      <c r="C341" s="504">
        <v>116150.61</v>
      </c>
    </row>
    <row r="342" spans="1:3" ht="15.75" customHeight="1">
      <c r="A342" s="502" t="s">
        <v>2585</v>
      </c>
      <c r="B342" s="503" t="s">
        <v>5894</v>
      </c>
      <c r="C342" s="504">
        <v>114537.49</v>
      </c>
    </row>
    <row r="343" spans="1:3" ht="15.75" customHeight="1">
      <c r="A343" s="502" t="s">
        <v>5905</v>
      </c>
      <c r="B343" s="503" t="s">
        <v>5906</v>
      </c>
      <c r="C343" s="504">
        <v>113953.07980000001</v>
      </c>
    </row>
    <row r="344" spans="1:3" ht="15.75" customHeight="1">
      <c r="A344" s="502" t="s">
        <v>2277</v>
      </c>
      <c r="B344" s="503" t="s">
        <v>5653</v>
      </c>
      <c r="C344" s="504">
        <v>113407.7</v>
      </c>
    </row>
    <row r="345" spans="1:3" ht="15.75" customHeight="1">
      <c r="A345" s="502" t="s">
        <v>821</v>
      </c>
      <c r="B345" s="503" t="s">
        <v>5907</v>
      </c>
      <c r="C345" s="504">
        <v>112907.68</v>
      </c>
    </row>
    <row r="346" spans="1:3" ht="15.75" customHeight="1">
      <c r="A346" s="502" t="s">
        <v>1733</v>
      </c>
      <c r="B346" s="503" t="s">
        <v>5493</v>
      </c>
      <c r="C346" s="504">
        <v>111133.87</v>
      </c>
    </row>
    <row r="347" spans="1:3" ht="15.75" customHeight="1">
      <c r="A347" s="502" t="s">
        <v>5908</v>
      </c>
      <c r="B347" s="503" t="s">
        <v>5909</v>
      </c>
      <c r="C347" s="504">
        <v>110895.88</v>
      </c>
    </row>
    <row r="348" spans="1:3" ht="15.75" customHeight="1">
      <c r="A348" s="502" t="s">
        <v>375</v>
      </c>
      <c r="B348" s="503" t="s">
        <v>5474</v>
      </c>
      <c r="C348" s="504">
        <v>109968.7</v>
      </c>
    </row>
    <row r="349" spans="1:3" ht="15.75" customHeight="1">
      <c r="A349" s="502" t="s">
        <v>2764</v>
      </c>
      <c r="B349" s="503" t="s">
        <v>5454</v>
      </c>
      <c r="C349" s="504">
        <v>109093.31</v>
      </c>
    </row>
    <row r="350" spans="1:3" ht="15.75" customHeight="1">
      <c r="A350" s="502" t="s">
        <v>2268</v>
      </c>
      <c r="B350" s="503" t="s">
        <v>5653</v>
      </c>
      <c r="C350" s="504">
        <v>108519.74</v>
      </c>
    </row>
    <row r="351" spans="1:3" ht="15.75" customHeight="1">
      <c r="A351" s="502" t="s">
        <v>1644</v>
      </c>
      <c r="B351" s="503" t="s">
        <v>5731</v>
      </c>
      <c r="C351" s="504">
        <v>107165.29</v>
      </c>
    </row>
    <row r="352" spans="1:3" ht="15.75" customHeight="1">
      <c r="A352" s="502" t="s">
        <v>580</v>
      </c>
      <c r="B352" s="503" t="s">
        <v>5910</v>
      </c>
      <c r="C352" s="504">
        <v>107086.79</v>
      </c>
    </row>
    <row r="353" spans="1:3" ht="15.75" customHeight="1">
      <c r="A353" s="502" t="s">
        <v>2873</v>
      </c>
      <c r="B353" s="503" t="s">
        <v>5911</v>
      </c>
      <c r="C353" s="504">
        <v>105298.43</v>
      </c>
    </row>
    <row r="354" spans="1:3" ht="15.75" customHeight="1">
      <c r="A354" s="502" t="s">
        <v>1824</v>
      </c>
      <c r="B354" s="503" t="s">
        <v>5518</v>
      </c>
      <c r="C354" s="504">
        <v>105177.72</v>
      </c>
    </row>
    <row r="355" spans="1:3" ht="15.75" customHeight="1">
      <c r="A355" s="502" t="s">
        <v>2539</v>
      </c>
      <c r="B355" s="503" t="s">
        <v>5821</v>
      </c>
      <c r="C355" s="504">
        <v>104730.13</v>
      </c>
    </row>
    <row r="356" spans="1:3" ht="15.75" customHeight="1">
      <c r="A356" s="502" t="s">
        <v>246</v>
      </c>
      <c r="B356" s="503" t="s">
        <v>5886</v>
      </c>
      <c r="C356" s="504">
        <v>104571.48</v>
      </c>
    </row>
    <row r="357" spans="1:3" ht="15.75" customHeight="1">
      <c r="A357" s="502" t="s">
        <v>1192</v>
      </c>
      <c r="B357" s="503" t="s">
        <v>5912</v>
      </c>
      <c r="C357" s="504">
        <v>104137.23</v>
      </c>
    </row>
    <row r="358" spans="1:3" ht="15.75" customHeight="1">
      <c r="A358" s="502" t="s">
        <v>1125</v>
      </c>
      <c r="B358" s="503" t="s">
        <v>5913</v>
      </c>
      <c r="C358" s="504">
        <v>104069.48</v>
      </c>
    </row>
    <row r="359" spans="1:3" ht="15.75" customHeight="1">
      <c r="A359" s="502" t="s">
        <v>623</v>
      </c>
      <c r="B359" s="503" t="s">
        <v>5914</v>
      </c>
      <c r="C359" s="504">
        <v>103494.2</v>
      </c>
    </row>
    <row r="360" spans="1:3" ht="15.75" customHeight="1">
      <c r="A360" s="502" t="s">
        <v>709</v>
      </c>
      <c r="B360" s="503" t="s">
        <v>5524</v>
      </c>
      <c r="C360" s="504">
        <v>102703.47</v>
      </c>
    </row>
    <row r="361" spans="1:3" ht="15.75" customHeight="1">
      <c r="A361" s="502" t="s">
        <v>28</v>
      </c>
      <c r="B361" s="503" t="s">
        <v>5649</v>
      </c>
      <c r="C361" s="504">
        <v>102630.88</v>
      </c>
    </row>
    <row r="362" spans="1:3" ht="15.75" customHeight="1">
      <c r="A362" s="502" t="s">
        <v>190</v>
      </c>
      <c r="B362" s="503" t="s">
        <v>5915</v>
      </c>
      <c r="C362" s="504">
        <v>102488.57</v>
      </c>
    </row>
    <row r="363" spans="1:3" ht="15.75" customHeight="1">
      <c r="A363" s="502" t="s">
        <v>1622</v>
      </c>
      <c r="B363" s="503" t="s">
        <v>5540</v>
      </c>
      <c r="C363" s="504">
        <v>101738.51</v>
      </c>
    </row>
    <row r="364" spans="1:3" ht="15.75" customHeight="1">
      <c r="A364" s="502" t="s">
        <v>1121</v>
      </c>
      <c r="B364" s="503" t="s">
        <v>5916</v>
      </c>
      <c r="C364" s="504">
        <v>101297.68</v>
      </c>
    </row>
    <row r="365" spans="1:3" ht="15.75" customHeight="1">
      <c r="A365" s="502" t="s">
        <v>2434</v>
      </c>
      <c r="B365" s="503" t="s">
        <v>5686</v>
      </c>
      <c r="C365" s="504">
        <v>99709.58</v>
      </c>
    </row>
    <row r="366" spans="1:3" ht="15.75" customHeight="1">
      <c r="A366" s="502" t="s">
        <v>2076</v>
      </c>
      <c r="B366" s="503" t="s">
        <v>5917</v>
      </c>
      <c r="C366" s="504">
        <v>99317.52</v>
      </c>
    </row>
    <row r="367" spans="1:3" ht="15.75" customHeight="1">
      <c r="A367" s="502" t="s">
        <v>2729</v>
      </c>
      <c r="B367" s="503" t="s">
        <v>5607</v>
      </c>
      <c r="C367" s="504">
        <v>98378.47</v>
      </c>
    </row>
    <row r="368" spans="1:3" ht="15.75" customHeight="1">
      <c r="A368" s="502" t="s">
        <v>2416</v>
      </c>
      <c r="B368" s="503" t="s">
        <v>5918</v>
      </c>
      <c r="C368" s="504">
        <v>96812.76</v>
      </c>
    </row>
    <row r="369" spans="1:3" ht="15.75" customHeight="1">
      <c r="A369" s="502" t="s">
        <v>652</v>
      </c>
      <c r="B369" s="503" t="s">
        <v>5751</v>
      </c>
      <c r="C369" s="504">
        <v>96482.06</v>
      </c>
    </row>
    <row r="370" spans="1:3" ht="15.75" customHeight="1">
      <c r="A370" s="502" t="s">
        <v>737</v>
      </c>
      <c r="B370" s="503" t="s">
        <v>5791</v>
      </c>
      <c r="C370" s="504">
        <v>95677.01</v>
      </c>
    </row>
    <row r="371" spans="1:3" ht="15.75" customHeight="1">
      <c r="A371" s="502" t="s">
        <v>2666</v>
      </c>
      <c r="B371" s="503" t="s">
        <v>5663</v>
      </c>
      <c r="C371" s="504">
        <v>94682.37</v>
      </c>
    </row>
    <row r="372" spans="1:3" ht="15.75" customHeight="1">
      <c r="A372" s="502" t="s">
        <v>554</v>
      </c>
      <c r="B372" s="503" t="s">
        <v>5435</v>
      </c>
      <c r="C372" s="504">
        <v>94029.81</v>
      </c>
    </row>
    <row r="373" spans="1:3" ht="15.75" customHeight="1">
      <c r="A373" s="502" t="s">
        <v>842</v>
      </c>
      <c r="B373" s="503" t="s">
        <v>5633</v>
      </c>
      <c r="C373" s="504">
        <v>93602.63</v>
      </c>
    </row>
    <row r="374" spans="1:3" ht="15.75" customHeight="1">
      <c r="A374" s="502" t="s">
        <v>1592</v>
      </c>
      <c r="B374" s="503" t="s">
        <v>5919</v>
      </c>
      <c r="C374" s="504">
        <v>93037.93</v>
      </c>
    </row>
    <row r="375" spans="1:3" ht="15.75" customHeight="1">
      <c r="A375" s="502" t="s">
        <v>1003</v>
      </c>
      <c r="B375" s="503" t="s">
        <v>5920</v>
      </c>
      <c r="C375" s="504">
        <v>91826.54</v>
      </c>
    </row>
    <row r="376" spans="1:3" ht="15.75" customHeight="1">
      <c r="A376" s="502" t="s">
        <v>1999</v>
      </c>
      <c r="B376" s="503" t="s">
        <v>5429</v>
      </c>
      <c r="C376" s="504">
        <v>90698.880000000005</v>
      </c>
    </row>
    <row r="377" spans="1:3" ht="15.75" customHeight="1">
      <c r="A377" s="502" t="s">
        <v>2747</v>
      </c>
      <c r="B377" s="503" t="s">
        <v>5757</v>
      </c>
      <c r="C377" s="504">
        <v>88958.7</v>
      </c>
    </row>
    <row r="378" spans="1:3" ht="15.75" customHeight="1">
      <c r="A378" s="502" t="s">
        <v>180</v>
      </c>
      <c r="B378" s="503" t="s">
        <v>5530</v>
      </c>
      <c r="C378" s="504">
        <v>88794.41</v>
      </c>
    </row>
    <row r="379" spans="1:3" ht="15.75" customHeight="1">
      <c r="A379" s="502" t="s">
        <v>1501</v>
      </c>
      <c r="B379" s="503" t="s">
        <v>5452</v>
      </c>
      <c r="C379" s="504">
        <v>83242.759999999995</v>
      </c>
    </row>
    <row r="380" spans="1:3" ht="15.75" customHeight="1">
      <c r="A380" s="502" t="s">
        <v>5921</v>
      </c>
      <c r="B380" s="503" t="s">
        <v>5481</v>
      </c>
      <c r="C380" s="504">
        <v>82413.31</v>
      </c>
    </row>
    <row r="381" spans="1:3" ht="15.75" customHeight="1">
      <c r="A381" s="502" t="s">
        <v>1375</v>
      </c>
      <c r="B381" s="503" t="s">
        <v>5819</v>
      </c>
      <c r="C381" s="504">
        <v>82004.649999999994</v>
      </c>
    </row>
    <row r="382" spans="1:3" ht="15.75" customHeight="1">
      <c r="A382" s="502" t="s">
        <v>2474</v>
      </c>
      <c r="B382" s="503" t="s">
        <v>5495</v>
      </c>
      <c r="C382" s="504">
        <v>78858.83</v>
      </c>
    </row>
    <row r="383" spans="1:3" ht="15.75" customHeight="1">
      <c r="A383" s="502" t="s">
        <v>332</v>
      </c>
      <c r="B383" s="503" t="s">
        <v>5481</v>
      </c>
      <c r="C383" s="504">
        <v>78688.460000000006</v>
      </c>
    </row>
    <row r="384" spans="1:3" ht="15.75" customHeight="1">
      <c r="A384" s="502" t="s">
        <v>2341</v>
      </c>
      <c r="B384" s="503" t="s">
        <v>5669</v>
      </c>
      <c r="C384" s="504">
        <v>78347.33</v>
      </c>
    </row>
    <row r="385" spans="1:3" ht="15.75" customHeight="1">
      <c r="A385" s="502" t="s">
        <v>951</v>
      </c>
      <c r="B385" s="503" t="s">
        <v>5893</v>
      </c>
      <c r="C385" s="504">
        <v>75069.97</v>
      </c>
    </row>
    <row r="386" spans="1:3" ht="15.75" customHeight="1">
      <c r="A386" s="502" t="s">
        <v>1577</v>
      </c>
      <c r="B386" s="503" t="s">
        <v>5922</v>
      </c>
      <c r="C386" s="504">
        <v>75031.06</v>
      </c>
    </row>
    <row r="387" spans="1:3" ht="15.75" customHeight="1">
      <c r="A387" s="502" t="s">
        <v>2235</v>
      </c>
      <c r="B387" s="503" t="s">
        <v>5579</v>
      </c>
      <c r="C387" s="504">
        <v>74483.7</v>
      </c>
    </row>
    <row r="388" spans="1:3" ht="15.75" customHeight="1">
      <c r="A388" s="502" t="s">
        <v>460</v>
      </c>
      <c r="B388" s="503" t="s">
        <v>5923</v>
      </c>
      <c r="C388" s="504">
        <v>74409.649999999994</v>
      </c>
    </row>
    <row r="389" spans="1:3" ht="15.75" customHeight="1">
      <c r="A389" s="502" t="s">
        <v>2732</v>
      </c>
      <c r="B389" s="503" t="s">
        <v>5607</v>
      </c>
      <c r="C389" s="504">
        <v>73974.7</v>
      </c>
    </row>
    <row r="390" spans="1:3" ht="15.75" customHeight="1">
      <c r="A390" s="502" t="s">
        <v>2813</v>
      </c>
      <c r="B390" s="503" t="s">
        <v>5924</v>
      </c>
      <c r="C390" s="504">
        <v>72630.28</v>
      </c>
    </row>
    <row r="391" spans="1:3" ht="15.75" customHeight="1">
      <c r="A391" s="502" t="s">
        <v>809</v>
      </c>
      <c r="B391" s="503" t="s">
        <v>5925</v>
      </c>
      <c r="C391" s="504">
        <v>72012.679999999993</v>
      </c>
    </row>
    <row r="392" spans="1:3" ht="15.75" customHeight="1">
      <c r="A392" s="502" t="s">
        <v>2724</v>
      </c>
      <c r="B392" s="503" t="s">
        <v>5926</v>
      </c>
      <c r="C392" s="504">
        <v>70455.199999999997</v>
      </c>
    </row>
    <row r="393" spans="1:3" ht="15.75" customHeight="1">
      <c r="A393" s="502" t="s">
        <v>1851</v>
      </c>
      <c r="B393" s="503" t="s">
        <v>5927</v>
      </c>
      <c r="C393" s="504">
        <v>69397.05</v>
      </c>
    </row>
    <row r="394" spans="1:3" ht="15.75" customHeight="1">
      <c r="A394" s="502" t="s">
        <v>2498</v>
      </c>
      <c r="B394" s="503" t="s">
        <v>5557</v>
      </c>
      <c r="C394" s="504">
        <v>69218.34</v>
      </c>
    </row>
    <row r="395" spans="1:3" ht="15.75" customHeight="1">
      <c r="A395" s="502" t="s">
        <v>968</v>
      </c>
      <c r="B395" s="503" t="s">
        <v>5881</v>
      </c>
      <c r="C395" s="504">
        <v>66661.91</v>
      </c>
    </row>
    <row r="396" spans="1:3" ht="15.75" customHeight="1">
      <c r="A396" s="502" t="s">
        <v>2648</v>
      </c>
      <c r="B396" s="503" t="s">
        <v>5928</v>
      </c>
      <c r="C396" s="504">
        <v>65668.12</v>
      </c>
    </row>
    <row r="397" spans="1:3" ht="15.75" customHeight="1">
      <c r="A397" s="502" t="s">
        <v>2582</v>
      </c>
      <c r="B397" s="503" t="s">
        <v>5894</v>
      </c>
      <c r="C397" s="504">
        <v>64746.86</v>
      </c>
    </row>
    <row r="398" spans="1:3" ht="15.75" customHeight="1">
      <c r="A398" s="502" t="s">
        <v>1074</v>
      </c>
      <c r="B398" s="503" t="s">
        <v>5929</v>
      </c>
      <c r="C398" s="504">
        <v>64281.09</v>
      </c>
    </row>
    <row r="399" spans="1:3" ht="15.75" customHeight="1">
      <c r="A399" s="502" t="s">
        <v>1070</v>
      </c>
      <c r="B399" s="503" t="s">
        <v>5929</v>
      </c>
      <c r="C399" s="504">
        <v>61876.5</v>
      </c>
    </row>
    <row r="400" spans="1:3" ht="15.75" customHeight="1">
      <c r="A400" s="502" t="s">
        <v>1462</v>
      </c>
      <c r="B400" s="503" t="s">
        <v>5930</v>
      </c>
      <c r="C400" s="504">
        <v>60121.440000000002</v>
      </c>
    </row>
    <row r="401" spans="1:3" ht="15.75" customHeight="1">
      <c r="A401" s="502" t="s">
        <v>642</v>
      </c>
      <c r="B401" s="503" t="s">
        <v>5931</v>
      </c>
      <c r="C401" s="504">
        <v>59915</v>
      </c>
    </row>
    <row r="402" spans="1:3" ht="15.75" customHeight="1">
      <c r="A402" s="502" t="s">
        <v>2501</v>
      </c>
      <c r="B402" s="503" t="s">
        <v>5557</v>
      </c>
      <c r="C402" s="504">
        <v>59291.89</v>
      </c>
    </row>
    <row r="403" spans="1:3" ht="15.75" customHeight="1">
      <c r="A403" s="502" t="s">
        <v>1195</v>
      </c>
      <c r="B403" s="503" t="s">
        <v>5912</v>
      </c>
      <c r="C403" s="504">
        <v>59200.08</v>
      </c>
    </row>
    <row r="404" spans="1:3" ht="15.75" customHeight="1">
      <c r="A404" s="502" t="s">
        <v>2575</v>
      </c>
      <c r="B404" s="503" t="s">
        <v>5932</v>
      </c>
      <c r="C404" s="504">
        <v>58144.81</v>
      </c>
    </row>
    <row r="405" spans="1:3" ht="15.75" customHeight="1">
      <c r="A405" s="502" t="s">
        <v>1837</v>
      </c>
      <c r="B405" s="503" t="s">
        <v>5933</v>
      </c>
      <c r="C405" s="504">
        <v>57933.24</v>
      </c>
    </row>
    <row r="406" spans="1:3" ht="15.75" customHeight="1">
      <c r="A406" s="502" t="s">
        <v>1425</v>
      </c>
      <c r="B406" s="503" t="s">
        <v>5646</v>
      </c>
      <c r="C406" s="504">
        <v>54506.05</v>
      </c>
    </row>
    <row r="407" spans="1:3" ht="15.75" customHeight="1">
      <c r="A407" s="502" t="s">
        <v>959</v>
      </c>
      <c r="B407" s="503" t="s">
        <v>5934</v>
      </c>
      <c r="C407" s="504">
        <v>53358.42</v>
      </c>
    </row>
    <row r="408" spans="1:3" ht="15.75" customHeight="1">
      <c r="A408" s="502" t="s">
        <v>892</v>
      </c>
      <c r="B408" s="503" t="s">
        <v>5935</v>
      </c>
      <c r="C408" s="504">
        <v>52549.37</v>
      </c>
    </row>
    <row r="409" spans="1:3" ht="15.75" customHeight="1">
      <c r="A409" s="502" t="s">
        <v>2189</v>
      </c>
      <c r="B409" s="503" t="s">
        <v>5936</v>
      </c>
      <c r="C409" s="504">
        <v>51364.32</v>
      </c>
    </row>
    <row r="410" spans="1:3" ht="15.75" customHeight="1">
      <c r="A410" s="502" t="s">
        <v>1673</v>
      </c>
      <c r="B410" s="503" t="s">
        <v>5937</v>
      </c>
      <c r="C410" s="504">
        <v>50847.91</v>
      </c>
    </row>
    <row r="411" spans="1:3" ht="15.75" customHeight="1">
      <c r="A411" s="502" t="s">
        <v>2780</v>
      </c>
      <c r="B411" s="503" t="s">
        <v>5938</v>
      </c>
      <c r="C411" s="504">
        <v>50371.17</v>
      </c>
    </row>
    <row r="412" spans="1:3" ht="15.75" customHeight="1">
      <c r="A412" s="502" t="s">
        <v>664</v>
      </c>
      <c r="B412" s="503" t="s">
        <v>5879</v>
      </c>
      <c r="C412" s="504">
        <v>50261.56</v>
      </c>
    </row>
    <row r="413" spans="1:3" ht="15.75" customHeight="1">
      <c r="A413" s="502" t="s">
        <v>5939</v>
      </c>
      <c r="B413" s="503" t="s">
        <v>5512</v>
      </c>
      <c r="C413" s="504">
        <v>49400.45</v>
      </c>
    </row>
    <row r="414" spans="1:3" ht="15.75" customHeight="1">
      <c r="A414" s="502" t="s">
        <v>1728</v>
      </c>
      <c r="B414" s="503" t="s">
        <v>5795</v>
      </c>
      <c r="C414" s="504">
        <v>48226.09</v>
      </c>
    </row>
    <row r="415" spans="1:3" ht="15.75" customHeight="1">
      <c r="A415" s="502" t="s">
        <v>2354</v>
      </c>
      <c r="B415" s="503" t="s">
        <v>5427</v>
      </c>
      <c r="C415" s="504">
        <v>47539.56</v>
      </c>
    </row>
    <row r="416" spans="1:3" ht="15.75" customHeight="1">
      <c r="A416" s="502" t="s">
        <v>1676</v>
      </c>
      <c r="B416" s="503" t="s">
        <v>5937</v>
      </c>
      <c r="C416" s="504">
        <v>46180.47</v>
      </c>
    </row>
    <row r="417" spans="1:3" ht="15.75" customHeight="1">
      <c r="A417" s="502" t="s">
        <v>2057</v>
      </c>
      <c r="B417" s="503" t="s">
        <v>5629</v>
      </c>
      <c r="C417" s="504">
        <v>45131.01</v>
      </c>
    </row>
    <row r="418" spans="1:3" ht="15.75" customHeight="1">
      <c r="A418" s="502" t="s">
        <v>1198</v>
      </c>
      <c r="B418" s="503" t="s">
        <v>5940</v>
      </c>
      <c r="C418" s="504">
        <v>45036.42</v>
      </c>
    </row>
    <row r="419" spans="1:3" ht="15.75" customHeight="1">
      <c r="A419" s="502" t="s">
        <v>714</v>
      </c>
      <c r="B419" s="503" t="s">
        <v>5524</v>
      </c>
      <c r="C419" s="504">
        <v>44781.87</v>
      </c>
    </row>
    <row r="420" spans="1:3" ht="15.75" customHeight="1">
      <c r="A420" s="502" t="s">
        <v>5941</v>
      </c>
      <c r="B420" s="503" t="s">
        <v>5893</v>
      </c>
      <c r="C420" s="504">
        <v>42871.3</v>
      </c>
    </row>
    <row r="421" spans="1:3" ht="15.75" customHeight="1">
      <c r="A421" s="502" t="s">
        <v>2490</v>
      </c>
      <c r="B421" s="503" t="s">
        <v>5557</v>
      </c>
      <c r="C421" s="504">
        <v>40366.36</v>
      </c>
    </row>
    <row r="422" spans="1:3" ht="15.75" customHeight="1">
      <c r="A422" s="502" t="s">
        <v>392</v>
      </c>
      <c r="B422" s="503" t="s">
        <v>5942</v>
      </c>
      <c r="C422" s="504">
        <v>40158.94</v>
      </c>
    </row>
    <row r="423" spans="1:3" ht="15.75" customHeight="1">
      <c r="A423" s="502" t="s">
        <v>1634</v>
      </c>
      <c r="B423" s="503" t="s">
        <v>5469</v>
      </c>
      <c r="C423" s="504">
        <v>38762.14</v>
      </c>
    </row>
    <row r="424" spans="1:3" ht="15.75" customHeight="1">
      <c r="A424" s="502" t="s">
        <v>407</v>
      </c>
      <c r="B424" s="503" t="s">
        <v>5943</v>
      </c>
      <c r="C424" s="504">
        <v>37539.910000000003</v>
      </c>
    </row>
    <row r="425" spans="1:3" ht="15.75" customHeight="1">
      <c r="A425" s="502" t="s">
        <v>1612</v>
      </c>
      <c r="B425" s="503" t="s">
        <v>5643</v>
      </c>
      <c r="C425" s="504">
        <v>37269.879999999997</v>
      </c>
    </row>
    <row r="426" spans="1:3" ht="15.75" customHeight="1">
      <c r="A426" s="502" t="s">
        <v>2681</v>
      </c>
      <c r="B426" s="503" t="s">
        <v>5944</v>
      </c>
      <c r="C426" s="504">
        <v>36865.51</v>
      </c>
    </row>
    <row r="427" spans="1:3" ht="15.75" customHeight="1">
      <c r="A427" s="502" t="s">
        <v>1383</v>
      </c>
      <c r="B427" s="503" t="s">
        <v>5945</v>
      </c>
      <c r="C427" s="504">
        <v>35446.54</v>
      </c>
    </row>
    <row r="428" spans="1:3" ht="15.75" customHeight="1">
      <c r="A428" s="502" t="s">
        <v>2001</v>
      </c>
      <c r="B428" s="503" t="s">
        <v>5946</v>
      </c>
      <c r="C428" s="504">
        <v>35111.07</v>
      </c>
    </row>
    <row r="429" spans="1:3" ht="15.75" customHeight="1">
      <c r="A429" s="502" t="s">
        <v>799</v>
      </c>
      <c r="B429" s="503" t="s">
        <v>5421</v>
      </c>
      <c r="C429" s="504">
        <v>34950.620000000003</v>
      </c>
    </row>
    <row r="430" spans="1:3" ht="15.75" customHeight="1">
      <c r="A430" s="502" t="s">
        <v>2569</v>
      </c>
      <c r="B430" s="503" t="s">
        <v>5903</v>
      </c>
      <c r="C430" s="504">
        <v>34597.440000000002</v>
      </c>
    </row>
    <row r="431" spans="1:3" ht="15.75" customHeight="1">
      <c r="A431" s="502" t="s">
        <v>5947</v>
      </c>
      <c r="B431" s="503" t="s">
        <v>5948</v>
      </c>
      <c r="C431" s="504">
        <v>32310.400000000001</v>
      </c>
    </row>
    <row r="432" spans="1:3" ht="15.75" customHeight="1">
      <c r="A432" s="502" t="s">
        <v>5949</v>
      </c>
      <c r="B432" s="503" t="s">
        <v>5950</v>
      </c>
      <c r="C432" s="504">
        <v>31919.37</v>
      </c>
    </row>
    <row r="433" spans="1:3" ht="15.75" customHeight="1">
      <c r="A433" s="502" t="s">
        <v>2810</v>
      </c>
      <c r="B433" s="503" t="s">
        <v>5924</v>
      </c>
      <c r="C433" s="504">
        <v>30620.12</v>
      </c>
    </row>
    <row r="434" spans="1:3" ht="15.75" customHeight="1">
      <c r="A434" s="502" t="s">
        <v>1236</v>
      </c>
      <c r="B434" s="503" t="s">
        <v>5951</v>
      </c>
      <c r="C434" s="504">
        <v>30446.55</v>
      </c>
    </row>
    <row r="435" spans="1:3" ht="15.75" customHeight="1">
      <c r="A435" s="502" t="s">
        <v>276</v>
      </c>
      <c r="B435" s="503" t="s">
        <v>5952</v>
      </c>
      <c r="C435" s="504">
        <v>30381.18</v>
      </c>
    </row>
    <row r="436" spans="1:3" ht="15.75" customHeight="1">
      <c r="A436" s="502" t="s">
        <v>722</v>
      </c>
      <c r="B436" s="503" t="s">
        <v>5953</v>
      </c>
      <c r="C436" s="504">
        <v>30051.51</v>
      </c>
    </row>
    <row r="437" spans="1:3" ht="15.75" customHeight="1">
      <c r="A437" s="502" t="s">
        <v>382</v>
      </c>
      <c r="B437" s="503" t="s">
        <v>5582</v>
      </c>
      <c r="C437" s="504">
        <v>29992.57</v>
      </c>
    </row>
    <row r="438" spans="1:3" ht="15.75" customHeight="1">
      <c r="A438" s="502" t="s">
        <v>1568</v>
      </c>
      <c r="B438" s="503" t="s">
        <v>5954</v>
      </c>
      <c r="C438" s="504">
        <v>29449.93</v>
      </c>
    </row>
    <row r="439" spans="1:3" ht="15.75" customHeight="1">
      <c r="A439" s="502" t="s">
        <v>812</v>
      </c>
      <c r="B439" s="503" t="s">
        <v>5955</v>
      </c>
      <c r="C439" s="504">
        <v>29426.15</v>
      </c>
    </row>
    <row r="440" spans="1:3" ht="15.75" customHeight="1">
      <c r="A440" s="502" t="s">
        <v>2022</v>
      </c>
      <c r="B440" s="503" t="s">
        <v>5884</v>
      </c>
      <c r="C440" s="504">
        <v>28696.98</v>
      </c>
    </row>
    <row r="441" spans="1:3" ht="15.75" customHeight="1">
      <c r="A441" s="502" t="s">
        <v>1360</v>
      </c>
      <c r="B441" s="503" t="s">
        <v>5956</v>
      </c>
      <c r="C441" s="504">
        <v>28276.799999999999</v>
      </c>
    </row>
    <row r="442" spans="1:3" ht="15.75" customHeight="1">
      <c r="A442" s="502" t="s">
        <v>2147</v>
      </c>
      <c r="B442" s="503" t="s">
        <v>5957</v>
      </c>
      <c r="C442" s="504">
        <v>27967.599999999999</v>
      </c>
    </row>
    <row r="443" spans="1:3" ht="15.75" customHeight="1">
      <c r="A443" s="502" t="s">
        <v>149</v>
      </c>
      <c r="B443" s="503" t="s">
        <v>5892</v>
      </c>
      <c r="C443" s="504">
        <v>25116.98</v>
      </c>
    </row>
    <row r="444" spans="1:3" ht="15.75" customHeight="1">
      <c r="A444" s="502" t="s">
        <v>1453</v>
      </c>
      <c r="B444" s="503" t="s">
        <v>5958</v>
      </c>
      <c r="C444" s="504">
        <v>24749.88</v>
      </c>
    </row>
    <row r="445" spans="1:3" ht="15.75" customHeight="1">
      <c r="A445" s="502" t="s">
        <v>1166</v>
      </c>
      <c r="B445" s="503" t="s">
        <v>5896</v>
      </c>
      <c r="C445" s="504">
        <v>24746.15</v>
      </c>
    </row>
    <row r="446" spans="1:3" ht="15.75" customHeight="1">
      <c r="A446" s="502" t="s">
        <v>5959</v>
      </c>
      <c r="B446" s="503" t="s">
        <v>5646</v>
      </c>
      <c r="C446" s="504">
        <v>24357.48</v>
      </c>
    </row>
    <row r="447" spans="1:3" ht="15.75" customHeight="1">
      <c r="A447" s="502" t="s">
        <v>2294</v>
      </c>
      <c r="B447" s="503" t="s">
        <v>5512</v>
      </c>
      <c r="C447" s="504">
        <v>24335.47</v>
      </c>
    </row>
    <row r="448" spans="1:3" ht="15.75" customHeight="1">
      <c r="A448" s="502" t="s">
        <v>847</v>
      </c>
      <c r="B448" s="503" t="s">
        <v>5633</v>
      </c>
      <c r="C448" s="504">
        <v>23821.759999999998</v>
      </c>
    </row>
    <row r="449" spans="1:3" ht="15.75" customHeight="1">
      <c r="A449" s="502" t="s">
        <v>526</v>
      </c>
      <c r="B449" s="503" t="s">
        <v>5960</v>
      </c>
      <c r="C449" s="504">
        <v>22886.54</v>
      </c>
    </row>
    <row r="450" spans="1:3" ht="15.75" customHeight="1">
      <c r="A450" s="502" t="s">
        <v>360</v>
      </c>
      <c r="B450" s="503" t="s">
        <v>5474</v>
      </c>
      <c r="C450" s="504">
        <v>22488.19</v>
      </c>
    </row>
    <row r="451" spans="1:3" ht="15.75" customHeight="1">
      <c r="A451" s="502" t="s">
        <v>2620</v>
      </c>
      <c r="B451" s="503" t="s">
        <v>5961</v>
      </c>
      <c r="C451" s="504">
        <v>22093.48</v>
      </c>
    </row>
    <row r="452" spans="1:3" ht="15.75" customHeight="1">
      <c r="A452" s="502" t="s">
        <v>2418</v>
      </c>
      <c r="B452" s="503" t="s">
        <v>5962</v>
      </c>
      <c r="C452" s="504">
        <v>21884.02</v>
      </c>
    </row>
    <row r="453" spans="1:3" ht="15.75" customHeight="1">
      <c r="A453" s="502" t="s">
        <v>1811</v>
      </c>
      <c r="B453" s="503" t="s">
        <v>5518</v>
      </c>
      <c r="C453" s="504">
        <v>20570.400000000001</v>
      </c>
    </row>
    <row r="454" spans="1:3" ht="15.75" customHeight="1">
      <c r="A454" s="502" t="s">
        <v>517</v>
      </c>
      <c r="B454" s="503" t="s">
        <v>5963</v>
      </c>
      <c r="C454" s="504">
        <v>19199.11</v>
      </c>
    </row>
    <row r="455" spans="1:3" ht="15.75" customHeight="1">
      <c r="A455" s="502" t="s">
        <v>1113</v>
      </c>
      <c r="B455" s="503" t="s">
        <v>5713</v>
      </c>
      <c r="C455" s="504">
        <v>18838.23</v>
      </c>
    </row>
    <row r="456" spans="1:3" ht="15.75" customHeight="1">
      <c r="A456" s="502" t="s">
        <v>2720</v>
      </c>
      <c r="B456" s="503" t="s">
        <v>5926</v>
      </c>
      <c r="C456" s="504">
        <v>18386.02</v>
      </c>
    </row>
    <row r="457" spans="1:3" ht="15.75" customHeight="1">
      <c r="A457" s="502" t="s">
        <v>2030</v>
      </c>
      <c r="B457" s="503" t="s">
        <v>5898</v>
      </c>
      <c r="C457" s="504">
        <v>15249.62</v>
      </c>
    </row>
    <row r="458" spans="1:3" ht="15.75" customHeight="1">
      <c r="A458" s="502" t="s">
        <v>1179</v>
      </c>
      <c r="B458" s="503" t="s">
        <v>5896</v>
      </c>
      <c r="C458" s="504">
        <v>15162.57</v>
      </c>
    </row>
    <row r="459" spans="1:3" ht="15.75" customHeight="1">
      <c r="A459" s="502" t="s">
        <v>2053</v>
      </c>
      <c r="B459" s="503" t="s">
        <v>5629</v>
      </c>
      <c r="C459" s="504">
        <v>13901.94</v>
      </c>
    </row>
    <row r="460" spans="1:3" ht="15.75" customHeight="1">
      <c r="A460" s="502" t="s">
        <v>475</v>
      </c>
      <c r="B460" s="503" t="s">
        <v>5768</v>
      </c>
      <c r="C460" s="504">
        <v>12624.18</v>
      </c>
    </row>
    <row r="461" spans="1:3" ht="15.75" customHeight="1">
      <c r="A461" s="502" t="s">
        <v>1792</v>
      </c>
      <c r="B461" s="503" t="s">
        <v>5964</v>
      </c>
      <c r="C461" s="504">
        <v>11966.34</v>
      </c>
    </row>
    <row r="462" spans="1:3" ht="15.75" customHeight="1">
      <c r="A462" s="502" t="s">
        <v>507</v>
      </c>
      <c r="B462" s="503" t="s">
        <v>5965</v>
      </c>
      <c r="C462" s="504">
        <v>10628.49</v>
      </c>
    </row>
    <row r="463" spans="1:3" ht="15.75" customHeight="1">
      <c r="A463" s="502" t="s">
        <v>1818</v>
      </c>
      <c r="B463" s="503" t="s">
        <v>5518</v>
      </c>
      <c r="C463" s="504">
        <v>10527.62</v>
      </c>
    </row>
    <row r="464" spans="1:3" ht="15.75" customHeight="1">
      <c r="A464" s="502" t="s">
        <v>1770</v>
      </c>
      <c r="B464" s="503" t="s">
        <v>5687</v>
      </c>
      <c r="C464" s="504">
        <v>10480.08</v>
      </c>
    </row>
    <row r="465" spans="1:3" ht="15.75" customHeight="1">
      <c r="A465" s="502" t="s">
        <v>5966</v>
      </c>
      <c r="B465" s="503" t="s">
        <v>5967</v>
      </c>
      <c r="C465" s="504">
        <v>10462.26</v>
      </c>
    </row>
    <row r="466" spans="1:3" ht="15.75" customHeight="1">
      <c r="A466" s="502" t="s">
        <v>5968</v>
      </c>
      <c r="B466" s="503" t="s">
        <v>5443</v>
      </c>
      <c r="C466" s="504">
        <v>9173.23</v>
      </c>
    </row>
    <row r="467" spans="1:3" ht="15.75" customHeight="1">
      <c r="A467" s="502" t="s">
        <v>5969</v>
      </c>
      <c r="B467" s="503" t="s">
        <v>5970</v>
      </c>
      <c r="C467" s="504">
        <v>8424.2900000000009</v>
      </c>
    </row>
    <row r="468" spans="1:3" ht="15.75" customHeight="1">
      <c r="A468" s="502" t="s">
        <v>2784</v>
      </c>
      <c r="B468" s="503" t="s">
        <v>5938</v>
      </c>
      <c r="C468" s="504">
        <v>7779.59</v>
      </c>
    </row>
    <row r="469" spans="1:3" ht="15.75" customHeight="1">
      <c r="A469" s="502" t="s">
        <v>481</v>
      </c>
      <c r="B469" s="503" t="s">
        <v>5768</v>
      </c>
      <c r="C469" s="504">
        <v>7563.88</v>
      </c>
    </row>
    <row r="470" spans="1:3" ht="15.75" customHeight="1">
      <c r="A470" s="502" t="s">
        <v>2675</v>
      </c>
      <c r="B470" s="503" t="s">
        <v>5971</v>
      </c>
      <c r="C470" s="504">
        <v>7175.85</v>
      </c>
    </row>
    <row r="471" spans="1:3" ht="15.75" customHeight="1">
      <c r="A471" s="502" t="s">
        <v>2391</v>
      </c>
      <c r="B471" s="503" t="s">
        <v>5972</v>
      </c>
      <c r="C471" s="504">
        <v>6362.23</v>
      </c>
    </row>
    <row r="472" spans="1:3" ht="15.75" customHeight="1">
      <c r="A472" s="502" t="s">
        <v>5973</v>
      </c>
      <c r="B472" s="503" t="s">
        <v>5449</v>
      </c>
      <c r="C472" s="504">
        <v>5836.93</v>
      </c>
    </row>
    <row r="473" spans="1:3" ht="15.75" customHeight="1">
      <c r="A473" s="502" t="s">
        <v>5974</v>
      </c>
      <c r="B473" s="503" t="s">
        <v>5975</v>
      </c>
      <c r="C473" s="504">
        <v>5635.58</v>
      </c>
    </row>
    <row r="474" spans="1:3" ht="15.75" customHeight="1">
      <c r="A474" s="502" t="s">
        <v>2262</v>
      </c>
      <c r="B474" s="503" t="s">
        <v>5653</v>
      </c>
      <c r="C474" s="504">
        <v>5313.56</v>
      </c>
    </row>
    <row r="475" spans="1:3" ht="15.75" customHeight="1">
      <c r="A475" s="502" t="s">
        <v>5976</v>
      </c>
      <c r="B475" s="503" t="s">
        <v>5977</v>
      </c>
      <c r="C475" s="504">
        <v>5154.8</v>
      </c>
    </row>
    <row r="476" spans="1:3" ht="15.75" customHeight="1">
      <c r="A476" s="502" t="s">
        <v>170</v>
      </c>
      <c r="B476" s="503" t="s">
        <v>5978</v>
      </c>
      <c r="C476" s="504">
        <v>5020.83</v>
      </c>
    </row>
    <row r="477" spans="1:3" ht="15.75" customHeight="1">
      <c r="A477" s="502" t="s">
        <v>1687</v>
      </c>
      <c r="B477" s="503" t="s">
        <v>5979</v>
      </c>
      <c r="C477" s="504">
        <v>5013.41</v>
      </c>
    </row>
    <row r="478" spans="1:3" ht="15.75" customHeight="1">
      <c r="A478" s="502" t="s">
        <v>5980</v>
      </c>
      <c r="B478" s="503" t="s">
        <v>5981</v>
      </c>
      <c r="C478" s="504">
        <v>4834.87</v>
      </c>
    </row>
    <row r="479" spans="1:3" ht="15.75" customHeight="1">
      <c r="A479" s="502" t="s">
        <v>1387</v>
      </c>
      <c r="B479" s="503" t="s">
        <v>5982</v>
      </c>
      <c r="C479" s="504">
        <v>4812.6899999999996</v>
      </c>
    </row>
    <row r="480" spans="1:3" ht="15.75" customHeight="1">
      <c r="A480" s="502" t="s">
        <v>5983</v>
      </c>
      <c r="B480" s="503" t="s">
        <v>5964</v>
      </c>
      <c r="C480" s="504">
        <v>4738.08</v>
      </c>
    </row>
    <row r="481" spans="1:3" ht="15.75" customHeight="1">
      <c r="A481" s="502" t="s">
        <v>536</v>
      </c>
      <c r="B481" s="503" t="s">
        <v>5435</v>
      </c>
      <c r="C481" s="504">
        <v>4736.0600000000004</v>
      </c>
    </row>
    <row r="482" spans="1:3" ht="15.75" customHeight="1">
      <c r="A482" s="502" t="s">
        <v>2166</v>
      </c>
      <c r="B482" s="503" t="s">
        <v>5984</v>
      </c>
      <c r="C482" s="504">
        <v>4331.96</v>
      </c>
    </row>
    <row r="483" spans="1:3" ht="15.75" customHeight="1">
      <c r="A483" s="502" t="s">
        <v>1290</v>
      </c>
      <c r="B483" s="503" t="s">
        <v>5594</v>
      </c>
      <c r="C483" s="504">
        <v>4292</v>
      </c>
    </row>
    <row r="484" spans="1:3" ht="15.75" customHeight="1">
      <c r="A484" s="502" t="s">
        <v>379</v>
      </c>
      <c r="B484" s="503" t="s">
        <v>5582</v>
      </c>
      <c r="C484" s="504">
        <v>4271.3999999999996</v>
      </c>
    </row>
    <row r="485" spans="1:3" ht="15.75" customHeight="1">
      <c r="A485" s="502" t="s">
        <v>5985</v>
      </c>
      <c r="B485" s="503" t="s">
        <v>5615</v>
      </c>
      <c r="C485" s="504">
        <v>4225.93</v>
      </c>
    </row>
    <row r="486" spans="1:3" ht="15.75" customHeight="1">
      <c r="A486" s="502" t="s">
        <v>845</v>
      </c>
      <c r="B486" s="503" t="s">
        <v>5633</v>
      </c>
      <c r="C486" s="504">
        <v>4111.33</v>
      </c>
    </row>
    <row r="487" spans="1:3" ht="15.75" customHeight="1">
      <c r="A487" s="502" t="s">
        <v>1802</v>
      </c>
      <c r="B487" s="503" t="s">
        <v>5518</v>
      </c>
      <c r="C487" s="504">
        <v>3792.6</v>
      </c>
    </row>
    <row r="488" spans="1:3" ht="15.75" customHeight="1">
      <c r="A488" s="502" t="s">
        <v>5986</v>
      </c>
      <c r="B488" s="503" t="s">
        <v>5512</v>
      </c>
      <c r="C488" s="504">
        <v>3514.92</v>
      </c>
    </row>
    <row r="489" spans="1:3" ht="15.75" customHeight="1">
      <c r="A489" s="502" t="s">
        <v>2325</v>
      </c>
      <c r="B489" s="503" t="s">
        <v>5987</v>
      </c>
      <c r="C489" s="504">
        <v>3188.13</v>
      </c>
    </row>
    <row r="490" spans="1:3" ht="15.75" customHeight="1">
      <c r="A490" s="502" t="s">
        <v>1834</v>
      </c>
      <c r="B490" s="503" t="s">
        <v>5988</v>
      </c>
      <c r="C490" s="504">
        <v>2443.0700000000002</v>
      </c>
    </row>
    <row r="491" spans="1:3" ht="15.75" customHeight="1">
      <c r="A491" s="502" t="s">
        <v>927</v>
      </c>
      <c r="B491" s="503" t="s">
        <v>5989</v>
      </c>
      <c r="C491" s="504">
        <v>2246.36</v>
      </c>
    </row>
    <row r="492" spans="1:3" ht="15.75" customHeight="1">
      <c r="A492" s="502" t="s">
        <v>2705</v>
      </c>
      <c r="B492" s="503" t="s">
        <v>5990</v>
      </c>
      <c r="C492" s="504">
        <v>2221.12</v>
      </c>
    </row>
    <row r="493" spans="1:3" ht="15.75" customHeight="1">
      <c r="A493" s="502" t="s">
        <v>2366</v>
      </c>
      <c r="B493" s="503" t="s">
        <v>5427</v>
      </c>
      <c r="C493" s="504">
        <v>2209.44</v>
      </c>
    </row>
    <row r="494" spans="1:3" ht="15.75" customHeight="1">
      <c r="A494" s="502" t="s">
        <v>2832</v>
      </c>
      <c r="B494" s="503" t="s">
        <v>5671</v>
      </c>
      <c r="C494" s="504">
        <v>1554.8</v>
      </c>
    </row>
    <row r="495" spans="1:3" ht="15.75" customHeight="1">
      <c r="A495" s="502" t="s">
        <v>5991</v>
      </c>
      <c r="B495" s="503" t="s">
        <v>5992</v>
      </c>
      <c r="C495" s="504">
        <v>1551.06</v>
      </c>
    </row>
    <row r="496" spans="1:3" ht="15.75" customHeight="1">
      <c r="A496" s="502" t="s">
        <v>909</v>
      </c>
      <c r="B496" s="503" t="s">
        <v>5423</v>
      </c>
      <c r="C496" s="504">
        <v>1539.51</v>
      </c>
    </row>
    <row r="497" spans="1:3" ht="15.75" customHeight="1">
      <c r="A497" s="502" t="s">
        <v>2410</v>
      </c>
      <c r="B497" s="503" t="s">
        <v>5918</v>
      </c>
      <c r="C497" s="504">
        <v>1359.09</v>
      </c>
    </row>
    <row r="498" spans="1:3" ht="15.75" customHeight="1">
      <c r="A498" s="502" t="s">
        <v>2710</v>
      </c>
      <c r="B498" s="503" t="s">
        <v>5694</v>
      </c>
      <c r="C498" s="504">
        <v>1197.1199999999999</v>
      </c>
    </row>
    <row r="499" spans="1:3" ht="15.75" customHeight="1">
      <c r="A499" s="502" t="s">
        <v>783</v>
      </c>
      <c r="B499" s="503" t="s">
        <v>5870</v>
      </c>
      <c r="C499" s="504">
        <v>1135.5999999999999</v>
      </c>
    </row>
    <row r="500" spans="1:3" ht="15.75" customHeight="1">
      <c r="A500" s="502" t="s">
        <v>2362</v>
      </c>
      <c r="B500" s="503" t="s">
        <v>5427</v>
      </c>
      <c r="C500" s="504">
        <v>968.77</v>
      </c>
    </row>
    <row r="501" spans="1:3" ht="15.75" customHeight="1">
      <c r="A501" s="502" t="s">
        <v>1415</v>
      </c>
      <c r="B501" s="503" t="s">
        <v>5993</v>
      </c>
      <c r="C501" s="504">
        <v>932.63</v>
      </c>
    </row>
    <row r="502" spans="1:3" ht="15.75" customHeight="1">
      <c r="A502" s="502" t="s">
        <v>369</v>
      </c>
      <c r="B502" s="503" t="s">
        <v>5474</v>
      </c>
      <c r="C502" s="504">
        <v>911.6</v>
      </c>
    </row>
    <row r="503" spans="1:3" ht="15.75" customHeight="1">
      <c r="A503" s="502" t="s">
        <v>2511</v>
      </c>
      <c r="B503" s="503" t="s">
        <v>5557</v>
      </c>
      <c r="C503" s="504">
        <v>902.31</v>
      </c>
    </row>
    <row r="504" spans="1:3" ht="15.75" customHeight="1">
      <c r="A504" s="502" t="s">
        <v>907</v>
      </c>
      <c r="B504" s="503" t="s">
        <v>5423</v>
      </c>
      <c r="C504" s="504">
        <v>834.76</v>
      </c>
    </row>
    <row r="505" spans="1:3" ht="15.75" customHeight="1">
      <c r="A505" s="502" t="s">
        <v>1132</v>
      </c>
      <c r="B505" s="503" t="s">
        <v>5777</v>
      </c>
      <c r="C505" s="504">
        <v>828.17</v>
      </c>
    </row>
    <row r="506" spans="1:3" ht="15.75" customHeight="1">
      <c r="A506" s="502" t="s">
        <v>2413</v>
      </c>
      <c r="B506" s="503" t="s">
        <v>5918</v>
      </c>
      <c r="C506" s="504">
        <v>787.07</v>
      </c>
    </row>
    <row r="507" spans="1:3" ht="15.75" customHeight="1">
      <c r="A507" s="502" t="s">
        <v>636</v>
      </c>
      <c r="B507" s="503" t="s">
        <v>5994</v>
      </c>
      <c r="C507" s="504">
        <v>758.14</v>
      </c>
    </row>
    <row r="508" spans="1:3" ht="15.75" customHeight="1">
      <c r="A508" s="502" t="s">
        <v>2032</v>
      </c>
      <c r="B508" s="503" t="s">
        <v>5898</v>
      </c>
      <c r="C508" s="504">
        <v>731.62</v>
      </c>
    </row>
    <row r="509" spans="1:3" ht="15.75" customHeight="1">
      <c r="A509" s="502" t="s">
        <v>5995</v>
      </c>
      <c r="B509" s="503" t="s">
        <v>5945</v>
      </c>
      <c r="C509" s="504">
        <v>725.68</v>
      </c>
    </row>
    <row r="510" spans="1:3" ht="15.75" customHeight="1">
      <c r="A510" s="502" t="s">
        <v>5996</v>
      </c>
      <c r="B510" s="503" t="s">
        <v>5997</v>
      </c>
      <c r="C510" s="504">
        <v>710.86</v>
      </c>
    </row>
    <row r="511" spans="1:3" ht="15.75" customHeight="1">
      <c r="A511" s="502" t="s">
        <v>1176</v>
      </c>
      <c r="B511" s="503" t="s">
        <v>5896</v>
      </c>
      <c r="C511" s="504">
        <v>515.75</v>
      </c>
    </row>
    <row r="512" spans="1:3" ht="15.75" customHeight="1">
      <c r="A512" s="502" t="s">
        <v>1936</v>
      </c>
      <c r="B512" s="503" t="s">
        <v>5998</v>
      </c>
      <c r="C512" s="504">
        <v>459.56</v>
      </c>
    </row>
    <row r="513" spans="1:3" ht="15.75" customHeight="1">
      <c r="A513" s="502" t="s">
        <v>1408</v>
      </c>
      <c r="B513" s="503" t="s">
        <v>5999</v>
      </c>
      <c r="C513" s="504">
        <v>450.45</v>
      </c>
    </row>
    <row r="514" spans="1:3" ht="15.75" customHeight="1">
      <c r="A514" s="502" t="s">
        <v>1781</v>
      </c>
      <c r="B514" s="503" t="s">
        <v>5687</v>
      </c>
      <c r="C514" s="504">
        <v>421.28</v>
      </c>
    </row>
    <row r="515" spans="1:3" ht="15.75" customHeight="1">
      <c r="A515" s="502" t="s">
        <v>1619</v>
      </c>
      <c r="B515" s="503" t="s">
        <v>5540</v>
      </c>
      <c r="C515" s="504">
        <v>372.27</v>
      </c>
    </row>
    <row r="516" spans="1:3" ht="15.75" customHeight="1">
      <c r="A516" s="502" t="s">
        <v>1422</v>
      </c>
      <c r="B516" s="503" t="s">
        <v>5646</v>
      </c>
      <c r="C516" s="504">
        <v>327.02</v>
      </c>
    </row>
    <row r="517" spans="1:3" ht="15.75" customHeight="1">
      <c r="A517" s="502" t="s">
        <v>464</v>
      </c>
      <c r="B517" s="503" t="s">
        <v>6000</v>
      </c>
      <c r="C517" s="504">
        <v>310.27</v>
      </c>
    </row>
    <row r="518" spans="1:3" ht="15.75" customHeight="1">
      <c r="A518" s="502" t="s">
        <v>750</v>
      </c>
      <c r="B518" s="503" t="s">
        <v>6001</v>
      </c>
      <c r="C518" s="504">
        <v>307.14</v>
      </c>
    </row>
    <row r="519" spans="1:3" ht="15.75" customHeight="1">
      <c r="A519" s="502" t="s">
        <v>2134</v>
      </c>
      <c r="B519" s="503" t="s">
        <v>5857</v>
      </c>
      <c r="C519" s="504">
        <v>273.07</v>
      </c>
    </row>
    <row r="520" spans="1:3" ht="15.75" customHeight="1">
      <c r="A520" s="502" t="s">
        <v>1777</v>
      </c>
      <c r="B520" s="503" t="s">
        <v>5687</v>
      </c>
      <c r="C520" s="504">
        <v>263.83</v>
      </c>
    </row>
    <row r="521" spans="1:3" ht="15.75" customHeight="1">
      <c r="A521" s="502" t="s">
        <v>2553</v>
      </c>
      <c r="B521" s="503" t="s">
        <v>6002</v>
      </c>
      <c r="C521" s="504">
        <v>257.3</v>
      </c>
    </row>
    <row r="522" spans="1:3" ht="15.75" customHeight="1">
      <c r="A522" s="502" t="s">
        <v>1309</v>
      </c>
      <c r="B522" s="503" t="s">
        <v>5651</v>
      </c>
      <c r="C522" s="504">
        <v>250.18</v>
      </c>
    </row>
    <row r="523" spans="1:3" ht="15.75" customHeight="1">
      <c r="A523" s="502" t="s">
        <v>1599</v>
      </c>
      <c r="B523" s="503" t="s">
        <v>6003</v>
      </c>
      <c r="C523" s="504">
        <v>228.12</v>
      </c>
    </row>
    <row r="524" spans="1:3" ht="15.75" customHeight="1">
      <c r="A524" s="502" t="s">
        <v>807</v>
      </c>
      <c r="B524" s="503" t="s">
        <v>5421</v>
      </c>
      <c r="C524" s="504">
        <v>219.13</v>
      </c>
    </row>
    <row r="525" spans="1:3" ht="15.75" customHeight="1">
      <c r="A525" s="502" t="s">
        <v>1468</v>
      </c>
      <c r="B525" s="503" t="s">
        <v>5501</v>
      </c>
      <c r="C525" s="504">
        <v>218.88</v>
      </c>
    </row>
    <row r="526" spans="1:3" ht="15.75" customHeight="1">
      <c r="A526" s="502" t="s">
        <v>1211</v>
      </c>
      <c r="B526" s="503" t="s">
        <v>6004</v>
      </c>
      <c r="C526" s="504">
        <v>200.05</v>
      </c>
    </row>
    <row r="527" spans="1:3" ht="15.75" customHeight="1">
      <c r="A527" s="502" t="s">
        <v>2455</v>
      </c>
      <c r="B527" s="503" t="s">
        <v>5599</v>
      </c>
      <c r="C527" s="504">
        <v>181.89</v>
      </c>
    </row>
    <row r="528" spans="1:3" ht="15.75" customHeight="1">
      <c r="A528" s="502" t="s">
        <v>2859</v>
      </c>
      <c r="B528" s="503" t="s">
        <v>6005</v>
      </c>
      <c r="C528" s="504">
        <v>180.58</v>
      </c>
    </row>
    <row r="529" spans="1:3" ht="15.75" customHeight="1">
      <c r="A529" s="502" t="s">
        <v>1084</v>
      </c>
      <c r="B529" s="503" t="s">
        <v>5584</v>
      </c>
      <c r="C529" s="504">
        <v>173.6</v>
      </c>
    </row>
    <row r="530" spans="1:3" ht="15.75" customHeight="1">
      <c r="A530" s="502" t="s">
        <v>6006</v>
      </c>
      <c r="B530" s="503" t="s">
        <v>5886</v>
      </c>
      <c r="C530" s="504">
        <v>169.22</v>
      </c>
    </row>
    <row r="531" spans="1:3" ht="15.75" customHeight="1">
      <c r="A531" s="502" t="s">
        <v>1254</v>
      </c>
      <c r="B531" s="503" t="s">
        <v>5499</v>
      </c>
      <c r="C531" s="504">
        <v>152.30000000000001</v>
      </c>
    </row>
    <row r="532" spans="1:3" ht="15.75" customHeight="1">
      <c r="A532" s="502" t="s">
        <v>2549</v>
      </c>
      <c r="B532" s="503" t="s">
        <v>5627</v>
      </c>
      <c r="C532" s="504">
        <v>148.16999999999999</v>
      </c>
    </row>
    <row r="533" spans="1:3" ht="15.75" customHeight="1">
      <c r="A533" s="502" t="s">
        <v>1149</v>
      </c>
      <c r="B533" s="503" t="s">
        <v>6007</v>
      </c>
      <c r="C533" s="504">
        <v>145.30000000000001</v>
      </c>
    </row>
    <row r="534" spans="1:3" ht="15.75" customHeight="1">
      <c r="A534" s="502" t="s">
        <v>657</v>
      </c>
      <c r="B534" s="503" t="s">
        <v>5891</v>
      </c>
      <c r="C534" s="504">
        <v>112.85</v>
      </c>
    </row>
    <row r="535" spans="1:3" ht="15.75" customHeight="1">
      <c r="A535" s="502" t="s">
        <v>1661</v>
      </c>
      <c r="B535" s="503" t="s">
        <v>5937</v>
      </c>
      <c r="C535" s="504">
        <v>106.84</v>
      </c>
    </row>
    <row r="536" spans="1:3" ht="15.75" customHeight="1">
      <c r="A536" s="502" t="s">
        <v>2039</v>
      </c>
      <c r="B536" s="503" t="s">
        <v>6008</v>
      </c>
      <c r="C536" s="506">
        <v>94.24</v>
      </c>
    </row>
    <row r="537" spans="1:3" ht="15.75" customHeight="1">
      <c r="A537" s="502" t="s">
        <v>1418</v>
      </c>
      <c r="B537" s="503" t="s">
        <v>5646</v>
      </c>
      <c r="C537" s="506">
        <v>86.38</v>
      </c>
    </row>
    <row r="538" spans="1:3" ht="15.75" customHeight="1">
      <c r="A538" s="502" t="s">
        <v>2291</v>
      </c>
      <c r="B538" s="503" t="s">
        <v>5512</v>
      </c>
      <c r="C538" s="506">
        <v>85.9</v>
      </c>
    </row>
    <row r="539" spans="1:3" ht="15.75" customHeight="1">
      <c r="A539" s="502" t="s">
        <v>1912</v>
      </c>
      <c r="B539" s="503" t="s">
        <v>5480</v>
      </c>
      <c r="C539" s="506">
        <v>68.430000000000007</v>
      </c>
    </row>
    <row r="540" spans="1:3" ht="15.75" customHeight="1">
      <c r="A540" s="502" t="s">
        <v>1088</v>
      </c>
      <c r="B540" s="503" t="s">
        <v>5584</v>
      </c>
      <c r="C540" s="506">
        <v>51.44</v>
      </c>
    </row>
    <row r="541" spans="1:3" ht="15.75" customHeight="1">
      <c r="A541" s="502" t="s">
        <v>2591</v>
      </c>
      <c r="B541" s="503" t="s">
        <v>6009</v>
      </c>
      <c r="C541" s="506">
        <v>50.63</v>
      </c>
    </row>
    <row r="542" spans="1:3" ht="15.75" customHeight="1">
      <c r="A542" s="502" t="s">
        <v>2525</v>
      </c>
      <c r="B542" s="503" t="s">
        <v>6010</v>
      </c>
      <c r="C542" s="506">
        <v>39.909999999999997</v>
      </c>
    </row>
    <row r="543" spans="1:3" ht="15.75" customHeight="1">
      <c r="A543" s="502" t="s">
        <v>1861</v>
      </c>
      <c r="B543" s="503" t="s">
        <v>5506</v>
      </c>
      <c r="C543" s="506">
        <v>35.29</v>
      </c>
    </row>
    <row r="544" spans="1:3" ht="15.75" customHeight="1">
      <c r="A544" s="502" t="s">
        <v>398</v>
      </c>
      <c r="B544" s="503" t="s">
        <v>6011</v>
      </c>
      <c r="C544" s="506">
        <v>31.25</v>
      </c>
    </row>
    <row r="545" spans="1:3" ht="15.75" customHeight="1">
      <c r="A545" s="502" t="s">
        <v>1638</v>
      </c>
      <c r="B545" s="503" t="s">
        <v>6012</v>
      </c>
      <c r="C545" s="506">
        <v>30.02</v>
      </c>
    </row>
    <row r="546" spans="1:3" ht="15.75" customHeight="1">
      <c r="A546" s="502" t="s">
        <v>2617</v>
      </c>
      <c r="B546" s="503" t="s">
        <v>5961</v>
      </c>
      <c r="C546" s="506">
        <v>30</v>
      </c>
    </row>
    <row r="547" spans="1:3" ht="15.75" customHeight="1">
      <c r="A547" s="502" t="s">
        <v>395</v>
      </c>
      <c r="B547" s="503" t="s">
        <v>5942</v>
      </c>
      <c r="C547" s="506">
        <v>28.73</v>
      </c>
    </row>
    <row r="548" spans="1:3" ht="15.75" customHeight="1">
      <c r="A548" s="502" t="s">
        <v>1229</v>
      </c>
      <c r="B548" s="503" t="s">
        <v>5588</v>
      </c>
      <c r="C548" s="506">
        <v>25.08</v>
      </c>
    </row>
    <row r="549" spans="1:3" ht="15.75" customHeight="1">
      <c r="A549" s="502" t="s">
        <v>2169</v>
      </c>
      <c r="B549" s="503" t="s">
        <v>6013</v>
      </c>
      <c r="C549" s="506">
        <v>21.52</v>
      </c>
    </row>
    <row r="550" spans="1:3" ht="15.75" customHeight="1">
      <c r="A550" s="502" t="s">
        <v>2856</v>
      </c>
      <c r="B550" s="503" t="s">
        <v>6014</v>
      </c>
      <c r="C550" s="506">
        <v>20.89</v>
      </c>
    </row>
    <row r="551" spans="1:3" ht="15.75" customHeight="1">
      <c r="A551" s="502" t="s">
        <v>1993</v>
      </c>
      <c r="B551" s="503" t="s">
        <v>5429</v>
      </c>
      <c r="C551" s="506">
        <v>20.75</v>
      </c>
    </row>
    <row r="552" spans="1:3" ht="15.75" customHeight="1">
      <c r="A552" s="502" t="s">
        <v>1185</v>
      </c>
      <c r="B552" s="503" t="s">
        <v>5896</v>
      </c>
      <c r="C552" s="506">
        <v>19.2</v>
      </c>
    </row>
    <row r="553" spans="1:3" ht="15.75" customHeight="1">
      <c r="A553" s="502" t="s">
        <v>288</v>
      </c>
      <c r="B553" s="503" t="s">
        <v>6015</v>
      </c>
      <c r="C553" s="506">
        <v>18.77</v>
      </c>
    </row>
    <row r="554" spans="1:3" ht="15.75" customHeight="1">
      <c r="A554" s="502" t="s">
        <v>2839</v>
      </c>
      <c r="B554" s="503" t="s">
        <v>6016</v>
      </c>
      <c r="C554" s="506">
        <v>14.67</v>
      </c>
    </row>
    <row r="555" spans="1:3" ht="15.75" customHeight="1">
      <c r="A555" s="502" t="s">
        <v>1923</v>
      </c>
      <c r="B555" s="503" t="s">
        <v>5480</v>
      </c>
      <c r="C555" s="506">
        <v>10.89</v>
      </c>
    </row>
    <row r="556" spans="1:3" ht="15.75" customHeight="1">
      <c r="A556" s="502" t="s">
        <v>1137</v>
      </c>
      <c r="B556" s="503" t="s">
        <v>6017</v>
      </c>
      <c r="C556" s="506">
        <v>9.7899999999999991</v>
      </c>
    </row>
    <row r="557" spans="1:3" ht="15.75" customHeight="1">
      <c r="A557" s="502" t="s">
        <v>633</v>
      </c>
      <c r="B557" s="503" t="s">
        <v>5994</v>
      </c>
      <c r="C557" s="506">
        <v>9.7200000000000006</v>
      </c>
    </row>
    <row r="558" spans="1:3" ht="15.75" customHeight="1">
      <c r="A558" s="502" t="s">
        <v>1443</v>
      </c>
      <c r="B558" s="503" t="s">
        <v>5646</v>
      </c>
      <c r="C558" s="506">
        <v>5.55</v>
      </c>
    </row>
    <row r="559" spans="1:3" ht="15.75" customHeight="1">
      <c r="A559" s="502" t="s">
        <v>1938</v>
      </c>
      <c r="B559" s="503" t="s">
        <v>5998</v>
      </c>
      <c r="C559" s="506">
        <v>4.4000000000000004</v>
      </c>
    </row>
    <row r="560" spans="1:3" ht="15.75" customHeight="1">
      <c r="A560" s="502" t="s">
        <v>312</v>
      </c>
      <c r="B560" s="503" t="s">
        <v>5481</v>
      </c>
      <c r="C560" s="506">
        <v>4.3</v>
      </c>
    </row>
    <row r="561" spans="1:3" ht="15.75" customHeight="1">
      <c r="A561" s="502" t="s">
        <v>1483</v>
      </c>
      <c r="B561" s="503" t="s">
        <v>5452</v>
      </c>
      <c r="C561" s="506">
        <v>3.74</v>
      </c>
    </row>
    <row r="562" spans="1:3" ht="15.75" customHeight="1">
      <c r="A562" s="502" t="s">
        <v>250</v>
      </c>
      <c r="B562" s="503" t="s">
        <v>5886</v>
      </c>
      <c r="C562" s="506">
        <v>1.7</v>
      </c>
    </row>
    <row r="563" spans="1:3" ht="15.75" customHeight="1">
      <c r="A563" s="502" t="s">
        <v>1261</v>
      </c>
      <c r="B563" s="503" t="s">
        <v>5499</v>
      </c>
      <c r="C563" s="506">
        <v>1.1000000000000001</v>
      </c>
    </row>
    <row r="564" spans="1:3" ht="15.75" customHeight="1">
      <c r="A564" s="502" t="s">
        <v>2799</v>
      </c>
      <c r="B564" s="503" t="s">
        <v>6018</v>
      </c>
      <c r="C564" s="506">
        <v>1</v>
      </c>
    </row>
    <row r="565" spans="1:3" ht="15.75" customHeight="1">
      <c r="A565" s="502" t="s">
        <v>974</v>
      </c>
      <c r="B565" s="503" t="s">
        <v>6019</v>
      </c>
      <c r="C565" s="506">
        <v>0.96</v>
      </c>
    </row>
    <row r="566" spans="1:3" ht="15.75" customHeight="1">
      <c r="A566" s="502" t="s">
        <v>1303</v>
      </c>
      <c r="B566" s="503" t="s">
        <v>6020</v>
      </c>
      <c r="C566" s="506">
        <v>0.88</v>
      </c>
    </row>
    <row r="567" spans="1:3" ht="15.75" customHeight="1">
      <c r="A567" s="502" t="s">
        <v>627</v>
      </c>
      <c r="B567" s="503" t="s">
        <v>5994</v>
      </c>
      <c r="C567" s="506">
        <v>0.85</v>
      </c>
    </row>
    <row r="568" spans="1:3" ht="15.75" customHeight="1">
      <c r="A568" s="502" t="s">
        <v>529</v>
      </c>
      <c r="B568" s="503" t="s">
        <v>6021</v>
      </c>
      <c r="C568" s="506">
        <v>0.78</v>
      </c>
    </row>
    <row r="569" spans="1:3" ht="15.75" customHeight="1">
      <c r="A569" s="502" t="s">
        <v>602</v>
      </c>
      <c r="B569" s="503" t="s">
        <v>5449</v>
      </c>
      <c r="C569" s="506">
        <v>0.69</v>
      </c>
    </row>
    <row r="570" spans="1:3" ht="15.75" customHeight="1">
      <c r="A570" s="502" t="s">
        <v>776</v>
      </c>
      <c r="B570" s="503" t="s">
        <v>6022</v>
      </c>
      <c r="C570" s="506">
        <v>0.62</v>
      </c>
    </row>
    <row r="571" spans="1:3" ht="15.75" customHeight="1">
      <c r="A571" s="502" t="s">
        <v>1377</v>
      </c>
      <c r="B571" s="503" t="s">
        <v>5945</v>
      </c>
      <c r="C571" s="506">
        <v>0.39</v>
      </c>
    </row>
    <row r="572" spans="1:3" ht="15.75" customHeight="1">
      <c r="A572" s="502" t="s">
        <v>779</v>
      </c>
      <c r="B572" s="503" t="s">
        <v>6023</v>
      </c>
      <c r="C572" s="506">
        <v>0.21</v>
      </c>
    </row>
    <row r="573" spans="1:3" ht="15.75" customHeight="1">
      <c r="A573" s="502" t="s">
        <v>1744</v>
      </c>
      <c r="B573" s="503" t="s">
        <v>5649</v>
      </c>
      <c r="C573" s="506">
        <v>0.17</v>
      </c>
    </row>
    <row r="574" spans="1:3" ht="15.75" customHeight="1">
      <c r="A574" s="502" t="s">
        <v>2807</v>
      </c>
      <c r="B574" s="503" t="s">
        <v>6024</v>
      </c>
      <c r="C574" s="506">
        <v>0.16</v>
      </c>
    </row>
    <row r="575" spans="1:3" ht="15.75" customHeight="1">
      <c r="A575" s="502" t="s">
        <v>1436</v>
      </c>
      <c r="B575" s="503" t="s">
        <v>5646</v>
      </c>
      <c r="C575" s="506">
        <v>0.15</v>
      </c>
    </row>
    <row r="576" spans="1:3" ht="15.75" customHeight="1">
      <c r="A576" s="502" t="s">
        <v>2150</v>
      </c>
      <c r="B576" s="503" t="s">
        <v>5538</v>
      </c>
      <c r="C576" s="506">
        <v>0.14000000000000001</v>
      </c>
    </row>
    <row r="577" spans="1:3" ht="15.75" customHeight="1">
      <c r="A577" s="502" t="s">
        <v>160</v>
      </c>
      <c r="B577" s="503" t="s">
        <v>5978</v>
      </c>
      <c r="C577" s="506">
        <v>0.09</v>
      </c>
    </row>
    <row r="578" spans="1:3" ht="15.75" customHeight="1">
      <c r="A578" s="502" t="s">
        <v>1170</v>
      </c>
      <c r="B578" s="503" t="s">
        <v>5896</v>
      </c>
      <c r="C578" s="506">
        <v>0.09</v>
      </c>
    </row>
    <row r="579" spans="1:3" ht="15.75" customHeight="1">
      <c r="A579" s="502" t="s">
        <v>2375</v>
      </c>
      <c r="B579" s="503" t="s">
        <v>5427</v>
      </c>
      <c r="C579" s="506">
        <v>0.04</v>
      </c>
    </row>
    <row r="580" spans="1:3" ht="15.75" customHeight="1">
      <c r="A580" s="502" t="s">
        <v>1163</v>
      </c>
      <c r="B580" s="503" t="s">
        <v>5896</v>
      </c>
      <c r="C580" s="506">
        <v>0.03</v>
      </c>
    </row>
    <row r="581" spans="1:3" ht="15.75" customHeight="1">
      <c r="A581" s="502" t="s">
        <v>1339</v>
      </c>
      <c r="B581" s="503" t="s">
        <v>5413</v>
      </c>
      <c r="C581" s="506">
        <v>0.02</v>
      </c>
    </row>
    <row r="582" spans="1:3" ht="15.75" customHeight="1">
      <c r="A582" s="502" t="s">
        <v>1276</v>
      </c>
      <c r="B582" s="503" t="s">
        <v>5499</v>
      </c>
      <c r="C582" s="506">
        <v>0.01</v>
      </c>
    </row>
    <row r="583" spans="1:3" ht="15.75" customHeight="1">
      <c r="A583" s="502" t="s">
        <v>2790</v>
      </c>
      <c r="B583" s="503" t="s">
        <v>6025</v>
      </c>
      <c r="C583" s="506">
        <v>0.01</v>
      </c>
    </row>
    <row r="584" spans="1:3" ht="15.75" customHeight="1">
      <c r="A584" s="502"/>
      <c r="B584" s="503"/>
      <c r="C584" s="506"/>
    </row>
    <row r="585" spans="1:3" ht="15.75" customHeight="1">
      <c r="A585" s="502"/>
      <c r="B585" s="503"/>
      <c r="C585" s="506"/>
    </row>
    <row r="586" spans="1:3" ht="15.75" customHeight="1">
      <c r="A586" s="502"/>
      <c r="B586" s="503"/>
      <c r="C586" s="506"/>
    </row>
    <row r="587" spans="1:3" ht="15.75" customHeight="1">
      <c r="A587" s="502"/>
      <c r="B587" s="503"/>
      <c r="C587" s="506"/>
    </row>
    <row r="588" spans="1:3" ht="15.75" customHeight="1">
      <c r="A588" s="502"/>
      <c r="B588" s="503"/>
      <c r="C588" s="506"/>
    </row>
    <row r="589" spans="1:3" ht="15.75" customHeight="1">
      <c r="A589" s="502"/>
      <c r="B589" s="503"/>
      <c r="C589" s="506"/>
    </row>
    <row r="590" spans="1:3" ht="15.75" customHeight="1">
      <c r="A590" s="502"/>
      <c r="B590" s="503"/>
      <c r="C590" s="506"/>
    </row>
    <row r="591" spans="1:3" ht="15.75" customHeight="1">
      <c r="A591" s="502"/>
      <c r="B591" s="503"/>
      <c r="C591" s="506"/>
    </row>
    <row r="592" spans="1:3" ht="15.75" customHeight="1">
      <c r="A592" s="502"/>
      <c r="B592" s="503"/>
      <c r="C592" s="506"/>
    </row>
    <row r="593" spans="1:3" ht="15.75" customHeight="1">
      <c r="A593" s="502"/>
      <c r="B593" s="503"/>
      <c r="C593" s="506"/>
    </row>
    <row r="594" spans="1:3" ht="15.75" customHeight="1">
      <c r="A594" s="502"/>
      <c r="B594" s="503"/>
      <c r="C594" s="506"/>
    </row>
    <row r="595" spans="1:3" ht="15.75" customHeight="1">
      <c r="A595" s="502"/>
      <c r="B595" s="503"/>
      <c r="C595" s="506"/>
    </row>
    <row r="596" spans="1:3" ht="15.75" customHeight="1">
      <c r="A596" s="502"/>
      <c r="B596" s="503"/>
      <c r="C596" s="506"/>
    </row>
    <row r="597" spans="1:3" ht="15.75" customHeight="1">
      <c r="A597" s="502"/>
      <c r="B597" s="503"/>
      <c r="C597" s="506"/>
    </row>
    <row r="598" spans="1:3" ht="15.75" customHeight="1">
      <c r="A598" s="502"/>
      <c r="B598" s="503"/>
      <c r="C598" s="506"/>
    </row>
    <row r="599" spans="1:3" ht="15.75" customHeight="1">
      <c r="A599" s="502"/>
      <c r="B599" s="503"/>
      <c r="C599" s="506"/>
    </row>
    <row r="600" spans="1:3" ht="15.75" customHeight="1">
      <c r="A600" s="502"/>
      <c r="B600" s="503"/>
      <c r="C600" s="506"/>
    </row>
    <row r="601" spans="1:3" ht="15.75" customHeight="1">
      <c r="A601" s="502"/>
      <c r="B601" s="503"/>
      <c r="C601" s="506"/>
    </row>
    <row r="602" spans="1:3" ht="15.75" customHeight="1">
      <c r="A602" s="502"/>
      <c r="B602" s="503"/>
      <c r="C602" s="506"/>
    </row>
    <row r="603" spans="1:3" ht="15.75" customHeight="1">
      <c r="A603" s="502"/>
      <c r="B603" s="503"/>
      <c r="C603" s="506"/>
    </row>
    <row r="604" spans="1:3" ht="15.75" customHeight="1">
      <c r="A604" s="502"/>
      <c r="B604" s="503"/>
      <c r="C604" s="506"/>
    </row>
    <row r="605" spans="1:3" ht="15.75" customHeight="1">
      <c r="A605" s="502"/>
      <c r="B605" s="503"/>
      <c r="C605" s="506"/>
    </row>
    <row r="606" spans="1:3" ht="15.75" customHeight="1">
      <c r="A606" s="502"/>
      <c r="B606" s="503"/>
      <c r="C606" s="506"/>
    </row>
    <row r="607" spans="1:3" ht="15.75" customHeight="1">
      <c r="A607" s="502"/>
      <c r="B607" s="503"/>
      <c r="C607" s="506"/>
    </row>
    <row r="608" spans="1:3" ht="15.75" customHeight="1">
      <c r="A608" s="502"/>
      <c r="B608" s="503"/>
      <c r="C608" s="506"/>
    </row>
    <row r="609" spans="1:3" ht="15.75" customHeight="1">
      <c r="A609" s="502"/>
      <c r="B609" s="503"/>
      <c r="C609" s="506"/>
    </row>
    <row r="610" spans="1:3" ht="15.75" customHeight="1">
      <c r="A610" s="502"/>
      <c r="B610" s="503"/>
      <c r="C610" s="506"/>
    </row>
    <row r="611" spans="1:3" ht="15.75" customHeight="1">
      <c r="A611" s="502"/>
      <c r="B611" s="503"/>
      <c r="C611" s="506"/>
    </row>
    <row r="612" spans="1:3" ht="15.75" customHeight="1">
      <c r="A612" s="502"/>
      <c r="B612" s="503"/>
      <c r="C612" s="506"/>
    </row>
    <row r="613" spans="1:3" ht="15.75" customHeight="1">
      <c r="A613" s="502"/>
      <c r="B613" s="503"/>
      <c r="C613" s="506"/>
    </row>
    <row r="614" spans="1:3" ht="15.75" customHeight="1">
      <c r="A614" s="502"/>
      <c r="B614" s="503"/>
      <c r="C614" s="506"/>
    </row>
    <row r="615" spans="1:3" ht="15.75" customHeight="1">
      <c r="A615" s="502"/>
      <c r="B615" s="503"/>
      <c r="C615" s="506"/>
    </row>
    <row r="616" spans="1:3" ht="15.75" customHeight="1">
      <c r="A616" s="502"/>
      <c r="B616" s="503"/>
      <c r="C616" s="506"/>
    </row>
    <row r="617" spans="1:3" ht="15.75" customHeight="1">
      <c r="A617" s="502"/>
      <c r="B617" s="503"/>
      <c r="C617" s="506"/>
    </row>
    <row r="618" spans="1:3" ht="15.75" customHeight="1">
      <c r="A618" s="502"/>
      <c r="B618" s="503"/>
      <c r="C618" s="506"/>
    </row>
    <row r="619" spans="1:3" ht="15.75" customHeight="1">
      <c r="A619" s="502"/>
      <c r="B619" s="503"/>
      <c r="C619" s="506"/>
    </row>
    <row r="620" spans="1:3" ht="15.75" customHeight="1">
      <c r="A620" s="502"/>
      <c r="B620" s="503"/>
      <c r="C620" s="506"/>
    </row>
    <row r="621" spans="1:3" ht="15.75" customHeight="1">
      <c r="A621" s="502"/>
      <c r="B621" s="503"/>
      <c r="C621" s="506"/>
    </row>
    <row r="622" spans="1:3" ht="15.75" customHeight="1">
      <c r="A622" s="502"/>
      <c r="B622" s="503"/>
      <c r="C622" s="506"/>
    </row>
    <row r="623" spans="1:3" ht="15.75" customHeight="1">
      <c r="A623" s="502"/>
      <c r="B623" s="503"/>
      <c r="C623" s="506"/>
    </row>
    <row r="624" spans="1:3" ht="15.75" customHeight="1">
      <c r="A624" s="502"/>
      <c r="B624" s="503"/>
      <c r="C624" s="506"/>
    </row>
    <row r="625" spans="1:3" ht="15.75" customHeight="1">
      <c r="A625" s="502"/>
      <c r="B625" s="503"/>
      <c r="C625" s="506"/>
    </row>
    <row r="626" spans="1:3" ht="15.75" customHeight="1">
      <c r="A626" s="502"/>
      <c r="B626" s="503"/>
      <c r="C626" s="506"/>
    </row>
    <row r="627" spans="1:3" ht="15.75" customHeight="1">
      <c r="A627" s="502"/>
      <c r="B627" s="503"/>
      <c r="C627" s="506"/>
    </row>
    <row r="628" spans="1:3" ht="15.75" customHeight="1">
      <c r="A628" s="502"/>
      <c r="B628" s="503"/>
      <c r="C628" s="506"/>
    </row>
    <row r="629" spans="1:3" ht="15.75" customHeight="1">
      <c r="A629" s="502"/>
      <c r="B629" s="503"/>
      <c r="C629" s="506"/>
    </row>
    <row r="630" spans="1:3" ht="15.75" customHeight="1">
      <c r="A630" s="502"/>
      <c r="B630" s="503"/>
      <c r="C630" s="506"/>
    </row>
    <row r="631" spans="1:3" ht="15.75" customHeight="1">
      <c r="A631" s="502"/>
      <c r="B631" s="503"/>
      <c r="C631" s="506"/>
    </row>
    <row r="632" spans="1:3" ht="15.75" customHeight="1">
      <c r="A632" s="502"/>
      <c r="B632" s="503"/>
      <c r="C632" s="506"/>
    </row>
    <row r="633" spans="1:3" ht="15.75" customHeight="1">
      <c r="A633" s="502"/>
      <c r="B633" s="503"/>
      <c r="C633" s="506"/>
    </row>
    <row r="634" spans="1:3" ht="15.75" customHeight="1">
      <c r="A634" s="502"/>
      <c r="B634" s="503"/>
      <c r="C634" s="506"/>
    </row>
    <row r="635" spans="1:3" ht="15.75" customHeight="1">
      <c r="A635" s="502"/>
      <c r="B635" s="503"/>
      <c r="C635" s="506"/>
    </row>
    <row r="636" spans="1:3" ht="15.75" customHeight="1">
      <c r="A636" s="502"/>
      <c r="B636" s="503"/>
      <c r="C636" s="506"/>
    </row>
    <row r="637" spans="1:3" ht="15.75" customHeight="1">
      <c r="A637" s="502"/>
      <c r="B637" s="503"/>
      <c r="C637" s="506"/>
    </row>
    <row r="638" spans="1:3" ht="15.75" customHeight="1">
      <c r="A638" s="502"/>
      <c r="B638" s="503"/>
      <c r="C638" s="506"/>
    </row>
    <row r="639" spans="1:3" ht="15.75" customHeight="1">
      <c r="A639" s="502"/>
      <c r="B639" s="503"/>
      <c r="C639" s="506"/>
    </row>
    <row r="640" spans="1:3" ht="15.75" customHeight="1">
      <c r="A640" s="502"/>
      <c r="B640" s="503"/>
      <c r="C640" s="506"/>
    </row>
    <row r="641" spans="1:3" ht="15.75" customHeight="1">
      <c r="A641" s="502"/>
      <c r="B641" s="503"/>
      <c r="C641" s="506"/>
    </row>
    <row r="642" spans="1:3" ht="15.75" customHeight="1">
      <c r="A642" s="502"/>
      <c r="B642" s="503"/>
      <c r="C642" s="506"/>
    </row>
    <row r="643" spans="1:3" ht="15.75" customHeight="1">
      <c r="A643" s="502"/>
      <c r="B643" s="503"/>
      <c r="C643" s="506"/>
    </row>
    <row r="644" spans="1:3" ht="15.75" customHeight="1">
      <c r="A644" s="502"/>
      <c r="B644" s="503"/>
      <c r="C644" s="506"/>
    </row>
    <row r="645" spans="1:3" ht="15.75" customHeight="1">
      <c r="A645" s="502"/>
      <c r="B645" s="503"/>
      <c r="C645" s="506"/>
    </row>
    <row r="646" spans="1:3" ht="15.75" customHeight="1">
      <c r="A646" s="502"/>
      <c r="B646" s="503"/>
      <c r="C646" s="506"/>
    </row>
    <row r="647" spans="1:3" ht="15.75" customHeight="1">
      <c r="A647" s="502"/>
      <c r="B647" s="503"/>
      <c r="C647" s="506"/>
    </row>
    <row r="648" spans="1:3" ht="15.75" customHeight="1">
      <c r="A648" s="502"/>
      <c r="B648" s="503"/>
      <c r="C648" s="506"/>
    </row>
    <row r="649" spans="1:3" ht="15.75" customHeight="1">
      <c r="A649" s="502"/>
      <c r="B649" s="503"/>
      <c r="C649" s="506"/>
    </row>
    <row r="650" spans="1:3" ht="15.75" customHeight="1">
      <c r="A650" s="507"/>
    </row>
    <row r="651" spans="1:3" ht="15.75" customHeight="1">
      <c r="A651" s="507"/>
    </row>
    <row r="652" spans="1:3" ht="15.75" customHeight="1">
      <c r="A652" s="507"/>
    </row>
    <row r="653" spans="1:3" ht="15.75" customHeight="1">
      <c r="A653" s="507"/>
    </row>
    <row r="654" spans="1:3" ht="15.75" customHeight="1">
      <c r="A654" s="507"/>
    </row>
    <row r="655" spans="1:3" ht="15.75" customHeight="1">
      <c r="A655" s="507"/>
    </row>
    <row r="656" spans="1:3" ht="15.75" customHeight="1">
      <c r="A656" s="507"/>
    </row>
    <row r="657" spans="1:1" ht="15.75" customHeight="1">
      <c r="A657" s="507"/>
    </row>
    <row r="658" spans="1:1" ht="15.75" customHeight="1">
      <c r="A658" s="507"/>
    </row>
    <row r="659" spans="1:1" ht="15.75" customHeight="1">
      <c r="A659" s="507"/>
    </row>
    <row r="660" spans="1:1" ht="15.75" customHeight="1">
      <c r="A660" s="507"/>
    </row>
    <row r="661" spans="1:1" ht="15.75" customHeight="1">
      <c r="A661" s="507"/>
    </row>
    <row r="662" spans="1:1" ht="15.75" customHeight="1">
      <c r="A662" s="507"/>
    </row>
    <row r="663" spans="1:1" ht="15.75" customHeight="1">
      <c r="A663" s="507"/>
    </row>
    <row r="664" spans="1:1" ht="15.75" customHeight="1">
      <c r="A664" s="507"/>
    </row>
    <row r="665" spans="1:1" ht="15.75" customHeight="1">
      <c r="A665" s="507"/>
    </row>
    <row r="666" spans="1:1" ht="15.75" customHeight="1">
      <c r="A666" s="507"/>
    </row>
    <row r="667" spans="1:1" ht="15.75" customHeight="1">
      <c r="A667" s="507"/>
    </row>
    <row r="668" spans="1:1" ht="15.75" customHeight="1">
      <c r="A668" s="507"/>
    </row>
    <row r="669" spans="1:1" ht="15.75" customHeight="1">
      <c r="A669" s="507"/>
    </row>
    <row r="670" spans="1:1" ht="15.75" customHeight="1">
      <c r="A670" s="507"/>
    </row>
  </sheetData>
  <mergeCells count="4">
    <mergeCell ref="A1:C1"/>
    <mergeCell ref="H1:I1"/>
    <mergeCell ref="K1:L1"/>
    <mergeCell ref="N1:P1"/>
  </mergeCells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H70"/>
  <sheetViews>
    <sheetView workbookViewId="0"/>
  </sheetViews>
  <sheetFormatPr defaultColWidth="12.5703125" defaultRowHeight="15" customHeight="1"/>
  <cols>
    <col min="1" max="1" width="48.42578125" customWidth="1"/>
    <col min="4" max="4" width="17" customWidth="1"/>
    <col min="5" max="5" width="9" customWidth="1"/>
    <col min="6" max="6" width="16.7109375" customWidth="1"/>
    <col min="7" max="7" width="38.140625" customWidth="1"/>
    <col min="8" max="8" width="14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7</v>
      </c>
      <c r="H1" s="2" t="s">
        <v>6026</v>
      </c>
    </row>
    <row r="2" spans="1:8">
      <c r="A2" s="3" t="s">
        <v>759</v>
      </c>
      <c r="B2" s="4" t="s">
        <v>760</v>
      </c>
      <c r="C2" s="125" t="s">
        <v>29</v>
      </c>
      <c r="D2" s="125" t="s">
        <v>64</v>
      </c>
      <c r="E2" s="125" t="s">
        <v>20</v>
      </c>
      <c r="F2" s="125" t="s">
        <v>142</v>
      </c>
      <c r="G2" s="508" t="s">
        <v>6027</v>
      </c>
      <c r="H2" s="25">
        <v>45512</v>
      </c>
    </row>
    <row r="3" spans="1:8">
      <c r="A3" s="3" t="s">
        <v>1379</v>
      </c>
      <c r="B3" s="4" t="s">
        <v>1380</v>
      </c>
      <c r="C3" s="125" t="s">
        <v>29</v>
      </c>
      <c r="D3" s="125" t="s">
        <v>64</v>
      </c>
      <c r="E3" s="125" t="s">
        <v>20</v>
      </c>
      <c r="F3" s="125" t="s">
        <v>142</v>
      </c>
      <c r="G3" s="508" t="s">
        <v>6027</v>
      </c>
      <c r="H3" s="25"/>
    </row>
    <row r="4" spans="1:8">
      <c r="A4" s="3" t="s">
        <v>1495</v>
      </c>
      <c r="B4" s="4" t="s">
        <v>1496</v>
      </c>
      <c r="C4" s="125" t="s">
        <v>29</v>
      </c>
      <c r="D4" s="125" t="s">
        <v>64</v>
      </c>
      <c r="E4" s="125" t="s">
        <v>20</v>
      </c>
      <c r="F4" s="7" t="s">
        <v>142</v>
      </c>
      <c r="G4" s="508" t="s">
        <v>6027</v>
      </c>
      <c r="H4" s="25">
        <v>45503</v>
      </c>
    </row>
    <row r="5" spans="1:8">
      <c r="A5" s="3" t="s">
        <v>1615</v>
      </c>
      <c r="B5" s="4" t="s">
        <v>1616</v>
      </c>
      <c r="C5" s="125" t="s">
        <v>29</v>
      </c>
      <c r="D5" s="125" t="s">
        <v>64</v>
      </c>
      <c r="E5" s="125" t="s">
        <v>20</v>
      </c>
      <c r="F5" s="125" t="s">
        <v>6028</v>
      </c>
      <c r="G5" s="508" t="s">
        <v>6027</v>
      </c>
      <c r="H5" s="7" t="s">
        <v>6029</v>
      </c>
    </row>
    <row r="6" spans="1:8">
      <c r="A6" s="3" t="s">
        <v>1653</v>
      </c>
      <c r="B6" s="4" t="s">
        <v>1654</v>
      </c>
      <c r="C6" s="125" t="s">
        <v>29</v>
      </c>
      <c r="D6" s="125" t="s">
        <v>64</v>
      </c>
      <c r="E6" s="125" t="s">
        <v>20</v>
      </c>
      <c r="F6" s="125" t="s">
        <v>142</v>
      </c>
      <c r="G6" s="508" t="s">
        <v>6027</v>
      </c>
      <c r="H6" s="25"/>
    </row>
    <row r="7" spans="1:8">
      <c r="A7" s="3" t="s">
        <v>1795</v>
      </c>
      <c r="B7" s="4" t="s">
        <v>1796</v>
      </c>
      <c r="C7" s="125" t="s">
        <v>29</v>
      </c>
      <c r="D7" s="125" t="s">
        <v>64</v>
      </c>
      <c r="E7" s="125" t="s">
        <v>20</v>
      </c>
      <c r="F7" s="125" t="s">
        <v>6028</v>
      </c>
      <c r="G7" s="508" t="s">
        <v>6027</v>
      </c>
      <c r="H7" s="25"/>
    </row>
    <row r="8" spans="1:8">
      <c r="A8" s="38" t="s">
        <v>1954</v>
      </c>
      <c r="B8" s="55" t="s">
        <v>1955</v>
      </c>
      <c r="C8" s="125" t="s">
        <v>29</v>
      </c>
      <c r="D8" s="125" t="s">
        <v>64</v>
      </c>
      <c r="E8" s="125" t="s">
        <v>20</v>
      </c>
      <c r="F8" s="7" t="s">
        <v>142</v>
      </c>
      <c r="G8" s="508" t="s">
        <v>6027</v>
      </c>
      <c r="H8" s="7" t="s">
        <v>6029</v>
      </c>
    </row>
    <row r="9" spans="1:8">
      <c r="A9" s="3" t="s">
        <v>2004</v>
      </c>
      <c r="B9" s="4" t="s">
        <v>2005</v>
      </c>
      <c r="C9" s="125" t="s">
        <v>29</v>
      </c>
      <c r="D9" s="125" t="s">
        <v>64</v>
      </c>
      <c r="E9" s="125" t="s">
        <v>20</v>
      </c>
      <c r="F9" s="125" t="s">
        <v>6028</v>
      </c>
      <c r="G9" s="508" t="s">
        <v>6027</v>
      </c>
      <c r="H9" s="25"/>
    </row>
    <row r="10" spans="1:8">
      <c r="A10" s="3" t="s">
        <v>2174</v>
      </c>
      <c r="B10" s="4" t="s">
        <v>2175</v>
      </c>
      <c r="C10" s="125" t="s">
        <v>29</v>
      </c>
      <c r="D10" s="125" t="s">
        <v>64</v>
      </c>
      <c r="E10" s="125" t="s">
        <v>20</v>
      </c>
      <c r="F10" s="125" t="s">
        <v>142</v>
      </c>
      <c r="G10" s="508" t="s">
        <v>6027</v>
      </c>
      <c r="H10" s="25"/>
    </row>
    <row r="11" spans="1:8">
      <c r="A11" s="3" t="s">
        <v>2420</v>
      </c>
      <c r="B11" s="4" t="s">
        <v>2421</v>
      </c>
      <c r="C11" s="125" t="s">
        <v>29</v>
      </c>
      <c r="D11" s="125" t="s">
        <v>64</v>
      </c>
      <c r="E11" s="125" t="s">
        <v>20</v>
      </c>
      <c r="F11" s="125" t="s">
        <v>6028</v>
      </c>
      <c r="G11" s="508" t="s">
        <v>6027</v>
      </c>
      <c r="H11" s="7" t="s">
        <v>6029</v>
      </c>
    </row>
    <row r="12" spans="1:8">
      <c r="A12" s="3" t="s">
        <v>2460</v>
      </c>
      <c r="B12" s="4" t="s">
        <v>2461</v>
      </c>
      <c r="C12" s="125" t="s">
        <v>29</v>
      </c>
      <c r="D12" s="125" t="s">
        <v>64</v>
      </c>
      <c r="E12" s="125" t="s">
        <v>20</v>
      </c>
      <c r="F12" s="125" t="s">
        <v>289</v>
      </c>
      <c r="G12" s="508" t="s">
        <v>6027</v>
      </c>
      <c r="H12" s="25"/>
    </row>
    <row r="13" spans="1:8">
      <c r="A13" s="3" t="s">
        <v>2701</v>
      </c>
      <c r="B13" s="60" t="s">
        <v>2702</v>
      </c>
      <c r="C13" s="125" t="s">
        <v>29</v>
      </c>
      <c r="D13" s="125" t="s">
        <v>64</v>
      </c>
      <c r="E13" s="125" t="s">
        <v>20</v>
      </c>
      <c r="F13" s="125" t="s">
        <v>289</v>
      </c>
      <c r="G13" s="508" t="s">
        <v>6027</v>
      </c>
      <c r="H13" s="25"/>
    </row>
    <row r="14" spans="1:8">
      <c r="A14" s="3" t="s">
        <v>2704</v>
      </c>
      <c r="B14" s="60" t="s">
        <v>2705</v>
      </c>
      <c r="C14" s="125" t="s">
        <v>29</v>
      </c>
      <c r="D14" s="125" t="s">
        <v>64</v>
      </c>
      <c r="E14" s="125" t="s">
        <v>20</v>
      </c>
      <c r="F14" s="125" t="s">
        <v>289</v>
      </c>
      <c r="G14" s="508" t="s">
        <v>6027</v>
      </c>
      <c r="H14" s="25"/>
    </row>
    <row r="15" spans="1:8">
      <c r="A15" s="3" t="s">
        <v>6030</v>
      </c>
      <c r="B15" s="4" t="s">
        <v>2737</v>
      </c>
      <c r="C15" s="125" t="s">
        <v>29</v>
      </c>
      <c r="D15" s="125" t="s">
        <v>64</v>
      </c>
      <c r="E15" s="125" t="s">
        <v>20</v>
      </c>
      <c r="F15" s="125" t="s">
        <v>6028</v>
      </c>
      <c r="G15" s="508" t="s">
        <v>6027</v>
      </c>
      <c r="H15" s="7" t="s">
        <v>6029</v>
      </c>
    </row>
    <row r="16" spans="1:8">
      <c r="A16" s="3" t="s">
        <v>2713</v>
      </c>
      <c r="B16" s="4" t="s">
        <v>2714</v>
      </c>
      <c r="C16" s="125" t="s">
        <v>29</v>
      </c>
      <c r="D16" s="125" t="s">
        <v>64</v>
      </c>
      <c r="E16" s="125" t="s">
        <v>20</v>
      </c>
      <c r="F16" s="125" t="s">
        <v>142</v>
      </c>
      <c r="G16" s="508" t="s">
        <v>6027</v>
      </c>
      <c r="H16" s="25"/>
    </row>
    <row r="17" spans="1:8">
      <c r="A17" s="509" t="s">
        <v>1926</v>
      </c>
      <c r="B17" s="510" t="s">
        <v>1927</v>
      </c>
      <c r="C17" s="125" t="s">
        <v>29</v>
      </c>
      <c r="D17" s="125" t="s">
        <v>19</v>
      </c>
      <c r="E17" s="125" t="s">
        <v>20</v>
      </c>
      <c r="F17" s="511" t="s">
        <v>6031</v>
      </c>
      <c r="G17" s="508" t="s">
        <v>6032</v>
      </c>
      <c r="H17" s="25">
        <v>45582</v>
      </c>
    </row>
    <row r="18" spans="1:8">
      <c r="A18" s="512" t="s">
        <v>1926</v>
      </c>
      <c r="B18" s="513" t="s">
        <v>1930</v>
      </c>
      <c r="C18" s="125" t="s">
        <v>29</v>
      </c>
      <c r="D18" s="125" t="s">
        <v>19</v>
      </c>
      <c r="E18" s="125" t="s">
        <v>20</v>
      </c>
      <c r="F18" s="511" t="s">
        <v>6031</v>
      </c>
      <c r="G18" s="508" t="s">
        <v>6032</v>
      </c>
      <c r="H18" s="25">
        <v>45582</v>
      </c>
    </row>
    <row r="19" spans="1:8">
      <c r="A19" s="509" t="s">
        <v>1944</v>
      </c>
      <c r="B19" s="514" t="s">
        <v>1945</v>
      </c>
      <c r="C19" s="125" t="s">
        <v>29</v>
      </c>
      <c r="D19" s="125" t="s">
        <v>19</v>
      </c>
      <c r="E19" s="125" t="s">
        <v>20</v>
      </c>
      <c r="F19" s="511" t="s">
        <v>6031</v>
      </c>
      <c r="G19" s="508" t="s">
        <v>6032</v>
      </c>
      <c r="H19" s="25">
        <v>45562</v>
      </c>
    </row>
    <row r="20" spans="1:8">
      <c r="A20" s="509" t="s">
        <v>2137</v>
      </c>
      <c r="B20" s="510" t="s">
        <v>2138</v>
      </c>
      <c r="C20" s="125" t="s">
        <v>29</v>
      </c>
      <c r="D20" s="125" t="s">
        <v>19</v>
      </c>
      <c r="E20" s="125" t="s">
        <v>20</v>
      </c>
      <c r="F20" s="511" t="s">
        <v>6031</v>
      </c>
      <c r="G20" s="508" t="s">
        <v>6032</v>
      </c>
      <c r="H20" s="25">
        <v>45562</v>
      </c>
    </row>
    <row r="21" spans="1:8">
      <c r="A21" s="515" t="s">
        <v>6033</v>
      </c>
      <c r="B21" s="510" t="s">
        <v>2214</v>
      </c>
      <c r="C21" s="125" t="s">
        <v>29</v>
      </c>
      <c r="D21" s="125" t="s">
        <v>19</v>
      </c>
      <c r="E21" s="125" t="s">
        <v>20</v>
      </c>
      <c r="F21" s="511" t="s">
        <v>6031</v>
      </c>
      <c r="G21" s="508" t="s">
        <v>6032</v>
      </c>
      <c r="H21" s="25">
        <v>45580</v>
      </c>
    </row>
    <row r="22" spans="1:8">
      <c r="A22" s="509" t="s">
        <v>2387</v>
      </c>
      <c r="B22" s="514" t="s">
        <v>2388</v>
      </c>
      <c r="C22" s="125" t="s">
        <v>29</v>
      </c>
      <c r="D22" s="125" t="s">
        <v>19</v>
      </c>
      <c r="E22" s="125" t="s">
        <v>20</v>
      </c>
      <c r="F22" s="511" t="s">
        <v>6034</v>
      </c>
      <c r="G22" s="508" t="s">
        <v>6032</v>
      </c>
      <c r="H22" s="25">
        <v>45579</v>
      </c>
    </row>
    <row r="23" spans="1:8">
      <c r="A23" s="509" t="s">
        <v>2662</v>
      </c>
      <c r="B23" s="510" t="s">
        <v>2663</v>
      </c>
      <c r="C23" s="125" t="s">
        <v>29</v>
      </c>
      <c r="D23" s="125" t="s">
        <v>19</v>
      </c>
      <c r="E23" s="125" t="s">
        <v>20</v>
      </c>
      <c r="F23" s="511" t="s">
        <v>6034</v>
      </c>
      <c r="G23" s="508" t="s">
        <v>6032</v>
      </c>
      <c r="H23" s="25">
        <v>45581</v>
      </c>
    </row>
    <row r="24" spans="1:8">
      <c r="A24" s="509" t="s">
        <v>1965</v>
      </c>
      <c r="B24" s="510" t="s">
        <v>1966</v>
      </c>
      <c r="C24" s="125" t="s">
        <v>29</v>
      </c>
      <c r="D24" s="125" t="s">
        <v>19</v>
      </c>
      <c r="E24" s="125" t="s">
        <v>20</v>
      </c>
      <c r="F24" s="511" t="s">
        <v>6034</v>
      </c>
      <c r="G24" s="508" t="s">
        <v>6032</v>
      </c>
      <c r="H24" s="25">
        <v>45581</v>
      </c>
    </row>
    <row r="25" spans="1:8">
      <c r="A25" s="509" t="s">
        <v>2426</v>
      </c>
      <c r="B25" s="510" t="s">
        <v>2429</v>
      </c>
      <c r="C25" s="125" t="s">
        <v>29</v>
      </c>
      <c r="D25" s="125" t="s">
        <v>19</v>
      </c>
      <c r="E25" s="125" t="s">
        <v>20</v>
      </c>
      <c r="F25" s="511" t="s">
        <v>6031</v>
      </c>
      <c r="G25" s="508" t="s">
        <v>6032</v>
      </c>
      <c r="H25" s="25">
        <v>45574</v>
      </c>
    </row>
    <row r="26" spans="1:8">
      <c r="A26" s="509" t="s">
        <v>2426</v>
      </c>
      <c r="B26" s="510" t="s">
        <v>2427</v>
      </c>
      <c r="C26" s="125" t="s">
        <v>29</v>
      </c>
      <c r="D26" s="125" t="s">
        <v>19</v>
      </c>
      <c r="E26" s="125" t="s">
        <v>20</v>
      </c>
      <c r="F26" s="511" t="s">
        <v>6031</v>
      </c>
      <c r="G26" s="508" t="s">
        <v>6032</v>
      </c>
      <c r="H26" s="25">
        <v>45574</v>
      </c>
    </row>
    <row r="27" spans="1:8">
      <c r="A27" s="509" t="s">
        <v>573</v>
      </c>
      <c r="B27" s="514" t="s">
        <v>574</v>
      </c>
      <c r="C27" s="125" t="s">
        <v>29</v>
      </c>
      <c r="D27" s="125" t="s">
        <v>19</v>
      </c>
      <c r="E27" s="125" t="s">
        <v>20</v>
      </c>
      <c r="F27" s="511" t="s">
        <v>6031</v>
      </c>
      <c r="G27" s="508" t="s">
        <v>6032</v>
      </c>
      <c r="H27" s="25">
        <v>45580</v>
      </c>
    </row>
    <row r="28" spans="1:8">
      <c r="A28" s="509" t="s">
        <v>961</v>
      </c>
      <c r="B28" s="514" t="s">
        <v>962</v>
      </c>
      <c r="C28" s="125" t="s">
        <v>29</v>
      </c>
      <c r="D28" s="125" t="s">
        <v>19</v>
      </c>
      <c r="E28" s="125" t="s">
        <v>34</v>
      </c>
      <c r="F28" s="511" t="s">
        <v>262</v>
      </c>
      <c r="G28" s="508" t="s">
        <v>6027</v>
      </c>
      <c r="H28" s="25"/>
    </row>
    <row r="29" spans="1:8">
      <c r="A29" s="515" t="s">
        <v>370</v>
      </c>
      <c r="B29" s="516" t="s">
        <v>371</v>
      </c>
      <c r="C29" s="125" t="s">
        <v>29</v>
      </c>
      <c r="D29" s="125" t="s">
        <v>19</v>
      </c>
      <c r="E29" s="125" t="s">
        <v>20</v>
      </c>
      <c r="F29" s="511" t="s">
        <v>6035</v>
      </c>
      <c r="G29" s="508" t="s">
        <v>6032</v>
      </c>
      <c r="H29" s="25">
        <v>45562</v>
      </c>
    </row>
    <row r="30" spans="1:8">
      <c r="A30" s="509" t="s">
        <v>3727</v>
      </c>
      <c r="B30" s="510" t="s">
        <v>492</v>
      </c>
      <c r="C30" s="125" t="s">
        <v>29</v>
      </c>
      <c r="D30" s="125" t="s">
        <v>19</v>
      </c>
      <c r="E30" s="125" t="s">
        <v>20</v>
      </c>
      <c r="F30" s="511" t="s">
        <v>6035</v>
      </c>
      <c r="G30" s="508" t="s">
        <v>6032</v>
      </c>
      <c r="H30" s="25">
        <v>45581</v>
      </c>
    </row>
    <row r="31" spans="1:8">
      <c r="A31" s="512" t="s">
        <v>3727</v>
      </c>
      <c r="B31" s="513" t="s">
        <v>494</v>
      </c>
      <c r="C31" s="125" t="s">
        <v>29</v>
      </c>
      <c r="D31" s="125" t="s">
        <v>19</v>
      </c>
      <c r="E31" s="125" t="s">
        <v>20</v>
      </c>
      <c r="F31" s="511" t="s">
        <v>6035</v>
      </c>
      <c r="G31" s="508" t="s">
        <v>6032</v>
      </c>
      <c r="H31" s="25">
        <v>45581</v>
      </c>
    </row>
    <row r="32" spans="1:8">
      <c r="A32" s="512" t="s">
        <v>3727</v>
      </c>
      <c r="B32" s="513" t="s">
        <v>496</v>
      </c>
      <c r="C32" s="125" t="s">
        <v>29</v>
      </c>
      <c r="D32" s="125" t="s">
        <v>19</v>
      </c>
      <c r="E32" s="125" t="s">
        <v>20</v>
      </c>
      <c r="F32" s="511" t="s">
        <v>6035</v>
      </c>
      <c r="G32" s="508" t="s">
        <v>6032</v>
      </c>
      <c r="H32" s="25">
        <v>45581</v>
      </c>
    </row>
    <row r="33" spans="1:8">
      <c r="A33" s="512" t="s">
        <v>3727</v>
      </c>
      <c r="B33" s="513" t="s">
        <v>498</v>
      </c>
      <c r="C33" s="125" t="s">
        <v>29</v>
      </c>
      <c r="D33" s="125" t="s">
        <v>19</v>
      </c>
      <c r="E33" s="125" t="s">
        <v>20</v>
      </c>
      <c r="F33" s="511" t="s">
        <v>6035</v>
      </c>
      <c r="G33" s="508" t="s">
        <v>6032</v>
      </c>
      <c r="H33" s="25">
        <v>45581</v>
      </c>
    </row>
    <row r="34" spans="1:8">
      <c r="A34" s="512" t="s">
        <v>3727</v>
      </c>
      <c r="B34" s="513" t="s">
        <v>499</v>
      </c>
      <c r="C34" s="125" t="s">
        <v>29</v>
      </c>
      <c r="D34" s="125" t="s">
        <v>19</v>
      </c>
      <c r="E34" s="125" t="s">
        <v>20</v>
      </c>
      <c r="F34" s="511" t="s">
        <v>6035</v>
      </c>
      <c r="G34" s="508" t="s">
        <v>6032</v>
      </c>
      <c r="H34" s="25">
        <v>45581</v>
      </c>
    </row>
    <row r="35" spans="1:8">
      <c r="A35" s="13" t="s">
        <v>981</v>
      </c>
      <c r="B35" s="510" t="s">
        <v>982</v>
      </c>
      <c r="C35" s="125" t="s">
        <v>29</v>
      </c>
      <c r="D35" s="125" t="s">
        <v>19</v>
      </c>
      <c r="E35" s="125" t="s">
        <v>20</v>
      </c>
      <c r="F35" s="511" t="s">
        <v>6031</v>
      </c>
      <c r="G35" s="508" t="s">
        <v>6032</v>
      </c>
      <c r="H35" s="25">
        <v>45574</v>
      </c>
    </row>
    <row r="36" spans="1:8">
      <c r="A36" s="13" t="s">
        <v>2687</v>
      </c>
      <c r="B36" s="510" t="s">
        <v>2688</v>
      </c>
      <c r="C36" s="125" t="s">
        <v>29</v>
      </c>
      <c r="D36" s="125" t="s">
        <v>19</v>
      </c>
      <c r="E36" s="125" t="s">
        <v>20</v>
      </c>
      <c r="F36" s="511" t="s">
        <v>210</v>
      </c>
      <c r="G36" s="508" t="s">
        <v>6032</v>
      </c>
      <c r="H36" s="25">
        <v>45582</v>
      </c>
    </row>
    <row r="37" spans="1:8">
      <c r="A37" s="509" t="s">
        <v>611</v>
      </c>
      <c r="B37" s="514" t="s">
        <v>612</v>
      </c>
      <c r="C37" s="125" t="s">
        <v>29</v>
      </c>
      <c r="D37" s="125" t="s">
        <v>19</v>
      </c>
      <c r="E37" s="125" t="s">
        <v>20</v>
      </c>
      <c r="F37" s="511" t="s">
        <v>6035</v>
      </c>
      <c r="G37" s="508" t="s">
        <v>6032</v>
      </c>
      <c r="H37" s="25">
        <v>45586</v>
      </c>
    </row>
    <row r="38" spans="1:8">
      <c r="A38" s="509" t="s">
        <v>2440</v>
      </c>
      <c r="B38" s="517" t="s">
        <v>2441</v>
      </c>
      <c r="C38" s="125" t="s">
        <v>29</v>
      </c>
      <c r="D38" s="125" t="s">
        <v>19</v>
      </c>
      <c r="E38" s="125" t="s">
        <v>20</v>
      </c>
      <c r="F38" s="511" t="s">
        <v>269</v>
      </c>
      <c r="G38" s="508" t="s">
        <v>6036</v>
      </c>
      <c r="H38" s="25"/>
    </row>
    <row r="39" spans="1:8">
      <c r="A39" s="512" t="s">
        <v>2440</v>
      </c>
      <c r="B39" s="518" t="s">
        <v>2443</v>
      </c>
      <c r="C39" s="125" t="s">
        <v>29</v>
      </c>
      <c r="D39" s="125" t="s">
        <v>19</v>
      </c>
      <c r="E39" s="125" t="s">
        <v>20</v>
      </c>
      <c r="F39" s="519" t="s">
        <v>269</v>
      </c>
      <c r="G39" s="508" t="s">
        <v>6036</v>
      </c>
      <c r="H39" s="25"/>
    </row>
    <row r="40" spans="1:8">
      <c r="A40" s="3" t="s">
        <v>5359</v>
      </c>
      <c r="B40" s="4" t="s">
        <v>2807</v>
      </c>
      <c r="C40" s="125" t="s">
        <v>29</v>
      </c>
      <c r="D40" s="125" t="s">
        <v>19</v>
      </c>
      <c r="E40" s="125" t="s">
        <v>49</v>
      </c>
      <c r="F40" s="125" t="s">
        <v>50</v>
      </c>
      <c r="G40" s="508" t="s">
        <v>6036</v>
      </c>
      <c r="H40" s="7" t="s">
        <v>6037</v>
      </c>
    </row>
    <row r="41" spans="1:8">
      <c r="A41" s="3" t="s">
        <v>755</v>
      </c>
      <c r="B41" s="60" t="s">
        <v>756</v>
      </c>
      <c r="C41" s="125" t="s">
        <v>29</v>
      </c>
      <c r="D41" s="125" t="s">
        <v>19</v>
      </c>
      <c r="E41" s="125" t="s">
        <v>49</v>
      </c>
      <c r="F41" s="125" t="s">
        <v>50</v>
      </c>
      <c r="G41" s="508" t="s">
        <v>6036</v>
      </c>
      <c r="H41" s="25"/>
    </row>
    <row r="42" spans="1:8">
      <c r="A42" s="3" t="s">
        <v>2604</v>
      </c>
      <c r="B42" s="4" t="s">
        <v>2605</v>
      </c>
      <c r="C42" s="125" t="s">
        <v>29</v>
      </c>
      <c r="D42" s="125" t="s">
        <v>19</v>
      </c>
      <c r="E42" s="125" t="s">
        <v>34</v>
      </c>
      <c r="F42" s="125" t="s">
        <v>262</v>
      </c>
      <c r="G42" s="508" t="s">
        <v>6027</v>
      </c>
      <c r="H42" s="7"/>
    </row>
    <row r="43" spans="1:8">
      <c r="A43" s="520" t="s">
        <v>690</v>
      </c>
      <c r="B43" s="521" t="s">
        <v>691</v>
      </c>
      <c r="C43" s="125" t="s">
        <v>29</v>
      </c>
      <c r="D43" s="125" t="s">
        <v>19</v>
      </c>
      <c r="E43" s="125" t="s">
        <v>34</v>
      </c>
      <c r="F43" s="511" t="s">
        <v>262</v>
      </c>
      <c r="G43" s="508" t="s">
        <v>6027</v>
      </c>
      <c r="H43" s="25"/>
    </row>
    <row r="44" spans="1:8">
      <c r="A44" s="509" t="s">
        <v>437</v>
      </c>
      <c r="B44" s="510" t="s">
        <v>442</v>
      </c>
      <c r="C44" s="125" t="s">
        <v>29</v>
      </c>
      <c r="D44" s="125" t="s">
        <v>19</v>
      </c>
      <c r="E44" s="125" t="s">
        <v>34</v>
      </c>
      <c r="F44" s="511" t="s">
        <v>35</v>
      </c>
      <c r="G44" s="508" t="s">
        <v>6038</v>
      </c>
      <c r="H44" s="25">
        <v>45524</v>
      </c>
    </row>
    <row r="45" spans="1:8">
      <c r="A45" s="512" t="s">
        <v>1427</v>
      </c>
      <c r="B45" s="513" t="s">
        <v>1428</v>
      </c>
      <c r="C45" s="125" t="s">
        <v>29</v>
      </c>
      <c r="D45" s="125" t="s">
        <v>55</v>
      </c>
      <c r="E45" s="125" t="s">
        <v>34</v>
      </c>
      <c r="F45" s="511" t="s">
        <v>1429</v>
      </c>
      <c r="G45" s="508" t="s">
        <v>6038</v>
      </c>
      <c r="H45" s="25">
        <v>45545</v>
      </c>
    </row>
    <row r="46" spans="1:8">
      <c r="A46" s="512" t="s">
        <v>2755</v>
      </c>
      <c r="B46" s="513" t="s">
        <v>2756</v>
      </c>
      <c r="C46" s="125" t="s">
        <v>29</v>
      </c>
      <c r="D46" s="125" t="s">
        <v>19</v>
      </c>
      <c r="E46" s="125" t="s">
        <v>34</v>
      </c>
      <c r="F46" s="511" t="s">
        <v>262</v>
      </c>
      <c r="G46" s="508" t="s">
        <v>6038</v>
      </c>
      <c r="H46" s="25">
        <v>45551</v>
      </c>
    </row>
    <row r="47" spans="1:8">
      <c r="A47" s="522" t="s">
        <v>2864</v>
      </c>
      <c r="B47" s="523" t="s">
        <v>2865</v>
      </c>
      <c r="C47" s="125" t="s">
        <v>29</v>
      </c>
      <c r="D47" s="125" t="s">
        <v>19</v>
      </c>
      <c r="E47" s="125" t="s">
        <v>34</v>
      </c>
      <c r="F47" s="511" t="s">
        <v>262</v>
      </c>
      <c r="G47" s="508" t="s">
        <v>6038</v>
      </c>
      <c r="H47" s="25">
        <v>45545</v>
      </c>
    </row>
    <row r="48" spans="1:8">
      <c r="A48" s="515" t="s">
        <v>241</v>
      </c>
      <c r="B48" s="516" t="s">
        <v>242</v>
      </c>
      <c r="C48" s="125" t="s">
        <v>29</v>
      </c>
      <c r="D48" s="125" t="s">
        <v>19</v>
      </c>
      <c r="E48" s="125" t="s">
        <v>34</v>
      </c>
      <c r="F48" s="511" t="s">
        <v>35</v>
      </c>
      <c r="G48" s="508" t="s">
        <v>6038</v>
      </c>
      <c r="H48" s="25">
        <v>45567</v>
      </c>
    </row>
    <row r="49" spans="1:8">
      <c r="A49" s="509" t="s">
        <v>999</v>
      </c>
      <c r="B49" s="510" t="s">
        <v>1000</v>
      </c>
      <c r="C49" s="125" t="s">
        <v>29</v>
      </c>
      <c r="D49" s="125" t="s">
        <v>19</v>
      </c>
      <c r="E49" s="125" t="s">
        <v>34</v>
      </c>
      <c r="F49" s="511" t="s">
        <v>262</v>
      </c>
      <c r="G49" s="508" t="s">
        <v>6038</v>
      </c>
      <c r="H49" s="25">
        <v>45583</v>
      </c>
    </row>
    <row r="50" spans="1:8">
      <c r="A50" s="509" t="s">
        <v>560</v>
      </c>
      <c r="B50" s="510" t="s">
        <v>561</v>
      </c>
      <c r="C50" s="125" t="s">
        <v>29</v>
      </c>
      <c r="D50" s="125" t="s">
        <v>19</v>
      </c>
      <c r="E50" s="125" t="s">
        <v>34</v>
      </c>
      <c r="F50" s="511" t="s">
        <v>262</v>
      </c>
      <c r="G50" s="508" t="s">
        <v>6038</v>
      </c>
      <c r="H50" s="25" t="s">
        <v>6039</v>
      </c>
    </row>
    <row r="51" spans="1:8">
      <c r="A51" s="509" t="s">
        <v>6040</v>
      </c>
      <c r="B51" s="510" t="s">
        <v>1542</v>
      </c>
      <c r="C51" s="125" t="s">
        <v>29</v>
      </c>
      <c r="D51" s="125" t="s">
        <v>19</v>
      </c>
      <c r="E51" s="125" t="s">
        <v>34</v>
      </c>
      <c r="F51" s="511" t="s">
        <v>35</v>
      </c>
      <c r="G51" s="508" t="s">
        <v>6038</v>
      </c>
      <c r="H51" s="25">
        <v>45562</v>
      </c>
    </row>
    <row r="52" spans="1:8">
      <c r="A52" s="512" t="s">
        <v>6040</v>
      </c>
      <c r="B52" s="513" t="s">
        <v>1545</v>
      </c>
      <c r="C52" s="125" t="s">
        <v>29</v>
      </c>
      <c r="D52" s="125" t="s">
        <v>19</v>
      </c>
      <c r="E52" s="125" t="s">
        <v>34</v>
      </c>
      <c r="F52" s="511" t="s">
        <v>35</v>
      </c>
      <c r="G52" s="508" t="s">
        <v>6038</v>
      </c>
      <c r="H52" s="25">
        <v>45562</v>
      </c>
    </row>
    <row r="53" spans="1:8">
      <c r="A53" s="509" t="s">
        <v>859</v>
      </c>
      <c r="B53" s="514" t="s">
        <v>860</v>
      </c>
      <c r="C53" s="125" t="s">
        <v>29</v>
      </c>
      <c r="D53" s="125" t="s">
        <v>19</v>
      </c>
      <c r="E53" s="125" t="s">
        <v>34</v>
      </c>
      <c r="F53" s="511" t="s">
        <v>35</v>
      </c>
      <c r="G53" s="508" t="s">
        <v>6038</v>
      </c>
      <c r="H53" s="25">
        <v>45587</v>
      </c>
    </row>
    <row r="54" spans="1:8">
      <c r="A54" s="509" t="s">
        <v>859</v>
      </c>
      <c r="B54" s="514" t="s">
        <v>862</v>
      </c>
      <c r="C54" s="125" t="s">
        <v>29</v>
      </c>
      <c r="D54" s="125" t="s">
        <v>19</v>
      </c>
      <c r="E54" s="125" t="s">
        <v>34</v>
      </c>
      <c r="F54" s="511" t="s">
        <v>35</v>
      </c>
      <c r="G54" s="508" t="s">
        <v>6038</v>
      </c>
      <c r="H54" s="25">
        <v>45587</v>
      </c>
    </row>
    <row r="55" spans="1:8">
      <c r="A55" s="509" t="s">
        <v>1431</v>
      </c>
      <c r="B55" s="514" t="s">
        <v>1432</v>
      </c>
      <c r="C55" s="125" t="s">
        <v>29</v>
      </c>
      <c r="D55" s="125" t="s">
        <v>19</v>
      </c>
      <c r="E55" s="125" t="s">
        <v>34</v>
      </c>
      <c r="F55" s="511" t="s">
        <v>262</v>
      </c>
      <c r="G55" s="508" t="s">
        <v>6038</v>
      </c>
      <c r="H55" s="25">
        <v>45530</v>
      </c>
    </row>
    <row r="56" spans="1:8">
      <c r="A56" s="509" t="s">
        <v>937</v>
      </c>
      <c r="B56" s="514" t="s">
        <v>938</v>
      </c>
      <c r="C56" s="125" t="s">
        <v>29</v>
      </c>
      <c r="D56" s="125" t="s">
        <v>19</v>
      </c>
      <c r="E56" s="125" t="s">
        <v>34</v>
      </c>
      <c r="F56" s="511" t="s">
        <v>262</v>
      </c>
      <c r="G56" s="508" t="s">
        <v>6038</v>
      </c>
      <c r="H56" s="25">
        <v>45567</v>
      </c>
    </row>
    <row r="57" spans="1:8">
      <c r="A57" s="509" t="s">
        <v>1530</v>
      </c>
      <c r="B57" s="514" t="s">
        <v>1531</v>
      </c>
      <c r="C57" s="125" t="s">
        <v>29</v>
      </c>
      <c r="D57" s="125" t="s">
        <v>19</v>
      </c>
      <c r="E57" s="125" t="s">
        <v>34</v>
      </c>
      <c r="F57" s="511" t="s">
        <v>35</v>
      </c>
      <c r="G57" s="508" t="s">
        <v>6038</v>
      </c>
      <c r="H57" s="25">
        <v>45524</v>
      </c>
    </row>
    <row r="58" spans="1:8">
      <c r="A58" s="509" t="s">
        <v>304</v>
      </c>
      <c r="B58" s="514" t="s">
        <v>305</v>
      </c>
      <c r="C58" s="125" t="s">
        <v>29</v>
      </c>
      <c r="D58" s="125" t="s">
        <v>19</v>
      </c>
      <c r="E58" s="125" t="s">
        <v>34</v>
      </c>
      <c r="F58" s="511" t="s">
        <v>262</v>
      </c>
      <c r="G58" s="508" t="s">
        <v>6038</v>
      </c>
      <c r="H58" s="25">
        <v>45588</v>
      </c>
    </row>
    <row r="59" spans="1:8">
      <c r="A59" s="509" t="s">
        <v>1188</v>
      </c>
      <c r="B59" s="514" t="s">
        <v>1189</v>
      </c>
      <c r="C59" s="125" t="s">
        <v>29</v>
      </c>
      <c r="D59" s="125" t="s">
        <v>19</v>
      </c>
      <c r="E59" s="125" t="s">
        <v>34</v>
      </c>
      <c r="F59" s="511" t="s">
        <v>262</v>
      </c>
      <c r="G59" s="508" t="s">
        <v>6032</v>
      </c>
      <c r="H59" s="25">
        <v>45574</v>
      </c>
    </row>
    <row r="60" spans="1:8">
      <c r="A60" s="509" t="s">
        <v>2607</v>
      </c>
      <c r="B60" s="514" t="s">
        <v>2608</v>
      </c>
      <c r="C60" s="125" t="s">
        <v>29</v>
      </c>
      <c r="D60" s="125" t="s">
        <v>64</v>
      </c>
      <c r="E60" s="125" t="s">
        <v>20</v>
      </c>
      <c r="F60" s="511" t="s">
        <v>6041</v>
      </c>
      <c r="G60" s="508" t="s">
        <v>6027</v>
      </c>
      <c r="H60" s="25"/>
    </row>
    <row r="61" spans="1:8">
      <c r="A61" s="509" t="s">
        <v>2875</v>
      </c>
      <c r="B61" s="514" t="s">
        <v>2876</v>
      </c>
      <c r="C61" s="125" t="s">
        <v>29</v>
      </c>
      <c r="D61" s="125" t="s">
        <v>19</v>
      </c>
      <c r="E61" s="125" t="s">
        <v>20</v>
      </c>
      <c r="F61" s="511" t="s">
        <v>6034</v>
      </c>
      <c r="G61" s="508" t="s">
        <v>6032</v>
      </c>
      <c r="H61" s="25">
        <v>45581</v>
      </c>
    </row>
    <row r="62" spans="1:8">
      <c r="A62" s="509" t="s">
        <v>1826</v>
      </c>
      <c r="B62" s="514" t="s">
        <v>1827</v>
      </c>
      <c r="C62" s="125" t="s">
        <v>29</v>
      </c>
      <c r="D62" s="125" t="s">
        <v>19</v>
      </c>
      <c r="E62" s="125" t="s">
        <v>20</v>
      </c>
      <c r="F62" s="511" t="s">
        <v>6035</v>
      </c>
      <c r="G62" s="508" t="s">
        <v>6032</v>
      </c>
      <c r="H62" s="25">
        <v>45590</v>
      </c>
    </row>
    <row r="63" spans="1:8">
      <c r="A63" s="3" t="s">
        <v>1798</v>
      </c>
      <c r="B63" s="4" t="s">
        <v>1799</v>
      </c>
      <c r="C63" s="125" t="s">
        <v>29</v>
      </c>
      <c r="D63" s="125" t="s">
        <v>19</v>
      </c>
      <c r="E63" s="125" t="s">
        <v>20</v>
      </c>
      <c r="F63" s="511" t="s">
        <v>6035</v>
      </c>
      <c r="G63" s="508" t="s">
        <v>6032</v>
      </c>
      <c r="H63" s="25">
        <v>45595</v>
      </c>
    </row>
    <row r="64" spans="1:8">
      <c r="A64" s="509" t="s">
        <v>208</v>
      </c>
      <c r="B64" s="514" t="s">
        <v>209</v>
      </c>
      <c r="C64" s="125" t="s">
        <v>29</v>
      </c>
      <c r="D64" s="125" t="s">
        <v>19</v>
      </c>
      <c r="E64" s="125" t="s">
        <v>20</v>
      </c>
      <c r="F64" s="511" t="s">
        <v>210</v>
      </c>
      <c r="G64" s="508" t="s">
        <v>6032</v>
      </c>
      <c r="H64" s="25">
        <v>45592</v>
      </c>
    </row>
    <row r="65" spans="1:8">
      <c r="A65" s="36" t="s">
        <v>1727</v>
      </c>
      <c r="B65" s="44" t="s">
        <v>1728</v>
      </c>
      <c r="C65" s="125" t="s">
        <v>29</v>
      </c>
      <c r="D65" s="125" t="s">
        <v>19</v>
      </c>
      <c r="E65" s="125" t="s">
        <v>20</v>
      </c>
      <c r="F65" s="511" t="s">
        <v>210</v>
      </c>
      <c r="G65" s="508" t="s">
        <v>6032</v>
      </c>
      <c r="H65" s="25">
        <v>45594</v>
      </c>
    </row>
    <row r="66" spans="1:8">
      <c r="A66" s="36" t="s">
        <v>1730</v>
      </c>
      <c r="B66" s="44" t="s">
        <v>1731</v>
      </c>
      <c r="C66" s="125" t="s">
        <v>29</v>
      </c>
      <c r="D66" s="125" t="s">
        <v>19</v>
      </c>
      <c r="E66" s="125" t="s">
        <v>20</v>
      </c>
      <c r="F66" s="511" t="s">
        <v>210</v>
      </c>
      <c r="G66" s="508" t="s">
        <v>6032</v>
      </c>
      <c r="H66" s="25">
        <v>45594</v>
      </c>
    </row>
    <row r="67" spans="1:8">
      <c r="A67" s="509" t="s">
        <v>6042</v>
      </c>
      <c r="B67" s="514" t="s">
        <v>565</v>
      </c>
      <c r="C67" s="125" t="s">
        <v>29</v>
      </c>
      <c r="D67" s="125" t="s">
        <v>19</v>
      </c>
      <c r="E67" s="125" t="s">
        <v>20</v>
      </c>
      <c r="F67" s="511" t="s">
        <v>6035</v>
      </c>
      <c r="G67" s="508" t="s">
        <v>6032</v>
      </c>
      <c r="H67" s="25">
        <v>45590</v>
      </c>
    </row>
    <row r="68" spans="1:8">
      <c r="A68" s="509" t="s">
        <v>867</v>
      </c>
      <c r="B68" s="514" t="s">
        <v>868</v>
      </c>
      <c r="C68" s="125" t="s">
        <v>29</v>
      </c>
      <c r="D68" s="125" t="s">
        <v>19</v>
      </c>
      <c r="E68" s="125" t="s">
        <v>20</v>
      </c>
      <c r="F68" s="511" t="s">
        <v>210</v>
      </c>
      <c r="G68" s="508" t="s">
        <v>6043</v>
      </c>
      <c r="H68" s="25">
        <v>45595</v>
      </c>
    </row>
    <row r="69" spans="1:8">
      <c r="A69" s="509" t="s">
        <v>2267</v>
      </c>
      <c r="B69" s="514" t="s">
        <v>2268</v>
      </c>
      <c r="C69" s="125" t="s">
        <v>29</v>
      </c>
      <c r="D69" s="125" t="s">
        <v>19</v>
      </c>
      <c r="E69" s="125" t="s">
        <v>20</v>
      </c>
      <c r="F69" s="511" t="s">
        <v>6044</v>
      </c>
      <c r="G69" s="508" t="s">
        <v>6043</v>
      </c>
      <c r="H69" s="25">
        <v>45596</v>
      </c>
    </row>
    <row r="70" spans="1:8">
      <c r="A70" s="509" t="s">
        <v>2264</v>
      </c>
      <c r="B70" s="514" t="s">
        <v>2265</v>
      </c>
      <c r="C70" s="125" t="s">
        <v>29</v>
      </c>
      <c r="D70" s="125" t="s">
        <v>19</v>
      </c>
      <c r="E70" s="125" t="s">
        <v>20</v>
      </c>
      <c r="F70" s="511" t="s">
        <v>6044</v>
      </c>
      <c r="G70" s="508" t="s">
        <v>6043</v>
      </c>
      <c r="H70" s="25">
        <v>45596</v>
      </c>
    </row>
  </sheetData>
  <conditionalFormatting sqref="D1:F1">
    <cfRule type="cellIs" dxfId="5" priority="1" operator="equal">
      <formula>"Conquest"</formula>
    </cfRule>
    <cfRule type="cellIs" dxfId="4" priority="2" operator="equal">
      <formula>"Voga"</formula>
    </cfRule>
  </conditionalFormatting>
  <dataValidations count="3">
    <dataValidation type="list" allowBlank="1" showErrorMessage="1" sqref="E2:E70" xr:uid="{00000000-0002-0000-0B00-000000000000}">
      <formula1>"DF,GO,SUL"</formula1>
    </dataValidation>
    <dataValidation type="list" allowBlank="1" showErrorMessage="1" sqref="D2:D70" xr:uid="{00000000-0002-0000-0B00-000001000000}">
      <formula1>"Voga,Bluemetrix,Matrice,VcInvest,Bluemetrix (MI)"</formula1>
    </dataValidation>
    <dataValidation type="list" allowBlank="1" showErrorMessage="1" sqref="G2:G70" xr:uid="{00000000-0002-0000-0B00-000002000000}">
      <formula1>"Aguardando cobrança de taxa,Confecção do termo,Pendente assinatura do termo ,Finalizado,Cancelado,Pendente Envio"</formula1>
    </dataValidation>
  </dataValidation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FF00"/>
    <outlinePr summaryBelow="0" summaryRight="0"/>
  </sheetPr>
  <dimension ref="A1:K27"/>
  <sheetViews>
    <sheetView workbookViewId="0"/>
  </sheetViews>
  <sheetFormatPr defaultColWidth="12.5703125" defaultRowHeight="15" customHeight="1"/>
  <cols>
    <col min="1" max="1" width="15.7109375" customWidth="1"/>
    <col min="2" max="11" width="15.140625" customWidth="1"/>
  </cols>
  <sheetData>
    <row r="1" spans="1:11">
      <c r="A1" s="660" t="s">
        <v>6045</v>
      </c>
      <c r="B1" s="650"/>
      <c r="C1" s="650"/>
      <c r="D1" s="650"/>
      <c r="E1" s="650"/>
      <c r="F1" s="650"/>
      <c r="G1" s="650"/>
      <c r="H1" s="650"/>
      <c r="I1" s="650"/>
      <c r="J1" s="650"/>
      <c r="K1" s="651"/>
    </row>
    <row r="2" spans="1:11">
      <c r="A2" s="524" t="s">
        <v>2</v>
      </c>
      <c r="B2" s="524" t="s">
        <v>6046</v>
      </c>
      <c r="C2" s="524" t="s">
        <v>6047</v>
      </c>
      <c r="D2" s="524" t="s">
        <v>5402</v>
      </c>
      <c r="E2" s="524" t="s">
        <v>6048</v>
      </c>
      <c r="F2" s="524" t="s">
        <v>6049</v>
      </c>
      <c r="G2" s="524" t="s">
        <v>6050</v>
      </c>
      <c r="H2" s="524" t="s">
        <v>6051</v>
      </c>
      <c r="I2" s="524" t="s">
        <v>6052</v>
      </c>
      <c r="J2" s="524" t="s">
        <v>6053</v>
      </c>
      <c r="K2" s="524" t="s">
        <v>6054</v>
      </c>
    </row>
    <row r="3" spans="1:11">
      <c r="A3" s="84" t="s">
        <v>29</v>
      </c>
      <c r="B3" s="525">
        <f>BTG!AR867</f>
        <v>299068989.77000034</v>
      </c>
      <c r="C3" s="525">
        <f>BTG!AS867</f>
        <v>307067992.60000002</v>
      </c>
      <c r="D3" s="525">
        <f>BTG!AT867</f>
        <v>306041920.26999986</v>
      </c>
      <c r="E3" s="525">
        <f>BTG!AU867</f>
        <v>321232242.9600001</v>
      </c>
      <c r="F3" s="525">
        <f>BTG!AV867</f>
        <v>330549753.52000016</v>
      </c>
      <c r="G3" s="525">
        <f>BTG!AW867</f>
        <v>337087157.53000009</v>
      </c>
      <c r="H3" s="525">
        <f>BTG!AX867</f>
        <v>282806423.22999972</v>
      </c>
      <c r="I3" s="525">
        <f>BTG!AY867</f>
        <v>262292402.17000008</v>
      </c>
      <c r="J3" s="525">
        <f>BTG!AZ867</f>
        <v>256341962.20999986</v>
      </c>
      <c r="K3" s="525" t="e">
        <f ca="1">BTG!BA867</f>
        <v>#NAME?</v>
      </c>
    </row>
    <row r="4" spans="1:11">
      <c r="A4" s="84" t="s">
        <v>3573</v>
      </c>
      <c r="B4" s="525">
        <f>Ágora!AM17</f>
        <v>21817676.549999997</v>
      </c>
      <c r="C4" s="525">
        <f>Ágora!AN17</f>
        <v>15704130.35</v>
      </c>
      <c r="D4" s="525">
        <f>Ágora!AO17</f>
        <v>15573061.549999999</v>
      </c>
      <c r="E4" s="525">
        <f>Ágora!AP17</f>
        <v>15704900.17</v>
      </c>
      <c r="F4" s="525">
        <f>Ágora!AQ17</f>
        <v>15630226.370000001</v>
      </c>
      <c r="G4" s="525">
        <f>Ágora!AR17</f>
        <v>16309169.310000001</v>
      </c>
      <c r="H4" s="525">
        <f>Ágora!AS17</f>
        <v>16743562.379999999</v>
      </c>
      <c r="I4" s="525">
        <f>Ágora!AT17</f>
        <v>17423239.059999999</v>
      </c>
      <c r="J4" s="525">
        <f>Ágora!AU17</f>
        <v>17339742.519999996</v>
      </c>
      <c r="K4" s="525">
        <f>Ágora!AV17</f>
        <v>17752984.919999998</v>
      </c>
    </row>
    <row r="5" spans="1:11">
      <c r="A5" s="84" t="s">
        <v>2921</v>
      </c>
      <c r="B5" s="525">
        <f>Guide!CA397</f>
        <v>20623662.730000012</v>
      </c>
      <c r="C5" s="525">
        <f>Guide!CB397</f>
        <v>19534663.280000001</v>
      </c>
      <c r="D5" s="525">
        <f>Guide!CC397</f>
        <v>17533313.230000004</v>
      </c>
      <c r="E5" s="525">
        <f>Guide!CD397</f>
        <v>18123650.280000001</v>
      </c>
      <c r="F5" s="525">
        <f>Guide!CE397</f>
        <v>17255985.080000002</v>
      </c>
      <c r="G5" s="525">
        <f>Guide!CF397</f>
        <v>17736140.360000003</v>
      </c>
      <c r="H5" s="525">
        <f>Guide!CG397</f>
        <v>17552161.669999994</v>
      </c>
      <c r="I5" s="525">
        <f>Guide!CH397</f>
        <v>17304917.789999988</v>
      </c>
      <c r="J5" s="525">
        <f>Guide!CI397</f>
        <v>16748432.869999995</v>
      </c>
      <c r="K5" s="525" t="e">
        <f ca="1">Guide!CJ397</f>
        <v>#NAME?</v>
      </c>
    </row>
    <row r="6" spans="1:11">
      <c r="A6" s="84" t="s">
        <v>3607</v>
      </c>
      <c r="B6" s="525">
        <f>Genial!CC34</f>
        <v>1124357.3400000001</v>
      </c>
      <c r="C6" s="525">
        <f>Genial!CD34</f>
        <v>1059951.4700000002</v>
      </c>
      <c r="D6" s="525">
        <f>Genial!CE34</f>
        <v>1001755.77</v>
      </c>
      <c r="E6" s="525">
        <f>Genial!CF34</f>
        <v>794172.04999999993</v>
      </c>
      <c r="F6" s="525">
        <f>Genial!CG34</f>
        <v>791657.06</v>
      </c>
      <c r="G6" s="525">
        <f>Genial!CH34</f>
        <v>793253.11999999988</v>
      </c>
      <c r="H6" s="525">
        <f>Genial!CI34</f>
        <v>801704.32000000007</v>
      </c>
      <c r="I6" s="525">
        <f>Genial!CJ34</f>
        <v>807095.23</v>
      </c>
      <c r="J6" s="525">
        <f>Genial!CK34</f>
        <v>805060.47</v>
      </c>
      <c r="K6" s="525">
        <f>Genial!CL34</f>
        <v>0</v>
      </c>
    </row>
    <row r="7" spans="1:11">
      <c r="A7" s="84" t="s">
        <v>3705</v>
      </c>
      <c r="B7" s="525">
        <f>Órama!AJ6</f>
        <v>581852.22</v>
      </c>
      <c r="C7" s="525">
        <f>Órama!AK6</f>
        <v>584165.93000000005</v>
      </c>
      <c r="D7" s="525">
        <f>Órama!AL6</f>
        <v>495576.06</v>
      </c>
      <c r="E7" s="525">
        <f>Órama!AM6</f>
        <v>494772.11</v>
      </c>
      <c r="F7" s="525">
        <f>Órama!AN6</f>
        <v>496894.54</v>
      </c>
      <c r="G7" s="525">
        <f>Órama!AO6</f>
        <v>496874.88</v>
      </c>
      <c r="H7" s="525">
        <f>Órama!AP6</f>
        <v>0</v>
      </c>
      <c r="I7" s="525">
        <v>0</v>
      </c>
      <c r="J7" s="525">
        <v>0</v>
      </c>
      <c r="K7" s="525">
        <v>0</v>
      </c>
    </row>
    <row r="8" spans="1:11">
      <c r="A8" s="526" t="s">
        <v>6055</v>
      </c>
      <c r="B8" s="527">
        <f t="shared" ref="B8:K8" si="0">SUM(B3:B7)</f>
        <v>343216538.61000037</v>
      </c>
      <c r="C8" s="527">
        <f t="shared" si="0"/>
        <v>343950903.63000005</v>
      </c>
      <c r="D8" s="527">
        <f t="shared" si="0"/>
        <v>340645626.87999988</v>
      </c>
      <c r="E8" s="527">
        <f t="shared" si="0"/>
        <v>356349737.57000011</v>
      </c>
      <c r="F8" s="527">
        <f t="shared" si="0"/>
        <v>364724516.57000017</v>
      </c>
      <c r="G8" s="527">
        <f t="shared" si="0"/>
        <v>372422595.20000011</v>
      </c>
      <c r="H8" s="527">
        <f t="shared" si="0"/>
        <v>317903851.59999973</v>
      </c>
      <c r="I8" s="527">
        <f t="shared" si="0"/>
        <v>297827654.25000006</v>
      </c>
      <c r="J8" s="527">
        <f t="shared" si="0"/>
        <v>291235198.06999987</v>
      </c>
      <c r="K8" s="527" t="e">
        <f t="shared" ca="1" si="0"/>
        <v>#NAME?</v>
      </c>
    </row>
    <row r="11" spans="1:11">
      <c r="A11" s="660" t="s">
        <v>6056</v>
      </c>
      <c r="B11" s="650"/>
      <c r="C11" s="650"/>
      <c r="D11" s="650"/>
      <c r="E11" s="650"/>
      <c r="F11" s="650"/>
      <c r="G11" s="650"/>
      <c r="H11" s="650"/>
      <c r="I11" s="650"/>
      <c r="J11" s="651"/>
    </row>
    <row r="12" spans="1:11">
      <c r="A12" s="524" t="s">
        <v>2</v>
      </c>
      <c r="B12" s="524" t="s">
        <v>6046</v>
      </c>
      <c r="C12" s="524" t="s">
        <v>6047</v>
      </c>
      <c r="D12" s="524" t="s">
        <v>5402</v>
      </c>
      <c r="E12" s="524" t="s">
        <v>6048</v>
      </c>
      <c r="F12" s="524" t="s">
        <v>6049</v>
      </c>
      <c r="G12" s="524" t="s">
        <v>6050</v>
      </c>
      <c r="H12" s="524" t="s">
        <v>6051</v>
      </c>
      <c r="I12" s="524" t="s">
        <v>6052</v>
      </c>
      <c r="J12" s="524" t="s">
        <v>6053</v>
      </c>
    </row>
    <row r="13" spans="1:11">
      <c r="A13" s="84" t="s">
        <v>3713</v>
      </c>
      <c r="B13" s="528">
        <f>Pershing!AL26</f>
        <v>2784739.66</v>
      </c>
      <c r="C13" s="528">
        <f>Pershing!AM26</f>
        <v>2901557.6</v>
      </c>
      <c r="D13" s="528">
        <f>Pershing!AN26</f>
        <v>3080107.76</v>
      </c>
      <c r="E13" s="528">
        <f>Pershing!AO26</f>
        <v>3336074.58</v>
      </c>
      <c r="F13" s="528">
        <f>Pershing!AP26</f>
        <v>3461366.97</v>
      </c>
      <c r="G13" s="528">
        <f>Pershing!AQ26</f>
        <v>3515414.23</v>
      </c>
      <c r="H13" s="528">
        <f>Pershing!AR26</f>
        <v>3657518.89</v>
      </c>
      <c r="I13" s="528">
        <f>Pershing!AS26</f>
        <v>2203596.91</v>
      </c>
      <c r="J13" s="528">
        <f>Pershing!AT26</f>
        <v>1037808.4100000001</v>
      </c>
    </row>
    <row r="14" spans="1:11">
      <c r="A14" s="84" t="s">
        <v>18</v>
      </c>
      <c r="B14" s="528">
        <v>0</v>
      </c>
      <c r="C14" s="528">
        <v>0</v>
      </c>
      <c r="D14" s="528">
        <v>0</v>
      </c>
      <c r="E14" s="528">
        <v>0</v>
      </c>
      <c r="F14" s="528">
        <v>0</v>
      </c>
      <c r="G14" s="528">
        <v>0</v>
      </c>
      <c r="H14" s="528">
        <f>'Interactive Brokers'!W8</f>
        <v>698091.16999999993</v>
      </c>
      <c r="I14" s="528">
        <f>'Interactive Brokers'!X8</f>
        <v>717679.16</v>
      </c>
      <c r="J14" s="528">
        <f>'Interactive Brokers'!Y8</f>
        <v>666848.08000000007</v>
      </c>
    </row>
    <row r="15" spans="1:11">
      <c r="A15" s="526" t="s">
        <v>6055</v>
      </c>
      <c r="B15" s="529">
        <f t="shared" ref="B15:J15" si="1">SUM(B13:B14)</f>
        <v>2784739.66</v>
      </c>
      <c r="C15" s="529">
        <f t="shared" si="1"/>
        <v>2901557.6</v>
      </c>
      <c r="D15" s="529">
        <f t="shared" si="1"/>
        <v>3080107.76</v>
      </c>
      <c r="E15" s="529">
        <f t="shared" si="1"/>
        <v>3336074.58</v>
      </c>
      <c r="F15" s="529">
        <f t="shared" si="1"/>
        <v>3461366.97</v>
      </c>
      <c r="G15" s="529">
        <f t="shared" si="1"/>
        <v>3515414.23</v>
      </c>
      <c r="H15" s="529">
        <f t="shared" si="1"/>
        <v>4355610.0600000005</v>
      </c>
      <c r="I15" s="529">
        <f t="shared" si="1"/>
        <v>2921276.0700000003</v>
      </c>
      <c r="J15" s="529">
        <f t="shared" si="1"/>
        <v>1704656.4900000002</v>
      </c>
    </row>
    <row r="20" spans="1:10">
      <c r="A20" s="660" t="s">
        <v>6057</v>
      </c>
      <c r="B20" s="650"/>
      <c r="C20" s="650"/>
      <c r="D20" s="650"/>
      <c r="E20" s="650"/>
      <c r="F20" s="650"/>
      <c r="G20" s="650"/>
      <c r="H20" s="650"/>
      <c r="I20" s="650"/>
      <c r="J20" s="651"/>
    </row>
    <row r="21" spans="1:10">
      <c r="A21" s="524" t="s">
        <v>6058</v>
      </c>
      <c r="B21" s="524" t="s">
        <v>6046</v>
      </c>
      <c r="C21" s="524" t="s">
        <v>6047</v>
      </c>
      <c r="D21" s="524" t="s">
        <v>5402</v>
      </c>
      <c r="E21" s="524" t="s">
        <v>6048</v>
      </c>
      <c r="F21" s="524" t="s">
        <v>6049</v>
      </c>
      <c r="G21" s="524" t="s">
        <v>6050</v>
      </c>
      <c r="H21" s="524" t="s">
        <v>6051</v>
      </c>
      <c r="I21" s="524" t="s">
        <v>6052</v>
      </c>
      <c r="J21" s="524" t="s">
        <v>6053</v>
      </c>
    </row>
    <row r="22" spans="1:10">
      <c r="A22" s="526" t="s">
        <v>6059</v>
      </c>
      <c r="B22" s="527">
        <v>4348295.6900000004</v>
      </c>
      <c r="C22" s="527">
        <v>3959983.4</v>
      </c>
      <c r="D22" s="527">
        <v>3541069.97</v>
      </c>
      <c r="E22" s="527">
        <v>12686669.970000001</v>
      </c>
      <c r="F22" s="527">
        <v>23281048.73</v>
      </c>
      <c r="G22" s="527">
        <v>25460484.809999999</v>
      </c>
      <c r="H22" s="527">
        <v>25356490.109999999</v>
      </c>
      <c r="I22" s="527">
        <v>25224256.25</v>
      </c>
      <c r="J22" s="527">
        <v>21213374.399999999</v>
      </c>
    </row>
    <row r="25" spans="1:10">
      <c r="A25" s="660" t="s">
        <v>6060</v>
      </c>
      <c r="B25" s="650"/>
      <c r="C25" s="650"/>
      <c r="D25" s="650"/>
      <c r="E25" s="650"/>
      <c r="F25" s="650"/>
    </row>
    <row r="26" spans="1:10">
      <c r="A26" s="524" t="s">
        <v>6058</v>
      </c>
      <c r="B26" s="524" t="s">
        <v>6050</v>
      </c>
      <c r="C26" s="524" t="s">
        <v>6051</v>
      </c>
      <c r="D26" s="524" t="s">
        <v>6052</v>
      </c>
      <c r="E26" s="524" t="s">
        <v>6053</v>
      </c>
      <c r="F26" s="524" t="s">
        <v>6054</v>
      </c>
    </row>
    <row r="27" spans="1:10">
      <c r="A27" s="526" t="s">
        <v>64</v>
      </c>
      <c r="B27" s="527">
        <f>SUMIF(BTG!D:D,"Voga",BTG!AW:AW)</f>
        <v>106747180.07000002</v>
      </c>
      <c r="C27" s="527">
        <f>SUMIF(BTG!$D:$D,"Voga",BTG!AX:AX)</f>
        <v>41214461.529999994</v>
      </c>
      <c r="D27" s="527">
        <f>SUMIF(BTG!$D:$D,"Voga",BTG!AY:AY)</f>
        <v>15021997.389999999</v>
      </c>
      <c r="E27" s="527">
        <f>SUMIF(BTG!$D:$D,"Voga",BTG!AZ:AZ)</f>
        <v>11863573.800000001</v>
      </c>
      <c r="F27" s="527" t="e">
        <f ca="1">SUMIF(BTG!$D:$D,"Voga",BTG!BA:BA)</f>
        <v>#NAME?</v>
      </c>
    </row>
  </sheetData>
  <mergeCells count="4">
    <mergeCell ref="A1:K1"/>
    <mergeCell ref="A11:J11"/>
    <mergeCell ref="A20:J20"/>
    <mergeCell ref="A25:F25"/>
  </mergeCells>
  <pageMargins left="0.511811024" right="0.511811024" top="0.78740157499999996" bottom="0.78740157499999996" header="0.31496062000000002" footer="0.31496062000000002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  <pageSetUpPr fitToPage="1"/>
  </sheetPr>
  <dimension ref="A1:R1000"/>
  <sheetViews>
    <sheetView workbookViewId="0"/>
  </sheetViews>
  <sheetFormatPr defaultColWidth="12.5703125" defaultRowHeight="15" customHeight="1"/>
  <cols>
    <col min="1" max="1" width="44.28515625" customWidth="1"/>
    <col min="2" max="2" width="17.28515625" customWidth="1"/>
    <col min="3" max="3" width="16.140625" customWidth="1"/>
    <col min="4" max="4" width="16.28515625" customWidth="1"/>
    <col min="5" max="6" width="16.7109375" customWidth="1"/>
    <col min="7" max="7" width="13.85546875" customWidth="1"/>
    <col min="10" max="10" width="15.28515625" customWidth="1"/>
    <col min="13" max="13" width="13.85546875" customWidth="1"/>
    <col min="14" max="14" width="10.5703125" customWidth="1"/>
    <col min="17" max="17" width="15.28515625" customWidth="1"/>
  </cols>
  <sheetData>
    <row r="1" spans="1:17" ht="15.75" customHeight="1">
      <c r="A1" s="530" t="s">
        <v>6061</v>
      </c>
      <c r="B1" s="530" t="s">
        <v>6062</v>
      </c>
      <c r="C1" s="530" t="s">
        <v>6063</v>
      </c>
      <c r="D1" s="530" t="s">
        <v>6064</v>
      </c>
      <c r="E1" s="530" t="s">
        <v>6065</v>
      </c>
      <c r="F1" s="530" t="s">
        <v>6066</v>
      </c>
      <c r="G1" s="530" t="s">
        <v>6067</v>
      </c>
    </row>
    <row r="2" spans="1:17" ht="15.75" customHeight="1">
      <c r="A2" s="531" t="s">
        <v>6068</v>
      </c>
      <c r="B2" s="532" t="s">
        <v>6069</v>
      </c>
      <c r="C2" s="533">
        <v>30271</v>
      </c>
      <c r="D2" s="532">
        <f t="shared" ref="D2:D14" si="0">DATEDIF(C2,$C$121,"Y")</f>
        <v>37</v>
      </c>
      <c r="E2" s="532" t="s">
        <v>6070</v>
      </c>
      <c r="F2" s="532" t="s">
        <v>6071</v>
      </c>
      <c r="G2" s="131">
        <v>326844</v>
      </c>
      <c r="J2" s="534" t="s">
        <v>6062</v>
      </c>
      <c r="K2" s="532" t="s">
        <v>6055</v>
      </c>
      <c r="L2" s="532" t="s">
        <v>6072</v>
      </c>
      <c r="M2" s="532" t="s">
        <v>6073</v>
      </c>
      <c r="N2" s="532" t="s">
        <v>6072</v>
      </c>
      <c r="O2" s="532" t="s">
        <v>6074</v>
      </c>
    </row>
    <row r="3" spans="1:17" ht="15.75" customHeight="1">
      <c r="A3" s="535" t="s">
        <v>6075</v>
      </c>
      <c r="B3" s="532" t="s">
        <v>5546</v>
      </c>
      <c r="C3" s="533">
        <v>20755</v>
      </c>
      <c r="D3" s="532">
        <f t="shared" si="0"/>
        <v>63</v>
      </c>
      <c r="E3" s="532" t="s">
        <v>6076</v>
      </c>
      <c r="F3" s="532" t="s">
        <v>6071</v>
      </c>
      <c r="G3" s="131">
        <v>100078.05</v>
      </c>
      <c r="J3" s="303" t="s">
        <v>6077</v>
      </c>
      <c r="K3" s="532">
        <f>COUNTIF(B2:B118,"M")</f>
        <v>71</v>
      </c>
      <c r="L3" s="536">
        <f>K3/K5</f>
        <v>0.60683760683760679</v>
      </c>
      <c r="M3" s="537">
        <f>SUMIFS(G2:G118,B2:B118,"M")</f>
        <v>22181805.449999999</v>
      </c>
      <c r="N3" s="538">
        <f>M3/M5</f>
        <v>0.68090083812583502</v>
      </c>
      <c r="O3" s="537">
        <f>M3/COUNTIFS(G2:G118,"&gt;0",B2:B118,"M")</f>
        <v>331071.72313432832</v>
      </c>
      <c r="P3" s="539">
        <f>COUNTIFS(G2:G118,"&gt;0",B2:B118,"M")</f>
        <v>67</v>
      </c>
      <c r="Q3" s="540"/>
    </row>
    <row r="4" spans="1:17" ht="15.75" customHeight="1">
      <c r="A4" s="541" t="s">
        <v>6078</v>
      </c>
      <c r="B4" s="532" t="s">
        <v>6069</v>
      </c>
      <c r="C4" s="533">
        <v>28058</v>
      </c>
      <c r="D4" s="532">
        <f t="shared" si="0"/>
        <v>43</v>
      </c>
      <c r="E4" s="532" t="s">
        <v>6079</v>
      </c>
      <c r="F4" s="532" t="s">
        <v>6071</v>
      </c>
      <c r="G4" s="131">
        <v>49196.01</v>
      </c>
      <c r="J4" s="303" t="s">
        <v>6080</v>
      </c>
      <c r="K4" s="532">
        <f>COUNTIF(B2:B118,"F")</f>
        <v>46</v>
      </c>
      <c r="L4" s="536">
        <f>K4/K5</f>
        <v>0.39316239316239315</v>
      </c>
      <c r="M4" s="537">
        <f>SUMIFS(G2:G118,B2:B118,"F")</f>
        <v>10395339.720000001</v>
      </c>
      <c r="N4" s="538">
        <f>M4/M5</f>
        <v>0.31909916187416493</v>
      </c>
      <c r="O4" s="537">
        <f>M4/COUNTIFS(G2:G118,"&gt;0",B2:B118,"F")</f>
        <v>253544.87121951222</v>
      </c>
      <c r="P4" s="539">
        <f>COUNTIFS(G2:G118,"&gt;0",B2:B118,"F")</f>
        <v>41</v>
      </c>
      <c r="Q4" s="540"/>
    </row>
    <row r="5" spans="1:17" ht="15.75" customHeight="1">
      <c r="A5" s="303" t="s">
        <v>6081</v>
      </c>
      <c r="B5" s="532" t="s">
        <v>6069</v>
      </c>
      <c r="C5" s="533">
        <v>29075</v>
      </c>
      <c r="D5" s="532">
        <f t="shared" si="0"/>
        <v>40</v>
      </c>
      <c r="E5" s="532" t="s">
        <v>6079</v>
      </c>
      <c r="F5" s="532" t="s">
        <v>6071</v>
      </c>
      <c r="G5" s="131">
        <v>100349</v>
      </c>
      <c r="J5" s="303" t="s">
        <v>6055</v>
      </c>
      <c r="K5" s="532">
        <f t="shared" ref="K5:N5" si="1">SUM(K3:K4)</f>
        <v>117</v>
      </c>
      <c r="L5" s="536">
        <f t="shared" si="1"/>
        <v>1</v>
      </c>
      <c r="M5" s="537">
        <f t="shared" si="1"/>
        <v>32577145.170000002</v>
      </c>
      <c r="N5" s="538">
        <f t="shared" si="1"/>
        <v>1</v>
      </c>
      <c r="O5" s="537" t="s">
        <v>3147</v>
      </c>
      <c r="P5" s="539">
        <f>SUM(P3:P4)</f>
        <v>108</v>
      </c>
    </row>
    <row r="6" spans="1:17" ht="15.75" customHeight="1">
      <c r="A6" s="535" t="s">
        <v>6082</v>
      </c>
      <c r="B6" s="532" t="s">
        <v>6069</v>
      </c>
      <c r="C6" s="533">
        <v>26364</v>
      </c>
      <c r="D6" s="532">
        <f t="shared" si="0"/>
        <v>47</v>
      </c>
      <c r="E6" s="532" t="s">
        <v>6079</v>
      </c>
      <c r="F6" s="532" t="s">
        <v>6071</v>
      </c>
      <c r="G6" s="131">
        <v>254439</v>
      </c>
      <c r="P6" s="539"/>
    </row>
    <row r="7" spans="1:17" ht="15.75" customHeight="1">
      <c r="A7" s="535" t="s">
        <v>6083</v>
      </c>
      <c r="B7" s="532" t="s">
        <v>6069</v>
      </c>
      <c r="C7" s="533">
        <v>30591</v>
      </c>
      <c r="D7" s="532">
        <f t="shared" si="0"/>
        <v>36</v>
      </c>
      <c r="E7" s="532" t="s">
        <v>6070</v>
      </c>
      <c r="F7" s="532" t="s">
        <v>6084</v>
      </c>
      <c r="G7" s="131">
        <v>105616</v>
      </c>
      <c r="J7" s="534" t="s">
        <v>6064</v>
      </c>
      <c r="K7" s="532" t="s">
        <v>6055</v>
      </c>
      <c r="L7" s="532" t="s">
        <v>6072</v>
      </c>
      <c r="M7" s="532" t="s">
        <v>6085</v>
      </c>
      <c r="N7" s="532" t="s">
        <v>6072</v>
      </c>
      <c r="O7" s="532" t="s">
        <v>6074</v>
      </c>
      <c r="P7" s="539"/>
    </row>
    <row r="8" spans="1:17" ht="15.75" customHeight="1">
      <c r="A8" s="303" t="s">
        <v>6086</v>
      </c>
      <c r="B8" s="532" t="s">
        <v>6069</v>
      </c>
      <c r="C8" s="533">
        <v>28792</v>
      </c>
      <c r="D8" s="532">
        <f t="shared" si="0"/>
        <v>41</v>
      </c>
      <c r="E8" s="532" t="s">
        <v>6087</v>
      </c>
      <c r="F8" s="532" t="s">
        <v>6071</v>
      </c>
      <c r="G8" s="131">
        <v>1013833</v>
      </c>
      <c r="J8" s="303" t="s">
        <v>6088</v>
      </c>
      <c r="K8" s="532">
        <f>COUNTIFS(D2:D118,"&gt;=18",D2:D118,"&lt;30")</f>
        <v>5</v>
      </c>
      <c r="L8" s="536">
        <f t="shared" ref="L8:L15" si="2">K8/$K$15</f>
        <v>4.5045045045045043E-2</v>
      </c>
      <c r="M8" s="537">
        <f>SUMIFS(G2:G118,D2:D118,"&gt;=18",D2:D118,"&lt;30")</f>
        <v>580732.40999999992</v>
      </c>
      <c r="N8" s="538">
        <f t="shared" ref="N8:N15" si="3">M8/$M$15</f>
        <v>1.8124633245364289E-2</v>
      </c>
      <c r="O8" s="537">
        <f>M8/COUNTIFS(D2:D118,"&gt;=18",D2:D118,"&lt;30",G2:G118,"&gt;0")</f>
        <v>116146.48199999999</v>
      </c>
      <c r="P8" s="539">
        <f>COUNTIFS(D2:D118,"&gt;=18",D2:D118,"&lt;30",G2:G118,"&gt;0")</f>
        <v>5</v>
      </c>
    </row>
    <row r="9" spans="1:17" ht="15.75" customHeight="1">
      <c r="A9" s="303" t="s">
        <v>6089</v>
      </c>
      <c r="B9" s="532" t="s">
        <v>6069</v>
      </c>
      <c r="C9" s="533">
        <v>33605</v>
      </c>
      <c r="D9" s="532">
        <f t="shared" si="0"/>
        <v>28</v>
      </c>
      <c r="E9" s="532" t="s">
        <v>6090</v>
      </c>
      <c r="F9" s="532" t="s">
        <v>6071</v>
      </c>
      <c r="G9" s="131">
        <v>5158.12</v>
      </c>
      <c r="J9" s="303" t="s">
        <v>6091</v>
      </c>
      <c r="K9" s="532">
        <f>COUNTIFS(D2:D118,"&gt;=30",D2:D118,"&lt;40")</f>
        <v>33</v>
      </c>
      <c r="L9" s="536">
        <f t="shared" si="2"/>
        <v>0.29729729729729731</v>
      </c>
      <c r="M9" s="537">
        <f>SUMIFS(G2:G118,D2:D118,"&gt;=30",D2:D118,"&lt;40")</f>
        <v>8235964.8899999997</v>
      </c>
      <c r="N9" s="538">
        <f t="shared" si="3"/>
        <v>0.25704410582654935</v>
      </c>
      <c r="O9" s="537">
        <f>M9/COUNTIFS(D2:D118,"&gt;=30",D2:D118,"&lt;40",G2:G118,"&gt;0")</f>
        <v>265676.28677419352</v>
      </c>
      <c r="P9" s="539">
        <f>COUNTIFS(D2:D118,"&gt;=30",D2:D118,"&lt;40",G2:G118,"&gt;0")</f>
        <v>31</v>
      </c>
    </row>
    <row r="10" spans="1:17" ht="15.75" customHeight="1">
      <c r="A10" s="535" t="s">
        <v>6092</v>
      </c>
      <c r="B10" s="532" t="s">
        <v>5546</v>
      </c>
      <c r="C10" s="533">
        <v>23623</v>
      </c>
      <c r="D10" s="532">
        <f t="shared" si="0"/>
        <v>55</v>
      </c>
      <c r="E10" s="532" t="s">
        <v>6093</v>
      </c>
      <c r="F10" s="532" t="s">
        <v>6071</v>
      </c>
      <c r="G10" s="131">
        <v>928015</v>
      </c>
      <c r="J10" s="303" t="s">
        <v>6094</v>
      </c>
      <c r="K10" s="532">
        <f>COUNTIFS(D2:D118,"&gt;=40",D2:D118,"&lt;50")</f>
        <v>30</v>
      </c>
      <c r="L10" s="536">
        <f t="shared" si="2"/>
        <v>0.27027027027027029</v>
      </c>
      <c r="M10" s="537">
        <f>SUMIFS(G2:G118,D2:D118,"&gt;=40",D2:D118,"&lt;50")</f>
        <v>10741488.870000001</v>
      </c>
      <c r="N10" s="538">
        <f t="shared" si="3"/>
        <v>0.33524140021376203</v>
      </c>
      <c r="O10" s="537">
        <f>M10/COUNTIFS(D2:D118,"&gt;=40",D2:D118,"&lt;50",G2:G118,"&gt;0")</f>
        <v>370396.16793103452</v>
      </c>
      <c r="P10" s="539">
        <f>COUNTIFS(D2:D118,"&gt;=40",D2:D118,"&lt;50",G2:G118,"&gt;0")</f>
        <v>29</v>
      </c>
    </row>
    <row r="11" spans="1:17" ht="15.75" customHeight="1">
      <c r="A11" s="535" t="s">
        <v>6095</v>
      </c>
      <c r="B11" s="532" t="s">
        <v>5546</v>
      </c>
      <c r="C11" s="533">
        <v>31602</v>
      </c>
      <c r="D11" s="532">
        <f t="shared" si="0"/>
        <v>33</v>
      </c>
      <c r="E11" s="532" t="s">
        <v>6096</v>
      </c>
      <c r="F11" s="532" t="s">
        <v>6071</v>
      </c>
      <c r="G11" s="131">
        <v>449686</v>
      </c>
      <c r="J11" s="303" t="s">
        <v>6097</v>
      </c>
      <c r="K11" s="532">
        <f>COUNTIFS(D2:D118,"&gt;=50",D2:D118,"&lt;60")</f>
        <v>22</v>
      </c>
      <c r="L11" s="536">
        <f t="shared" si="2"/>
        <v>0.1981981981981982</v>
      </c>
      <c r="M11" s="537">
        <f>SUMIFS(G2:G118,D2:D118,"&gt;=50",D2:D118,"&lt;60")</f>
        <v>7064823.4100000001</v>
      </c>
      <c r="N11" s="538">
        <f t="shared" si="3"/>
        <v>0.2204928311983034</v>
      </c>
      <c r="O11" s="537">
        <f>M11/COUNTIFS(D2:D118,"&gt;=50",D2:D118,"&lt;60",G2:G118,"&gt;0")</f>
        <v>336420.16238095239</v>
      </c>
      <c r="P11" s="542">
        <f>COUNTIFS(D2:D118,"&gt;=50",D2:D118,"&lt;60",G2:G118,"&gt;0")</f>
        <v>21</v>
      </c>
    </row>
    <row r="12" spans="1:17" ht="15.75" customHeight="1">
      <c r="A12" s="535" t="s">
        <v>6098</v>
      </c>
      <c r="B12" s="532" t="s">
        <v>5546</v>
      </c>
      <c r="C12" s="533">
        <v>24295</v>
      </c>
      <c r="D12" s="532">
        <f t="shared" si="0"/>
        <v>53</v>
      </c>
      <c r="E12" s="532" t="s">
        <v>6099</v>
      </c>
      <c r="F12" s="532" t="s">
        <v>6071</v>
      </c>
      <c r="G12" s="131">
        <v>174816</v>
      </c>
      <c r="J12" s="303" t="s">
        <v>6100</v>
      </c>
      <c r="K12" s="532">
        <f>COUNTIFS(D2:D118,"&gt;=60",D2:D118,"&lt;70")</f>
        <v>16</v>
      </c>
      <c r="L12" s="536">
        <f t="shared" si="2"/>
        <v>0.14414414414414414</v>
      </c>
      <c r="M12" s="537">
        <f>SUMIFS(G2:G118,D2:D118,"&gt;=60",D2:D118,"&lt;70")</f>
        <v>3714393.58</v>
      </c>
      <c r="N12" s="538">
        <f t="shared" si="3"/>
        <v>0.11592606199890874</v>
      </c>
      <c r="O12" s="537">
        <f>M12/COUNTIFS(D2:D118,"&gt;=60",D2:D118,"&lt;70",G2:G118,"&gt;0")</f>
        <v>247626.23866666667</v>
      </c>
      <c r="P12" s="542">
        <f>COUNTIFS(D2:D118,"&gt;=60",D2:D118,"&lt;70",G2:G118,"&gt;0")</f>
        <v>15</v>
      </c>
    </row>
    <row r="13" spans="1:17" ht="15.75" customHeight="1">
      <c r="A13" s="535" t="s">
        <v>6101</v>
      </c>
      <c r="B13" s="532" t="s">
        <v>6069</v>
      </c>
      <c r="C13" s="533">
        <v>13520</v>
      </c>
      <c r="D13" s="532">
        <f t="shared" si="0"/>
        <v>82</v>
      </c>
      <c r="E13" s="532" t="s">
        <v>6102</v>
      </c>
      <c r="F13" s="532" t="s">
        <v>6103</v>
      </c>
      <c r="G13" s="131">
        <v>147417</v>
      </c>
      <c r="J13" s="303" t="s">
        <v>6104</v>
      </c>
      <c r="K13" s="532">
        <f>COUNTIFS(D2:D118,"&gt;70",D2:D118,"&lt;80")</f>
        <v>3</v>
      </c>
      <c r="L13" s="536">
        <f t="shared" si="2"/>
        <v>2.7027027027027029E-2</v>
      </c>
      <c r="M13" s="537">
        <f>SUMIFS(G2:G118,D2:D118,"&gt;=70",D2:D118,"&lt;80")</f>
        <v>1436366.01</v>
      </c>
      <c r="N13" s="538">
        <f t="shared" si="3"/>
        <v>4.4828920668225247E-2</v>
      </c>
      <c r="O13" s="537">
        <f>M13/COUNTIFS(D2:D118,"&gt;=70",D2:D118,"&lt;80",G2:G118,"&gt;0")</f>
        <v>478788.67</v>
      </c>
      <c r="P13" s="542">
        <f>COUNTIFS(D2:D118,"&gt;=70",D2:D118,"&lt;80",G2:G118,"&gt;0")</f>
        <v>3</v>
      </c>
    </row>
    <row r="14" spans="1:17" ht="15.75" customHeight="1">
      <c r="A14" s="535" t="s">
        <v>6105</v>
      </c>
      <c r="B14" s="532" t="s">
        <v>6069</v>
      </c>
      <c r="C14" s="533">
        <v>23066</v>
      </c>
      <c r="D14" s="532">
        <f t="shared" si="0"/>
        <v>56</v>
      </c>
      <c r="E14" s="532" t="s">
        <v>6070</v>
      </c>
      <c r="F14" s="532" t="s">
        <v>6071</v>
      </c>
      <c r="G14" s="131">
        <v>31376</v>
      </c>
      <c r="J14" s="303" t="s">
        <v>6106</v>
      </c>
      <c r="K14" s="532">
        <f>COUNTIFS(D2:D118,"&gt;80",D2:D118,"&lt;90")</f>
        <v>2</v>
      </c>
      <c r="L14" s="536">
        <f t="shared" si="2"/>
        <v>1.8018018018018018E-2</v>
      </c>
      <c r="M14" s="537">
        <f>SUMIFS(G2:G118,D2:D118,"&gt;=80",D2:D118,"&lt;90")</f>
        <v>267288</v>
      </c>
      <c r="N14" s="538">
        <f t="shared" si="3"/>
        <v>8.3420468488867895E-3</v>
      </c>
      <c r="O14" s="537">
        <f>M14/COUNTIFS(D2:D118,"&gt;=80",D2:D118,"&lt;90",G2:G118,"&gt;0")</f>
        <v>133644</v>
      </c>
      <c r="P14" s="542">
        <f>COUNTIFS(D2:D118,"&gt;=80",D2:D118,"&lt;90",G2:G118,"&gt;0")</f>
        <v>2</v>
      </c>
      <c r="Q14" s="542" t="s">
        <v>4840</v>
      </c>
    </row>
    <row r="15" spans="1:17" ht="15.75" customHeight="1">
      <c r="A15" s="543" t="s">
        <v>6107</v>
      </c>
      <c r="B15" s="532" t="s">
        <v>6069</v>
      </c>
      <c r="C15" s="533"/>
      <c r="D15" s="532"/>
      <c r="E15" s="532" t="s">
        <v>6087</v>
      </c>
      <c r="F15" s="532"/>
      <c r="G15" s="131">
        <v>0</v>
      </c>
      <c r="J15" s="303" t="s">
        <v>6055</v>
      </c>
      <c r="K15" s="532">
        <f>SUM(K8:K14)</f>
        <v>111</v>
      </c>
      <c r="L15" s="536">
        <f t="shared" si="2"/>
        <v>1</v>
      </c>
      <c r="M15" s="537">
        <f>SUM(M8:M14)</f>
        <v>32041057.170000006</v>
      </c>
      <c r="N15" s="538">
        <f t="shared" si="3"/>
        <v>1</v>
      </c>
      <c r="O15" s="537">
        <f>M15/COUNTIFS(G2:G118,"&gt;0")</f>
        <v>296676.4552777778</v>
      </c>
      <c r="P15" s="542">
        <f>SUM(P8:P14)</f>
        <v>106</v>
      </c>
    </row>
    <row r="16" spans="1:17" ht="15.75" customHeight="1">
      <c r="A16" s="303" t="s">
        <v>6108</v>
      </c>
      <c r="B16" s="532" t="s">
        <v>5546</v>
      </c>
      <c r="C16" s="533">
        <v>29816</v>
      </c>
      <c r="D16" s="532">
        <f t="shared" ref="D16:D53" si="4">DATEDIF(C16,$C$121,"Y")</f>
        <v>38</v>
      </c>
      <c r="E16" s="532" t="s">
        <v>6096</v>
      </c>
      <c r="F16" s="532" t="s">
        <v>6071</v>
      </c>
      <c r="G16" s="131">
        <v>101819</v>
      </c>
    </row>
    <row r="17" spans="1:18" ht="15.75" customHeight="1">
      <c r="A17" s="535" t="s">
        <v>6109</v>
      </c>
      <c r="B17" s="532" t="s">
        <v>5546</v>
      </c>
      <c r="C17" s="533">
        <v>31091</v>
      </c>
      <c r="D17" s="532">
        <f t="shared" si="4"/>
        <v>34</v>
      </c>
      <c r="E17" s="532" t="s">
        <v>6096</v>
      </c>
      <c r="F17" s="532" t="s">
        <v>6071</v>
      </c>
      <c r="G17" s="131">
        <v>35841.42</v>
      </c>
      <c r="J17" s="530" t="s">
        <v>6065</v>
      </c>
      <c r="K17" s="532" t="s">
        <v>6055</v>
      </c>
      <c r="L17" s="532" t="s">
        <v>6072</v>
      </c>
      <c r="M17" s="532" t="s">
        <v>6110</v>
      </c>
      <c r="N17" s="532" t="s">
        <v>6072</v>
      </c>
      <c r="O17" s="532" t="s">
        <v>6074</v>
      </c>
      <c r="R17" s="542" t="s">
        <v>4840</v>
      </c>
    </row>
    <row r="18" spans="1:18" ht="15.75" customHeight="1">
      <c r="A18" s="535" t="s">
        <v>6111</v>
      </c>
      <c r="B18" s="532" t="s">
        <v>6069</v>
      </c>
      <c r="C18" s="533">
        <v>31386</v>
      </c>
      <c r="D18" s="532">
        <f t="shared" si="4"/>
        <v>34</v>
      </c>
      <c r="E18" s="532" t="s">
        <v>6112</v>
      </c>
      <c r="F18" s="532" t="s">
        <v>6071</v>
      </c>
      <c r="G18" s="131">
        <v>215750</v>
      </c>
      <c r="J18" s="303" t="s">
        <v>6070</v>
      </c>
      <c r="K18" s="532">
        <f>COUNTIF(E2:E118,"Funcionário Público")+COUNTIF(E2:E118,"Funcionária Pública")</f>
        <v>20</v>
      </c>
      <c r="L18" s="536">
        <f t="shared" ref="L18:L28" si="5">K18/$K$28</f>
        <v>0.21978021978021978</v>
      </c>
      <c r="M18" s="537">
        <f>SUMIFS(G2:G118,E2:E118,"Funcionária Pública")+SUMIFS(G2:G118,E2:E118,"Funcionário Público")</f>
        <v>4127437.4699999997</v>
      </c>
      <c r="N18" s="538">
        <f t="shared" ref="N18:N28" si="6">M18/$M$28</f>
        <v>0.12958903055072343</v>
      </c>
      <c r="O18" s="537">
        <f>M18/(COUNTIFS(G2:G118,"&gt;0",E2:E118,"Funcionário Público")+COUNTIFS(G2:G118,"&gt;0",E2:E118,"Funcionária Pública"))</f>
        <v>206371.87349999999</v>
      </c>
      <c r="P18" s="542">
        <f>(COUNTIFS(G2:G118,"&gt;0",E2:E118,"Funcionário Público")+COUNTIFS(G2:G118,"&gt;0",E2:E118,"Funcionária Pública"))</f>
        <v>20</v>
      </c>
    </row>
    <row r="19" spans="1:18" ht="15.75" customHeight="1">
      <c r="A19" s="535" t="s">
        <v>6113</v>
      </c>
      <c r="B19" s="532" t="s">
        <v>6069</v>
      </c>
      <c r="C19" s="533">
        <v>23072</v>
      </c>
      <c r="D19" s="532">
        <f t="shared" si="4"/>
        <v>56</v>
      </c>
      <c r="E19" s="532" t="s">
        <v>6114</v>
      </c>
      <c r="F19" s="532" t="s">
        <v>6071</v>
      </c>
      <c r="G19" s="131">
        <v>132923</v>
      </c>
      <c r="J19" s="303" t="s">
        <v>6087</v>
      </c>
      <c r="K19" s="532">
        <f>COUNTIF(E2:E118,"Empresário")+COUNTIF(E2:E118,"Empresária")</f>
        <v>0</v>
      </c>
      <c r="L19" s="536">
        <f t="shared" si="5"/>
        <v>0</v>
      </c>
      <c r="M19" s="537">
        <f>SUMIFS(G2:G118,E2:E118,"Empresária")+SUMIFS(G2:G118,E2:E118,"Empresário")</f>
        <v>0</v>
      </c>
      <c r="N19" s="538">
        <f t="shared" si="6"/>
        <v>0</v>
      </c>
      <c r="O19" s="537" t="e">
        <f>M19/(COUNTIFS(G2:G118,"&gt;0",E2:E118,"Empresário")+COUNTIFS(G2:G118,"&gt;0",E2:E118,"Empresária"))</f>
        <v>#DIV/0!</v>
      </c>
    </row>
    <row r="20" spans="1:18" ht="15.75" customHeight="1">
      <c r="A20" s="535" t="s">
        <v>5722</v>
      </c>
      <c r="B20" s="532" t="s">
        <v>6069</v>
      </c>
      <c r="C20" s="533">
        <v>29186</v>
      </c>
      <c r="D20" s="532">
        <f t="shared" si="4"/>
        <v>40</v>
      </c>
      <c r="E20" s="532" t="s">
        <v>6090</v>
      </c>
      <c r="F20" s="532" t="s">
        <v>6071</v>
      </c>
      <c r="G20" s="131">
        <f>707418+847182</f>
        <v>1554600</v>
      </c>
      <c r="J20" s="303" t="s">
        <v>6090</v>
      </c>
      <c r="K20" s="532">
        <f>COUNTIF(E4:E120,"Advogado")+COUNTIF(E4:E120,"Advogada")</f>
        <v>12</v>
      </c>
      <c r="L20" s="536">
        <f t="shared" si="5"/>
        <v>0.13186813186813187</v>
      </c>
      <c r="M20" s="537">
        <f>SUMIFS(G2:G118,E2:E118,"Advogado")+SUMIFS(G2:G118,E2:E118,"Advogada")</f>
        <v>4618016.6900000004</v>
      </c>
      <c r="N20" s="538">
        <f t="shared" si="6"/>
        <v>0.14499173161893131</v>
      </c>
      <c r="O20" s="537">
        <f>M20/(COUNTIFS(G2:G118,"&gt;0",E2:E118,"Advogada")+COUNTIFS(G2:G118,"&gt;0",E2:E118,"Advogado"))</f>
        <v>384834.72416666668</v>
      </c>
    </row>
    <row r="21" spans="1:18" ht="15.75" customHeight="1">
      <c r="A21" s="303" t="s">
        <v>6115</v>
      </c>
      <c r="B21" s="532" t="s">
        <v>5546</v>
      </c>
      <c r="C21" s="533">
        <v>30936</v>
      </c>
      <c r="D21" s="532">
        <f t="shared" si="4"/>
        <v>35</v>
      </c>
      <c r="E21" s="532" t="s">
        <v>6116</v>
      </c>
      <c r="F21" s="532" t="s">
        <v>6071</v>
      </c>
      <c r="G21" s="131">
        <v>511766</v>
      </c>
      <c r="H21" s="542"/>
      <c r="I21" s="542"/>
      <c r="J21" s="303" t="s">
        <v>6079</v>
      </c>
      <c r="K21" s="532">
        <f>COUNTIF(E5:E121,"Dentista")</f>
        <v>8</v>
      </c>
      <c r="L21" s="536">
        <f t="shared" si="5"/>
        <v>8.7912087912087919E-2</v>
      </c>
      <c r="M21" s="537">
        <f>SUMIFS(G2:G118,E2:E118,"Dentista")</f>
        <v>1244788.1099999999</v>
      </c>
      <c r="N21" s="538">
        <f t="shared" si="6"/>
        <v>3.9082574984707706E-2</v>
      </c>
      <c r="O21" s="537">
        <f>M21/(COUNTIFS(G2:G118,"&gt;0",E2:E118,"Dentista"))</f>
        <v>155598.51374999998</v>
      </c>
    </row>
    <row r="22" spans="1:18" ht="15.75" customHeight="1">
      <c r="A22" s="535" t="s">
        <v>5709</v>
      </c>
      <c r="B22" s="532" t="s">
        <v>6069</v>
      </c>
      <c r="C22" s="533">
        <v>26191</v>
      </c>
      <c r="D22" s="532">
        <f t="shared" si="4"/>
        <v>48</v>
      </c>
      <c r="E22" s="532" t="s">
        <v>6117</v>
      </c>
      <c r="F22" s="532" t="s">
        <v>6071</v>
      </c>
      <c r="G22" s="131">
        <v>916562</v>
      </c>
      <c r="J22" s="303" t="s">
        <v>6112</v>
      </c>
      <c r="K22" s="532">
        <f>COUNTIF(E6:E122,"Médico")+COUNTIF(E6:E122,"Médica")</f>
        <v>13</v>
      </c>
      <c r="L22" s="536">
        <f t="shared" si="5"/>
        <v>0.14285714285714285</v>
      </c>
      <c r="M22" s="537">
        <f>SUMIFS(G2:G118,E2:E118,"Médico")+SUMIFS(G2:G118,E2:E118,"Médica")</f>
        <v>4432285.66</v>
      </c>
      <c r="N22" s="538">
        <f t="shared" si="6"/>
        <v>0.13916034003618072</v>
      </c>
      <c r="O22" s="537">
        <f>M22/(COUNTIFS(G2:G118,"&gt;0",E2:E118,"Médico")+COUNTIFS(G2:G118,"&gt;0",E2:E118,"Médica"))</f>
        <v>369357.13833333337</v>
      </c>
    </row>
    <row r="23" spans="1:18" ht="15.75" customHeight="1">
      <c r="A23" s="535" t="s">
        <v>6118</v>
      </c>
      <c r="B23" s="532" t="s">
        <v>6069</v>
      </c>
      <c r="C23" s="533">
        <v>32417</v>
      </c>
      <c r="D23" s="532">
        <f t="shared" si="4"/>
        <v>31</v>
      </c>
      <c r="E23" s="532" t="s">
        <v>6087</v>
      </c>
      <c r="F23" s="532" t="s">
        <v>6071</v>
      </c>
      <c r="G23" s="131">
        <v>332795</v>
      </c>
      <c r="J23" s="303" t="s">
        <v>6119</v>
      </c>
      <c r="K23" s="532">
        <f>COUNTIF(E7:E123,"Administrador")+COUNTIF(E7:E123,"Administradora")</f>
        <v>4</v>
      </c>
      <c r="L23" s="536">
        <f t="shared" si="5"/>
        <v>4.3956043956043959E-2</v>
      </c>
      <c r="M23" s="537">
        <f>SUMIFS(G2:G118,E2:E118,"Administradora")+SUMIFS(G2:G118,E2:E118,"Administrador")</f>
        <v>1272485.1700000002</v>
      </c>
      <c r="N23" s="538">
        <f t="shared" si="6"/>
        <v>3.9952178747476585E-2</v>
      </c>
      <c r="O23" s="537">
        <f>M23/(COUNTIFS(G2:G118,"&gt;0",E2:E118,"Administrador")+COUNTIFS(G2:G118,"&gt;0",E2:E118,"Administradora"))</f>
        <v>318121.29250000004</v>
      </c>
      <c r="Q23" s="542" t="s">
        <v>4840</v>
      </c>
    </row>
    <row r="24" spans="1:18" ht="15.75" customHeight="1">
      <c r="A24" s="535" t="s">
        <v>6120</v>
      </c>
      <c r="B24" s="532" t="s">
        <v>5546</v>
      </c>
      <c r="C24" s="533">
        <v>26324</v>
      </c>
      <c r="D24" s="532">
        <f t="shared" si="4"/>
        <v>47</v>
      </c>
      <c r="E24" s="532" t="s">
        <v>6096</v>
      </c>
      <c r="F24" s="532" t="s">
        <v>6071</v>
      </c>
      <c r="G24" s="131">
        <v>191406</v>
      </c>
      <c r="J24" s="303" t="s">
        <v>6114</v>
      </c>
      <c r="K24" s="532">
        <f>COUNTIF(E8:E124,"Engenheiro")+COUNTIF(E8:E124,"Engenheira")</f>
        <v>6</v>
      </c>
      <c r="L24" s="536">
        <f t="shared" si="5"/>
        <v>6.5934065934065936E-2</v>
      </c>
      <c r="M24" s="537">
        <f>SUMIFS(G2:G118,E2:E118,"Engenheira")+SUMIFS(G2:G118,E2:E118,"Engenheiro")</f>
        <v>1370551.77</v>
      </c>
      <c r="N24" s="538">
        <f t="shared" si="6"/>
        <v>4.3031172848725943E-2</v>
      </c>
      <c r="O24" s="537">
        <f>M24/(COUNTIFS(G2:G118,"&gt;0",E2:E118,"Engenheiro")+COUNTIFS(G2:G118,"&gt;0",E2:E118,"Engenheira"))</f>
        <v>228425.29500000001</v>
      </c>
      <c r="Q24" s="542" t="s">
        <v>4840</v>
      </c>
    </row>
    <row r="25" spans="1:18" ht="15.75" customHeight="1">
      <c r="A25" s="535" t="s">
        <v>6121</v>
      </c>
      <c r="B25" s="532" t="s">
        <v>5546</v>
      </c>
      <c r="C25" s="533">
        <v>24529</v>
      </c>
      <c r="D25" s="532">
        <f t="shared" si="4"/>
        <v>52</v>
      </c>
      <c r="E25" s="532" t="s">
        <v>6122</v>
      </c>
      <c r="F25" s="532" t="s">
        <v>6071</v>
      </c>
      <c r="G25" s="131">
        <v>91137</v>
      </c>
      <c r="J25" s="303" t="s">
        <v>6102</v>
      </c>
      <c r="K25" s="532">
        <f>COUNTIF(E9:E125,"Aposentado")+COUNTIF(E9:E125,"Aposentada")</f>
        <v>8</v>
      </c>
      <c r="L25" s="536">
        <f t="shared" si="5"/>
        <v>8.7912087912087919E-2</v>
      </c>
      <c r="M25" s="537">
        <f>SUMIFS(G2:G118,E2:E118,"Aposentada")+SUMIFS(G2:G118,E2:E118,"Aposentado")</f>
        <v>2458722</v>
      </c>
      <c r="N25" s="538">
        <f t="shared" si="6"/>
        <v>7.7196420948743252E-2</v>
      </c>
      <c r="O25" s="537">
        <f>M25/(COUNTIFS(G2:G118,"&gt;0",E2:E118,"Aposentado")+COUNTIFS(G2:G118,"&gt;0",E2:E118,"Aposentada"))</f>
        <v>351246</v>
      </c>
    </row>
    <row r="26" spans="1:18" ht="15.75" customHeight="1">
      <c r="A26" s="541" t="s">
        <v>6123</v>
      </c>
      <c r="B26" s="532" t="s">
        <v>6069</v>
      </c>
      <c r="C26" s="533">
        <v>28883</v>
      </c>
      <c r="D26" s="532">
        <f t="shared" si="4"/>
        <v>40</v>
      </c>
      <c r="E26" s="532" t="s">
        <v>6112</v>
      </c>
      <c r="F26" s="532" t="s">
        <v>6071</v>
      </c>
      <c r="G26" s="131">
        <v>271013.45</v>
      </c>
      <c r="J26" s="303" t="s">
        <v>6124</v>
      </c>
      <c r="K26" s="532">
        <f>COUNTIF(E9:E125,"Autônomo")+COUNTIF(E9:E125,"Autônoma")</f>
        <v>4</v>
      </c>
      <c r="L26" s="536">
        <f t="shared" si="5"/>
        <v>4.3956043956043959E-2</v>
      </c>
      <c r="M26" s="537">
        <f>SUMIFS(G2:G118,E2:E118,"Autônomo")+SUMIFS(G2:G118,E2:E118,"Autônoma")</f>
        <v>1175824.71</v>
      </c>
      <c r="N26" s="538">
        <f t="shared" si="6"/>
        <v>3.691733318166672E-2</v>
      </c>
      <c r="O26" s="537">
        <f>M26/(COUNTIFS(G2:G118,"&gt;0",E2:E118,"Autônomo")+COUNTIFS(G2:G118,"&gt;0",E2:E118,"Autônoma"))</f>
        <v>293956.17749999999</v>
      </c>
    </row>
    <row r="27" spans="1:18" ht="15.75" customHeight="1">
      <c r="A27" s="535" t="s">
        <v>6125</v>
      </c>
      <c r="B27" s="532" t="s">
        <v>5546</v>
      </c>
      <c r="C27" s="533">
        <v>22919</v>
      </c>
      <c r="D27" s="532">
        <f t="shared" si="4"/>
        <v>57</v>
      </c>
      <c r="E27" s="532" t="s">
        <v>6096</v>
      </c>
      <c r="F27" s="532" t="s">
        <v>6071</v>
      </c>
      <c r="G27" s="131">
        <v>187575</v>
      </c>
      <c r="J27" s="303" t="s">
        <v>6126</v>
      </c>
      <c r="K27" s="532">
        <v>16</v>
      </c>
      <c r="L27" s="536">
        <f t="shared" si="5"/>
        <v>0.17582417582417584</v>
      </c>
      <c r="M27" s="537">
        <f>M28-SUM(M18:M26)</f>
        <v>11150095.589999992</v>
      </c>
      <c r="N27" s="538">
        <f t="shared" si="6"/>
        <v>0.35007921708284429</v>
      </c>
      <c r="O27" s="537">
        <f>M27/15</f>
        <v>743339.70599999954</v>
      </c>
    </row>
    <row r="28" spans="1:18" ht="15.75" customHeight="1">
      <c r="A28" s="543" t="s">
        <v>6127</v>
      </c>
      <c r="B28" s="532" t="s">
        <v>5546</v>
      </c>
      <c r="C28" s="533">
        <v>25781</v>
      </c>
      <c r="D28" s="532">
        <f t="shared" si="4"/>
        <v>49</v>
      </c>
      <c r="E28" s="532"/>
      <c r="F28" s="532" t="s">
        <v>6071</v>
      </c>
      <c r="G28" s="131">
        <v>0</v>
      </c>
      <c r="J28" s="303" t="s">
        <v>6055</v>
      </c>
      <c r="K28" s="532">
        <f>SUM(K18:K27)</f>
        <v>91</v>
      </c>
      <c r="L28" s="536">
        <f t="shared" si="5"/>
        <v>1</v>
      </c>
      <c r="M28" s="537">
        <f>SUMIFS(G2:G118,E2:E118,"&lt;&gt;")</f>
        <v>31850207.169999994</v>
      </c>
      <c r="N28" s="538">
        <f t="shared" si="6"/>
        <v>1</v>
      </c>
      <c r="O28" s="537">
        <f>M28/K28</f>
        <v>350002.27659340651</v>
      </c>
    </row>
    <row r="29" spans="1:18" ht="15.75" customHeight="1">
      <c r="A29" s="303" t="s">
        <v>6128</v>
      </c>
      <c r="B29" s="532" t="s">
        <v>6069</v>
      </c>
      <c r="C29" s="533">
        <v>27513</v>
      </c>
      <c r="D29" s="532">
        <f t="shared" si="4"/>
        <v>44</v>
      </c>
      <c r="E29" s="532" t="s">
        <v>6090</v>
      </c>
      <c r="F29" s="532"/>
      <c r="G29" s="131">
        <v>57062.68</v>
      </c>
    </row>
    <row r="30" spans="1:18" ht="15.75" customHeight="1">
      <c r="A30" s="303" t="s">
        <v>6129</v>
      </c>
      <c r="B30" s="532" t="s">
        <v>5546</v>
      </c>
      <c r="C30" s="533">
        <v>22401</v>
      </c>
      <c r="D30" s="532">
        <f t="shared" si="4"/>
        <v>58</v>
      </c>
      <c r="E30" s="532" t="s">
        <v>6096</v>
      </c>
      <c r="F30" s="532" t="s">
        <v>6071</v>
      </c>
      <c r="G30" s="131">
        <v>163478</v>
      </c>
    </row>
    <row r="31" spans="1:18" ht="15.75" customHeight="1">
      <c r="A31" s="543" t="s">
        <v>6130</v>
      </c>
      <c r="B31" s="532" t="s">
        <v>5546</v>
      </c>
      <c r="C31" s="533">
        <v>19484</v>
      </c>
      <c r="D31" s="532">
        <f t="shared" si="4"/>
        <v>66</v>
      </c>
      <c r="E31" s="532" t="s">
        <v>6131</v>
      </c>
      <c r="F31" s="532" t="s">
        <v>6071</v>
      </c>
      <c r="G31" s="131">
        <v>0</v>
      </c>
      <c r="J31" s="530" t="s">
        <v>6067</v>
      </c>
    </row>
    <row r="32" spans="1:18" ht="15.75" customHeight="1">
      <c r="A32" s="535" t="s">
        <v>6132</v>
      </c>
      <c r="B32" s="532" t="s">
        <v>6069</v>
      </c>
      <c r="C32" s="533">
        <v>25747</v>
      </c>
      <c r="D32" s="532">
        <f t="shared" si="4"/>
        <v>49</v>
      </c>
      <c r="E32" s="532" t="s">
        <v>6079</v>
      </c>
      <c r="F32" s="532" t="s">
        <v>6071</v>
      </c>
      <c r="G32" s="131">
        <f>205400+183458</f>
        <v>388858</v>
      </c>
    </row>
    <row r="33" spans="1:12" ht="15.75" customHeight="1">
      <c r="A33" s="535" t="s">
        <v>6133</v>
      </c>
      <c r="B33" s="532" t="s">
        <v>6069</v>
      </c>
      <c r="C33" s="533">
        <v>28151</v>
      </c>
      <c r="D33" s="532">
        <f t="shared" si="4"/>
        <v>42</v>
      </c>
      <c r="E33" s="532" t="s">
        <v>6079</v>
      </c>
      <c r="F33" s="532" t="s">
        <v>6071</v>
      </c>
      <c r="G33" s="131">
        <v>56328</v>
      </c>
    </row>
    <row r="34" spans="1:12" ht="15.75" customHeight="1">
      <c r="A34" s="303" t="s">
        <v>6134</v>
      </c>
      <c r="B34" s="532" t="s">
        <v>6069</v>
      </c>
      <c r="C34" s="533">
        <v>27906</v>
      </c>
      <c r="D34" s="532">
        <f t="shared" si="4"/>
        <v>43</v>
      </c>
      <c r="E34" s="532" t="s">
        <v>6124</v>
      </c>
      <c r="F34" s="532" t="s">
        <v>6071</v>
      </c>
      <c r="G34" s="131">
        <v>257451</v>
      </c>
    </row>
    <row r="35" spans="1:12" ht="15.75" customHeight="1">
      <c r="A35" s="303" t="s">
        <v>6135</v>
      </c>
      <c r="B35" s="532" t="s">
        <v>6069</v>
      </c>
      <c r="C35" s="533">
        <v>28906</v>
      </c>
      <c r="D35" s="532">
        <f t="shared" si="4"/>
        <v>40</v>
      </c>
      <c r="E35" s="532" t="s">
        <v>6090</v>
      </c>
      <c r="F35" s="532" t="s">
        <v>6071</v>
      </c>
      <c r="G35" s="131">
        <v>402433</v>
      </c>
    </row>
    <row r="36" spans="1:12" ht="15.75" customHeight="1">
      <c r="A36" s="535" t="s">
        <v>6136</v>
      </c>
      <c r="B36" s="532" t="s">
        <v>6069</v>
      </c>
      <c r="C36" s="533">
        <v>30587</v>
      </c>
      <c r="D36" s="532">
        <f t="shared" si="4"/>
        <v>36</v>
      </c>
      <c r="E36" s="532" t="s">
        <v>6112</v>
      </c>
      <c r="F36" s="532" t="s">
        <v>6071</v>
      </c>
      <c r="G36" s="131">
        <f>458323+1000228</f>
        <v>1458551</v>
      </c>
    </row>
    <row r="37" spans="1:12" ht="15.75" customHeight="1">
      <c r="A37" s="535" t="s">
        <v>5645</v>
      </c>
      <c r="B37" s="532" t="s">
        <v>5546</v>
      </c>
      <c r="C37" s="533">
        <v>15096</v>
      </c>
      <c r="D37" s="532">
        <f t="shared" si="4"/>
        <v>78</v>
      </c>
      <c r="E37" s="532" t="s">
        <v>6131</v>
      </c>
      <c r="F37" s="532" t="s">
        <v>6071</v>
      </c>
      <c r="G37" s="131">
        <v>179256</v>
      </c>
    </row>
    <row r="38" spans="1:12" ht="15.75" customHeight="1">
      <c r="A38" s="535" t="s">
        <v>6137</v>
      </c>
      <c r="B38" s="532" t="s">
        <v>6069</v>
      </c>
      <c r="C38" s="533">
        <v>27655</v>
      </c>
      <c r="D38" s="532">
        <f t="shared" si="4"/>
        <v>44</v>
      </c>
      <c r="E38" s="532" t="s">
        <v>6114</v>
      </c>
      <c r="F38" s="532" t="s">
        <v>6138</v>
      </c>
      <c r="G38" s="131">
        <v>769189</v>
      </c>
      <c r="J38" s="542" t="s">
        <v>4840</v>
      </c>
    </row>
    <row r="39" spans="1:12" ht="15.75" customHeight="1">
      <c r="A39" s="535" t="s">
        <v>6139</v>
      </c>
      <c r="B39" s="532" t="s">
        <v>6069</v>
      </c>
      <c r="C39" s="533">
        <v>31245</v>
      </c>
      <c r="D39" s="532">
        <f t="shared" si="4"/>
        <v>34</v>
      </c>
      <c r="E39" s="532" t="s">
        <v>6090</v>
      </c>
      <c r="F39" s="532" t="s">
        <v>6071</v>
      </c>
      <c r="G39" s="131">
        <v>166417</v>
      </c>
      <c r="J39" s="542" t="s">
        <v>4840</v>
      </c>
      <c r="K39" s="542" t="s">
        <v>4840</v>
      </c>
    </row>
    <row r="40" spans="1:12" ht="15.75" customHeight="1">
      <c r="A40" s="303" t="s">
        <v>6140</v>
      </c>
      <c r="B40" s="532" t="s">
        <v>6069</v>
      </c>
      <c r="C40" s="533">
        <v>28270</v>
      </c>
      <c r="D40" s="532">
        <f t="shared" si="4"/>
        <v>42</v>
      </c>
      <c r="E40" s="532" t="s">
        <v>6112</v>
      </c>
      <c r="F40" s="532" t="s">
        <v>6071</v>
      </c>
      <c r="G40" s="131">
        <v>208601</v>
      </c>
    </row>
    <row r="41" spans="1:12" ht="15.75" customHeight="1">
      <c r="A41" s="541" t="s">
        <v>4418</v>
      </c>
      <c r="B41" s="532" t="s">
        <v>6069</v>
      </c>
      <c r="C41" s="533">
        <v>23924</v>
      </c>
      <c r="D41" s="532">
        <f t="shared" si="4"/>
        <v>54</v>
      </c>
      <c r="E41" s="532" t="s">
        <v>6090</v>
      </c>
      <c r="F41" s="532"/>
      <c r="G41" s="131">
        <v>278844.53000000003</v>
      </c>
      <c r="J41" s="542" t="s">
        <v>4840</v>
      </c>
    </row>
    <row r="42" spans="1:12" ht="15.75" customHeight="1">
      <c r="A42" s="541" t="s">
        <v>6141</v>
      </c>
      <c r="B42" s="532" t="s">
        <v>6069</v>
      </c>
      <c r="C42" s="533">
        <v>33469</v>
      </c>
      <c r="D42" s="532">
        <f t="shared" si="4"/>
        <v>28</v>
      </c>
      <c r="E42" s="532" t="s">
        <v>6070</v>
      </c>
      <c r="F42" s="532" t="s">
        <v>6142</v>
      </c>
      <c r="G42" s="131">
        <v>131927</v>
      </c>
      <c r="J42" s="542" t="s">
        <v>4840</v>
      </c>
    </row>
    <row r="43" spans="1:12" ht="15.75" customHeight="1">
      <c r="A43" s="535" t="s">
        <v>6143</v>
      </c>
      <c r="B43" s="532" t="s">
        <v>6069</v>
      </c>
      <c r="C43" s="533">
        <v>25643</v>
      </c>
      <c r="D43" s="532">
        <f t="shared" si="4"/>
        <v>49</v>
      </c>
      <c r="E43" s="532" t="s">
        <v>6112</v>
      </c>
      <c r="F43" s="532" t="s">
        <v>6071</v>
      </c>
      <c r="G43" s="131">
        <v>506417</v>
      </c>
      <c r="K43" s="542" t="s">
        <v>4840</v>
      </c>
      <c r="L43" s="542" t="s">
        <v>4840</v>
      </c>
    </row>
    <row r="44" spans="1:12" ht="15.75" customHeight="1">
      <c r="A44" s="541" t="s">
        <v>6144</v>
      </c>
      <c r="B44" s="532" t="s">
        <v>6069</v>
      </c>
      <c r="C44" s="533">
        <v>32920</v>
      </c>
      <c r="D44" s="532">
        <f t="shared" si="4"/>
        <v>29</v>
      </c>
      <c r="E44" s="532" t="s">
        <v>6090</v>
      </c>
      <c r="F44" s="532" t="s">
        <v>6071</v>
      </c>
      <c r="G44" s="131">
        <v>123215.73</v>
      </c>
      <c r="K44" s="542" t="s">
        <v>4840</v>
      </c>
    </row>
    <row r="45" spans="1:12" ht="15.75" customHeight="1">
      <c r="A45" s="535" t="s">
        <v>6145</v>
      </c>
      <c r="B45" s="532" t="s">
        <v>6069</v>
      </c>
      <c r="C45" s="533">
        <v>30264</v>
      </c>
      <c r="D45" s="532">
        <f t="shared" si="4"/>
        <v>37</v>
      </c>
      <c r="E45" s="532" t="s">
        <v>6087</v>
      </c>
      <c r="F45" s="532" t="s">
        <v>6071</v>
      </c>
      <c r="G45" s="131">
        <v>141649</v>
      </c>
    </row>
    <row r="46" spans="1:12" ht="15.75" customHeight="1">
      <c r="A46" s="535" t="s">
        <v>6146</v>
      </c>
      <c r="B46" s="532" t="s">
        <v>5546</v>
      </c>
      <c r="C46" s="533">
        <v>18097</v>
      </c>
      <c r="D46" s="532">
        <f t="shared" si="4"/>
        <v>70</v>
      </c>
      <c r="E46" s="532" t="s">
        <v>6131</v>
      </c>
      <c r="F46" s="532" t="s">
        <v>6071</v>
      </c>
      <c r="G46" s="131">
        <f>913577+225360</f>
        <v>1138937</v>
      </c>
    </row>
    <row r="47" spans="1:12" ht="15.75" customHeight="1">
      <c r="A47" s="541" t="s">
        <v>4519</v>
      </c>
      <c r="B47" s="532" t="s">
        <v>6069</v>
      </c>
      <c r="C47" s="533">
        <v>24085</v>
      </c>
      <c r="D47" s="532">
        <f t="shared" si="4"/>
        <v>54</v>
      </c>
      <c r="E47" s="532" t="s">
        <v>6147</v>
      </c>
      <c r="F47" s="532"/>
      <c r="G47" s="131">
        <v>611765.67000000004</v>
      </c>
      <c r="L47" s="542" t="s">
        <v>4840</v>
      </c>
    </row>
    <row r="48" spans="1:12" ht="15.75" customHeight="1">
      <c r="A48" s="544" t="s">
        <v>6148</v>
      </c>
      <c r="B48" s="532" t="s">
        <v>5546</v>
      </c>
      <c r="C48" s="533">
        <v>31943</v>
      </c>
      <c r="D48" s="532">
        <f t="shared" si="4"/>
        <v>32</v>
      </c>
      <c r="E48" s="532" t="s">
        <v>6149</v>
      </c>
      <c r="F48" s="532" t="s">
        <v>6071</v>
      </c>
      <c r="G48" s="131">
        <v>275126</v>
      </c>
    </row>
    <row r="49" spans="1:11" ht="15.75" customHeight="1">
      <c r="A49" s="544" t="s">
        <v>6150</v>
      </c>
      <c r="B49" s="532" t="s">
        <v>6069</v>
      </c>
      <c r="C49" s="533">
        <v>26994</v>
      </c>
      <c r="D49" s="532">
        <f t="shared" si="4"/>
        <v>46</v>
      </c>
      <c r="E49" s="532" t="s">
        <v>6087</v>
      </c>
      <c r="F49" s="532" t="s">
        <v>6071</v>
      </c>
      <c r="G49" s="131">
        <v>395619</v>
      </c>
    </row>
    <row r="50" spans="1:11" ht="15.75" customHeight="1">
      <c r="A50" s="544" t="s">
        <v>6151</v>
      </c>
      <c r="B50" s="532" t="s">
        <v>6069</v>
      </c>
      <c r="C50" s="533">
        <v>32175</v>
      </c>
      <c r="D50" s="532">
        <f t="shared" si="4"/>
        <v>31</v>
      </c>
      <c r="E50" s="532" t="s">
        <v>6087</v>
      </c>
      <c r="F50" s="532" t="s">
        <v>6071</v>
      </c>
      <c r="G50" s="131">
        <v>125506</v>
      </c>
      <c r="J50" s="542" t="s">
        <v>4840</v>
      </c>
    </row>
    <row r="51" spans="1:11" ht="15.75" customHeight="1">
      <c r="A51" s="545" t="s">
        <v>6152</v>
      </c>
      <c r="B51" s="532" t="s">
        <v>6069</v>
      </c>
      <c r="C51" s="533">
        <v>29879</v>
      </c>
      <c r="D51" s="532">
        <f t="shared" si="4"/>
        <v>38</v>
      </c>
      <c r="E51" s="532" t="s">
        <v>6112</v>
      </c>
      <c r="F51" s="532" t="s">
        <v>6071</v>
      </c>
      <c r="G51" s="131">
        <f>165123+165077</f>
        <v>330200</v>
      </c>
      <c r="J51" s="542" t="s">
        <v>4840</v>
      </c>
    </row>
    <row r="52" spans="1:11" ht="15.75" customHeight="1">
      <c r="A52" s="535" t="s">
        <v>6153</v>
      </c>
      <c r="B52" s="532" t="s">
        <v>6069</v>
      </c>
      <c r="C52" s="533">
        <v>22158</v>
      </c>
      <c r="D52" s="532">
        <f t="shared" si="4"/>
        <v>59</v>
      </c>
      <c r="E52" s="532" t="s">
        <v>6154</v>
      </c>
      <c r="F52" s="532" t="s">
        <v>6071</v>
      </c>
      <c r="G52" s="131">
        <v>167058</v>
      </c>
    </row>
    <row r="53" spans="1:11" ht="15.75" customHeight="1">
      <c r="A53" s="544" t="s">
        <v>6155</v>
      </c>
      <c r="B53" s="532" t="s">
        <v>6069</v>
      </c>
      <c r="C53" s="533">
        <v>13343</v>
      </c>
      <c r="D53" s="532">
        <f t="shared" si="4"/>
        <v>83</v>
      </c>
      <c r="E53" s="532" t="s">
        <v>6102</v>
      </c>
      <c r="F53" s="532" t="s">
        <v>6071</v>
      </c>
      <c r="G53" s="131">
        <v>119871</v>
      </c>
      <c r="J53" s="542" t="s">
        <v>4840</v>
      </c>
    </row>
    <row r="54" spans="1:11" ht="15.75" customHeight="1">
      <c r="A54" s="546" t="s">
        <v>6156</v>
      </c>
      <c r="B54" s="532" t="s">
        <v>5546</v>
      </c>
      <c r="C54" s="533"/>
      <c r="D54" s="532"/>
      <c r="E54" s="532" t="s">
        <v>6157</v>
      </c>
      <c r="F54" s="532"/>
      <c r="G54" s="131">
        <v>0</v>
      </c>
    </row>
    <row r="55" spans="1:11" ht="15.75" customHeight="1">
      <c r="A55" s="545" t="s">
        <v>6158</v>
      </c>
      <c r="B55" s="532" t="s">
        <v>6069</v>
      </c>
      <c r="C55" s="533">
        <v>23916</v>
      </c>
      <c r="D55" s="532">
        <f t="shared" ref="D55:D78" si="7">DATEDIF(C55,$C$121,"Y")</f>
        <v>54</v>
      </c>
      <c r="E55" s="532" t="s">
        <v>6087</v>
      </c>
      <c r="F55" s="532" t="s">
        <v>6071</v>
      </c>
      <c r="G55" s="131">
        <v>314725</v>
      </c>
    </row>
    <row r="56" spans="1:11" ht="15.75" customHeight="1">
      <c r="A56" s="545" t="s">
        <v>5711</v>
      </c>
      <c r="B56" s="532" t="s">
        <v>6069</v>
      </c>
      <c r="C56" s="533">
        <v>29508</v>
      </c>
      <c r="D56" s="532">
        <f t="shared" si="7"/>
        <v>39</v>
      </c>
      <c r="E56" s="532" t="s">
        <v>6117</v>
      </c>
      <c r="F56" s="532" t="s">
        <v>6071</v>
      </c>
      <c r="G56" s="131">
        <v>105215.56</v>
      </c>
    </row>
    <row r="57" spans="1:11" ht="15.75" customHeight="1">
      <c r="A57" s="544" t="s">
        <v>6159</v>
      </c>
      <c r="B57" s="532" t="s">
        <v>6069</v>
      </c>
      <c r="C57" s="533">
        <v>31417</v>
      </c>
      <c r="D57" s="532">
        <f t="shared" si="7"/>
        <v>33</v>
      </c>
      <c r="E57" s="532" t="s">
        <v>6087</v>
      </c>
      <c r="F57" s="532" t="s">
        <v>6071</v>
      </c>
      <c r="G57" s="131">
        <f>360253+251068</f>
        <v>611321</v>
      </c>
    </row>
    <row r="58" spans="1:11" ht="15.75" customHeight="1">
      <c r="A58" s="544" t="s">
        <v>6160</v>
      </c>
      <c r="B58" s="532" t="s">
        <v>5546</v>
      </c>
      <c r="C58" s="533">
        <v>27619</v>
      </c>
      <c r="D58" s="532">
        <f t="shared" si="7"/>
        <v>44</v>
      </c>
      <c r="E58" s="532" t="s">
        <v>6096</v>
      </c>
      <c r="F58" s="532" t="s">
        <v>6071</v>
      </c>
      <c r="G58" s="131">
        <v>189120</v>
      </c>
    </row>
    <row r="59" spans="1:11" ht="15.75" customHeight="1">
      <c r="A59" s="545" t="s">
        <v>6161</v>
      </c>
      <c r="B59" s="532" t="s">
        <v>5546</v>
      </c>
      <c r="C59" s="533">
        <v>21213</v>
      </c>
      <c r="D59" s="532">
        <f t="shared" si="7"/>
        <v>61</v>
      </c>
      <c r="E59" s="532" t="s">
        <v>6079</v>
      </c>
      <c r="F59" s="532" t="s">
        <v>6138</v>
      </c>
      <c r="G59" s="131">
        <v>16764.63</v>
      </c>
    </row>
    <row r="60" spans="1:11" ht="15.75" customHeight="1">
      <c r="A60" s="544" t="s">
        <v>6162</v>
      </c>
      <c r="B60" s="532" t="s">
        <v>6069</v>
      </c>
      <c r="C60" s="533">
        <v>20736</v>
      </c>
      <c r="D60" s="532">
        <f t="shared" si="7"/>
        <v>63</v>
      </c>
      <c r="E60" s="532"/>
      <c r="F60" s="532" t="s">
        <v>6071</v>
      </c>
      <c r="G60" s="131">
        <v>129393</v>
      </c>
    </row>
    <row r="61" spans="1:11" ht="15.75" customHeight="1">
      <c r="A61" s="547" t="s">
        <v>6163</v>
      </c>
      <c r="B61" s="532" t="s">
        <v>6069</v>
      </c>
      <c r="C61" s="533">
        <v>21535</v>
      </c>
      <c r="D61" s="532">
        <f t="shared" si="7"/>
        <v>61</v>
      </c>
      <c r="E61" s="532" t="s">
        <v>6070</v>
      </c>
      <c r="F61" s="532" t="s">
        <v>6071</v>
      </c>
      <c r="G61" s="131">
        <v>69611</v>
      </c>
      <c r="K61" s="542"/>
    </row>
    <row r="62" spans="1:11" ht="15.75" customHeight="1">
      <c r="A62" s="535" t="s">
        <v>6164</v>
      </c>
      <c r="B62" s="532" t="s">
        <v>5546</v>
      </c>
      <c r="C62" s="533">
        <v>28071</v>
      </c>
      <c r="D62" s="532">
        <f t="shared" si="7"/>
        <v>43</v>
      </c>
      <c r="E62" s="532" t="s">
        <v>6165</v>
      </c>
      <c r="F62" s="532" t="s">
        <v>6071</v>
      </c>
      <c r="G62" s="131">
        <f>419503+311767</f>
        <v>731270</v>
      </c>
    </row>
    <row r="63" spans="1:11" ht="15.75" customHeight="1">
      <c r="A63" s="541" t="s">
        <v>6166</v>
      </c>
      <c r="B63" s="532" t="s">
        <v>6069</v>
      </c>
      <c r="C63" s="533">
        <v>27745</v>
      </c>
      <c r="D63" s="532">
        <f t="shared" si="7"/>
        <v>44</v>
      </c>
      <c r="E63" s="532" t="s">
        <v>6090</v>
      </c>
      <c r="F63" s="532" t="s">
        <v>6071</v>
      </c>
      <c r="G63" s="131">
        <f>994319.81+157168</f>
        <v>1151487.81</v>
      </c>
      <c r="J63" s="542" t="s">
        <v>4840</v>
      </c>
    </row>
    <row r="64" spans="1:11" ht="15.75" customHeight="1">
      <c r="A64" s="535" t="s">
        <v>6167</v>
      </c>
      <c r="B64" s="532" t="s">
        <v>5546</v>
      </c>
      <c r="C64" s="533">
        <v>24999</v>
      </c>
      <c r="D64" s="532">
        <f t="shared" si="7"/>
        <v>51</v>
      </c>
      <c r="E64" s="532" t="s">
        <v>6168</v>
      </c>
      <c r="F64" s="532" t="s">
        <v>6071</v>
      </c>
      <c r="G64" s="131">
        <v>108326</v>
      </c>
      <c r="J64" s="542" t="s">
        <v>4840</v>
      </c>
    </row>
    <row r="65" spans="1:12" ht="15.75" customHeight="1">
      <c r="A65" s="535" t="s">
        <v>6169</v>
      </c>
      <c r="B65" s="532" t="s">
        <v>5546</v>
      </c>
      <c r="C65" s="533">
        <v>18771</v>
      </c>
      <c r="D65" s="532">
        <f t="shared" si="7"/>
        <v>68</v>
      </c>
      <c r="E65" s="532" t="s">
        <v>6131</v>
      </c>
      <c r="F65" s="532" t="s">
        <v>6071</v>
      </c>
      <c r="G65" s="131">
        <v>92609</v>
      </c>
    </row>
    <row r="66" spans="1:12" ht="15.75" customHeight="1">
      <c r="A66" s="303" t="s">
        <v>6170</v>
      </c>
      <c r="B66" s="532" t="s">
        <v>5546</v>
      </c>
      <c r="C66" s="533">
        <v>27098</v>
      </c>
      <c r="D66" s="532">
        <f t="shared" si="7"/>
        <v>45</v>
      </c>
      <c r="E66" s="532" t="s">
        <v>6096</v>
      </c>
      <c r="F66" s="532" t="s">
        <v>6071</v>
      </c>
      <c r="G66" s="131">
        <v>44491.05</v>
      </c>
      <c r="L66" s="542" t="s">
        <v>4840</v>
      </c>
    </row>
    <row r="67" spans="1:12" ht="15.75" customHeight="1">
      <c r="A67" s="535" t="s">
        <v>6171</v>
      </c>
      <c r="B67" s="532" t="s">
        <v>5546</v>
      </c>
      <c r="C67" s="533">
        <v>21881</v>
      </c>
      <c r="D67" s="532">
        <f t="shared" si="7"/>
        <v>60</v>
      </c>
      <c r="E67" s="532" t="s">
        <v>6172</v>
      </c>
      <c r="F67" s="532" t="s">
        <v>6071</v>
      </c>
      <c r="G67" s="131">
        <v>253693</v>
      </c>
      <c r="J67" s="542" t="s">
        <v>4840</v>
      </c>
    </row>
    <row r="68" spans="1:12" ht="15.75" customHeight="1">
      <c r="A68" s="303" t="s">
        <v>6173</v>
      </c>
      <c r="B68" s="532" t="s">
        <v>5546</v>
      </c>
      <c r="C68" s="533">
        <v>20961</v>
      </c>
      <c r="D68" s="532">
        <f t="shared" si="7"/>
        <v>62</v>
      </c>
      <c r="E68" s="532" t="s">
        <v>6174</v>
      </c>
      <c r="F68" s="532" t="s">
        <v>6071</v>
      </c>
      <c r="G68" s="131">
        <v>268632.52</v>
      </c>
      <c r="J68" s="542" t="s">
        <v>4840</v>
      </c>
    </row>
    <row r="69" spans="1:12" ht="15.75" customHeight="1">
      <c r="A69" s="543" t="s">
        <v>6175</v>
      </c>
      <c r="B69" s="532" t="s">
        <v>5546</v>
      </c>
      <c r="C69" s="533">
        <v>16541</v>
      </c>
      <c r="D69" s="532">
        <f t="shared" si="7"/>
        <v>74</v>
      </c>
      <c r="E69" s="532" t="s">
        <v>6176</v>
      </c>
      <c r="F69" s="532" t="s">
        <v>6071</v>
      </c>
      <c r="G69" s="131">
        <v>0</v>
      </c>
      <c r="L69" s="542" t="s">
        <v>4840</v>
      </c>
    </row>
    <row r="70" spans="1:12" ht="15.75" customHeight="1">
      <c r="A70" s="303" t="s">
        <v>6177</v>
      </c>
      <c r="B70" s="532" t="s">
        <v>5546</v>
      </c>
      <c r="C70" s="533">
        <v>17371</v>
      </c>
      <c r="D70" s="532">
        <f t="shared" si="7"/>
        <v>72</v>
      </c>
      <c r="E70" s="532" t="s">
        <v>6157</v>
      </c>
      <c r="F70" s="532" t="s">
        <v>6138</v>
      </c>
      <c r="G70" s="131">
        <v>118173.01</v>
      </c>
    </row>
    <row r="71" spans="1:12" ht="15.75" customHeight="1">
      <c r="A71" s="535" t="s">
        <v>6178</v>
      </c>
      <c r="B71" s="532" t="s">
        <v>5546</v>
      </c>
      <c r="C71" s="533">
        <v>22041</v>
      </c>
      <c r="D71" s="532">
        <f t="shared" si="7"/>
        <v>59</v>
      </c>
      <c r="E71" s="532" t="s">
        <v>6157</v>
      </c>
      <c r="F71" s="532" t="s">
        <v>6071</v>
      </c>
      <c r="G71" s="131">
        <v>177455</v>
      </c>
      <c r="K71" s="542" t="s">
        <v>4840</v>
      </c>
    </row>
    <row r="72" spans="1:12" ht="15.75" customHeight="1">
      <c r="A72" s="535" t="s">
        <v>6179</v>
      </c>
      <c r="B72" s="532" t="s">
        <v>6069</v>
      </c>
      <c r="C72" s="533">
        <v>28553</v>
      </c>
      <c r="D72" s="532">
        <f t="shared" si="7"/>
        <v>41</v>
      </c>
      <c r="E72" s="532" t="s">
        <v>6112</v>
      </c>
      <c r="F72" s="532" t="s">
        <v>6071</v>
      </c>
      <c r="G72" s="131">
        <v>115496</v>
      </c>
      <c r="J72" s="542" t="s">
        <v>4840</v>
      </c>
    </row>
    <row r="73" spans="1:12" ht="15.75" customHeight="1">
      <c r="A73" s="535" t="s">
        <v>6180</v>
      </c>
      <c r="B73" s="532" t="s">
        <v>6069</v>
      </c>
      <c r="C73" s="533">
        <v>28738</v>
      </c>
      <c r="D73" s="532">
        <f t="shared" si="7"/>
        <v>41</v>
      </c>
      <c r="E73" s="532" t="s">
        <v>6090</v>
      </c>
      <c r="F73" s="532" t="s">
        <v>6071</v>
      </c>
      <c r="G73" s="131">
        <v>261709</v>
      </c>
    </row>
    <row r="74" spans="1:12" ht="15.75" customHeight="1">
      <c r="A74" s="303" t="s">
        <v>6181</v>
      </c>
      <c r="B74" s="532" t="s">
        <v>6069</v>
      </c>
      <c r="C74" s="533">
        <v>24095</v>
      </c>
      <c r="D74" s="532">
        <f t="shared" si="7"/>
        <v>54</v>
      </c>
      <c r="E74" s="532" t="s">
        <v>6087</v>
      </c>
      <c r="F74" s="532" t="s">
        <v>6071</v>
      </c>
      <c r="G74" s="131">
        <v>0</v>
      </c>
    </row>
    <row r="75" spans="1:12" ht="15.75" customHeight="1">
      <c r="A75" s="541" t="s">
        <v>2112</v>
      </c>
      <c r="B75" s="532" t="s">
        <v>5546</v>
      </c>
      <c r="C75" s="533">
        <v>25216</v>
      </c>
      <c r="D75" s="532">
        <f t="shared" si="7"/>
        <v>50</v>
      </c>
      <c r="E75" s="532" t="s">
        <v>6182</v>
      </c>
      <c r="F75" s="532"/>
      <c r="G75" s="131">
        <v>695297.71</v>
      </c>
      <c r="J75" s="542" t="s">
        <v>4840</v>
      </c>
    </row>
    <row r="76" spans="1:12" ht="15.75" customHeight="1">
      <c r="A76" s="303" t="s">
        <v>6183</v>
      </c>
      <c r="B76" s="532" t="s">
        <v>6069</v>
      </c>
      <c r="C76" s="533">
        <v>32329</v>
      </c>
      <c r="D76" s="532">
        <f t="shared" si="7"/>
        <v>31</v>
      </c>
      <c r="E76" s="532" t="s">
        <v>6087</v>
      </c>
      <c r="F76" s="532" t="s">
        <v>6071</v>
      </c>
      <c r="G76" s="131">
        <v>184409</v>
      </c>
      <c r="J76" s="542" t="s">
        <v>4840</v>
      </c>
    </row>
    <row r="77" spans="1:12" ht="15.75" customHeight="1">
      <c r="A77" s="535" t="s">
        <v>6184</v>
      </c>
      <c r="B77" s="532" t="s">
        <v>5546</v>
      </c>
      <c r="C77" s="533">
        <v>30849</v>
      </c>
      <c r="D77" s="532">
        <f t="shared" si="7"/>
        <v>35</v>
      </c>
      <c r="E77" s="532" t="s">
        <v>6096</v>
      </c>
      <c r="F77" s="532" t="s">
        <v>6071</v>
      </c>
      <c r="G77" s="131">
        <v>117498</v>
      </c>
      <c r="K77" s="542" t="s">
        <v>4840</v>
      </c>
    </row>
    <row r="78" spans="1:12" ht="15.75" customHeight="1">
      <c r="A78" s="535" t="s">
        <v>6185</v>
      </c>
      <c r="B78" s="532" t="s">
        <v>5546</v>
      </c>
      <c r="C78" s="533">
        <v>31945</v>
      </c>
      <c r="D78" s="532">
        <f t="shared" si="7"/>
        <v>32</v>
      </c>
      <c r="E78" s="532" t="s">
        <v>6096</v>
      </c>
      <c r="F78" s="532" t="s">
        <v>6071</v>
      </c>
      <c r="G78" s="131">
        <f>286683+108380</f>
        <v>395063</v>
      </c>
      <c r="J78" s="542" t="s">
        <v>4840</v>
      </c>
    </row>
    <row r="79" spans="1:12" ht="15.75" customHeight="1">
      <c r="A79" s="535" t="s">
        <v>6186</v>
      </c>
      <c r="B79" s="532" t="s">
        <v>5546</v>
      </c>
      <c r="C79" s="533"/>
      <c r="D79" s="532"/>
      <c r="E79" s="532"/>
      <c r="F79" s="532" t="s">
        <v>6071</v>
      </c>
      <c r="G79" s="131">
        <v>422200</v>
      </c>
    </row>
    <row r="80" spans="1:12" ht="15.75" customHeight="1">
      <c r="A80" s="541" t="s">
        <v>6187</v>
      </c>
      <c r="B80" s="532" t="s">
        <v>6069</v>
      </c>
      <c r="C80" s="533">
        <v>34492</v>
      </c>
      <c r="D80" s="532">
        <f t="shared" ref="D80:D83" si="8">DATEDIF(C80,$C$121,"Y")</f>
        <v>25</v>
      </c>
      <c r="E80" s="532" t="s">
        <v>6112</v>
      </c>
      <c r="F80" s="532" t="s">
        <v>6188</v>
      </c>
      <c r="G80" s="131">
        <v>82175.56</v>
      </c>
      <c r="K80" s="542" t="s">
        <v>4840</v>
      </c>
    </row>
    <row r="81" spans="1:11" ht="15.75" customHeight="1">
      <c r="A81" s="303" t="s">
        <v>6189</v>
      </c>
      <c r="B81" s="532" t="s">
        <v>6069</v>
      </c>
      <c r="C81" s="533">
        <v>20947</v>
      </c>
      <c r="D81" s="532">
        <f t="shared" si="8"/>
        <v>62</v>
      </c>
      <c r="E81" s="532" t="s">
        <v>6087</v>
      </c>
      <c r="F81" s="532" t="s">
        <v>6190</v>
      </c>
      <c r="G81" s="131">
        <v>100737.25</v>
      </c>
    </row>
    <row r="82" spans="1:11" ht="15.75" customHeight="1">
      <c r="A82" s="541" t="s">
        <v>3414</v>
      </c>
      <c r="B82" s="532" t="s">
        <v>6069</v>
      </c>
      <c r="C82" s="533">
        <v>29139</v>
      </c>
      <c r="D82" s="532">
        <f t="shared" si="8"/>
        <v>40</v>
      </c>
      <c r="E82" s="532" t="s">
        <v>6090</v>
      </c>
      <c r="F82" s="532"/>
      <c r="G82" s="131">
        <v>310286.32</v>
      </c>
    </row>
    <row r="83" spans="1:11" ht="15.75" customHeight="1">
      <c r="A83" s="535" t="s">
        <v>6191</v>
      </c>
      <c r="B83" s="532" t="s">
        <v>6069</v>
      </c>
      <c r="C83" s="533">
        <v>31630</v>
      </c>
      <c r="D83" s="532">
        <f t="shared" si="8"/>
        <v>33</v>
      </c>
      <c r="E83" s="532" t="s">
        <v>6112</v>
      </c>
      <c r="F83" s="532" t="s">
        <v>6071</v>
      </c>
      <c r="G83" s="131">
        <v>0</v>
      </c>
      <c r="J83" s="542" t="s">
        <v>4840</v>
      </c>
    </row>
    <row r="84" spans="1:11" ht="15.75" customHeight="1">
      <c r="A84" s="535" t="s">
        <v>6192</v>
      </c>
      <c r="B84" s="532" t="s">
        <v>6069</v>
      </c>
      <c r="C84" s="533"/>
      <c r="D84" s="532"/>
      <c r="E84" s="532"/>
      <c r="F84" s="532" t="s">
        <v>6071</v>
      </c>
      <c r="G84" s="131">
        <v>113888</v>
      </c>
      <c r="K84" s="542" t="s">
        <v>4840</v>
      </c>
    </row>
    <row r="85" spans="1:11" ht="15.75" customHeight="1">
      <c r="A85" s="535" t="s">
        <v>6193</v>
      </c>
      <c r="B85" s="532" t="s">
        <v>6069</v>
      </c>
      <c r="C85" s="533">
        <v>28975</v>
      </c>
      <c r="D85" s="532">
        <f t="shared" ref="D85:D89" si="9">DATEDIF(C85,$C$121,"Y")</f>
        <v>40</v>
      </c>
      <c r="E85" s="532" t="s">
        <v>6114</v>
      </c>
      <c r="F85" s="532" t="s">
        <v>6071</v>
      </c>
      <c r="G85" s="131">
        <v>126001</v>
      </c>
    </row>
    <row r="86" spans="1:11" ht="15.75" customHeight="1">
      <c r="A86" s="535" t="s">
        <v>5428</v>
      </c>
      <c r="B86" s="532" t="s">
        <v>6069</v>
      </c>
      <c r="C86" s="533">
        <v>23401</v>
      </c>
      <c r="D86" s="532">
        <f t="shared" si="9"/>
        <v>55</v>
      </c>
      <c r="E86" s="532" t="s">
        <v>6087</v>
      </c>
      <c r="F86" s="532" t="s">
        <v>6071</v>
      </c>
      <c r="G86" s="131">
        <f>532885+733156+661796</f>
        <v>1927837</v>
      </c>
      <c r="J86" s="542" t="s">
        <v>4840</v>
      </c>
    </row>
    <row r="87" spans="1:11" ht="15.75" customHeight="1">
      <c r="A87" s="535" t="s">
        <v>6194</v>
      </c>
      <c r="B87" s="532" t="s">
        <v>6069</v>
      </c>
      <c r="C87" s="533">
        <v>31878</v>
      </c>
      <c r="D87" s="532">
        <f t="shared" si="9"/>
        <v>32</v>
      </c>
      <c r="E87" s="532" t="s">
        <v>6195</v>
      </c>
      <c r="F87" s="532" t="s">
        <v>6071</v>
      </c>
      <c r="G87" s="131">
        <v>377504</v>
      </c>
      <c r="K87" s="542" t="s">
        <v>4840</v>
      </c>
    </row>
    <row r="88" spans="1:11" ht="15.75" customHeight="1">
      <c r="A88" s="543" t="s">
        <v>6196</v>
      </c>
      <c r="B88" s="532" t="s">
        <v>6069</v>
      </c>
      <c r="C88" s="533">
        <v>31643</v>
      </c>
      <c r="D88" s="532">
        <f t="shared" si="9"/>
        <v>33</v>
      </c>
      <c r="E88" s="532" t="s">
        <v>6079</v>
      </c>
      <c r="F88" s="532" t="s">
        <v>3147</v>
      </c>
      <c r="G88" s="131">
        <v>0</v>
      </c>
      <c r="J88" s="542" t="s">
        <v>4840</v>
      </c>
    </row>
    <row r="89" spans="1:11" ht="15.75" customHeight="1">
      <c r="A89" s="303" t="s">
        <v>6197</v>
      </c>
      <c r="B89" s="532" t="s">
        <v>6069</v>
      </c>
      <c r="C89" s="533">
        <v>32438</v>
      </c>
      <c r="D89" s="532">
        <f t="shared" si="9"/>
        <v>31</v>
      </c>
      <c r="E89" s="532" t="s">
        <v>6124</v>
      </c>
      <c r="F89" s="532" t="s">
        <v>6071</v>
      </c>
      <c r="G89" s="131">
        <v>119890</v>
      </c>
      <c r="J89" s="542" t="s">
        <v>4840</v>
      </c>
    </row>
    <row r="90" spans="1:11" ht="15.75" customHeight="1">
      <c r="A90" s="303" t="s">
        <v>6198</v>
      </c>
      <c r="B90" s="532" t="s">
        <v>5546</v>
      </c>
      <c r="C90" s="533"/>
      <c r="D90" s="532"/>
      <c r="E90" s="532" t="s">
        <v>6076</v>
      </c>
      <c r="F90" s="532"/>
      <c r="G90" s="131"/>
      <c r="J90" s="542"/>
    </row>
    <row r="91" spans="1:11" ht="15.75" customHeight="1">
      <c r="A91" s="541" t="s">
        <v>5048</v>
      </c>
      <c r="B91" s="532" t="s">
        <v>6069</v>
      </c>
      <c r="C91" s="533">
        <v>31537</v>
      </c>
      <c r="D91" s="532">
        <f t="shared" ref="D91:D118" si="10">DATEDIF(C91,$C$121,"Y")</f>
        <v>33</v>
      </c>
      <c r="E91" s="532" t="s">
        <v>6087</v>
      </c>
      <c r="F91" s="532"/>
      <c r="G91" s="131">
        <v>403425.55</v>
      </c>
      <c r="J91" s="542" t="s">
        <v>4840</v>
      </c>
    </row>
    <row r="92" spans="1:11" ht="15.75" customHeight="1">
      <c r="A92" s="535" t="s">
        <v>6199</v>
      </c>
      <c r="B92" s="532" t="s">
        <v>6069</v>
      </c>
      <c r="C92" s="533">
        <v>32791</v>
      </c>
      <c r="D92" s="532">
        <f t="shared" si="10"/>
        <v>30</v>
      </c>
      <c r="E92" s="532" t="s">
        <v>6112</v>
      </c>
      <c r="F92" s="532" t="s">
        <v>6071</v>
      </c>
      <c r="G92" s="131">
        <v>153385</v>
      </c>
      <c r="J92" s="542" t="s">
        <v>4840</v>
      </c>
    </row>
    <row r="93" spans="1:11" ht="15.75" customHeight="1">
      <c r="A93" s="303" t="s">
        <v>6200</v>
      </c>
      <c r="B93" s="532" t="s">
        <v>5546</v>
      </c>
      <c r="C93" s="533">
        <v>32384</v>
      </c>
      <c r="D93" s="532">
        <f t="shared" si="10"/>
        <v>31</v>
      </c>
      <c r="E93" s="532" t="s">
        <v>6099</v>
      </c>
      <c r="F93" s="532" t="s">
        <v>6071</v>
      </c>
      <c r="G93" s="131">
        <v>96201.29</v>
      </c>
      <c r="J93" s="542" t="s">
        <v>4840</v>
      </c>
      <c r="K93" s="542" t="s">
        <v>4840</v>
      </c>
    </row>
    <row r="94" spans="1:11" ht="15.75" customHeight="1">
      <c r="A94" s="535" t="s">
        <v>6201</v>
      </c>
      <c r="B94" s="532" t="s">
        <v>5546</v>
      </c>
      <c r="C94" s="533">
        <v>25391</v>
      </c>
      <c r="D94" s="532">
        <f t="shared" si="10"/>
        <v>50</v>
      </c>
      <c r="E94" s="532" t="s">
        <v>6096</v>
      </c>
      <c r="F94" s="532" t="s">
        <v>6071</v>
      </c>
      <c r="G94" s="131">
        <v>59844</v>
      </c>
      <c r="J94" s="542" t="s">
        <v>4840</v>
      </c>
    </row>
    <row r="95" spans="1:11" ht="15.75" customHeight="1">
      <c r="A95" s="535" t="s">
        <v>6202</v>
      </c>
      <c r="B95" s="532" t="s">
        <v>6069</v>
      </c>
      <c r="C95" s="533">
        <v>24203</v>
      </c>
      <c r="D95" s="532">
        <f t="shared" si="10"/>
        <v>53</v>
      </c>
      <c r="E95" s="532" t="s">
        <v>6087</v>
      </c>
      <c r="F95" s="532" t="s">
        <v>6071</v>
      </c>
      <c r="G95" s="131">
        <v>308040</v>
      </c>
    </row>
    <row r="96" spans="1:11" ht="15.75" customHeight="1">
      <c r="A96" s="535" t="s">
        <v>6203</v>
      </c>
      <c r="B96" s="532" t="s">
        <v>6069</v>
      </c>
      <c r="C96" s="533">
        <v>20888</v>
      </c>
      <c r="D96" s="532">
        <f t="shared" si="10"/>
        <v>62</v>
      </c>
      <c r="E96" s="532" t="s">
        <v>6070</v>
      </c>
      <c r="F96" s="532" t="s">
        <v>6071</v>
      </c>
      <c r="G96" s="131">
        <v>1017197</v>
      </c>
      <c r="J96" s="542" t="s">
        <v>4840</v>
      </c>
      <c r="K96" s="542" t="s">
        <v>4840</v>
      </c>
    </row>
    <row r="97" spans="1:13" ht="15.75" customHeight="1">
      <c r="A97" s="303" t="s">
        <v>6204</v>
      </c>
      <c r="B97" s="532" t="s">
        <v>6069</v>
      </c>
      <c r="C97" s="533">
        <v>21799</v>
      </c>
      <c r="D97" s="532">
        <f t="shared" si="10"/>
        <v>60</v>
      </c>
      <c r="E97" s="532" t="s">
        <v>6114</v>
      </c>
      <c r="F97" s="532" t="s">
        <v>6071</v>
      </c>
      <c r="G97" s="131">
        <v>71421.48</v>
      </c>
    </row>
    <row r="98" spans="1:13" ht="15.75" customHeight="1">
      <c r="A98" s="535" t="s">
        <v>6205</v>
      </c>
      <c r="B98" s="532" t="s">
        <v>5546</v>
      </c>
      <c r="C98" s="533">
        <v>21043</v>
      </c>
      <c r="D98" s="532">
        <f t="shared" si="10"/>
        <v>62</v>
      </c>
      <c r="E98" s="532" t="s">
        <v>6157</v>
      </c>
      <c r="F98" s="532" t="s">
        <v>6071</v>
      </c>
      <c r="G98" s="131">
        <v>67969</v>
      </c>
      <c r="J98" s="542" t="s">
        <v>4840</v>
      </c>
    </row>
    <row r="99" spans="1:13" ht="15.75" customHeight="1">
      <c r="A99" s="535" t="s">
        <v>6206</v>
      </c>
      <c r="B99" s="532" t="s">
        <v>6069</v>
      </c>
      <c r="C99" s="533">
        <v>29136</v>
      </c>
      <c r="D99" s="532">
        <f t="shared" si="10"/>
        <v>40</v>
      </c>
      <c r="E99" s="532" t="s">
        <v>6070</v>
      </c>
      <c r="F99" s="532" t="s">
        <v>6071</v>
      </c>
      <c r="G99" s="131">
        <v>62757</v>
      </c>
    </row>
    <row r="100" spans="1:13" ht="15.75" customHeight="1">
      <c r="A100" s="535" t="s">
        <v>6207</v>
      </c>
      <c r="B100" s="532" t="s">
        <v>6069</v>
      </c>
      <c r="C100" s="533">
        <v>32029</v>
      </c>
      <c r="D100" s="532">
        <f t="shared" si="10"/>
        <v>32</v>
      </c>
      <c r="E100" s="532" t="s">
        <v>6070</v>
      </c>
      <c r="F100" s="532" t="s">
        <v>6071</v>
      </c>
      <c r="G100" s="131">
        <f>133946+176866</f>
        <v>310812</v>
      </c>
      <c r="J100" s="542" t="s">
        <v>4840</v>
      </c>
    </row>
    <row r="101" spans="1:13" ht="15.75" customHeight="1">
      <c r="A101" s="535" t="s">
        <v>6208</v>
      </c>
      <c r="B101" s="532" t="s">
        <v>6069</v>
      </c>
      <c r="C101" s="533">
        <v>24485</v>
      </c>
      <c r="D101" s="532">
        <f t="shared" si="10"/>
        <v>52</v>
      </c>
      <c r="E101" s="532" t="s">
        <v>6112</v>
      </c>
      <c r="F101" s="532" t="s">
        <v>6071</v>
      </c>
      <c r="G101" s="131">
        <v>60784</v>
      </c>
    </row>
    <row r="102" spans="1:13" ht="15.75" customHeight="1">
      <c r="A102" s="541" t="s">
        <v>5169</v>
      </c>
      <c r="B102" s="532" t="s">
        <v>5546</v>
      </c>
      <c r="C102" s="533">
        <v>21939</v>
      </c>
      <c r="D102" s="532">
        <f t="shared" si="10"/>
        <v>59</v>
      </c>
      <c r="E102" s="532" t="s">
        <v>6168</v>
      </c>
      <c r="F102" s="532"/>
      <c r="G102" s="131">
        <v>198476.5</v>
      </c>
    </row>
    <row r="103" spans="1:13" ht="15.75" customHeight="1">
      <c r="A103" s="541" t="s">
        <v>6209</v>
      </c>
      <c r="B103" s="532" t="s">
        <v>6069</v>
      </c>
      <c r="C103" s="533">
        <v>27955</v>
      </c>
      <c r="D103" s="532">
        <f t="shared" si="10"/>
        <v>43</v>
      </c>
      <c r="E103" s="532" t="s">
        <v>6117</v>
      </c>
      <c r="F103" s="532" t="s">
        <v>6071</v>
      </c>
      <c r="G103" s="131">
        <v>150629.56</v>
      </c>
      <c r="M103" s="542" t="s">
        <v>4840</v>
      </c>
    </row>
    <row r="104" spans="1:13" ht="15.75" customHeight="1">
      <c r="A104" s="535" t="s">
        <v>6210</v>
      </c>
      <c r="B104" s="532" t="s">
        <v>5546</v>
      </c>
      <c r="C104" s="533">
        <v>28704</v>
      </c>
      <c r="D104" s="532">
        <f t="shared" si="10"/>
        <v>41</v>
      </c>
      <c r="E104" s="532" t="s">
        <v>6079</v>
      </c>
      <c r="F104" s="532" t="s">
        <v>6138</v>
      </c>
      <c r="G104" s="131">
        <v>100118.47</v>
      </c>
      <c r="H104" s="542"/>
      <c r="I104" s="542"/>
    </row>
    <row r="105" spans="1:13" ht="15.75" customHeight="1">
      <c r="A105" s="541" t="s">
        <v>5185</v>
      </c>
      <c r="B105" s="532" t="s">
        <v>5546</v>
      </c>
      <c r="C105" s="533">
        <v>29520</v>
      </c>
      <c r="D105" s="532">
        <f t="shared" si="10"/>
        <v>39</v>
      </c>
      <c r="E105" s="532" t="s">
        <v>6211</v>
      </c>
      <c r="F105" s="532"/>
      <c r="G105" s="131">
        <v>354808.07</v>
      </c>
      <c r="L105" s="542" t="s">
        <v>4840</v>
      </c>
    </row>
    <row r="106" spans="1:13" ht="15.75" customHeight="1">
      <c r="A106" s="303" t="s">
        <v>6212</v>
      </c>
      <c r="B106" s="532" t="s">
        <v>5546</v>
      </c>
      <c r="C106" s="533">
        <v>29544</v>
      </c>
      <c r="D106" s="532">
        <f t="shared" si="10"/>
        <v>39</v>
      </c>
      <c r="E106" s="532" t="s">
        <v>6182</v>
      </c>
      <c r="F106" s="532" t="s">
        <v>6071</v>
      </c>
      <c r="G106" s="131">
        <v>103186</v>
      </c>
      <c r="K106" s="542" t="s">
        <v>4840</v>
      </c>
    </row>
    <row r="107" spans="1:13" ht="15.75" customHeight="1">
      <c r="A107" s="535" t="s">
        <v>6213</v>
      </c>
      <c r="B107" s="532" t="s">
        <v>5546</v>
      </c>
      <c r="C107" s="533">
        <v>21261</v>
      </c>
      <c r="D107" s="532">
        <f t="shared" si="10"/>
        <v>61</v>
      </c>
      <c r="E107" s="532" t="s">
        <v>6214</v>
      </c>
      <c r="F107" s="532" t="s">
        <v>6103</v>
      </c>
      <c r="G107" s="131">
        <v>210352</v>
      </c>
      <c r="J107" s="542" t="s">
        <v>4840</v>
      </c>
    </row>
    <row r="108" spans="1:13" ht="15.75" customHeight="1">
      <c r="A108" s="541" t="s">
        <v>5218</v>
      </c>
      <c r="B108" s="532" t="s">
        <v>6069</v>
      </c>
      <c r="C108" s="533">
        <v>21704</v>
      </c>
      <c r="D108" s="532">
        <f t="shared" si="10"/>
        <v>60</v>
      </c>
      <c r="E108" s="532" t="s">
        <v>6112</v>
      </c>
      <c r="F108" s="532"/>
      <c r="G108" s="131">
        <v>518146.65</v>
      </c>
      <c r="K108" s="542" t="s">
        <v>4840</v>
      </c>
    </row>
    <row r="109" spans="1:13" ht="15.75" customHeight="1">
      <c r="A109" s="303" t="s">
        <v>5662</v>
      </c>
      <c r="B109" s="532" t="s">
        <v>5546</v>
      </c>
      <c r="C109" s="533">
        <v>21926</v>
      </c>
      <c r="D109" s="532">
        <f t="shared" si="10"/>
        <v>59</v>
      </c>
      <c r="E109" s="532" t="s">
        <v>6131</v>
      </c>
      <c r="F109" s="532" t="s">
        <v>6071</v>
      </c>
      <c r="G109" s="131">
        <v>168315</v>
      </c>
    </row>
    <row r="110" spans="1:13" ht="15.75" customHeight="1">
      <c r="A110" s="535" t="s">
        <v>6215</v>
      </c>
      <c r="B110" s="532" t="s">
        <v>5546</v>
      </c>
      <c r="C110" s="533">
        <v>31805</v>
      </c>
      <c r="D110" s="532">
        <f t="shared" si="10"/>
        <v>32</v>
      </c>
      <c r="E110" s="532" t="s">
        <v>6216</v>
      </c>
      <c r="F110" s="532" t="s">
        <v>6071</v>
      </c>
      <c r="G110" s="131">
        <v>123497</v>
      </c>
    </row>
    <row r="111" spans="1:13" ht="15.75" customHeight="1">
      <c r="A111" s="535" t="s">
        <v>6217</v>
      </c>
      <c r="B111" s="532" t="s">
        <v>5546</v>
      </c>
      <c r="C111" s="533">
        <v>32080</v>
      </c>
      <c r="D111" s="532">
        <f t="shared" si="10"/>
        <v>32</v>
      </c>
      <c r="E111" s="532" t="s">
        <v>6096</v>
      </c>
      <c r="F111" s="532" t="s">
        <v>6071</v>
      </c>
      <c r="G111" s="131">
        <v>135476</v>
      </c>
    </row>
    <row r="112" spans="1:13" ht="15.75" customHeight="1">
      <c r="A112" s="535" t="s">
        <v>6218</v>
      </c>
      <c r="B112" s="532" t="s">
        <v>5546</v>
      </c>
      <c r="C112" s="533">
        <v>32700</v>
      </c>
      <c r="D112" s="532">
        <f t="shared" si="10"/>
        <v>30</v>
      </c>
      <c r="E112" s="532" t="s">
        <v>6219</v>
      </c>
      <c r="F112" s="532" t="s">
        <v>6071</v>
      </c>
      <c r="G112" s="131">
        <v>5250</v>
      </c>
      <c r="J112" s="542" t="s">
        <v>4840</v>
      </c>
    </row>
    <row r="113" spans="1:12" ht="15.75" customHeight="1">
      <c r="A113" s="535" t="s">
        <v>6220</v>
      </c>
      <c r="B113" s="532" t="s">
        <v>6069</v>
      </c>
      <c r="C113" s="533">
        <v>29491</v>
      </c>
      <c r="D113" s="532">
        <f t="shared" si="10"/>
        <v>39</v>
      </c>
      <c r="E113" s="532"/>
      <c r="F113" s="532" t="s">
        <v>6071</v>
      </c>
      <c r="G113" s="131">
        <v>61457</v>
      </c>
      <c r="J113" s="542" t="s">
        <v>4840</v>
      </c>
    </row>
    <row r="114" spans="1:12" ht="15.75" customHeight="1">
      <c r="A114" s="543" t="s">
        <v>6221</v>
      </c>
      <c r="B114" s="532" t="s">
        <v>6069</v>
      </c>
      <c r="C114" s="533">
        <v>20383</v>
      </c>
      <c r="D114" s="532">
        <f t="shared" si="10"/>
        <v>64</v>
      </c>
      <c r="E114" s="532" t="s">
        <v>6222</v>
      </c>
      <c r="F114" s="532" t="s">
        <v>6071</v>
      </c>
      <c r="G114" s="131">
        <v>185472</v>
      </c>
      <c r="J114" s="542" t="s">
        <v>4840</v>
      </c>
      <c r="K114" s="542" t="s">
        <v>4840</v>
      </c>
    </row>
    <row r="115" spans="1:12" ht="15.75" customHeight="1">
      <c r="A115" s="303" t="s">
        <v>6223</v>
      </c>
      <c r="B115" s="532" t="s">
        <v>6069</v>
      </c>
      <c r="C115" s="533">
        <v>36924</v>
      </c>
      <c r="D115" s="532">
        <f t="shared" si="10"/>
        <v>18</v>
      </c>
      <c r="E115" s="532" t="s">
        <v>6087</v>
      </c>
      <c r="F115" s="532" t="s">
        <v>6071</v>
      </c>
      <c r="G115" s="131">
        <v>238256</v>
      </c>
      <c r="L115" s="542" t="s">
        <v>4840</v>
      </c>
    </row>
    <row r="116" spans="1:12" ht="15.75" customHeight="1">
      <c r="A116" s="535" t="s">
        <v>6224</v>
      </c>
      <c r="B116" s="532" t="s">
        <v>5546</v>
      </c>
      <c r="C116" s="533">
        <v>21111</v>
      </c>
      <c r="D116" s="532">
        <f t="shared" si="10"/>
        <v>62</v>
      </c>
      <c r="E116" s="532" t="s">
        <v>6131</v>
      </c>
      <c r="F116" s="532" t="s">
        <v>6071</v>
      </c>
      <c r="G116" s="131">
        <v>612317</v>
      </c>
    </row>
    <row r="117" spans="1:12" ht="15.75" customHeight="1">
      <c r="A117" s="535" t="s">
        <v>6225</v>
      </c>
      <c r="B117" s="532" t="s">
        <v>6069</v>
      </c>
      <c r="C117" s="533">
        <v>24865</v>
      </c>
      <c r="D117" s="532">
        <f t="shared" si="10"/>
        <v>51</v>
      </c>
      <c r="E117" s="532" t="s">
        <v>6079</v>
      </c>
      <c r="F117" s="532" t="s">
        <v>6071</v>
      </c>
      <c r="G117" s="131">
        <v>278735</v>
      </c>
    </row>
    <row r="118" spans="1:12" ht="15.75" customHeight="1">
      <c r="A118" s="541" t="s">
        <v>2844</v>
      </c>
      <c r="B118" s="532" t="s">
        <v>6069</v>
      </c>
      <c r="C118" s="533">
        <v>28041</v>
      </c>
      <c r="D118" s="532">
        <f t="shared" si="10"/>
        <v>43</v>
      </c>
      <c r="E118" s="532" t="s">
        <v>6226</v>
      </c>
      <c r="F118" s="532"/>
      <c r="G118" s="131">
        <v>104765.52</v>
      </c>
    </row>
    <row r="119" spans="1:12" ht="15.75" customHeight="1">
      <c r="B119" s="548"/>
      <c r="C119" s="548" t="s">
        <v>6227</v>
      </c>
      <c r="D119" s="548"/>
      <c r="E119" s="548" t="s">
        <v>6227</v>
      </c>
      <c r="F119" s="548"/>
      <c r="G119" s="548" t="s">
        <v>6055</v>
      </c>
    </row>
    <row r="120" spans="1:12" ht="15.75" customHeight="1">
      <c r="B120" s="548"/>
      <c r="C120" s="548">
        <f>COUNTIF(C2:C118,"")</f>
        <v>5</v>
      </c>
      <c r="D120" s="548"/>
      <c r="E120" s="548">
        <f>COUNTIF(E2:E118,"")</f>
        <v>5</v>
      </c>
      <c r="F120" s="548"/>
      <c r="G120" s="549">
        <f>SUM(G2:G119)</f>
        <v>32577145.169999994</v>
      </c>
      <c r="J120" s="542" t="s">
        <v>4840</v>
      </c>
    </row>
    <row r="121" spans="1:12" ht="15.75" customHeight="1">
      <c r="B121" s="548"/>
      <c r="C121" s="550">
        <v>43833</v>
      </c>
      <c r="D121" s="548"/>
      <c r="E121" s="548"/>
      <c r="F121" s="548"/>
    </row>
    <row r="122" spans="1:12" ht="15.75" customHeight="1">
      <c r="B122" s="548"/>
      <c r="C122" s="548"/>
      <c r="D122" s="548"/>
      <c r="E122" s="548"/>
      <c r="F122" s="548"/>
    </row>
    <row r="123" spans="1:12" ht="15.75" customHeight="1">
      <c r="B123" s="548"/>
      <c r="C123" s="548"/>
      <c r="D123" s="548"/>
      <c r="E123" s="548"/>
      <c r="F123" s="548"/>
    </row>
    <row r="124" spans="1:12" ht="15.75" customHeight="1">
      <c r="B124" s="548"/>
      <c r="C124" s="548"/>
      <c r="D124" s="548"/>
      <c r="E124" s="548"/>
      <c r="F124" s="548"/>
    </row>
    <row r="125" spans="1:12" ht="15.75" customHeight="1">
      <c r="A125" s="303" t="s">
        <v>6228</v>
      </c>
      <c r="B125" s="537">
        <v>32622060.02</v>
      </c>
      <c r="C125" s="537">
        <v>799508.4</v>
      </c>
      <c r="D125" s="537">
        <v>7162789.7199999997</v>
      </c>
      <c r="E125" s="551">
        <f t="shared" ref="E125:E127" si="11">SUM(B125:D125)</f>
        <v>40584358.140000001</v>
      </c>
      <c r="F125" s="548"/>
    </row>
    <row r="126" spans="1:12" ht="15.75" customHeight="1">
      <c r="A126" s="303" t="s">
        <v>6229</v>
      </c>
      <c r="B126" s="537">
        <v>35079752.100000001</v>
      </c>
      <c r="C126" s="537">
        <v>1206943.1499999999</v>
      </c>
      <c r="D126" s="537">
        <v>7539307.3899999997</v>
      </c>
      <c r="E126" s="551">
        <f t="shared" si="11"/>
        <v>43826002.640000001</v>
      </c>
      <c r="F126" s="548"/>
    </row>
    <row r="127" spans="1:12" ht="15.75" customHeight="1">
      <c r="A127" s="303" t="s">
        <v>6230</v>
      </c>
      <c r="B127" s="537">
        <v>32362436.780000001</v>
      </c>
      <c r="C127" s="537">
        <v>1197314.5900000001</v>
      </c>
      <c r="D127" s="537">
        <v>6426195.5899999999</v>
      </c>
      <c r="E127" s="551">
        <f t="shared" si="11"/>
        <v>39985946.960000008</v>
      </c>
      <c r="F127" s="548"/>
    </row>
    <row r="128" spans="1:12" ht="15.75" customHeight="1">
      <c r="B128" s="548"/>
      <c r="C128" s="548"/>
      <c r="D128" s="548"/>
      <c r="E128" s="548"/>
      <c r="F128" s="548"/>
    </row>
    <row r="129" spans="2:6" ht="15.75" customHeight="1">
      <c r="B129" s="548"/>
      <c r="C129" s="548"/>
      <c r="D129" s="548"/>
      <c r="E129" s="548"/>
      <c r="F129" s="548"/>
    </row>
    <row r="130" spans="2:6" ht="15.75" customHeight="1">
      <c r="B130" s="548"/>
      <c r="C130" s="548"/>
      <c r="D130" s="548"/>
      <c r="E130" s="548"/>
      <c r="F130" s="548"/>
    </row>
    <row r="131" spans="2:6" ht="15.75" customHeight="1">
      <c r="B131" s="548"/>
      <c r="C131" s="548"/>
      <c r="D131" s="548"/>
      <c r="E131" s="548"/>
      <c r="F131" s="548"/>
    </row>
    <row r="132" spans="2:6" ht="15.75" customHeight="1">
      <c r="B132" s="548"/>
      <c r="C132" s="548"/>
      <c r="D132" s="548"/>
      <c r="E132" s="548"/>
      <c r="F132" s="548"/>
    </row>
    <row r="133" spans="2:6" ht="15.75" customHeight="1">
      <c r="B133" s="548"/>
      <c r="C133" s="548"/>
      <c r="D133" s="548"/>
      <c r="E133" s="548"/>
      <c r="F133" s="548"/>
    </row>
    <row r="134" spans="2:6" ht="15.75" customHeight="1">
      <c r="B134" s="548"/>
      <c r="C134" s="548"/>
      <c r="D134" s="548"/>
      <c r="E134" s="548"/>
      <c r="F134" s="548"/>
    </row>
    <row r="135" spans="2:6" ht="15.75" customHeight="1">
      <c r="B135" s="548"/>
      <c r="C135" s="548"/>
      <c r="D135" s="548"/>
      <c r="E135" s="548"/>
      <c r="F135" s="548"/>
    </row>
    <row r="136" spans="2:6" ht="15.75" customHeight="1">
      <c r="B136" s="548"/>
      <c r="C136" s="548"/>
      <c r="D136" s="548"/>
      <c r="E136" s="548"/>
      <c r="F136" s="548"/>
    </row>
    <row r="137" spans="2:6" ht="15.75" customHeight="1">
      <c r="B137" s="548"/>
      <c r="C137" s="548"/>
      <c r="D137" s="548"/>
      <c r="E137" s="548"/>
      <c r="F137" s="548"/>
    </row>
    <row r="138" spans="2:6" ht="15.75" customHeight="1">
      <c r="B138" s="548"/>
      <c r="C138" s="548"/>
      <c r="D138" s="548"/>
      <c r="E138" s="548"/>
      <c r="F138" s="548"/>
    </row>
    <row r="139" spans="2:6" ht="15.75" customHeight="1">
      <c r="B139" s="548"/>
      <c r="C139" s="548"/>
      <c r="D139" s="548"/>
      <c r="E139" s="548"/>
      <c r="F139" s="548"/>
    </row>
    <row r="140" spans="2:6" ht="15.75" customHeight="1">
      <c r="B140" s="548"/>
      <c r="C140" s="548"/>
      <c r="D140" s="548"/>
      <c r="E140" s="548"/>
      <c r="F140" s="548"/>
    </row>
    <row r="141" spans="2:6" ht="15.75" customHeight="1">
      <c r="B141" s="548"/>
      <c r="C141" s="548"/>
      <c r="D141" s="548"/>
      <c r="E141" s="548"/>
      <c r="F141" s="548"/>
    </row>
    <row r="142" spans="2:6" ht="15.75" customHeight="1">
      <c r="B142" s="548"/>
      <c r="C142" s="548"/>
      <c r="D142" s="548"/>
      <c r="E142" s="548"/>
      <c r="F142" s="548"/>
    </row>
    <row r="143" spans="2:6" ht="15.75" customHeight="1">
      <c r="B143" s="548"/>
      <c r="C143" s="548"/>
      <c r="D143" s="548"/>
      <c r="E143" s="548"/>
      <c r="F143" s="548"/>
    </row>
    <row r="144" spans="2:6" ht="15.75" customHeight="1">
      <c r="B144" s="548"/>
      <c r="C144" s="548"/>
      <c r="D144" s="548"/>
      <c r="E144" s="548"/>
      <c r="F144" s="548"/>
    </row>
    <row r="145" spans="2:6" ht="15.75" customHeight="1">
      <c r="B145" s="548"/>
      <c r="C145" s="548"/>
      <c r="D145" s="548"/>
      <c r="E145" s="548"/>
      <c r="F145" s="548"/>
    </row>
    <row r="146" spans="2:6" ht="15.75" customHeight="1">
      <c r="B146" s="548"/>
      <c r="C146" s="548"/>
      <c r="D146" s="548"/>
      <c r="E146" s="548"/>
      <c r="F146" s="548"/>
    </row>
    <row r="147" spans="2:6" ht="15.75" customHeight="1">
      <c r="B147" s="548"/>
      <c r="C147" s="548"/>
      <c r="D147" s="548"/>
      <c r="E147" s="548"/>
      <c r="F147" s="548"/>
    </row>
    <row r="148" spans="2:6" ht="15.75" customHeight="1">
      <c r="B148" s="548"/>
      <c r="C148" s="548"/>
      <c r="D148" s="548"/>
      <c r="E148" s="548"/>
      <c r="F148" s="548"/>
    </row>
    <row r="149" spans="2:6" ht="15.75" customHeight="1">
      <c r="B149" s="548"/>
      <c r="C149" s="548"/>
      <c r="D149" s="548"/>
      <c r="E149" s="548"/>
      <c r="F149" s="548"/>
    </row>
    <row r="150" spans="2:6" ht="15.75" customHeight="1">
      <c r="B150" s="548"/>
      <c r="C150" s="548"/>
      <c r="D150" s="548"/>
      <c r="E150" s="548"/>
      <c r="F150" s="548"/>
    </row>
    <row r="151" spans="2:6" ht="15.75" customHeight="1">
      <c r="B151" s="548"/>
      <c r="C151" s="548"/>
      <c r="D151" s="548"/>
      <c r="E151" s="548"/>
      <c r="F151" s="548"/>
    </row>
    <row r="152" spans="2:6" ht="15.75" customHeight="1">
      <c r="B152" s="548"/>
      <c r="C152" s="548"/>
      <c r="D152" s="548"/>
      <c r="E152" s="548"/>
      <c r="F152" s="548"/>
    </row>
    <row r="153" spans="2:6" ht="15.75" customHeight="1">
      <c r="B153" s="548"/>
      <c r="C153" s="548"/>
      <c r="D153" s="548"/>
      <c r="E153" s="548"/>
      <c r="F153" s="548"/>
    </row>
    <row r="154" spans="2:6" ht="15.75" customHeight="1">
      <c r="B154" s="548"/>
      <c r="C154" s="548"/>
      <c r="D154" s="548"/>
      <c r="E154" s="548"/>
      <c r="F154" s="548"/>
    </row>
    <row r="155" spans="2:6" ht="15.75" customHeight="1">
      <c r="B155" s="548"/>
      <c r="C155" s="548"/>
      <c r="D155" s="548"/>
      <c r="E155" s="548"/>
      <c r="F155" s="548"/>
    </row>
    <row r="156" spans="2:6" ht="15.75" customHeight="1">
      <c r="B156" s="548"/>
      <c r="C156" s="548"/>
      <c r="D156" s="548"/>
      <c r="E156" s="548"/>
      <c r="F156" s="548"/>
    </row>
    <row r="157" spans="2:6" ht="15.75" customHeight="1">
      <c r="B157" s="548"/>
      <c r="C157" s="548"/>
      <c r="D157" s="548"/>
      <c r="E157" s="548"/>
      <c r="F157" s="548"/>
    </row>
    <row r="158" spans="2:6" ht="15.75" customHeight="1">
      <c r="B158" s="548"/>
      <c r="C158" s="548"/>
      <c r="D158" s="548"/>
      <c r="E158" s="548"/>
      <c r="F158" s="548"/>
    </row>
    <row r="159" spans="2:6" ht="15.75" customHeight="1">
      <c r="B159" s="548"/>
      <c r="C159" s="548"/>
      <c r="D159" s="548"/>
      <c r="E159" s="548"/>
      <c r="F159" s="548"/>
    </row>
    <row r="160" spans="2:6" ht="15.75" customHeight="1">
      <c r="B160" s="548"/>
      <c r="C160" s="548"/>
      <c r="D160" s="548"/>
      <c r="E160" s="548"/>
      <c r="F160" s="548"/>
    </row>
    <row r="161" spans="2:6" ht="15.75" customHeight="1">
      <c r="B161" s="548"/>
      <c r="C161" s="548"/>
      <c r="D161" s="548"/>
      <c r="E161" s="548"/>
      <c r="F161" s="548"/>
    </row>
    <row r="162" spans="2:6" ht="15.75" customHeight="1">
      <c r="B162" s="548"/>
      <c r="C162" s="548"/>
      <c r="D162" s="548"/>
      <c r="E162" s="548"/>
      <c r="F162" s="548"/>
    </row>
    <row r="163" spans="2:6" ht="15.75" customHeight="1">
      <c r="B163" s="548"/>
      <c r="C163" s="548"/>
      <c r="D163" s="548"/>
      <c r="E163" s="548"/>
      <c r="F163" s="548"/>
    </row>
    <row r="164" spans="2:6" ht="15.75" customHeight="1">
      <c r="B164" s="548"/>
      <c r="C164" s="548"/>
      <c r="D164" s="548"/>
      <c r="E164" s="548"/>
      <c r="F164" s="548"/>
    </row>
    <row r="165" spans="2:6" ht="15.75" customHeight="1">
      <c r="B165" s="548"/>
      <c r="C165" s="548"/>
      <c r="D165" s="548"/>
      <c r="E165" s="548"/>
      <c r="F165" s="548"/>
    </row>
    <row r="166" spans="2:6" ht="15.75" customHeight="1">
      <c r="B166" s="548"/>
      <c r="C166" s="548"/>
      <c r="D166" s="548"/>
      <c r="E166" s="548"/>
      <c r="F166" s="548"/>
    </row>
    <row r="167" spans="2:6" ht="15.75" customHeight="1">
      <c r="B167" s="548"/>
      <c r="C167" s="548"/>
      <c r="D167" s="548"/>
      <c r="E167" s="548"/>
      <c r="F167" s="548"/>
    </row>
    <row r="168" spans="2:6" ht="15.75" customHeight="1">
      <c r="B168" s="548"/>
      <c r="C168" s="548"/>
      <c r="D168" s="548"/>
      <c r="E168" s="548"/>
      <c r="F168" s="548"/>
    </row>
    <row r="169" spans="2:6" ht="15.75" customHeight="1">
      <c r="B169" s="548"/>
      <c r="C169" s="548"/>
      <c r="D169" s="548"/>
      <c r="E169" s="548"/>
      <c r="F169" s="548"/>
    </row>
    <row r="170" spans="2:6" ht="15.75" customHeight="1">
      <c r="B170" s="548"/>
      <c r="C170" s="548"/>
      <c r="D170" s="548"/>
      <c r="E170" s="548"/>
      <c r="F170" s="548"/>
    </row>
    <row r="171" spans="2:6" ht="15.75" customHeight="1">
      <c r="B171" s="548"/>
      <c r="C171" s="548"/>
      <c r="D171" s="548"/>
      <c r="E171" s="548"/>
      <c r="F171" s="548"/>
    </row>
    <row r="172" spans="2:6" ht="15.75" customHeight="1">
      <c r="B172" s="548"/>
      <c r="C172" s="548"/>
      <c r="D172" s="548"/>
      <c r="E172" s="548"/>
      <c r="F172" s="548"/>
    </row>
    <row r="173" spans="2:6" ht="15.75" customHeight="1">
      <c r="B173" s="548"/>
      <c r="C173" s="548"/>
      <c r="D173" s="548"/>
      <c r="E173" s="548"/>
      <c r="F173" s="548"/>
    </row>
    <row r="174" spans="2:6" ht="15.75" customHeight="1">
      <c r="B174" s="548"/>
      <c r="C174" s="548"/>
      <c r="D174" s="548"/>
      <c r="E174" s="548"/>
      <c r="F174" s="548"/>
    </row>
    <row r="175" spans="2:6" ht="15.75" customHeight="1">
      <c r="B175" s="548"/>
      <c r="C175" s="548"/>
      <c r="D175" s="548"/>
      <c r="E175" s="548"/>
      <c r="F175" s="548"/>
    </row>
    <row r="176" spans="2:6" ht="15.75" customHeight="1">
      <c r="B176" s="548"/>
      <c r="C176" s="548"/>
      <c r="D176" s="548"/>
      <c r="E176" s="548"/>
      <c r="F176" s="548"/>
    </row>
    <row r="177" spans="2:6" ht="15.75" customHeight="1">
      <c r="B177" s="548"/>
      <c r="C177" s="548"/>
      <c r="D177" s="548"/>
      <c r="E177" s="548"/>
      <c r="F177" s="548"/>
    </row>
    <row r="178" spans="2:6" ht="15.75" customHeight="1">
      <c r="B178" s="548"/>
      <c r="C178" s="548"/>
      <c r="D178" s="548"/>
      <c r="E178" s="548"/>
      <c r="F178" s="548"/>
    </row>
    <row r="179" spans="2:6" ht="15.75" customHeight="1">
      <c r="B179" s="548"/>
      <c r="C179" s="548"/>
      <c r="D179" s="548"/>
      <c r="E179" s="548"/>
      <c r="F179" s="548"/>
    </row>
    <row r="180" spans="2:6" ht="15.75" customHeight="1">
      <c r="B180" s="548"/>
      <c r="C180" s="548"/>
      <c r="D180" s="548"/>
      <c r="E180" s="548"/>
      <c r="F180" s="548"/>
    </row>
    <row r="181" spans="2:6" ht="15.75" customHeight="1">
      <c r="B181" s="548"/>
      <c r="C181" s="548"/>
      <c r="D181" s="548"/>
      <c r="E181" s="548"/>
      <c r="F181" s="548"/>
    </row>
    <row r="182" spans="2:6" ht="15.75" customHeight="1">
      <c r="B182" s="548"/>
      <c r="C182" s="548"/>
      <c r="D182" s="548"/>
      <c r="E182" s="548"/>
      <c r="F182" s="548"/>
    </row>
    <row r="183" spans="2:6" ht="15.75" customHeight="1">
      <c r="B183" s="548"/>
      <c r="C183" s="548"/>
      <c r="D183" s="548"/>
      <c r="E183" s="548"/>
      <c r="F183" s="548"/>
    </row>
    <row r="184" spans="2:6" ht="15.75" customHeight="1">
      <c r="B184" s="548"/>
      <c r="C184" s="548"/>
      <c r="D184" s="548"/>
      <c r="E184" s="548"/>
      <c r="F184" s="548"/>
    </row>
    <row r="185" spans="2:6" ht="15.75" customHeight="1">
      <c r="B185" s="548"/>
      <c r="C185" s="548"/>
      <c r="D185" s="548"/>
      <c r="E185" s="548"/>
      <c r="F185" s="548"/>
    </row>
    <row r="186" spans="2:6" ht="15.75" customHeight="1">
      <c r="B186" s="548"/>
      <c r="C186" s="548"/>
      <c r="D186" s="548"/>
      <c r="E186" s="548"/>
      <c r="F186" s="548"/>
    </row>
    <row r="187" spans="2:6" ht="15.75" customHeight="1">
      <c r="B187" s="548"/>
      <c r="C187" s="548"/>
      <c r="D187" s="548"/>
      <c r="E187" s="548"/>
      <c r="F187" s="548"/>
    </row>
    <row r="188" spans="2:6" ht="15.75" customHeight="1">
      <c r="B188" s="548"/>
      <c r="C188" s="548"/>
      <c r="D188" s="548"/>
      <c r="E188" s="548"/>
      <c r="F188" s="548"/>
    </row>
    <row r="189" spans="2:6" ht="15.75" customHeight="1">
      <c r="B189" s="548"/>
      <c r="C189" s="548"/>
      <c r="D189" s="548"/>
      <c r="E189" s="548"/>
      <c r="F189" s="548"/>
    </row>
    <row r="190" spans="2:6" ht="15.75" customHeight="1">
      <c r="B190" s="548"/>
      <c r="C190" s="548"/>
      <c r="D190" s="548"/>
      <c r="E190" s="548"/>
      <c r="F190" s="548"/>
    </row>
    <row r="191" spans="2:6" ht="15.75" customHeight="1">
      <c r="B191" s="548"/>
      <c r="C191" s="548"/>
      <c r="D191" s="548"/>
      <c r="E191" s="548"/>
      <c r="F191" s="548"/>
    </row>
    <row r="192" spans="2:6" ht="15.75" customHeight="1">
      <c r="B192" s="548"/>
      <c r="C192" s="548"/>
      <c r="D192" s="548"/>
      <c r="E192" s="548"/>
      <c r="F192" s="548"/>
    </row>
    <row r="193" spans="2:6" ht="15.75" customHeight="1">
      <c r="B193" s="548"/>
      <c r="C193" s="548"/>
      <c r="D193" s="548"/>
      <c r="E193" s="548"/>
      <c r="F193" s="548"/>
    </row>
    <row r="194" spans="2:6" ht="15.75" customHeight="1">
      <c r="B194" s="548"/>
      <c r="C194" s="548"/>
      <c r="D194" s="548"/>
      <c r="E194" s="548"/>
      <c r="F194" s="548"/>
    </row>
    <row r="195" spans="2:6" ht="15.75" customHeight="1">
      <c r="B195" s="548"/>
      <c r="C195" s="548"/>
      <c r="D195" s="548"/>
      <c r="E195" s="548"/>
      <c r="F195" s="548"/>
    </row>
    <row r="196" spans="2:6" ht="15.75" customHeight="1">
      <c r="B196" s="548"/>
      <c r="C196" s="548"/>
      <c r="D196" s="548"/>
      <c r="E196" s="548"/>
      <c r="F196" s="548"/>
    </row>
    <row r="197" spans="2:6" ht="15.75" customHeight="1">
      <c r="B197" s="548"/>
      <c r="C197" s="548"/>
      <c r="D197" s="548"/>
      <c r="E197" s="548"/>
      <c r="F197" s="548"/>
    </row>
    <row r="198" spans="2:6" ht="15.75" customHeight="1">
      <c r="B198" s="548"/>
      <c r="C198" s="548"/>
      <c r="D198" s="548"/>
      <c r="E198" s="548"/>
      <c r="F198" s="548"/>
    </row>
    <row r="199" spans="2:6" ht="15.75" customHeight="1">
      <c r="B199" s="548"/>
      <c r="C199" s="548"/>
      <c r="D199" s="548"/>
      <c r="E199" s="548"/>
      <c r="F199" s="548"/>
    </row>
    <row r="200" spans="2:6" ht="15.75" customHeight="1">
      <c r="B200" s="548"/>
      <c r="C200" s="548"/>
      <c r="D200" s="548"/>
      <c r="E200" s="548"/>
      <c r="F200" s="548"/>
    </row>
    <row r="201" spans="2:6" ht="15.75" customHeight="1">
      <c r="B201" s="548"/>
      <c r="C201" s="548"/>
      <c r="D201" s="548"/>
      <c r="E201" s="548"/>
      <c r="F201" s="548"/>
    </row>
    <row r="202" spans="2:6" ht="15.75" customHeight="1">
      <c r="B202" s="548"/>
      <c r="C202" s="548"/>
      <c r="D202" s="548"/>
      <c r="E202" s="548"/>
      <c r="F202" s="548"/>
    </row>
    <row r="203" spans="2:6" ht="15.75" customHeight="1">
      <c r="B203" s="548"/>
      <c r="C203" s="548"/>
      <c r="D203" s="548"/>
      <c r="E203" s="548"/>
      <c r="F203" s="548"/>
    </row>
    <row r="204" spans="2:6" ht="15.75" customHeight="1">
      <c r="B204" s="548"/>
      <c r="C204" s="548"/>
      <c r="D204" s="548"/>
      <c r="E204" s="548"/>
      <c r="F204" s="548"/>
    </row>
    <row r="205" spans="2:6" ht="15.75" customHeight="1">
      <c r="B205" s="548"/>
      <c r="C205" s="548"/>
      <c r="D205" s="548"/>
      <c r="E205" s="548"/>
      <c r="F205" s="548"/>
    </row>
    <row r="206" spans="2:6" ht="15.75" customHeight="1">
      <c r="B206" s="548"/>
      <c r="C206" s="548"/>
      <c r="D206" s="548"/>
      <c r="E206" s="548"/>
      <c r="F206" s="548"/>
    </row>
    <row r="207" spans="2:6" ht="15.75" customHeight="1">
      <c r="B207" s="548"/>
      <c r="C207" s="548"/>
      <c r="D207" s="548"/>
      <c r="E207" s="548"/>
      <c r="F207" s="548"/>
    </row>
    <row r="208" spans="2:6" ht="15.75" customHeight="1">
      <c r="B208" s="548"/>
      <c r="C208" s="548"/>
      <c r="D208" s="548"/>
      <c r="E208" s="548"/>
      <c r="F208" s="548"/>
    </row>
    <row r="209" spans="2:6" ht="15.75" customHeight="1">
      <c r="B209" s="548"/>
      <c r="C209" s="548"/>
      <c r="D209" s="548"/>
      <c r="E209" s="548"/>
      <c r="F209" s="548"/>
    </row>
    <row r="210" spans="2:6" ht="15.75" customHeight="1">
      <c r="B210" s="548"/>
      <c r="C210" s="548"/>
      <c r="D210" s="548"/>
      <c r="E210" s="548"/>
      <c r="F210" s="548"/>
    </row>
    <row r="211" spans="2:6" ht="15.75" customHeight="1">
      <c r="B211" s="548"/>
      <c r="C211" s="548"/>
      <c r="D211" s="548"/>
      <c r="E211" s="548"/>
      <c r="F211" s="548"/>
    </row>
    <row r="212" spans="2:6" ht="15.75" customHeight="1">
      <c r="B212" s="548"/>
      <c r="C212" s="548"/>
      <c r="D212" s="548"/>
      <c r="E212" s="548"/>
      <c r="F212" s="548"/>
    </row>
    <row r="213" spans="2:6" ht="15.75" customHeight="1">
      <c r="B213" s="548"/>
      <c r="C213" s="548"/>
      <c r="D213" s="548"/>
      <c r="E213" s="548"/>
      <c r="F213" s="548"/>
    </row>
    <row r="214" spans="2:6" ht="15.75" customHeight="1">
      <c r="B214" s="548"/>
      <c r="C214" s="548"/>
      <c r="D214" s="548"/>
      <c r="E214" s="548"/>
      <c r="F214" s="548"/>
    </row>
    <row r="215" spans="2:6" ht="15.75" customHeight="1">
      <c r="B215" s="548"/>
      <c r="C215" s="548"/>
      <c r="D215" s="548"/>
      <c r="E215" s="548"/>
      <c r="F215" s="548"/>
    </row>
    <row r="216" spans="2:6" ht="15.75" customHeight="1">
      <c r="B216" s="548"/>
      <c r="C216" s="548"/>
      <c r="D216" s="548"/>
      <c r="E216" s="548"/>
      <c r="F216" s="548"/>
    </row>
    <row r="217" spans="2:6" ht="15.75" customHeight="1">
      <c r="B217" s="548"/>
      <c r="C217" s="548"/>
      <c r="D217" s="548"/>
      <c r="E217" s="548"/>
      <c r="F217" s="548"/>
    </row>
    <row r="218" spans="2:6" ht="15.75" customHeight="1">
      <c r="B218" s="548"/>
      <c r="C218" s="548"/>
      <c r="D218" s="548"/>
      <c r="E218" s="548"/>
      <c r="F218" s="548"/>
    </row>
    <row r="219" spans="2:6" ht="15.75" customHeight="1">
      <c r="B219" s="548"/>
      <c r="C219" s="548"/>
      <c r="D219" s="548"/>
      <c r="E219" s="548"/>
      <c r="F219" s="548"/>
    </row>
    <row r="220" spans="2:6" ht="15.75" customHeight="1">
      <c r="B220" s="548"/>
      <c r="C220" s="548"/>
      <c r="D220" s="548"/>
      <c r="E220" s="548"/>
      <c r="F220" s="548"/>
    </row>
    <row r="221" spans="2:6" ht="15.75" customHeight="1">
      <c r="B221" s="548"/>
      <c r="C221" s="548"/>
      <c r="D221" s="548"/>
      <c r="E221" s="548"/>
      <c r="F221" s="548"/>
    </row>
    <row r="222" spans="2:6" ht="15.75" customHeight="1">
      <c r="B222" s="548"/>
      <c r="C222" s="548"/>
      <c r="D222" s="548"/>
      <c r="E222" s="548"/>
      <c r="F222" s="548"/>
    </row>
    <row r="223" spans="2:6" ht="15.75" customHeight="1">
      <c r="B223" s="548"/>
      <c r="C223" s="548"/>
      <c r="D223" s="548"/>
      <c r="E223" s="548"/>
      <c r="F223" s="548"/>
    </row>
    <row r="224" spans="2:6" ht="15.75" customHeight="1">
      <c r="B224" s="548"/>
      <c r="C224" s="548"/>
      <c r="D224" s="548"/>
      <c r="E224" s="548"/>
      <c r="F224" s="548"/>
    </row>
    <row r="225" spans="2:6" ht="15.75" customHeight="1">
      <c r="B225" s="548"/>
      <c r="C225" s="548"/>
      <c r="D225" s="548"/>
      <c r="E225" s="548"/>
      <c r="F225" s="548"/>
    </row>
    <row r="226" spans="2:6" ht="15.75" customHeight="1">
      <c r="B226" s="548"/>
      <c r="C226" s="548"/>
      <c r="D226" s="548"/>
      <c r="E226" s="548"/>
      <c r="F226" s="548"/>
    </row>
    <row r="227" spans="2:6" ht="15.75" customHeight="1">
      <c r="B227" s="548"/>
      <c r="C227" s="548"/>
      <c r="D227" s="548"/>
      <c r="E227" s="548"/>
      <c r="F227" s="548"/>
    </row>
    <row r="228" spans="2:6" ht="15.75" customHeight="1">
      <c r="B228" s="548"/>
      <c r="C228" s="548"/>
      <c r="D228" s="548"/>
      <c r="E228" s="548"/>
      <c r="F228" s="548"/>
    </row>
    <row r="229" spans="2:6" ht="15.75" customHeight="1">
      <c r="B229" s="548"/>
      <c r="C229" s="548"/>
      <c r="D229" s="548"/>
      <c r="E229" s="548"/>
      <c r="F229" s="548"/>
    </row>
    <row r="230" spans="2:6" ht="15.75" customHeight="1">
      <c r="B230" s="548"/>
      <c r="C230" s="548"/>
      <c r="D230" s="548"/>
      <c r="E230" s="548"/>
      <c r="F230" s="548"/>
    </row>
    <row r="231" spans="2:6" ht="15.75" customHeight="1">
      <c r="B231" s="548"/>
      <c r="C231" s="548"/>
      <c r="D231" s="548"/>
      <c r="E231" s="548"/>
      <c r="F231" s="548"/>
    </row>
    <row r="232" spans="2:6" ht="15.75" customHeight="1">
      <c r="B232" s="548"/>
      <c r="C232" s="548"/>
      <c r="D232" s="548"/>
      <c r="E232" s="548"/>
      <c r="F232" s="548"/>
    </row>
    <row r="233" spans="2:6" ht="15.75" customHeight="1">
      <c r="B233" s="548"/>
      <c r="C233" s="548"/>
      <c r="D233" s="548"/>
      <c r="E233" s="548"/>
      <c r="F233" s="548"/>
    </row>
    <row r="234" spans="2:6" ht="15.75" customHeight="1">
      <c r="B234" s="548"/>
      <c r="C234" s="548"/>
      <c r="D234" s="548"/>
      <c r="E234" s="548"/>
      <c r="F234" s="548"/>
    </row>
    <row r="235" spans="2:6" ht="15.75" customHeight="1">
      <c r="B235" s="548"/>
      <c r="C235" s="548"/>
      <c r="D235" s="548"/>
      <c r="E235" s="548"/>
      <c r="F235" s="548"/>
    </row>
    <row r="236" spans="2:6" ht="15.75" customHeight="1">
      <c r="B236" s="548"/>
      <c r="C236" s="548"/>
      <c r="D236" s="548"/>
      <c r="E236" s="548"/>
      <c r="F236" s="548"/>
    </row>
    <row r="237" spans="2:6" ht="15.75" customHeight="1">
      <c r="B237" s="548"/>
      <c r="C237" s="548"/>
      <c r="D237" s="548"/>
      <c r="E237" s="548"/>
      <c r="F237" s="548"/>
    </row>
    <row r="238" spans="2:6" ht="15.75" customHeight="1">
      <c r="B238" s="548"/>
      <c r="C238" s="548"/>
      <c r="D238" s="548"/>
      <c r="E238" s="548"/>
      <c r="F238" s="548"/>
    </row>
    <row r="239" spans="2:6" ht="15.75" customHeight="1">
      <c r="B239" s="548"/>
      <c r="C239" s="548"/>
      <c r="D239" s="548"/>
      <c r="E239" s="548"/>
      <c r="F239" s="548"/>
    </row>
    <row r="240" spans="2:6" ht="15.75" customHeight="1">
      <c r="B240" s="548"/>
      <c r="C240" s="548"/>
      <c r="D240" s="548"/>
      <c r="E240" s="548"/>
      <c r="F240" s="548"/>
    </row>
    <row r="241" spans="2:6" ht="15.75" customHeight="1">
      <c r="B241" s="548"/>
      <c r="C241" s="548"/>
      <c r="D241" s="548"/>
      <c r="E241" s="548"/>
      <c r="F241" s="548"/>
    </row>
    <row r="242" spans="2:6" ht="15.75" customHeight="1">
      <c r="B242" s="548"/>
      <c r="C242" s="548"/>
      <c r="D242" s="548"/>
      <c r="E242" s="548"/>
      <c r="F242" s="548"/>
    </row>
    <row r="243" spans="2:6" ht="15.75" customHeight="1">
      <c r="B243" s="548"/>
      <c r="C243" s="548"/>
      <c r="D243" s="548"/>
      <c r="E243" s="548"/>
      <c r="F243" s="548"/>
    </row>
    <row r="244" spans="2:6" ht="15.75" customHeight="1">
      <c r="B244" s="548"/>
      <c r="C244" s="548"/>
      <c r="D244" s="548"/>
      <c r="E244" s="548"/>
      <c r="F244" s="548"/>
    </row>
    <row r="245" spans="2:6" ht="15.75" customHeight="1">
      <c r="B245" s="548"/>
      <c r="C245" s="548"/>
      <c r="D245" s="548"/>
      <c r="E245" s="548"/>
      <c r="F245" s="548"/>
    </row>
    <row r="246" spans="2:6" ht="15.75" customHeight="1">
      <c r="B246" s="548"/>
      <c r="C246" s="548"/>
      <c r="D246" s="548"/>
      <c r="E246" s="548"/>
      <c r="F246" s="548"/>
    </row>
    <row r="247" spans="2:6" ht="15.75" customHeight="1">
      <c r="B247" s="548"/>
      <c r="C247" s="548"/>
      <c r="D247" s="548"/>
      <c r="E247" s="548"/>
      <c r="F247" s="548"/>
    </row>
    <row r="248" spans="2:6" ht="15.75" customHeight="1">
      <c r="B248" s="548"/>
      <c r="C248" s="548"/>
      <c r="D248" s="548"/>
      <c r="E248" s="548"/>
      <c r="F248" s="548"/>
    </row>
    <row r="249" spans="2:6" ht="15.75" customHeight="1">
      <c r="B249" s="548"/>
      <c r="C249" s="548"/>
      <c r="D249" s="548"/>
      <c r="E249" s="548"/>
      <c r="F249" s="548"/>
    </row>
    <row r="250" spans="2:6" ht="15.75" customHeight="1">
      <c r="B250" s="548"/>
      <c r="C250" s="548"/>
      <c r="D250" s="548"/>
      <c r="E250" s="548"/>
      <c r="F250" s="548"/>
    </row>
    <row r="251" spans="2:6" ht="15.75" customHeight="1">
      <c r="B251" s="548"/>
      <c r="C251" s="548"/>
      <c r="D251" s="548"/>
      <c r="E251" s="548"/>
      <c r="F251" s="548"/>
    </row>
    <row r="252" spans="2:6" ht="15.75" customHeight="1">
      <c r="B252" s="548"/>
      <c r="C252" s="548"/>
      <c r="D252" s="548"/>
      <c r="E252" s="548"/>
      <c r="F252" s="548"/>
    </row>
    <row r="253" spans="2:6" ht="15.75" customHeight="1">
      <c r="B253" s="548"/>
      <c r="C253" s="548"/>
      <c r="D253" s="548"/>
      <c r="E253" s="548"/>
      <c r="F253" s="548"/>
    </row>
    <row r="254" spans="2:6" ht="15.75" customHeight="1">
      <c r="B254" s="548"/>
      <c r="C254" s="548"/>
      <c r="D254" s="548"/>
      <c r="E254" s="548"/>
      <c r="F254" s="548"/>
    </row>
    <row r="255" spans="2:6" ht="15.75" customHeight="1">
      <c r="B255" s="548"/>
      <c r="C255" s="548"/>
      <c r="D255" s="548"/>
      <c r="E255" s="548"/>
      <c r="F255" s="548"/>
    </row>
    <row r="256" spans="2:6" ht="15.75" customHeight="1">
      <c r="B256" s="548"/>
      <c r="C256" s="548"/>
      <c r="D256" s="548"/>
      <c r="E256" s="548"/>
      <c r="F256" s="548"/>
    </row>
    <row r="257" spans="2:6" ht="15.75" customHeight="1">
      <c r="B257" s="548"/>
      <c r="C257" s="548"/>
      <c r="D257" s="548"/>
      <c r="E257" s="548"/>
      <c r="F257" s="548"/>
    </row>
    <row r="258" spans="2:6" ht="15.75" customHeight="1">
      <c r="B258" s="548"/>
      <c r="C258" s="548"/>
      <c r="D258" s="548"/>
      <c r="E258" s="548"/>
      <c r="F258" s="548"/>
    </row>
    <row r="259" spans="2:6" ht="15.75" customHeight="1">
      <c r="B259" s="548"/>
      <c r="C259" s="548"/>
      <c r="D259" s="548"/>
      <c r="E259" s="548"/>
      <c r="F259" s="548"/>
    </row>
    <row r="260" spans="2:6" ht="15.75" customHeight="1">
      <c r="B260" s="548"/>
      <c r="C260" s="548"/>
      <c r="D260" s="548"/>
      <c r="E260" s="548"/>
      <c r="F260" s="548"/>
    </row>
    <row r="261" spans="2:6" ht="15.75" customHeight="1">
      <c r="B261" s="548"/>
      <c r="C261" s="548"/>
      <c r="D261" s="548"/>
      <c r="E261" s="548"/>
      <c r="F261" s="548"/>
    </row>
    <row r="262" spans="2:6" ht="15.75" customHeight="1">
      <c r="B262" s="548"/>
      <c r="C262" s="548"/>
      <c r="D262" s="548"/>
      <c r="E262" s="548"/>
      <c r="F262" s="548"/>
    </row>
    <row r="263" spans="2:6" ht="15.75" customHeight="1">
      <c r="B263" s="548"/>
      <c r="C263" s="548"/>
      <c r="D263" s="548"/>
      <c r="E263" s="548"/>
      <c r="F263" s="548"/>
    </row>
    <row r="264" spans="2:6" ht="15.75" customHeight="1">
      <c r="B264" s="548"/>
      <c r="C264" s="548"/>
      <c r="D264" s="548"/>
      <c r="E264" s="548"/>
      <c r="F264" s="548"/>
    </row>
    <row r="265" spans="2:6" ht="15.75" customHeight="1">
      <c r="B265" s="548"/>
      <c r="C265" s="548"/>
      <c r="D265" s="548"/>
      <c r="E265" s="548"/>
      <c r="F265" s="548"/>
    </row>
    <row r="266" spans="2:6" ht="15.75" customHeight="1">
      <c r="B266" s="548"/>
      <c r="C266" s="548"/>
      <c r="D266" s="548"/>
      <c r="E266" s="548"/>
      <c r="F266" s="548"/>
    </row>
    <row r="267" spans="2:6" ht="15.75" customHeight="1">
      <c r="B267" s="548"/>
      <c r="C267" s="548"/>
      <c r="D267" s="548"/>
      <c r="E267" s="548"/>
      <c r="F267" s="548"/>
    </row>
    <row r="268" spans="2:6" ht="15.75" customHeight="1">
      <c r="B268" s="548"/>
      <c r="C268" s="548"/>
      <c r="D268" s="548"/>
      <c r="E268" s="548"/>
      <c r="F268" s="548"/>
    </row>
    <row r="269" spans="2:6" ht="15.75" customHeight="1">
      <c r="B269" s="548"/>
      <c r="C269" s="548"/>
      <c r="D269" s="548"/>
      <c r="E269" s="548"/>
      <c r="F269" s="548"/>
    </row>
    <row r="270" spans="2:6" ht="15.75" customHeight="1">
      <c r="B270" s="548"/>
      <c r="C270" s="548"/>
      <c r="D270" s="548"/>
      <c r="E270" s="548"/>
      <c r="F270" s="548"/>
    </row>
    <row r="271" spans="2:6" ht="15.75" customHeight="1">
      <c r="B271" s="548"/>
      <c r="C271" s="548"/>
      <c r="D271" s="548"/>
      <c r="E271" s="548"/>
      <c r="F271" s="548"/>
    </row>
    <row r="272" spans="2:6" ht="15.75" customHeight="1">
      <c r="B272" s="548"/>
      <c r="C272" s="548"/>
      <c r="D272" s="548"/>
      <c r="E272" s="548"/>
      <c r="F272" s="548"/>
    </row>
    <row r="273" spans="2:6" ht="15.75" customHeight="1">
      <c r="B273" s="548"/>
      <c r="C273" s="548"/>
      <c r="D273" s="548"/>
      <c r="E273" s="548"/>
      <c r="F273" s="548"/>
    </row>
    <row r="274" spans="2:6" ht="15.75" customHeight="1">
      <c r="B274" s="548"/>
      <c r="C274" s="548"/>
      <c r="D274" s="548"/>
      <c r="E274" s="548"/>
      <c r="F274" s="548"/>
    </row>
    <row r="275" spans="2:6" ht="15.75" customHeight="1">
      <c r="B275" s="548"/>
      <c r="C275" s="548"/>
      <c r="D275" s="548"/>
      <c r="E275" s="548"/>
      <c r="F275" s="548"/>
    </row>
    <row r="276" spans="2:6" ht="15.75" customHeight="1">
      <c r="B276" s="548"/>
      <c r="C276" s="548"/>
      <c r="D276" s="548"/>
      <c r="E276" s="548"/>
      <c r="F276" s="548"/>
    </row>
    <row r="277" spans="2:6" ht="15.75" customHeight="1">
      <c r="B277" s="548"/>
      <c r="C277" s="548"/>
      <c r="D277" s="548"/>
      <c r="E277" s="548"/>
      <c r="F277" s="548"/>
    </row>
    <row r="278" spans="2:6" ht="15.75" customHeight="1">
      <c r="B278" s="548"/>
      <c r="C278" s="548"/>
      <c r="D278" s="548"/>
      <c r="E278" s="548"/>
      <c r="F278" s="548"/>
    </row>
    <row r="279" spans="2:6" ht="15.75" customHeight="1">
      <c r="B279" s="548"/>
      <c r="C279" s="548"/>
      <c r="D279" s="548"/>
      <c r="E279" s="548"/>
      <c r="F279" s="548"/>
    </row>
    <row r="280" spans="2:6" ht="15.75" customHeight="1">
      <c r="B280" s="548"/>
      <c r="C280" s="548"/>
      <c r="D280" s="548"/>
      <c r="E280" s="548"/>
      <c r="F280" s="548"/>
    </row>
    <row r="281" spans="2:6" ht="15.75" customHeight="1">
      <c r="B281" s="548"/>
      <c r="C281" s="548"/>
      <c r="D281" s="548"/>
      <c r="E281" s="548"/>
      <c r="F281" s="548"/>
    </row>
    <row r="282" spans="2:6" ht="15.75" customHeight="1">
      <c r="B282" s="548"/>
      <c r="C282" s="548"/>
      <c r="D282" s="548"/>
      <c r="E282" s="548"/>
      <c r="F282" s="548"/>
    </row>
    <row r="283" spans="2:6" ht="15.75" customHeight="1">
      <c r="B283" s="548"/>
      <c r="C283" s="548"/>
      <c r="D283" s="548"/>
      <c r="E283" s="548"/>
      <c r="F283" s="548"/>
    </row>
    <row r="284" spans="2:6" ht="15.75" customHeight="1">
      <c r="B284" s="548"/>
      <c r="C284" s="548"/>
      <c r="D284" s="548"/>
      <c r="E284" s="548"/>
      <c r="F284" s="548"/>
    </row>
    <row r="285" spans="2:6" ht="15.75" customHeight="1">
      <c r="B285" s="548"/>
      <c r="C285" s="548"/>
      <c r="D285" s="548"/>
      <c r="E285" s="548"/>
      <c r="F285" s="548"/>
    </row>
    <row r="286" spans="2:6" ht="15.75" customHeight="1">
      <c r="B286" s="548"/>
      <c r="C286" s="548"/>
      <c r="D286" s="548"/>
      <c r="E286" s="548"/>
      <c r="F286" s="548"/>
    </row>
    <row r="287" spans="2:6" ht="15.75" customHeight="1">
      <c r="B287" s="548"/>
      <c r="C287" s="548"/>
      <c r="D287" s="548"/>
      <c r="E287" s="548"/>
      <c r="F287" s="548"/>
    </row>
    <row r="288" spans="2:6" ht="15.75" customHeight="1">
      <c r="B288" s="548"/>
      <c r="C288" s="548"/>
      <c r="D288" s="548"/>
      <c r="E288" s="548"/>
      <c r="F288" s="548"/>
    </row>
    <row r="289" spans="2:6" ht="15.75" customHeight="1">
      <c r="B289" s="548"/>
      <c r="C289" s="548"/>
      <c r="D289" s="548"/>
      <c r="E289" s="548"/>
      <c r="F289" s="548"/>
    </row>
    <row r="290" spans="2:6" ht="15.75" customHeight="1">
      <c r="B290" s="548"/>
      <c r="C290" s="548"/>
      <c r="D290" s="548"/>
      <c r="E290" s="548"/>
      <c r="F290" s="548"/>
    </row>
    <row r="291" spans="2:6" ht="15.75" customHeight="1">
      <c r="B291" s="548"/>
      <c r="C291" s="548"/>
      <c r="D291" s="548"/>
      <c r="E291" s="548"/>
      <c r="F291" s="548"/>
    </row>
    <row r="292" spans="2:6" ht="15.75" customHeight="1">
      <c r="B292" s="548"/>
      <c r="C292" s="548"/>
      <c r="D292" s="548"/>
      <c r="E292" s="548"/>
      <c r="F292" s="548"/>
    </row>
    <row r="293" spans="2:6" ht="15.75" customHeight="1">
      <c r="B293" s="548"/>
      <c r="C293" s="548"/>
      <c r="D293" s="548"/>
      <c r="E293" s="548"/>
      <c r="F293" s="548"/>
    </row>
    <row r="294" spans="2:6" ht="15.75" customHeight="1">
      <c r="B294" s="548"/>
      <c r="C294" s="548"/>
      <c r="D294" s="548"/>
      <c r="E294" s="548"/>
      <c r="F294" s="548"/>
    </row>
    <row r="295" spans="2:6" ht="15.75" customHeight="1">
      <c r="B295" s="548"/>
      <c r="C295" s="548"/>
      <c r="D295" s="548"/>
      <c r="E295" s="548"/>
      <c r="F295" s="548"/>
    </row>
    <row r="296" spans="2:6" ht="15.75" customHeight="1">
      <c r="B296" s="548"/>
      <c r="C296" s="548"/>
      <c r="D296" s="548"/>
      <c r="E296" s="548"/>
      <c r="F296" s="548"/>
    </row>
    <row r="297" spans="2:6" ht="15.75" customHeight="1">
      <c r="B297" s="548"/>
      <c r="C297" s="548"/>
      <c r="D297" s="548"/>
      <c r="E297" s="548"/>
      <c r="F297" s="548"/>
    </row>
    <row r="298" spans="2:6" ht="15.75" customHeight="1">
      <c r="B298" s="548"/>
      <c r="C298" s="548"/>
      <c r="D298" s="548"/>
      <c r="E298" s="548"/>
      <c r="F298" s="548"/>
    </row>
    <row r="299" spans="2:6" ht="15.75" customHeight="1">
      <c r="B299" s="548"/>
      <c r="C299" s="548"/>
      <c r="D299" s="548"/>
      <c r="E299" s="548"/>
      <c r="F299" s="548"/>
    </row>
    <row r="300" spans="2:6" ht="15.75" customHeight="1">
      <c r="B300" s="548"/>
      <c r="C300" s="548"/>
      <c r="D300" s="548"/>
      <c r="E300" s="548"/>
      <c r="F300" s="548"/>
    </row>
    <row r="301" spans="2:6" ht="15.75" customHeight="1">
      <c r="B301" s="548"/>
      <c r="C301" s="548"/>
      <c r="D301" s="548"/>
      <c r="E301" s="548"/>
      <c r="F301" s="548"/>
    </row>
    <row r="302" spans="2:6" ht="15.75" customHeight="1">
      <c r="B302" s="548"/>
      <c r="C302" s="548"/>
      <c r="D302" s="548"/>
      <c r="E302" s="548"/>
      <c r="F302" s="548"/>
    </row>
    <row r="303" spans="2:6" ht="15.75" customHeight="1">
      <c r="B303" s="548"/>
      <c r="C303" s="548"/>
      <c r="D303" s="548"/>
      <c r="E303" s="548"/>
      <c r="F303" s="548"/>
    </row>
    <row r="304" spans="2:6" ht="15.75" customHeight="1">
      <c r="B304" s="548"/>
      <c r="C304" s="548"/>
      <c r="D304" s="548"/>
      <c r="E304" s="548"/>
      <c r="F304" s="548"/>
    </row>
    <row r="305" spans="2:6" ht="15.75" customHeight="1">
      <c r="B305" s="548"/>
      <c r="C305" s="548"/>
      <c r="D305" s="548"/>
      <c r="E305" s="548"/>
      <c r="F305" s="548"/>
    </row>
    <row r="306" spans="2:6" ht="15.75" customHeight="1">
      <c r="B306" s="548"/>
      <c r="C306" s="548"/>
      <c r="D306" s="548"/>
      <c r="E306" s="548"/>
      <c r="F306" s="548"/>
    </row>
    <row r="307" spans="2:6" ht="15.75" customHeight="1">
      <c r="B307" s="548"/>
      <c r="C307" s="548"/>
      <c r="D307" s="548"/>
      <c r="E307" s="548"/>
      <c r="F307" s="548"/>
    </row>
    <row r="308" spans="2:6" ht="15.75" customHeight="1">
      <c r="B308" s="548"/>
      <c r="C308" s="548"/>
      <c r="D308" s="548"/>
      <c r="E308" s="548"/>
      <c r="F308" s="548"/>
    </row>
    <row r="309" spans="2:6" ht="15.75" customHeight="1">
      <c r="B309" s="548"/>
      <c r="C309" s="548"/>
      <c r="D309" s="548"/>
      <c r="E309" s="548"/>
      <c r="F309" s="548"/>
    </row>
    <row r="310" spans="2:6" ht="15.75" customHeight="1">
      <c r="B310" s="548"/>
      <c r="C310" s="548"/>
      <c r="D310" s="548"/>
      <c r="E310" s="548"/>
      <c r="F310" s="548"/>
    </row>
    <row r="311" spans="2:6" ht="15.75" customHeight="1">
      <c r="B311" s="548"/>
      <c r="C311" s="548"/>
      <c r="D311" s="548"/>
      <c r="E311" s="548"/>
      <c r="F311" s="548"/>
    </row>
    <row r="312" spans="2:6" ht="15.75" customHeight="1">
      <c r="B312" s="548"/>
      <c r="C312" s="548"/>
      <c r="D312" s="548"/>
      <c r="E312" s="548"/>
      <c r="F312" s="548"/>
    </row>
    <row r="313" spans="2:6" ht="15.75" customHeight="1">
      <c r="B313" s="548"/>
      <c r="C313" s="548"/>
      <c r="D313" s="548"/>
      <c r="E313" s="548"/>
      <c r="F313" s="548"/>
    </row>
    <row r="314" spans="2:6" ht="15.75" customHeight="1">
      <c r="B314" s="548"/>
      <c r="C314" s="548"/>
      <c r="D314" s="548"/>
      <c r="E314" s="548"/>
      <c r="F314" s="548"/>
    </row>
    <row r="315" spans="2:6" ht="15.75" customHeight="1">
      <c r="B315" s="548"/>
      <c r="C315" s="548"/>
      <c r="D315" s="548"/>
      <c r="E315" s="548"/>
      <c r="F315" s="548"/>
    </row>
    <row r="316" spans="2:6" ht="15.75" customHeight="1">
      <c r="B316" s="548"/>
      <c r="C316" s="548"/>
      <c r="D316" s="548"/>
      <c r="E316" s="548"/>
      <c r="F316" s="548"/>
    </row>
    <row r="317" spans="2:6" ht="15.75" customHeight="1">
      <c r="B317" s="548"/>
      <c r="C317" s="548"/>
      <c r="D317" s="548"/>
      <c r="E317" s="548"/>
      <c r="F317" s="548"/>
    </row>
    <row r="318" spans="2:6" ht="15.75" customHeight="1">
      <c r="B318" s="548"/>
      <c r="C318" s="548"/>
      <c r="D318" s="548"/>
      <c r="E318" s="548"/>
      <c r="F318" s="548"/>
    </row>
    <row r="319" spans="2:6" ht="15.75" customHeight="1">
      <c r="B319" s="548"/>
      <c r="C319" s="548"/>
      <c r="D319" s="548"/>
      <c r="E319" s="548"/>
      <c r="F319" s="548"/>
    </row>
    <row r="320" spans="2:6" ht="15.75" customHeight="1">
      <c r="B320" s="548"/>
      <c r="C320" s="548"/>
      <c r="D320" s="548"/>
      <c r="E320" s="548"/>
      <c r="F320" s="548"/>
    </row>
    <row r="321" spans="2:6" ht="15.75" customHeight="1">
      <c r="B321" s="548"/>
      <c r="C321" s="548"/>
      <c r="D321" s="548"/>
      <c r="E321" s="548"/>
      <c r="F321" s="548"/>
    </row>
    <row r="322" spans="2:6" ht="15.75" customHeight="1">
      <c r="B322" s="548"/>
      <c r="C322" s="548"/>
      <c r="D322" s="548"/>
      <c r="E322" s="548"/>
      <c r="F322" s="548"/>
    </row>
    <row r="323" spans="2:6" ht="15.75" customHeight="1">
      <c r="B323" s="548"/>
      <c r="C323" s="548"/>
      <c r="D323" s="548"/>
      <c r="E323" s="548"/>
      <c r="F323" s="548"/>
    </row>
    <row r="324" spans="2:6" ht="15.75" customHeight="1">
      <c r="B324" s="548"/>
      <c r="C324" s="548"/>
      <c r="D324" s="548"/>
      <c r="E324" s="548"/>
      <c r="F324" s="548"/>
    </row>
    <row r="325" spans="2:6" ht="15.75" customHeight="1">
      <c r="B325" s="548"/>
      <c r="C325" s="548"/>
      <c r="D325" s="548"/>
      <c r="E325" s="548"/>
      <c r="F325" s="548"/>
    </row>
    <row r="326" spans="2:6" ht="15.75" customHeight="1">
      <c r="B326" s="548"/>
      <c r="C326" s="548"/>
      <c r="D326" s="548"/>
      <c r="E326" s="548"/>
      <c r="F326" s="548"/>
    </row>
    <row r="327" spans="2:6" ht="15.75" customHeight="1">
      <c r="B327" s="548"/>
      <c r="C327" s="548"/>
      <c r="D327" s="548"/>
      <c r="E327" s="548"/>
      <c r="F327" s="548"/>
    </row>
    <row r="328" spans="2:6" ht="15.75" customHeight="1"/>
    <row r="329" spans="2:6" ht="15.75" customHeight="1"/>
    <row r="330" spans="2:6" ht="15.75" customHeight="1"/>
    <row r="331" spans="2:6" ht="15.75" customHeight="1"/>
    <row r="332" spans="2:6" ht="15.75" customHeight="1"/>
    <row r="333" spans="2:6" ht="15.75" customHeight="1"/>
    <row r="334" spans="2:6" ht="15.75" customHeight="1"/>
    <row r="335" spans="2:6" ht="15.75" customHeight="1"/>
    <row r="336" spans="2: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1155CC"/>
    <outlinePr summaryBelow="0" summaryRight="0"/>
  </sheetPr>
  <dimension ref="A1:R1000"/>
  <sheetViews>
    <sheetView workbookViewId="0"/>
  </sheetViews>
  <sheetFormatPr defaultColWidth="12.5703125" defaultRowHeight="15" customHeight="1"/>
  <cols>
    <col min="1" max="1" width="37.7109375" customWidth="1"/>
    <col min="2" max="2" width="12.5703125" customWidth="1"/>
    <col min="3" max="3" width="12.7109375" customWidth="1"/>
    <col min="4" max="4" width="13" customWidth="1"/>
    <col min="5" max="6" width="12.5703125" customWidth="1"/>
    <col min="11" max="11" width="18.42578125" customWidth="1"/>
  </cols>
  <sheetData>
    <row r="1" spans="1:18" ht="15.75" customHeight="1">
      <c r="A1" s="552" t="s">
        <v>6061</v>
      </c>
      <c r="B1" s="553" t="s">
        <v>6231</v>
      </c>
      <c r="C1" s="552" t="s">
        <v>3</v>
      </c>
      <c r="D1" s="552" t="s">
        <v>5</v>
      </c>
      <c r="E1" s="554"/>
      <c r="F1" s="554" t="s">
        <v>99</v>
      </c>
      <c r="G1" s="554" t="s">
        <v>6232</v>
      </c>
      <c r="H1" s="554" t="s">
        <v>102</v>
      </c>
      <c r="I1" s="554" t="s">
        <v>6233</v>
      </c>
      <c r="J1" s="554" t="s">
        <v>104</v>
      </c>
      <c r="K1" s="554" t="s">
        <v>3783</v>
      </c>
      <c r="L1" s="554"/>
      <c r="M1" s="554" t="s">
        <v>2896</v>
      </c>
      <c r="N1" s="554" t="s">
        <v>2897</v>
      </c>
      <c r="O1" s="554" t="s">
        <v>2899</v>
      </c>
      <c r="P1" s="554" t="s">
        <v>2901</v>
      </c>
      <c r="Q1" s="554" t="s">
        <v>6234</v>
      </c>
      <c r="R1" s="554" t="s">
        <v>2902</v>
      </c>
    </row>
    <row r="2" spans="1:18" ht="15.75" customHeight="1">
      <c r="A2" s="303" t="s">
        <v>4089</v>
      </c>
      <c r="B2" s="532">
        <v>5490529</v>
      </c>
      <c r="C2" s="532" t="s">
        <v>2923</v>
      </c>
      <c r="D2" s="532" t="s">
        <v>2923</v>
      </c>
      <c r="E2" s="532" t="str">
        <f>IFERROR(VLOOKUP(D2,'Cadastro de assessores'!A:B,2,FALSE),"Não Cadastrado")</f>
        <v>18986</v>
      </c>
      <c r="F2" s="555" t="s">
        <v>152</v>
      </c>
      <c r="G2" s="555" t="s">
        <v>6235</v>
      </c>
      <c r="H2" s="335">
        <v>44222</v>
      </c>
      <c r="I2" s="532" t="s">
        <v>6236</v>
      </c>
      <c r="J2" s="536">
        <v>0.02</v>
      </c>
      <c r="K2" s="556" t="s">
        <v>3929</v>
      </c>
      <c r="L2" s="557" t="s">
        <v>20</v>
      </c>
      <c r="M2" s="557">
        <v>124054.43</v>
      </c>
      <c r="N2" s="557">
        <v>115021.75</v>
      </c>
      <c r="O2" s="557">
        <v>124854.25</v>
      </c>
      <c r="P2" s="557">
        <v>124900.58</v>
      </c>
      <c r="Q2" s="557">
        <v>129858.96</v>
      </c>
      <c r="R2" s="558">
        <v>131958.1</v>
      </c>
    </row>
    <row r="3" spans="1:18" ht="15.75" customHeight="1">
      <c r="A3" s="303" t="s">
        <v>4962</v>
      </c>
      <c r="B3" s="532">
        <v>1759765</v>
      </c>
      <c r="C3" s="532" t="s">
        <v>19</v>
      </c>
      <c r="D3" s="532" t="s">
        <v>3641</v>
      </c>
      <c r="E3" s="532" t="str">
        <f>IFERROR(VLOOKUP(D3,'Cadastro de assessores'!A:B,2,FALSE),"Não Cadastrado")</f>
        <v>14739</v>
      </c>
      <c r="F3" s="555" t="s">
        <v>152</v>
      </c>
      <c r="G3" s="555" t="s">
        <v>6235</v>
      </c>
      <c r="H3" s="335">
        <v>44321</v>
      </c>
      <c r="I3" s="532" t="s">
        <v>40</v>
      </c>
      <c r="J3" s="536">
        <v>1.2E-2</v>
      </c>
      <c r="K3" s="556" t="s">
        <v>3859</v>
      </c>
      <c r="L3" s="557" t="s">
        <v>20</v>
      </c>
      <c r="M3" s="557"/>
      <c r="N3" s="557"/>
      <c r="O3" s="557"/>
      <c r="P3" s="557"/>
      <c r="Q3" s="557">
        <v>271738.86</v>
      </c>
      <c r="R3" s="557">
        <v>279151.86</v>
      </c>
    </row>
    <row r="4" spans="1:18" ht="15.75" customHeight="1">
      <c r="B4" s="548"/>
    </row>
    <row r="5" spans="1:18" ht="15.75" customHeight="1"/>
    <row r="6" spans="1:18" ht="15.75" customHeight="1"/>
    <row r="7" spans="1:18" ht="15.75" customHeight="1"/>
    <row r="8" spans="1:18" ht="15.75" customHeight="1"/>
    <row r="9" spans="1:18" ht="15.75" customHeight="1"/>
    <row r="10" spans="1:18" ht="15.75" customHeight="1"/>
    <row r="11" spans="1:18" ht="15.75" customHeight="1"/>
    <row r="12" spans="1:18" ht="15.75" customHeight="1"/>
    <row r="13" spans="1:18" ht="15.75" customHeight="1"/>
    <row r="14" spans="1:18" ht="15.75" customHeight="1"/>
    <row r="15" spans="1:18" ht="15.75" customHeight="1"/>
    <row r="16" spans="1:18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W1000"/>
  <sheetViews>
    <sheetView workbookViewId="0"/>
  </sheetViews>
  <sheetFormatPr defaultColWidth="12.5703125" defaultRowHeight="15" customHeight="1"/>
  <cols>
    <col min="1" max="1" width="28.28515625" customWidth="1"/>
    <col min="2" max="2" width="18.7109375" customWidth="1"/>
    <col min="3" max="3" width="6.85546875" customWidth="1"/>
    <col min="4" max="6" width="12.5703125" customWidth="1"/>
  </cols>
  <sheetData>
    <row r="1" spans="1:23" ht="15.75" customHeight="1">
      <c r="A1" s="559" t="s">
        <v>5</v>
      </c>
      <c r="B1" s="560" t="s">
        <v>6237</v>
      </c>
      <c r="C1" s="559" t="s">
        <v>99</v>
      </c>
      <c r="D1" s="561"/>
      <c r="E1" s="561"/>
      <c r="F1" s="561"/>
      <c r="G1" s="561"/>
      <c r="H1" s="561"/>
      <c r="I1" s="561"/>
      <c r="J1" s="561"/>
      <c r="K1" s="561"/>
      <c r="L1" s="561"/>
      <c r="M1" s="561"/>
      <c r="N1" s="561"/>
      <c r="O1" s="561"/>
      <c r="P1" s="561"/>
      <c r="Q1" s="561"/>
      <c r="R1" s="561"/>
      <c r="S1" s="561"/>
      <c r="T1" s="561"/>
      <c r="U1" s="561"/>
      <c r="V1" s="561"/>
      <c r="W1" s="561"/>
    </row>
    <row r="2" spans="1:23" ht="15.75" customHeight="1">
      <c r="A2" s="562" t="s">
        <v>3793</v>
      </c>
      <c r="B2" s="560" t="s">
        <v>6238</v>
      </c>
      <c r="C2" s="559" t="str">
        <f ca="1">IFERROR(__xludf.DUMMYFUNCTION("IF(COUNTA(filter(B:B,B:B=B2))=1,""Regular"",""Conta Repetida"")"),"Regular")</f>
        <v>Regular</v>
      </c>
      <c r="D2" s="561"/>
      <c r="E2" s="561"/>
      <c r="F2" s="539"/>
      <c r="G2" s="561"/>
      <c r="H2" s="561"/>
      <c r="I2" s="561"/>
      <c r="J2" s="561"/>
      <c r="K2" s="561"/>
      <c r="L2" s="561"/>
      <c r="M2" s="561"/>
      <c r="N2" s="561"/>
      <c r="O2" s="561"/>
      <c r="P2" s="561"/>
      <c r="Q2" s="561"/>
      <c r="R2" s="561"/>
      <c r="S2" s="561"/>
      <c r="T2" s="561"/>
      <c r="U2" s="561"/>
      <c r="V2" s="561"/>
      <c r="W2" s="561"/>
    </row>
    <row r="3" spans="1:23" ht="15.75" customHeight="1">
      <c r="A3" s="559" t="s">
        <v>5258</v>
      </c>
      <c r="B3" s="560" t="s">
        <v>6239</v>
      </c>
      <c r="C3" s="559" t="str">
        <f ca="1">IFERROR(__xludf.DUMMYFUNCTION("IF(COUNTA(filter(B:B,B:B=B3))=1,""Regular"",""Conta Repetida"")"),"Regular")</f>
        <v>Regular</v>
      </c>
      <c r="D3" s="561"/>
      <c r="E3" s="561"/>
      <c r="F3" s="561"/>
      <c r="G3" s="561"/>
      <c r="H3" s="561"/>
      <c r="I3" s="561"/>
      <c r="J3" s="561"/>
      <c r="K3" s="561"/>
      <c r="L3" s="561"/>
      <c r="M3" s="561"/>
      <c r="N3" s="561"/>
      <c r="O3" s="561"/>
      <c r="P3" s="561"/>
      <c r="Q3" s="561"/>
      <c r="R3" s="561"/>
      <c r="S3" s="561"/>
      <c r="T3" s="561"/>
      <c r="U3" s="561"/>
      <c r="V3" s="561"/>
      <c r="W3" s="561"/>
    </row>
    <row r="4" spans="1:23" ht="15.75" customHeight="1">
      <c r="A4" s="559" t="s">
        <v>4128</v>
      </c>
      <c r="B4" s="560" t="s">
        <v>6240</v>
      </c>
      <c r="C4" s="559" t="str">
        <f ca="1">IFERROR(__xludf.DUMMYFUNCTION("IF(COUNTA(filter(B:B,B:B=B4))=1,""Regular"",""Conta Repetida"")"),"Regular")</f>
        <v>Regular</v>
      </c>
      <c r="D4" s="561"/>
      <c r="E4" s="561"/>
      <c r="F4" s="561"/>
      <c r="G4" s="561"/>
      <c r="H4" s="561"/>
      <c r="I4" s="561"/>
      <c r="J4" s="561"/>
      <c r="K4" s="561"/>
      <c r="L4" s="561"/>
      <c r="M4" s="561"/>
      <c r="N4" s="561"/>
      <c r="O4" s="561"/>
      <c r="P4" s="561"/>
      <c r="Q4" s="561"/>
      <c r="R4" s="561"/>
      <c r="S4" s="561"/>
      <c r="T4" s="561"/>
      <c r="U4" s="561"/>
      <c r="V4" s="561"/>
      <c r="W4" s="561"/>
    </row>
    <row r="5" spans="1:23" ht="15.75" customHeight="1">
      <c r="A5" s="559" t="s">
        <v>2512</v>
      </c>
      <c r="B5" s="560" t="s">
        <v>6241</v>
      </c>
      <c r="C5" s="559" t="str">
        <f ca="1">IFERROR(__xludf.DUMMYFUNCTION("IF(COUNTA(filter(B:B,B:B=B5))=1,""Regular"",""Conta Repetida"")"),"Regular")</f>
        <v>Regular</v>
      </c>
      <c r="D5" s="561"/>
      <c r="E5" s="561"/>
      <c r="F5" s="561"/>
      <c r="G5" s="561"/>
      <c r="H5" s="561"/>
      <c r="I5" s="561"/>
      <c r="J5" s="561"/>
      <c r="K5" s="561"/>
      <c r="L5" s="561"/>
      <c r="M5" s="561"/>
      <c r="N5" s="561"/>
      <c r="O5" s="561"/>
      <c r="P5" s="561"/>
      <c r="Q5" s="561"/>
      <c r="R5" s="561"/>
      <c r="S5" s="561"/>
      <c r="T5" s="561"/>
      <c r="U5" s="561"/>
      <c r="V5" s="561"/>
      <c r="W5" s="561"/>
    </row>
    <row r="6" spans="1:23" ht="15.75" customHeight="1">
      <c r="A6" s="559" t="s">
        <v>3683</v>
      </c>
      <c r="B6" s="560" t="s">
        <v>6242</v>
      </c>
      <c r="C6" s="559" t="str">
        <f ca="1">IFERROR(__xludf.DUMMYFUNCTION("IF(COUNTA(filter(B:B,B:B=B6))=1,""Regular"",""Conta Repetida"")"),"Regular")</f>
        <v>Regular</v>
      </c>
      <c r="D6" s="561"/>
      <c r="E6" s="561"/>
      <c r="F6" s="561"/>
      <c r="G6" s="561"/>
      <c r="H6" s="561"/>
      <c r="I6" s="561"/>
      <c r="J6" s="561"/>
      <c r="K6" s="561"/>
      <c r="L6" s="561"/>
      <c r="M6" s="561"/>
      <c r="N6" s="561"/>
      <c r="O6" s="561"/>
      <c r="P6" s="561"/>
      <c r="Q6" s="561"/>
      <c r="R6" s="561"/>
      <c r="S6" s="561"/>
      <c r="T6" s="561"/>
      <c r="U6" s="561"/>
      <c r="V6" s="561"/>
      <c r="W6" s="561"/>
    </row>
    <row r="7" spans="1:23" ht="15.75" customHeight="1">
      <c r="A7" s="559" t="s">
        <v>3634</v>
      </c>
      <c r="B7" s="560" t="s">
        <v>6243</v>
      </c>
      <c r="C7" s="559" t="str">
        <f ca="1">IFERROR(__xludf.DUMMYFUNCTION("IF(COUNTA(filter(B:B,B:B=B7))=1,""Regular"",""Conta Repetida"")"),"Regular")</f>
        <v>Regular</v>
      </c>
      <c r="D7" s="561"/>
      <c r="E7" s="561"/>
      <c r="F7" s="561"/>
      <c r="G7" s="561"/>
      <c r="H7" s="561"/>
      <c r="I7" s="561"/>
      <c r="J7" s="561"/>
      <c r="K7" s="561"/>
      <c r="L7" s="561"/>
      <c r="M7" s="561"/>
      <c r="N7" s="561"/>
      <c r="O7" s="561"/>
      <c r="P7" s="561"/>
      <c r="Q7" s="561"/>
      <c r="R7" s="561"/>
      <c r="S7" s="561"/>
      <c r="T7" s="561"/>
      <c r="U7" s="561"/>
      <c r="V7" s="561"/>
      <c r="W7" s="561"/>
    </row>
    <row r="8" spans="1:23" ht="15.75" customHeight="1">
      <c r="A8" s="559" t="s">
        <v>6244</v>
      </c>
      <c r="B8" s="560" t="s">
        <v>6245</v>
      </c>
      <c r="C8" s="559" t="str">
        <f ca="1">IFERROR(__xludf.DUMMYFUNCTION("IF(COUNTA(filter(B:B,B:B=B8))=1,""Regular"",""Conta Repetida"")"),"Regular")</f>
        <v>Regular</v>
      </c>
      <c r="D8" s="561"/>
      <c r="E8" s="561"/>
      <c r="F8" s="561"/>
      <c r="G8" s="561"/>
      <c r="H8" s="561"/>
      <c r="I8" s="561"/>
      <c r="J8" s="561"/>
      <c r="K8" s="561"/>
      <c r="L8" s="561"/>
      <c r="M8" s="561"/>
      <c r="N8" s="561"/>
      <c r="O8" s="561"/>
      <c r="P8" s="561"/>
      <c r="Q8" s="561"/>
      <c r="R8" s="561"/>
      <c r="S8" s="561"/>
      <c r="T8" s="561"/>
      <c r="U8" s="561"/>
      <c r="V8" s="561"/>
      <c r="W8" s="561"/>
    </row>
    <row r="9" spans="1:23" ht="15.75" customHeight="1">
      <c r="A9" s="559" t="s">
        <v>3847</v>
      </c>
      <c r="B9" s="560" t="s">
        <v>6246</v>
      </c>
      <c r="C9" s="559" t="str">
        <f ca="1">IFERROR(__xludf.DUMMYFUNCTION("IF(COUNTA(filter(B:B,B:B=B9))=1,""Regular"",""Conta Repetida"")"),"Regular")</f>
        <v>Regular</v>
      </c>
      <c r="D9" s="561"/>
      <c r="E9" s="561"/>
      <c r="F9" s="561"/>
      <c r="G9" s="561"/>
      <c r="H9" s="561"/>
      <c r="I9" s="561"/>
      <c r="J9" s="561"/>
      <c r="K9" s="561"/>
      <c r="L9" s="561"/>
      <c r="M9" s="561"/>
      <c r="N9" s="561"/>
      <c r="O9" s="561"/>
      <c r="P9" s="561"/>
      <c r="Q9" s="561"/>
      <c r="R9" s="561"/>
      <c r="S9" s="561"/>
      <c r="T9" s="561"/>
      <c r="U9" s="561"/>
      <c r="V9" s="561"/>
      <c r="W9" s="561"/>
    </row>
    <row r="10" spans="1:23" ht="15.75" customHeight="1">
      <c r="A10" s="559" t="s">
        <v>3853</v>
      </c>
      <c r="B10" s="560" t="s">
        <v>6247</v>
      </c>
      <c r="C10" s="559" t="str">
        <f ca="1">IFERROR(__xludf.DUMMYFUNCTION("IF(COUNTA(filter(B:B,B:B=B10))=1,""Regular"",""Conta Repetida"")"),"Regular")</f>
        <v>Regular</v>
      </c>
      <c r="D10" s="561"/>
      <c r="E10" s="561"/>
      <c r="F10" s="561"/>
      <c r="G10" s="561"/>
      <c r="H10" s="561"/>
      <c r="I10" s="561"/>
      <c r="J10" s="561"/>
      <c r="K10" s="561"/>
      <c r="L10" s="561"/>
      <c r="M10" s="561"/>
      <c r="N10" s="561"/>
      <c r="O10" s="561"/>
      <c r="P10" s="561"/>
      <c r="Q10" s="561"/>
      <c r="R10" s="561"/>
      <c r="S10" s="561"/>
      <c r="T10" s="561"/>
      <c r="U10" s="561"/>
      <c r="V10" s="561"/>
      <c r="W10" s="561"/>
    </row>
    <row r="11" spans="1:23" ht="15.75" customHeight="1">
      <c r="A11" s="559" t="s">
        <v>2923</v>
      </c>
      <c r="B11" s="560" t="s">
        <v>6248</v>
      </c>
      <c r="C11" s="559" t="str">
        <f ca="1">IFERROR(__xludf.DUMMYFUNCTION("IF(COUNTA(filter(B:B,B:B=B11))=1,""Regular"",""Conta Repetida"")"),"Regular")</f>
        <v>Regular</v>
      </c>
      <c r="D11" s="561"/>
      <c r="E11" s="561"/>
      <c r="F11" s="561"/>
      <c r="G11" s="561"/>
      <c r="H11" s="561"/>
      <c r="I11" s="561"/>
      <c r="J11" s="561"/>
      <c r="K11" s="561"/>
      <c r="L11" s="561"/>
      <c r="M11" s="561"/>
      <c r="N11" s="561"/>
      <c r="O11" s="561"/>
      <c r="P11" s="561"/>
      <c r="Q11" s="561"/>
      <c r="R11" s="561"/>
      <c r="S11" s="561"/>
      <c r="T11" s="561"/>
      <c r="U11" s="561"/>
      <c r="V11" s="561"/>
      <c r="W11" s="561"/>
    </row>
    <row r="12" spans="1:23" ht="15.75" customHeight="1">
      <c r="A12" s="559" t="s">
        <v>5305</v>
      </c>
      <c r="B12" s="560" t="s">
        <v>6249</v>
      </c>
      <c r="C12" s="559" t="str">
        <f ca="1">IFERROR(__xludf.DUMMYFUNCTION("IF(COUNTA(filter(B:B,B:B=B12))=1,""Regular"",""Conta Repetida"")"),"Regular")</f>
        <v>Regular</v>
      </c>
      <c r="D12" s="561"/>
      <c r="E12" s="561"/>
      <c r="F12" s="561"/>
      <c r="G12" s="561"/>
      <c r="H12" s="561"/>
      <c r="I12" s="561"/>
      <c r="J12" s="561"/>
      <c r="K12" s="561"/>
      <c r="L12" s="561"/>
      <c r="M12" s="561"/>
      <c r="N12" s="561"/>
      <c r="O12" s="561"/>
      <c r="P12" s="561"/>
      <c r="Q12" s="561"/>
      <c r="R12" s="561"/>
      <c r="S12" s="561"/>
      <c r="T12" s="561"/>
      <c r="U12" s="561"/>
      <c r="V12" s="561"/>
      <c r="W12" s="561"/>
    </row>
    <row r="13" spans="1:23" ht="15.75" customHeight="1">
      <c r="A13" s="559" t="s">
        <v>3872</v>
      </c>
      <c r="B13" s="560" t="s">
        <v>6250</v>
      </c>
      <c r="C13" s="559" t="str">
        <f ca="1">IFERROR(__xludf.DUMMYFUNCTION("IF(COUNTA(filter(B:B,B:B=B13))=1,""Regular"",""Conta Repetida"")"),"Regular")</f>
        <v>Regular</v>
      </c>
      <c r="D13" s="561"/>
      <c r="E13" s="561"/>
      <c r="F13" s="561"/>
      <c r="G13" s="561"/>
      <c r="H13" s="561"/>
      <c r="I13" s="561"/>
      <c r="J13" s="561"/>
      <c r="K13" s="561"/>
      <c r="L13" s="561"/>
      <c r="M13" s="561"/>
      <c r="N13" s="561"/>
      <c r="O13" s="561"/>
      <c r="P13" s="561"/>
      <c r="Q13" s="561"/>
      <c r="R13" s="561"/>
      <c r="S13" s="561"/>
      <c r="T13" s="561"/>
      <c r="U13" s="561"/>
      <c r="V13" s="561"/>
      <c r="W13" s="561"/>
    </row>
    <row r="14" spans="1:23" ht="15.75" customHeight="1">
      <c r="A14" s="559" t="s">
        <v>6251</v>
      </c>
      <c r="B14" s="560" t="s">
        <v>6252</v>
      </c>
      <c r="C14" s="559" t="str">
        <f ca="1">IFERROR(__xludf.DUMMYFUNCTION("IF(COUNTA(filter(B:B,B:B=B14))=1,""Regular"",""Conta Repetida"")"),"Regular")</f>
        <v>Regular</v>
      </c>
      <c r="D14" s="561"/>
      <c r="E14" s="561"/>
      <c r="F14" s="561"/>
      <c r="G14" s="561"/>
      <c r="H14" s="561"/>
      <c r="I14" s="561"/>
      <c r="J14" s="561"/>
      <c r="K14" s="561"/>
      <c r="L14" s="561"/>
      <c r="M14" s="561"/>
      <c r="N14" s="561"/>
      <c r="O14" s="561"/>
      <c r="P14" s="561"/>
      <c r="Q14" s="561"/>
      <c r="R14" s="561"/>
      <c r="S14" s="561"/>
      <c r="T14" s="561"/>
      <c r="U14" s="561"/>
      <c r="V14" s="561"/>
      <c r="W14" s="561"/>
    </row>
    <row r="15" spans="1:23" ht="15.75" customHeight="1">
      <c r="A15" s="559" t="s">
        <v>449</v>
      </c>
      <c r="B15" s="560" t="s">
        <v>6253</v>
      </c>
      <c r="C15" s="559" t="str">
        <f ca="1">IFERROR(__xludf.DUMMYFUNCTION("IF(COUNTA(filter(B:B,B:B=B15))=1,""Regular"",""Conta Repetida"")"),"Regular")</f>
        <v>Regular</v>
      </c>
      <c r="D15" s="561"/>
      <c r="E15" s="561"/>
      <c r="F15" s="561"/>
      <c r="G15" s="561"/>
      <c r="H15" s="561"/>
      <c r="I15" s="561"/>
      <c r="J15" s="561"/>
      <c r="K15" s="561"/>
      <c r="L15" s="561"/>
      <c r="M15" s="561"/>
      <c r="N15" s="561"/>
      <c r="O15" s="561"/>
      <c r="P15" s="561"/>
      <c r="Q15" s="561"/>
      <c r="R15" s="561"/>
      <c r="S15" s="561"/>
      <c r="T15" s="561"/>
      <c r="U15" s="561"/>
      <c r="V15" s="561"/>
      <c r="W15" s="561"/>
    </row>
    <row r="16" spans="1:23" ht="15.75" customHeight="1">
      <c r="A16" s="559" t="s">
        <v>5206</v>
      </c>
      <c r="B16" s="560" t="s">
        <v>6254</v>
      </c>
      <c r="C16" s="559" t="str">
        <f ca="1">IFERROR(__xludf.DUMMYFUNCTION("IF(COUNTA(filter(B:B,B:B=B16))=1,""Regular"",""Conta Repetida"")"),"Regular")</f>
        <v>Regular</v>
      </c>
      <c r="D16" s="561"/>
      <c r="E16" s="561"/>
      <c r="F16" s="561"/>
      <c r="G16" s="561"/>
      <c r="H16" s="561"/>
      <c r="I16" s="561"/>
      <c r="J16" s="561"/>
      <c r="K16" s="561"/>
      <c r="L16" s="561"/>
      <c r="M16" s="561"/>
      <c r="N16" s="561"/>
      <c r="O16" s="561"/>
      <c r="P16" s="561"/>
      <c r="Q16" s="561"/>
      <c r="R16" s="561"/>
      <c r="S16" s="561"/>
      <c r="T16" s="561"/>
      <c r="U16" s="561"/>
      <c r="V16" s="561"/>
      <c r="W16" s="561"/>
    </row>
    <row r="17" spans="1:23" ht="15.75" customHeight="1">
      <c r="A17" s="559" t="s">
        <v>3890</v>
      </c>
      <c r="B17" s="560" t="s">
        <v>6255</v>
      </c>
      <c r="C17" s="559" t="str">
        <f ca="1">IFERROR(__xludf.DUMMYFUNCTION("IF(COUNTA(filter(B:B,B:B=B17))=1,""Regular"",""Conta Repetida"")"),"Regular")</f>
        <v>Regular</v>
      </c>
      <c r="D17" s="561"/>
      <c r="E17" s="561"/>
      <c r="F17" s="561"/>
      <c r="G17" s="561"/>
      <c r="H17" s="561"/>
      <c r="I17" s="561"/>
      <c r="J17" s="561"/>
      <c r="K17" s="561"/>
      <c r="L17" s="561"/>
      <c r="M17" s="561"/>
      <c r="N17" s="561"/>
      <c r="O17" s="561"/>
      <c r="P17" s="561"/>
      <c r="Q17" s="561"/>
      <c r="R17" s="561"/>
      <c r="S17" s="561"/>
      <c r="T17" s="561"/>
      <c r="U17" s="561"/>
      <c r="V17" s="561"/>
      <c r="W17" s="561"/>
    </row>
    <row r="18" spans="1:23" ht="15.75" customHeight="1">
      <c r="A18" s="559" t="s">
        <v>277</v>
      </c>
      <c r="B18" s="560" t="s">
        <v>5043</v>
      </c>
      <c r="C18" s="559" t="str">
        <f ca="1">IFERROR(__xludf.DUMMYFUNCTION("IF(COUNTA(filter(B:B,B:B=B18))=1,""Regular"",""Conta Repetida"")"),"Regular")</f>
        <v>Regular</v>
      </c>
      <c r="D18" s="561"/>
      <c r="E18" s="561"/>
      <c r="F18" s="561"/>
      <c r="G18" s="561"/>
      <c r="H18" s="561"/>
      <c r="I18" s="561"/>
      <c r="J18" s="561"/>
      <c r="K18" s="561"/>
      <c r="L18" s="561"/>
      <c r="M18" s="561"/>
      <c r="N18" s="561"/>
      <c r="O18" s="561"/>
      <c r="P18" s="561"/>
      <c r="Q18" s="561"/>
      <c r="R18" s="561"/>
      <c r="S18" s="561"/>
      <c r="T18" s="561"/>
      <c r="U18" s="561"/>
      <c r="V18" s="561"/>
      <c r="W18" s="561"/>
    </row>
    <row r="19" spans="1:23" ht="15.75" customHeight="1">
      <c r="A19" s="559" t="s">
        <v>800</v>
      </c>
      <c r="B19" s="560" t="s">
        <v>6256</v>
      </c>
      <c r="C19" s="559" t="str">
        <f ca="1">IFERROR(__xludf.DUMMYFUNCTION("IF(COUNTA(filter(B:B,B:B=B19))=1,""Regular"",""Conta Repetida"")"),"Regular")</f>
        <v>Regular</v>
      </c>
      <c r="D19" s="561"/>
      <c r="E19" s="561"/>
      <c r="F19" s="561"/>
      <c r="G19" s="561"/>
      <c r="H19" s="561"/>
      <c r="I19" s="561"/>
      <c r="J19" s="561"/>
      <c r="K19" s="561"/>
      <c r="L19" s="561"/>
      <c r="M19" s="561"/>
      <c r="N19" s="561"/>
      <c r="O19" s="561"/>
      <c r="P19" s="561"/>
      <c r="Q19" s="561"/>
      <c r="R19" s="561"/>
      <c r="S19" s="561"/>
      <c r="T19" s="561"/>
      <c r="U19" s="561"/>
      <c r="V19" s="561"/>
      <c r="W19" s="561"/>
    </row>
    <row r="20" spans="1:23" ht="15.75" customHeight="1">
      <c r="A20" s="559" t="s">
        <v>6257</v>
      </c>
      <c r="B20" s="560" t="s">
        <v>6258</v>
      </c>
      <c r="C20" s="559" t="str">
        <f ca="1">IFERROR(__xludf.DUMMYFUNCTION("IF(COUNTA(filter(B:B,B:B=B20))=1,""Regular"",""Conta Repetida"")"),"Regular")</f>
        <v>Regular</v>
      </c>
      <c r="D20" s="561"/>
      <c r="E20" s="561"/>
      <c r="F20" s="561"/>
      <c r="G20" s="561"/>
      <c r="H20" s="561"/>
      <c r="I20" s="561"/>
      <c r="J20" s="561"/>
      <c r="K20" s="561"/>
      <c r="L20" s="561"/>
      <c r="M20" s="561"/>
      <c r="N20" s="561"/>
      <c r="O20" s="561"/>
      <c r="P20" s="561"/>
      <c r="Q20" s="561"/>
      <c r="R20" s="561"/>
      <c r="S20" s="561"/>
      <c r="T20" s="561"/>
      <c r="U20" s="561"/>
      <c r="V20" s="561"/>
      <c r="W20" s="561"/>
    </row>
    <row r="21" spans="1:23" ht="15.75" customHeight="1">
      <c r="A21" s="559" t="s">
        <v>3952</v>
      </c>
      <c r="B21" s="560" t="s">
        <v>6259</v>
      </c>
      <c r="C21" s="559" t="str">
        <f ca="1">IFERROR(__xludf.DUMMYFUNCTION("IF(COUNTA(filter(B:B,B:B=B21))=1,""Regular"",""Conta Repetida"")"),"Regular")</f>
        <v>Regular</v>
      </c>
      <c r="D21" s="561"/>
      <c r="E21" s="561"/>
      <c r="F21" s="561"/>
      <c r="G21" s="561"/>
      <c r="H21" s="561"/>
      <c r="I21" s="561"/>
      <c r="J21" s="561"/>
      <c r="K21" s="561"/>
      <c r="L21" s="561"/>
      <c r="M21" s="561"/>
      <c r="N21" s="561"/>
      <c r="O21" s="561"/>
      <c r="P21" s="561"/>
      <c r="Q21" s="561"/>
      <c r="R21" s="561"/>
      <c r="S21" s="561"/>
      <c r="T21" s="561"/>
      <c r="U21" s="561"/>
      <c r="V21" s="561"/>
      <c r="W21" s="561"/>
    </row>
    <row r="22" spans="1:23" ht="15.75" customHeight="1">
      <c r="A22" s="559" t="s">
        <v>2924</v>
      </c>
      <c r="B22" s="560" t="s">
        <v>6260</v>
      </c>
      <c r="C22" s="559" t="str">
        <f ca="1">IFERROR(__xludf.DUMMYFUNCTION("IF(COUNTA(filter(B:B,B:B=B22))=1,""Regular"",""Conta Repetida"")"),"Regular")</f>
        <v>Regular</v>
      </c>
      <c r="D22" s="561"/>
      <c r="E22" s="561"/>
      <c r="F22" s="561"/>
      <c r="G22" s="561"/>
      <c r="H22" s="561"/>
      <c r="I22" s="561"/>
      <c r="J22" s="561"/>
      <c r="K22" s="561"/>
      <c r="L22" s="561"/>
      <c r="M22" s="561"/>
      <c r="N22" s="561"/>
      <c r="O22" s="561"/>
      <c r="P22" s="561"/>
      <c r="Q22" s="561"/>
      <c r="R22" s="561"/>
      <c r="S22" s="561"/>
      <c r="T22" s="561"/>
      <c r="U22" s="561"/>
      <c r="V22" s="561"/>
      <c r="W22" s="561"/>
    </row>
    <row r="23" spans="1:23" ht="15.75" customHeight="1">
      <c r="A23" s="559" t="s">
        <v>3973</v>
      </c>
      <c r="B23" s="560" t="s">
        <v>6261</v>
      </c>
      <c r="C23" s="559" t="str">
        <f ca="1">IFERROR(__xludf.DUMMYFUNCTION("IF(COUNTA(filter(B:B,B:B=B23))=1,""Regular"",""Conta Repetida"")"),"Regular")</f>
        <v>Regular</v>
      </c>
      <c r="D23" s="561"/>
      <c r="E23" s="561"/>
      <c r="F23" s="561"/>
      <c r="G23" s="561"/>
      <c r="H23" s="561"/>
      <c r="I23" s="561"/>
      <c r="J23" s="561"/>
      <c r="K23" s="561"/>
      <c r="L23" s="561"/>
      <c r="M23" s="561"/>
      <c r="N23" s="561"/>
      <c r="O23" s="561"/>
      <c r="P23" s="561"/>
      <c r="Q23" s="561"/>
      <c r="R23" s="561"/>
      <c r="S23" s="561"/>
      <c r="T23" s="561"/>
      <c r="U23" s="561"/>
      <c r="V23" s="561"/>
      <c r="W23" s="561"/>
    </row>
    <row r="24" spans="1:23" ht="15.75" customHeight="1">
      <c r="A24" s="559" t="s">
        <v>337</v>
      </c>
      <c r="B24" s="560" t="s">
        <v>6262</v>
      </c>
      <c r="C24" s="559" t="str">
        <f ca="1">IFERROR(__xludf.DUMMYFUNCTION("IF(COUNTA(filter(B:B,B:B=B24))=1,""Regular"",""Conta Repetida"")"),"Regular")</f>
        <v>Regular</v>
      </c>
      <c r="D24" s="561"/>
      <c r="E24" s="561"/>
      <c r="F24" s="561"/>
      <c r="G24" s="561"/>
      <c r="H24" s="561"/>
      <c r="I24" s="561"/>
      <c r="J24" s="561"/>
      <c r="K24" s="561"/>
      <c r="L24" s="561"/>
      <c r="M24" s="561"/>
      <c r="N24" s="561"/>
      <c r="O24" s="561"/>
      <c r="P24" s="561"/>
      <c r="Q24" s="561"/>
      <c r="R24" s="561"/>
      <c r="S24" s="561"/>
      <c r="T24" s="561"/>
      <c r="U24" s="561"/>
      <c r="V24" s="561"/>
      <c r="W24" s="561"/>
    </row>
    <row r="25" spans="1:23" ht="15.75" customHeight="1">
      <c r="A25" s="559" t="s">
        <v>3159</v>
      </c>
      <c r="B25" s="560" t="s">
        <v>6263</v>
      </c>
      <c r="C25" s="559" t="str">
        <f ca="1">IFERROR(__xludf.DUMMYFUNCTION("IF(COUNTA(filter(B:B,B:B=B25))=1,""Regular"",""Conta Repetida"")"),"Regular")</f>
        <v>Regular</v>
      </c>
      <c r="D25" s="561"/>
      <c r="E25" s="561"/>
      <c r="F25" s="561"/>
      <c r="G25" s="561"/>
      <c r="H25" s="561"/>
      <c r="I25" s="561"/>
      <c r="J25" s="561"/>
      <c r="K25" s="561"/>
      <c r="L25" s="561"/>
      <c r="M25" s="561"/>
      <c r="N25" s="561"/>
      <c r="O25" s="561"/>
      <c r="P25" s="561"/>
      <c r="Q25" s="561"/>
      <c r="R25" s="561"/>
      <c r="S25" s="561"/>
      <c r="T25" s="561"/>
      <c r="U25" s="561"/>
      <c r="V25" s="561"/>
      <c r="W25" s="561"/>
    </row>
    <row r="26" spans="1:23" ht="15.75" customHeight="1">
      <c r="A26" s="559" t="s">
        <v>328</v>
      </c>
      <c r="B26" s="560" t="s">
        <v>6264</v>
      </c>
      <c r="C26" s="559" t="str">
        <f ca="1">IFERROR(__xludf.DUMMYFUNCTION("IF(COUNTA(filter(B:B,B:B=B26))=1,""Regular"",""Conta Repetida"")"),"Regular")</f>
        <v>Regular</v>
      </c>
      <c r="D26" s="561"/>
      <c r="E26" s="561"/>
      <c r="F26" s="561"/>
      <c r="G26" s="561"/>
      <c r="H26" s="561"/>
      <c r="I26" s="561"/>
      <c r="J26" s="561"/>
      <c r="K26" s="561"/>
      <c r="L26" s="561"/>
      <c r="M26" s="561"/>
      <c r="N26" s="561"/>
      <c r="O26" s="561"/>
      <c r="P26" s="561"/>
      <c r="Q26" s="561"/>
      <c r="R26" s="561"/>
      <c r="S26" s="561"/>
      <c r="T26" s="561"/>
      <c r="U26" s="561"/>
      <c r="V26" s="561"/>
      <c r="W26" s="561"/>
    </row>
    <row r="27" spans="1:23" ht="15.75" customHeight="1">
      <c r="A27" s="559" t="s">
        <v>5186</v>
      </c>
      <c r="B27" s="560" t="s">
        <v>6265</v>
      </c>
      <c r="C27" s="559" t="str">
        <f ca="1">IFERROR(__xludf.DUMMYFUNCTION("IF(COUNTA(filter(B:B,B:B=B27))=1,""Regular"",""Conta Repetida"")"),"Regular")</f>
        <v>Regular</v>
      </c>
      <c r="D27" s="561"/>
      <c r="E27" s="561"/>
      <c r="F27" s="561"/>
      <c r="G27" s="561"/>
      <c r="H27" s="561"/>
      <c r="I27" s="561"/>
      <c r="J27" s="561"/>
      <c r="K27" s="561"/>
      <c r="L27" s="561"/>
      <c r="M27" s="561"/>
      <c r="N27" s="561"/>
      <c r="O27" s="561"/>
      <c r="P27" s="561"/>
      <c r="Q27" s="561"/>
      <c r="R27" s="561"/>
      <c r="S27" s="561"/>
      <c r="T27" s="561"/>
      <c r="U27" s="561"/>
      <c r="V27" s="561"/>
      <c r="W27" s="561"/>
    </row>
    <row r="28" spans="1:23" ht="15.75" customHeight="1">
      <c r="A28" s="559" t="s">
        <v>4058</v>
      </c>
      <c r="B28" s="560" t="s">
        <v>6266</v>
      </c>
      <c r="C28" s="559" t="str">
        <f ca="1">IFERROR(__xludf.DUMMYFUNCTION("IF(COUNTA(filter(B:B,B:B=B28))=1,""Regular"",""Conta Repetida"")"),"Regular")</f>
        <v>Regular</v>
      </c>
      <c r="D28" s="561"/>
      <c r="E28" s="561"/>
      <c r="F28" s="561"/>
      <c r="G28" s="561"/>
      <c r="H28" s="561"/>
      <c r="I28" s="561"/>
      <c r="J28" s="561"/>
      <c r="K28" s="561"/>
      <c r="L28" s="561"/>
      <c r="M28" s="561"/>
      <c r="N28" s="561"/>
      <c r="O28" s="561"/>
      <c r="P28" s="561"/>
      <c r="Q28" s="561"/>
      <c r="R28" s="561"/>
      <c r="S28" s="561"/>
      <c r="T28" s="561"/>
      <c r="U28" s="561"/>
      <c r="V28" s="561"/>
      <c r="W28" s="561"/>
    </row>
    <row r="29" spans="1:23" ht="15.75" customHeight="1">
      <c r="A29" s="559" t="s">
        <v>4067</v>
      </c>
      <c r="B29" s="560" t="s">
        <v>6267</v>
      </c>
      <c r="C29" s="559" t="str">
        <f ca="1">IFERROR(__xludf.DUMMYFUNCTION("IF(COUNTA(filter(B:B,B:B=B29))=1,""Regular"",""Conta Repetida"")"),"Regular")</f>
        <v>Regular</v>
      </c>
      <c r="D29" s="561"/>
      <c r="E29" s="561"/>
      <c r="F29" s="561"/>
      <c r="G29" s="561"/>
      <c r="H29" s="561"/>
      <c r="I29" s="561"/>
      <c r="J29" s="561"/>
      <c r="K29" s="561"/>
      <c r="L29" s="561"/>
      <c r="M29" s="561"/>
      <c r="N29" s="561"/>
      <c r="O29" s="561"/>
      <c r="P29" s="561"/>
      <c r="Q29" s="561"/>
      <c r="R29" s="561"/>
      <c r="S29" s="561"/>
      <c r="T29" s="561"/>
      <c r="U29" s="561"/>
      <c r="V29" s="561"/>
      <c r="W29" s="561"/>
    </row>
    <row r="30" spans="1:23" ht="15.75" customHeight="1">
      <c r="A30" s="559" t="s">
        <v>73</v>
      </c>
      <c r="B30" s="560" t="s">
        <v>6268</v>
      </c>
      <c r="C30" s="559" t="str">
        <f ca="1">IFERROR(__xludf.DUMMYFUNCTION("IF(COUNTA(filter(B:B,B:B=B30))=1,""Regular"",""Conta Repetida"")"),"Regular")</f>
        <v>Regular</v>
      </c>
      <c r="D30" s="561"/>
      <c r="E30" s="561"/>
      <c r="F30" s="561"/>
      <c r="G30" s="561"/>
      <c r="H30" s="561"/>
      <c r="I30" s="561"/>
      <c r="J30" s="561"/>
      <c r="K30" s="561"/>
      <c r="L30" s="561"/>
      <c r="M30" s="561"/>
      <c r="N30" s="561"/>
      <c r="O30" s="561"/>
      <c r="P30" s="561"/>
      <c r="Q30" s="561"/>
      <c r="R30" s="561"/>
      <c r="S30" s="561"/>
      <c r="T30" s="561"/>
      <c r="U30" s="561"/>
      <c r="V30" s="561"/>
      <c r="W30" s="561"/>
    </row>
    <row r="31" spans="1:23" ht="15.75" customHeight="1">
      <c r="A31" s="559" t="s">
        <v>6269</v>
      </c>
      <c r="B31" s="560" t="s">
        <v>6270</v>
      </c>
      <c r="C31" s="559" t="str">
        <f ca="1">IFERROR(__xludf.DUMMYFUNCTION("IF(COUNTA(filter(B:B,B:B=B31))=1,""Regular"",""Conta Repetida"")"),"Regular")</f>
        <v>Regular</v>
      </c>
      <c r="D31" s="561"/>
      <c r="E31" s="561"/>
      <c r="F31" s="561"/>
      <c r="G31" s="561"/>
      <c r="H31" s="561"/>
      <c r="I31" s="561"/>
      <c r="J31" s="561"/>
      <c r="K31" s="561"/>
      <c r="L31" s="561"/>
      <c r="M31" s="561"/>
      <c r="N31" s="561"/>
      <c r="O31" s="561"/>
      <c r="P31" s="561"/>
      <c r="Q31" s="561"/>
      <c r="R31" s="561"/>
      <c r="S31" s="561"/>
      <c r="T31" s="561"/>
      <c r="U31" s="561"/>
      <c r="V31" s="561"/>
      <c r="W31" s="561"/>
    </row>
    <row r="32" spans="1:23" ht="15.75" customHeight="1">
      <c r="A32" s="559" t="s">
        <v>4360</v>
      </c>
      <c r="B32" s="560" t="s">
        <v>6271</v>
      </c>
      <c r="C32" s="559" t="str">
        <f ca="1">IFERROR(__xludf.DUMMYFUNCTION("IF(COUNTA(filter(B:B,B:B=B32))=1,""Regular"",""Conta Repetida"")"),"Regular")</f>
        <v>Regular</v>
      </c>
      <c r="D32" s="561"/>
      <c r="E32" s="561"/>
      <c r="F32" s="561"/>
      <c r="G32" s="561"/>
      <c r="H32" s="561"/>
      <c r="I32" s="561"/>
      <c r="J32" s="561"/>
      <c r="K32" s="561"/>
      <c r="L32" s="561"/>
      <c r="M32" s="561"/>
      <c r="N32" s="561"/>
      <c r="O32" s="561"/>
      <c r="P32" s="561"/>
      <c r="Q32" s="561"/>
      <c r="R32" s="561"/>
      <c r="S32" s="561"/>
      <c r="T32" s="561"/>
      <c r="U32" s="561"/>
      <c r="V32" s="561"/>
      <c r="W32" s="561"/>
    </row>
    <row r="33" spans="1:23" ht="15.75" customHeight="1">
      <c r="A33" s="559" t="s">
        <v>5018</v>
      </c>
      <c r="B33" s="560" t="s">
        <v>6272</v>
      </c>
      <c r="C33" s="559" t="str">
        <f ca="1">IFERROR(__xludf.DUMMYFUNCTION("IF(COUNTA(filter(B:B,B:B=B33))=1,""Regular"",""Conta Repetida"")"),"Regular")</f>
        <v>Regular</v>
      </c>
      <c r="D33" s="561"/>
      <c r="E33" s="561"/>
      <c r="F33" s="561"/>
      <c r="G33" s="561"/>
      <c r="H33" s="561"/>
      <c r="I33" s="561"/>
      <c r="J33" s="561"/>
      <c r="K33" s="561"/>
      <c r="L33" s="561"/>
      <c r="M33" s="561"/>
      <c r="N33" s="561"/>
      <c r="O33" s="561"/>
      <c r="P33" s="561"/>
      <c r="Q33" s="561"/>
      <c r="R33" s="561"/>
      <c r="S33" s="561"/>
      <c r="T33" s="561"/>
      <c r="U33" s="561"/>
      <c r="V33" s="561"/>
      <c r="W33" s="561"/>
    </row>
    <row r="34" spans="1:23" ht="15.75" customHeight="1">
      <c r="A34" s="559" t="s">
        <v>4104</v>
      </c>
      <c r="B34" s="560" t="s">
        <v>6273</v>
      </c>
      <c r="C34" s="559" t="str">
        <f ca="1">IFERROR(__xludf.DUMMYFUNCTION("IF(COUNTA(filter(B:B,B:B=B34))=1,""Regular"",""Conta Repetida"")"),"Regular")</f>
        <v>Regular</v>
      </c>
      <c r="D34" s="561"/>
      <c r="E34" s="561"/>
      <c r="F34" s="561"/>
      <c r="G34" s="561"/>
      <c r="H34" s="561"/>
      <c r="I34" s="561"/>
      <c r="J34" s="561"/>
      <c r="K34" s="561"/>
      <c r="L34" s="561"/>
      <c r="M34" s="561"/>
      <c r="N34" s="561"/>
      <c r="O34" s="561"/>
      <c r="P34" s="561"/>
      <c r="Q34" s="561"/>
      <c r="R34" s="561"/>
      <c r="S34" s="561"/>
      <c r="T34" s="561"/>
      <c r="U34" s="561"/>
      <c r="V34" s="561"/>
      <c r="W34" s="561"/>
    </row>
    <row r="35" spans="1:23" ht="15.75" customHeight="1">
      <c r="A35" s="559" t="s">
        <v>64</v>
      </c>
      <c r="B35" s="560" t="s">
        <v>6274</v>
      </c>
      <c r="C35" s="559" t="str">
        <f ca="1">IFERROR(__xludf.DUMMYFUNCTION("IF(COUNTA(filter(B:B,B:B=B35))=1,""Regular"",""Conta Repetida"")"),"Regular")</f>
        <v>Regular</v>
      </c>
      <c r="D35" s="561"/>
      <c r="E35" s="561"/>
      <c r="F35" s="561"/>
      <c r="G35" s="561"/>
      <c r="H35" s="561"/>
      <c r="I35" s="561"/>
      <c r="J35" s="561"/>
      <c r="K35" s="561"/>
      <c r="L35" s="561"/>
      <c r="M35" s="561"/>
      <c r="N35" s="561"/>
      <c r="O35" s="561"/>
      <c r="P35" s="561"/>
      <c r="Q35" s="561"/>
      <c r="R35" s="561"/>
      <c r="S35" s="561"/>
      <c r="T35" s="561"/>
      <c r="U35" s="561"/>
      <c r="V35" s="561"/>
      <c r="W35" s="561"/>
    </row>
    <row r="36" spans="1:23" ht="15.75" customHeight="1">
      <c r="A36" s="559" t="s">
        <v>4134</v>
      </c>
      <c r="B36" s="560" t="s">
        <v>6275</v>
      </c>
      <c r="C36" s="559" t="str">
        <f ca="1">IFERROR(__xludf.DUMMYFUNCTION("IF(COUNTA(filter(B:B,B:B=B36))=1,""Regular"",""Conta Repetida"")"),"Regular")</f>
        <v>Regular</v>
      </c>
      <c r="D36" s="561"/>
      <c r="E36" s="561"/>
      <c r="F36" s="561"/>
      <c r="G36" s="561"/>
      <c r="H36" s="561"/>
      <c r="I36" s="561"/>
      <c r="J36" s="561"/>
      <c r="K36" s="561"/>
      <c r="L36" s="561"/>
      <c r="M36" s="561"/>
      <c r="N36" s="561"/>
      <c r="O36" s="561"/>
      <c r="P36" s="561"/>
      <c r="Q36" s="561"/>
      <c r="R36" s="561"/>
      <c r="S36" s="561"/>
      <c r="T36" s="561"/>
      <c r="U36" s="561"/>
      <c r="V36" s="561"/>
      <c r="W36" s="561"/>
    </row>
    <row r="37" spans="1:23" ht="15.75" customHeight="1">
      <c r="A37" s="559" t="s">
        <v>247</v>
      </c>
      <c r="B37" s="560" t="s">
        <v>6276</v>
      </c>
      <c r="C37" s="559" t="str">
        <f ca="1">IFERROR(__xludf.DUMMYFUNCTION("IF(COUNTA(filter(B:B,B:B=B37))=1,""Regular"",""Conta Repetida"")"),"Regular")</f>
        <v>Regular</v>
      </c>
      <c r="D37" s="561"/>
      <c r="E37" s="561"/>
      <c r="F37" s="561"/>
      <c r="G37" s="561"/>
      <c r="H37" s="561"/>
      <c r="I37" s="561"/>
      <c r="J37" s="561"/>
      <c r="K37" s="561"/>
      <c r="L37" s="561"/>
      <c r="M37" s="561"/>
      <c r="N37" s="561"/>
      <c r="O37" s="561"/>
      <c r="P37" s="561"/>
      <c r="Q37" s="561"/>
      <c r="R37" s="561"/>
      <c r="S37" s="561"/>
      <c r="T37" s="561"/>
      <c r="U37" s="561"/>
      <c r="V37" s="561"/>
      <c r="W37" s="561"/>
    </row>
    <row r="38" spans="1:23" ht="15.75" customHeight="1">
      <c r="A38" s="559" t="s">
        <v>6277</v>
      </c>
      <c r="B38" s="560" t="s">
        <v>6278</v>
      </c>
      <c r="C38" s="559" t="str">
        <f ca="1">IFERROR(__xludf.DUMMYFUNCTION("IF(COUNTA(filter(B:B,B:B=B38))=1,""Regular"",""Conta Repetida"")"),"Regular")</f>
        <v>Regular</v>
      </c>
      <c r="D38" s="561"/>
      <c r="E38" s="561"/>
      <c r="F38" s="561"/>
      <c r="G38" s="561"/>
      <c r="H38" s="561"/>
      <c r="I38" s="561"/>
      <c r="J38" s="561"/>
      <c r="K38" s="561"/>
      <c r="L38" s="561"/>
      <c r="M38" s="561"/>
      <c r="N38" s="561"/>
      <c r="O38" s="561"/>
      <c r="P38" s="561"/>
      <c r="Q38" s="561"/>
      <c r="R38" s="561"/>
      <c r="S38" s="561"/>
      <c r="T38" s="561"/>
      <c r="U38" s="561"/>
      <c r="V38" s="561"/>
      <c r="W38" s="561"/>
    </row>
    <row r="39" spans="1:23" ht="15.75" customHeight="1">
      <c r="A39" s="559" t="s">
        <v>3862</v>
      </c>
      <c r="B39" s="560" t="s">
        <v>6279</v>
      </c>
      <c r="C39" s="559" t="str">
        <f ca="1">IFERROR(__xludf.DUMMYFUNCTION("IF(COUNTA(filter(B:B,B:B=B39))=1,""Regular"",""Conta Repetida"")"),"Regular")</f>
        <v>Regular</v>
      </c>
      <c r="D39" s="561"/>
      <c r="E39" s="561"/>
      <c r="F39" s="561"/>
      <c r="G39" s="561"/>
      <c r="H39" s="561"/>
      <c r="I39" s="561"/>
      <c r="J39" s="561"/>
      <c r="K39" s="561"/>
      <c r="L39" s="561"/>
      <c r="M39" s="561"/>
      <c r="N39" s="561"/>
      <c r="O39" s="561"/>
      <c r="P39" s="561"/>
      <c r="Q39" s="561"/>
      <c r="R39" s="561"/>
      <c r="S39" s="561"/>
      <c r="T39" s="561"/>
      <c r="U39" s="561"/>
      <c r="V39" s="561"/>
      <c r="W39" s="561"/>
    </row>
    <row r="40" spans="1:23" ht="15.75" customHeight="1">
      <c r="A40" s="559" t="s">
        <v>4158</v>
      </c>
      <c r="B40" s="560" t="s">
        <v>6280</v>
      </c>
      <c r="C40" s="559" t="str">
        <f ca="1">IFERROR(__xludf.DUMMYFUNCTION("IF(COUNTA(filter(B:B,B:B=B40))=1,""Regular"",""Conta Repetida"")"),"Regular")</f>
        <v>Regular</v>
      </c>
      <c r="D40" s="561"/>
      <c r="E40" s="561"/>
      <c r="F40" s="561"/>
      <c r="G40" s="561"/>
      <c r="H40" s="561"/>
      <c r="I40" s="561"/>
      <c r="J40" s="561"/>
      <c r="K40" s="561"/>
      <c r="L40" s="561"/>
      <c r="M40" s="561"/>
      <c r="N40" s="561"/>
      <c r="O40" s="561"/>
      <c r="P40" s="561"/>
      <c r="Q40" s="561"/>
      <c r="R40" s="561"/>
      <c r="S40" s="561"/>
      <c r="T40" s="561"/>
      <c r="U40" s="561"/>
      <c r="V40" s="561"/>
      <c r="W40" s="561"/>
    </row>
    <row r="41" spans="1:23" ht="15.75" customHeight="1">
      <c r="A41" s="559" t="s">
        <v>4167</v>
      </c>
      <c r="B41" s="560" t="s">
        <v>6281</v>
      </c>
      <c r="C41" s="559" t="str">
        <f ca="1">IFERROR(__xludf.DUMMYFUNCTION("IF(COUNTA(filter(B:B,B:B=B41))=1,""Regular"",""Conta Repetida"")"),"Regular")</f>
        <v>Regular</v>
      </c>
      <c r="D41" s="561"/>
      <c r="E41" s="561"/>
      <c r="F41" s="561"/>
      <c r="G41" s="561"/>
      <c r="H41" s="561"/>
      <c r="I41" s="561"/>
      <c r="J41" s="561"/>
      <c r="K41" s="561"/>
      <c r="L41" s="561"/>
      <c r="M41" s="561"/>
      <c r="N41" s="561"/>
      <c r="O41" s="561"/>
      <c r="P41" s="561"/>
      <c r="Q41" s="561"/>
      <c r="R41" s="561"/>
      <c r="S41" s="561"/>
      <c r="T41" s="561"/>
      <c r="U41" s="561"/>
      <c r="V41" s="561"/>
      <c r="W41" s="561"/>
    </row>
    <row r="42" spans="1:23" ht="15.75" customHeight="1">
      <c r="A42" s="559" t="s">
        <v>6282</v>
      </c>
      <c r="B42" s="560" t="s">
        <v>6283</v>
      </c>
      <c r="C42" s="559" t="str">
        <f ca="1">IFERROR(__xludf.DUMMYFUNCTION("IF(COUNTA(filter(B:B,B:B=B42))=1,""Regular"",""Conta Repetida"")"),"Regular")</f>
        <v>Regular</v>
      </c>
      <c r="D42" s="561"/>
      <c r="E42" s="561"/>
      <c r="F42" s="561"/>
      <c r="G42" s="561"/>
      <c r="H42" s="561"/>
      <c r="I42" s="561"/>
      <c r="J42" s="561"/>
      <c r="K42" s="561"/>
      <c r="L42" s="561"/>
      <c r="M42" s="561"/>
      <c r="N42" s="561"/>
      <c r="O42" s="561"/>
      <c r="P42" s="561"/>
      <c r="Q42" s="561"/>
      <c r="R42" s="561"/>
      <c r="S42" s="561"/>
      <c r="T42" s="561"/>
      <c r="U42" s="561"/>
      <c r="V42" s="561"/>
      <c r="W42" s="561"/>
    </row>
    <row r="43" spans="1:23" ht="15.75" customHeight="1">
      <c r="A43" s="559" t="s">
        <v>3072</v>
      </c>
      <c r="B43" s="560" t="s">
        <v>6284</v>
      </c>
      <c r="C43" s="559" t="str">
        <f ca="1">IFERROR(__xludf.DUMMYFUNCTION("IF(COUNTA(filter(B:B,B:B=B43))=1,""Regular"",""Conta Repetida"")"),"Regular")</f>
        <v>Regular</v>
      </c>
      <c r="D43" s="561"/>
      <c r="E43" s="561"/>
      <c r="F43" s="561"/>
      <c r="G43" s="561"/>
      <c r="H43" s="561"/>
      <c r="I43" s="561"/>
      <c r="J43" s="561"/>
      <c r="K43" s="561"/>
      <c r="L43" s="561"/>
      <c r="M43" s="561"/>
      <c r="N43" s="561"/>
      <c r="O43" s="561"/>
      <c r="P43" s="561"/>
      <c r="Q43" s="561"/>
      <c r="R43" s="561"/>
      <c r="S43" s="561"/>
      <c r="T43" s="561"/>
      <c r="U43" s="561"/>
      <c r="V43" s="561"/>
      <c r="W43" s="561"/>
    </row>
    <row r="44" spans="1:23" ht="15.75" customHeight="1">
      <c r="A44" s="559" t="s">
        <v>6285</v>
      </c>
      <c r="B44" s="560" t="s">
        <v>6286</v>
      </c>
      <c r="C44" s="559" t="str">
        <f ca="1">IFERROR(__xludf.DUMMYFUNCTION("IF(COUNTA(filter(B:B,B:B=B44))=1,""Regular"",""Conta Repetida"")"),"Regular")</f>
        <v>Regular</v>
      </c>
      <c r="D44" s="561"/>
      <c r="E44" s="561"/>
      <c r="F44" s="561"/>
      <c r="G44" s="561"/>
      <c r="H44" s="561"/>
      <c r="I44" s="561"/>
      <c r="J44" s="561"/>
      <c r="K44" s="561"/>
      <c r="L44" s="561"/>
      <c r="M44" s="561"/>
      <c r="N44" s="561"/>
      <c r="O44" s="561"/>
      <c r="P44" s="561"/>
      <c r="Q44" s="561"/>
      <c r="R44" s="561"/>
      <c r="S44" s="561"/>
      <c r="T44" s="561"/>
      <c r="U44" s="561"/>
      <c r="V44" s="561"/>
      <c r="W44" s="561"/>
    </row>
    <row r="45" spans="1:23" ht="15.75" customHeight="1">
      <c r="A45" s="559" t="s">
        <v>4301</v>
      </c>
      <c r="B45" s="560" t="s">
        <v>6287</v>
      </c>
      <c r="C45" s="559" t="str">
        <f ca="1">IFERROR(__xludf.DUMMYFUNCTION("IF(COUNTA(filter(B:B,B:B=B45))=1,""Regular"",""Conta Repetida"")"),"Regular")</f>
        <v>Regular</v>
      </c>
      <c r="D45" s="561"/>
      <c r="E45" s="561"/>
      <c r="F45" s="561"/>
      <c r="G45" s="561"/>
      <c r="H45" s="561"/>
      <c r="I45" s="561"/>
      <c r="J45" s="561"/>
      <c r="K45" s="561"/>
      <c r="L45" s="561"/>
      <c r="M45" s="561"/>
      <c r="N45" s="561"/>
      <c r="O45" s="561"/>
      <c r="P45" s="561"/>
      <c r="Q45" s="561"/>
      <c r="R45" s="561"/>
      <c r="S45" s="561"/>
      <c r="T45" s="561"/>
      <c r="U45" s="561"/>
      <c r="V45" s="561"/>
      <c r="W45" s="561"/>
    </row>
    <row r="46" spans="1:23" ht="15.75" customHeight="1">
      <c r="A46" s="559" t="s">
        <v>3641</v>
      </c>
      <c r="B46" s="560" t="s">
        <v>6288</v>
      </c>
      <c r="C46" s="559" t="str">
        <f ca="1">IFERROR(__xludf.DUMMYFUNCTION("IF(COUNTA(filter(B:B,B:B=B46))=1,""Regular"",""Conta Repetida"")"),"Regular")</f>
        <v>Regular</v>
      </c>
      <c r="D46" s="561"/>
      <c r="E46" s="561"/>
      <c r="F46" s="561"/>
      <c r="G46" s="561"/>
      <c r="H46" s="561"/>
      <c r="I46" s="561"/>
      <c r="J46" s="561"/>
      <c r="K46" s="561"/>
      <c r="L46" s="561"/>
      <c r="M46" s="561"/>
      <c r="N46" s="561"/>
      <c r="O46" s="561"/>
      <c r="P46" s="561"/>
      <c r="Q46" s="561"/>
      <c r="R46" s="561"/>
      <c r="S46" s="561"/>
      <c r="T46" s="561"/>
      <c r="U46" s="561"/>
      <c r="V46" s="561"/>
      <c r="W46" s="561"/>
    </row>
    <row r="47" spans="1:23" ht="15.75" customHeight="1">
      <c r="A47" s="559" t="s">
        <v>4315</v>
      </c>
      <c r="B47" s="560" t="s">
        <v>6289</v>
      </c>
      <c r="C47" s="559" t="str">
        <f ca="1">IFERROR(__xludf.DUMMYFUNCTION("IF(COUNTA(filter(B:B,B:B=B47))=1,""Regular"",""Conta Repetida"")"),"Regular")</f>
        <v>Regular</v>
      </c>
      <c r="D47" s="561"/>
      <c r="E47" s="561"/>
      <c r="F47" s="561"/>
      <c r="G47" s="561"/>
      <c r="H47" s="561"/>
      <c r="I47" s="561"/>
      <c r="J47" s="561"/>
      <c r="K47" s="561"/>
      <c r="L47" s="561"/>
      <c r="M47" s="561"/>
      <c r="N47" s="561"/>
      <c r="O47" s="561"/>
      <c r="P47" s="561"/>
      <c r="Q47" s="561"/>
      <c r="R47" s="561"/>
      <c r="S47" s="561"/>
      <c r="T47" s="561"/>
      <c r="U47" s="561"/>
      <c r="V47" s="561"/>
      <c r="W47" s="561"/>
    </row>
    <row r="48" spans="1:23" ht="15.75" customHeight="1">
      <c r="A48" s="559" t="s">
        <v>6290</v>
      </c>
      <c r="B48" s="560" t="s">
        <v>6291</v>
      </c>
      <c r="C48" s="559" t="str">
        <f ca="1">IFERROR(__xludf.DUMMYFUNCTION("IF(COUNTA(filter(B:B,B:B=B48))=1,""Regular"",""Conta Repetida"")"),"Regular")</f>
        <v>Regular</v>
      </c>
      <c r="D48" s="561"/>
      <c r="E48" s="561"/>
      <c r="F48" s="561"/>
      <c r="G48" s="561"/>
      <c r="H48" s="561"/>
      <c r="I48" s="561"/>
      <c r="J48" s="561"/>
      <c r="K48" s="561"/>
      <c r="L48" s="561"/>
      <c r="M48" s="561"/>
      <c r="N48" s="561"/>
      <c r="O48" s="561"/>
      <c r="P48" s="561"/>
      <c r="Q48" s="561"/>
      <c r="R48" s="561"/>
      <c r="S48" s="561"/>
      <c r="T48" s="561"/>
      <c r="U48" s="561"/>
      <c r="V48" s="561"/>
      <c r="W48" s="561"/>
    </row>
    <row r="49" spans="1:23" ht="15.75" customHeight="1">
      <c r="A49" s="559" t="s">
        <v>4363</v>
      </c>
      <c r="B49" s="560" t="s">
        <v>6292</v>
      </c>
      <c r="C49" s="559" t="str">
        <f ca="1">IFERROR(__xludf.DUMMYFUNCTION("IF(COUNTA(filter(B:B,B:B=B49))=1,""Regular"",""Conta Repetida"")"),"Regular")</f>
        <v>Regular</v>
      </c>
      <c r="D49" s="561"/>
      <c r="E49" s="561"/>
      <c r="F49" s="561"/>
      <c r="G49" s="561"/>
      <c r="H49" s="561"/>
      <c r="I49" s="561"/>
      <c r="J49" s="561"/>
      <c r="K49" s="561"/>
      <c r="L49" s="561"/>
      <c r="M49" s="561"/>
      <c r="N49" s="561"/>
      <c r="O49" s="561"/>
      <c r="P49" s="561"/>
      <c r="Q49" s="561"/>
      <c r="R49" s="561"/>
      <c r="S49" s="561"/>
      <c r="T49" s="561"/>
      <c r="U49" s="561"/>
      <c r="V49" s="561"/>
      <c r="W49" s="561"/>
    </row>
    <row r="50" spans="1:23" ht="15.75" customHeight="1">
      <c r="A50" s="559" t="s">
        <v>6293</v>
      </c>
      <c r="B50" s="560" t="s">
        <v>6294</v>
      </c>
      <c r="C50" s="559" t="str">
        <f ca="1">IFERROR(__xludf.DUMMYFUNCTION("IF(COUNTA(filter(B:B,B:B=B50))=1,""Regular"",""Conta Repetida"")"),"Regular")</f>
        <v>Regular</v>
      </c>
      <c r="D50" s="561"/>
      <c r="E50" s="561"/>
      <c r="F50" s="561"/>
      <c r="G50" s="561"/>
      <c r="H50" s="561"/>
      <c r="I50" s="561"/>
      <c r="J50" s="561"/>
      <c r="K50" s="561"/>
      <c r="L50" s="561"/>
      <c r="M50" s="561"/>
      <c r="N50" s="561"/>
      <c r="O50" s="561"/>
      <c r="P50" s="561"/>
      <c r="Q50" s="561"/>
      <c r="R50" s="561"/>
      <c r="S50" s="561"/>
      <c r="T50" s="561"/>
      <c r="U50" s="561"/>
      <c r="V50" s="561"/>
      <c r="W50" s="561"/>
    </row>
    <row r="51" spans="1:23" ht="15.75" customHeight="1">
      <c r="A51" s="559" t="s">
        <v>4472</v>
      </c>
      <c r="B51" s="560" t="s">
        <v>6295</v>
      </c>
      <c r="C51" s="559" t="str">
        <f ca="1">IFERROR(__xludf.DUMMYFUNCTION("IF(COUNTA(filter(B:B,B:B=B51))=1,""Regular"",""Conta Repetida"")"),"Regular")</f>
        <v>Regular</v>
      </c>
      <c r="D51" s="561"/>
      <c r="E51" s="561"/>
      <c r="F51" s="561"/>
      <c r="G51" s="561"/>
      <c r="H51" s="561"/>
      <c r="I51" s="561"/>
      <c r="J51" s="561"/>
      <c r="K51" s="561"/>
      <c r="L51" s="561"/>
      <c r="M51" s="561"/>
      <c r="N51" s="561"/>
      <c r="O51" s="561"/>
      <c r="P51" s="561"/>
      <c r="Q51" s="561"/>
      <c r="R51" s="561"/>
      <c r="S51" s="561"/>
      <c r="T51" s="561"/>
      <c r="U51" s="561"/>
      <c r="V51" s="561"/>
      <c r="W51" s="561"/>
    </row>
    <row r="52" spans="1:23" ht="15.75" customHeight="1">
      <c r="A52" s="559" t="s">
        <v>3678</v>
      </c>
      <c r="B52" s="560" t="s">
        <v>6296</v>
      </c>
      <c r="C52" s="559" t="str">
        <f ca="1">IFERROR(__xludf.DUMMYFUNCTION("IF(COUNTA(filter(B:B,B:B=B52))=1,""Regular"",""Conta Repetida"")"),"Regular")</f>
        <v>Regular</v>
      </c>
      <c r="D52" s="561"/>
      <c r="E52" s="561"/>
      <c r="F52" s="561"/>
      <c r="G52" s="561"/>
      <c r="H52" s="561"/>
      <c r="I52" s="561"/>
      <c r="J52" s="561"/>
      <c r="K52" s="561"/>
      <c r="L52" s="561"/>
      <c r="M52" s="561"/>
      <c r="N52" s="561"/>
      <c r="O52" s="561"/>
      <c r="P52" s="561"/>
      <c r="Q52" s="561"/>
      <c r="R52" s="561"/>
      <c r="S52" s="561"/>
      <c r="T52" s="561"/>
      <c r="U52" s="561"/>
      <c r="V52" s="561"/>
      <c r="W52" s="561"/>
    </row>
    <row r="53" spans="1:23" ht="15.75" customHeight="1">
      <c r="A53" s="559" t="s">
        <v>2955</v>
      </c>
      <c r="B53" s="560" t="s">
        <v>6297</v>
      </c>
      <c r="C53" s="559" t="str">
        <f ca="1">IFERROR(__xludf.DUMMYFUNCTION("IF(COUNTA(filter(B:B,B:B=B53))=1,""Regular"",""Conta Repetida"")"),"Regular")</f>
        <v>Regular</v>
      </c>
      <c r="D53" s="561"/>
      <c r="E53" s="561"/>
      <c r="F53" s="561"/>
      <c r="G53" s="561"/>
      <c r="H53" s="561"/>
      <c r="I53" s="561"/>
      <c r="J53" s="561"/>
      <c r="K53" s="561"/>
      <c r="L53" s="561"/>
      <c r="M53" s="561"/>
      <c r="N53" s="561"/>
      <c r="O53" s="561"/>
      <c r="P53" s="561"/>
      <c r="Q53" s="561"/>
      <c r="R53" s="561"/>
      <c r="S53" s="561"/>
      <c r="T53" s="561"/>
      <c r="U53" s="561"/>
      <c r="V53" s="561"/>
      <c r="W53" s="561"/>
    </row>
    <row r="54" spans="1:23" ht="15.75" customHeight="1">
      <c r="A54" s="559" t="s">
        <v>6298</v>
      </c>
      <c r="B54" s="560" t="s">
        <v>6299</v>
      </c>
      <c r="C54" s="559" t="str">
        <f ca="1">IFERROR(__xludf.DUMMYFUNCTION("IF(COUNTA(filter(B:B,B:B=B54))=1,""Regular"",""Conta Repetida"")"),"Regular")</f>
        <v>Regular</v>
      </c>
      <c r="D54" s="561"/>
      <c r="E54" s="561"/>
      <c r="F54" s="561"/>
      <c r="G54" s="561"/>
      <c r="H54" s="561"/>
      <c r="I54" s="561"/>
      <c r="J54" s="561"/>
      <c r="K54" s="561"/>
      <c r="L54" s="561"/>
      <c r="M54" s="561"/>
      <c r="N54" s="561"/>
      <c r="O54" s="561"/>
      <c r="P54" s="561"/>
      <c r="Q54" s="561"/>
      <c r="R54" s="561"/>
      <c r="S54" s="561"/>
      <c r="T54" s="561"/>
      <c r="U54" s="561"/>
      <c r="V54" s="561"/>
      <c r="W54" s="561"/>
    </row>
    <row r="55" spans="1:23" ht="15.75" customHeight="1">
      <c r="A55" s="559" t="s">
        <v>4726</v>
      </c>
      <c r="B55" s="560" t="s">
        <v>6300</v>
      </c>
      <c r="C55" s="559" t="str">
        <f ca="1">IFERROR(__xludf.DUMMYFUNCTION("IF(COUNTA(filter(B:B,B:B=B55))=1,""Regular"",""Conta Repetida"")"),"Regular")</f>
        <v>Regular</v>
      </c>
      <c r="D55" s="561"/>
      <c r="E55" s="561"/>
      <c r="F55" s="561"/>
      <c r="G55" s="561"/>
      <c r="H55" s="561"/>
      <c r="I55" s="561"/>
      <c r="J55" s="561"/>
      <c r="K55" s="561"/>
      <c r="L55" s="561"/>
      <c r="M55" s="561"/>
      <c r="N55" s="561"/>
      <c r="O55" s="561"/>
      <c r="P55" s="561"/>
      <c r="Q55" s="561"/>
      <c r="R55" s="561"/>
      <c r="S55" s="561"/>
      <c r="T55" s="561"/>
      <c r="U55" s="561"/>
      <c r="V55" s="561"/>
      <c r="W55" s="561"/>
    </row>
    <row r="56" spans="1:23" ht="15.75" customHeight="1">
      <c r="A56" s="559" t="s">
        <v>4753</v>
      </c>
      <c r="B56" s="560" t="s">
        <v>6301</v>
      </c>
      <c r="C56" s="559" t="str">
        <f ca="1">IFERROR(__xludf.DUMMYFUNCTION("IF(COUNTA(filter(B:B,B:B=B56))=1,""Regular"",""Conta Repetida"")"),"Regular")</f>
        <v>Regular</v>
      </c>
      <c r="D56" s="561"/>
      <c r="E56" s="561"/>
      <c r="F56" s="561"/>
      <c r="G56" s="561"/>
      <c r="H56" s="561"/>
      <c r="I56" s="561"/>
      <c r="J56" s="561"/>
      <c r="K56" s="561"/>
      <c r="L56" s="561"/>
      <c r="M56" s="561"/>
      <c r="N56" s="561"/>
      <c r="O56" s="561"/>
      <c r="P56" s="561"/>
      <c r="Q56" s="561"/>
      <c r="R56" s="561"/>
      <c r="S56" s="561"/>
      <c r="T56" s="561"/>
      <c r="U56" s="561"/>
      <c r="V56" s="561"/>
      <c r="W56" s="561"/>
    </row>
    <row r="57" spans="1:23" ht="15.75" customHeight="1">
      <c r="A57" s="559" t="s">
        <v>4796</v>
      </c>
      <c r="B57" s="560" t="s">
        <v>6302</v>
      </c>
      <c r="C57" s="559" t="str">
        <f ca="1">IFERROR(__xludf.DUMMYFUNCTION("IF(COUNTA(filter(B:B,B:B=B57))=1,""Regular"",""Conta Repetida"")"),"Regular")</f>
        <v>Regular</v>
      </c>
      <c r="D57" s="561"/>
      <c r="E57" s="561"/>
      <c r="F57" s="561"/>
      <c r="G57" s="561"/>
      <c r="H57" s="561"/>
      <c r="I57" s="561"/>
      <c r="J57" s="561"/>
      <c r="K57" s="561"/>
      <c r="L57" s="561"/>
      <c r="M57" s="561"/>
      <c r="N57" s="561"/>
      <c r="O57" s="561"/>
      <c r="P57" s="561"/>
      <c r="Q57" s="561"/>
      <c r="R57" s="561"/>
      <c r="S57" s="561"/>
      <c r="T57" s="561"/>
      <c r="U57" s="561"/>
      <c r="V57" s="561"/>
      <c r="W57" s="561"/>
    </row>
    <row r="58" spans="1:23" ht="15.75" customHeight="1">
      <c r="A58" s="559" t="s">
        <v>4833</v>
      </c>
      <c r="B58" s="560" t="s">
        <v>6303</v>
      </c>
      <c r="C58" s="559" t="str">
        <f ca="1">IFERROR(__xludf.DUMMYFUNCTION("IF(COUNTA(filter(B:B,B:B=B58))=1,""Regular"",""Conta Repetida"")"),"Regular")</f>
        <v>Regular</v>
      </c>
      <c r="D58" s="561"/>
      <c r="E58" s="561"/>
      <c r="F58" s="561"/>
      <c r="G58" s="561"/>
      <c r="H58" s="561"/>
      <c r="I58" s="561"/>
      <c r="J58" s="561"/>
      <c r="K58" s="561"/>
      <c r="L58" s="561"/>
      <c r="M58" s="561"/>
      <c r="N58" s="561"/>
      <c r="O58" s="561"/>
      <c r="P58" s="561"/>
      <c r="Q58" s="561"/>
      <c r="R58" s="561"/>
      <c r="S58" s="561"/>
      <c r="T58" s="561"/>
      <c r="U58" s="561"/>
      <c r="V58" s="561"/>
      <c r="W58" s="561"/>
    </row>
    <row r="59" spans="1:23" ht="15.75" customHeight="1">
      <c r="A59" s="559" t="s">
        <v>4343</v>
      </c>
      <c r="B59" s="560" t="s">
        <v>6304</v>
      </c>
      <c r="C59" s="559" t="str">
        <f ca="1">IFERROR(__xludf.DUMMYFUNCTION("IF(COUNTA(filter(B:B,B:B=B59))=1,""Regular"",""Conta Repetida"")"),"Regular")</f>
        <v>Regular</v>
      </c>
      <c r="D59" s="561"/>
      <c r="E59" s="561"/>
      <c r="F59" s="561"/>
      <c r="G59" s="561"/>
      <c r="H59" s="561"/>
      <c r="I59" s="561"/>
      <c r="J59" s="561"/>
      <c r="K59" s="561"/>
      <c r="L59" s="561"/>
      <c r="M59" s="561"/>
      <c r="N59" s="561"/>
      <c r="O59" s="561"/>
      <c r="P59" s="561"/>
      <c r="Q59" s="561"/>
      <c r="R59" s="561"/>
      <c r="S59" s="561"/>
      <c r="T59" s="561"/>
      <c r="U59" s="561"/>
      <c r="V59" s="561"/>
      <c r="W59" s="561"/>
    </row>
    <row r="60" spans="1:23" ht="15.75" customHeight="1">
      <c r="A60" s="559" t="s">
        <v>6305</v>
      </c>
      <c r="B60" s="560" t="s">
        <v>6306</v>
      </c>
      <c r="C60" s="559" t="str">
        <f ca="1">IFERROR(__xludf.DUMMYFUNCTION("IF(COUNTA(filter(B:B,B:B=B60))=1,""Regular"",""Conta Repetida"")"),"Regular")</f>
        <v>Regular</v>
      </c>
      <c r="D60" s="561"/>
      <c r="E60" s="561"/>
      <c r="F60" s="561"/>
      <c r="G60" s="561"/>
      <c r="H60" s="561"/>
      <c r="I60" s="561"/>
      <c r="J60" s="561"/>
      <c r="K60" s="561"/>
      <c r="L60" s="561"/>
      <c r="M60" s="561"/>
      <c r="N60" s="561"/>
      <c r="O60" s="561"/>
      <c r="P60" s="561"/>
      <c r="Q60" s="561"/>
      <c r="R60" s="561"/>
      <c r="S60" s="561"/>
      <c r="T60" s="561"/>
      <c r="U60" s="561"/>
      <c r="V60" s="561"/>
      <c r="W60" s="561"/>
    </row>
    <row r="61" spans="1:23" ht="15.75" customHeight="1">
      <c r="A61" s="559" t="s">
        <v>6307</v>
      </c>
      <c r="B61" s="560" t="s">
        <v>6308</v>
      </c>
      <c r="C61" s="559" t="str">
        <f ca="1">IFERROR(__xludf.DUMMYFUNCTION("IF(COUNTA(filter(B:B,B:B=B61))=1,""Regular"",""Conta Repetida"")"),"Regular")</f>
        <v>Regular</v>
      </c>
      <c r="D61" s="561"/>
      <c r="E61" s="561"/>
      <c r="F61" s="561"/>
      <c r="G61" s="561"/>
      <c r="H61" s="561"/>
      <c r="I61" s="561"/>
      <c r="J61" s="561"/>
      <c r="K61" s="561"/>
      <c r="L61" s="561"/>
      <c r="M61" s="561"/>
      <c r="N61" s="561"/>
      <c r="O61" s="561"/>
      <c r="P61" s="561"/>
      <c r="Q61" s="561"/>
      <c r="R61" s="561"/>
      <c r="S61" s="561"/>
      <c r="T61" s="561"/>
      <c r="U61" s="561"/>
      <c r="V61" s="561"/>
      <c r="W61" s="561"/>
    </row>
    <row r="62" spans="1:23" ht="15.75" customHeight="1">
      <c r="A62" s="559" t="s">
        <v>5036</v>
      </c>
      <c r="B62" s="560" t="s">
        <v>6309</v>
      </c>
      <c r="C62" s="559" t="str">
        <f ca="1">IFERROR(__xludf.DUMMYFUNCTION("IF(COUNTA(filter(B:B,B:B=B62))=1,""Regular"",""Conta Repetida"")"),"Regular")</f>
        <v>Regular</v>
      </c>
      <c r="D62" s="561"/>
      <c r="E62" s="561"/>
      <c r="F62" s="561"/>
      <c r="G62" s="561"/>
      <c r="H62" s="561"/>
      <c r="I62" s="561"/>
      <c r="J62" s="561"/>
      <c r="K62" s="561"/>
      <c r="L62" s="561"/>
      <c r="M62" s="561"/>
      <c r="N62" s="561"/>
      <c r="O62" s="561"/>
      <c r="P62" s="561"/>
      <c r="Q62" s="561"/>
      <c r="R62" s="561"/>
      <c r="S62" s="561"/>
      <c r="T62" s="561"/>
      <c r="U62" s="561"/>
      <c r="V62" s="561"/>
      <c r="W62" s="561"/>
    </row>
    <row r="63" spans="1:23" ht="15.75" customHeight="1">
      <c r="A63" s="559" t="s">
        <v>6310</v>
      </c>
      <c r="B63" s="560" t="s">
        <v>6311</v>
      </c>
      <c r="C63" s="559" t="str">
        <f ca="1">IFERROR(__xludf.DUMMYFUNCTION("IF(COUNTA(filter(B:B,B:B=B63))=1,""Regular"",""Conta Repetida"")"),"Regular")</f>
        <v>Regular</v>
      </c>
      <c r="D63" s="561"/>
      <c r="E63" s="561"/>
      <c r="F63" s="561"/>
      <c r="G63" s="561"/>
      <c r="H63" s="561"/>
      <c r="I63" s="561"/>
      <c r="J63" s="561"/>
      <c r="K63" s="561"/>
      <c r="L63" s="561"/>
      <c r="M63" s="561"/>
      <c r="N63" s="561"/>
      <c r="O63" s="561"/>
      <c r="P63" s="561"/>
      <c r="Q63" s="561"/>
      <c r="R63" s="561"/>
      <c r="S63" s="561"/>
      <c r="T63" s="561"/>
      <c r="U63" s="561"/>
      <c r="V63" s="561"/>
      <c r="W63" s="561"/>
    </row>
    <row r="64" spans="1:23" ht="15.75" customHeight="1">
      <c r="A64" s="559" t="s">
        <v>5238</v>
      </c>
      <c r="B64" s="560" t="s">
        <v>6312</v>
      </c>
      <c r="C64" s="559" t="str">
        <f ca="1">IFERROR(__xludf.DUMMYFUNCTION("IF(COUNTA(filter(B:B,B:B=B64))=1,""Regular"",""Conta Repetida"")"),"Regular")</f>
        <v>Regular</v>
      </c>
      <c r="D64" s="561"/>
      <c r="E64" s="561"/>
      <c r="F64" s="561"/>
      <c r="G64" s="561"/>
      <c r="H64" s="561"/>
      <c r="I64" s="561"/>
      <c r="J64" s="561"/>
      <c r="K64" s="561"/>
      <c r="L64" s="561"/>
      <c r="M64" s="561"/>
      <c r="N64" s="561"/>
      <c r="O64" s="561"/>
      <c r="P64" s="561"/>
      <c r="Q64" s="561"/>
      <c r="R64" s="561"/>
      <c r="S64" s="561"/>
      <c r="T64" s="561"/>
      <c r="U64" s="561"/>
      <c r="V64" s="561"/>
      <c r="W64" s="561"/>
    </row>
    <row r="65" spans="1:23" ht="15.75" customHeight="1">
      <c r="A65" s="559" t="s">
        <v>166</v>
      </c>
      <c r="B65" s="560" t="s">
        <v>3907</v>
      </c>
      <c r="C65" s="559" t="str">
        <f ca="1">IFERROR(__xludf.DUMMYFUNCTION("IF(COUNTA(filter(B:B,B:B=B65))=1,""Regular"",""Conta Repetida"")"),"Regular")</f>
        <v>Regular</v>
      </c>
      <c r="D65" s="561"/>
      <c r="E65" s="561"/>
      <c r="F65" s="561"/>
      <c r="G65" s="561"/>
      <c r="H65" s="561"/>
      <c r="I65" s="561"/>
      <c r="J65" s="561"/>
      <c r="K65" s="561"/>
      <c r="L65" s="561"/>
      <c r="M65" s="561"/>
      <c r="N65" s="561"/>
      <c r="O65" s="561"/>
      <c r="P65" s="561"/>
      <c r="Q65" s="561"/>
      <c r="R65" s="561"/>
      <c r="S65" s="561"/>
      <c r="T65" s="561"/>
      <c r="U65" s="561"/>
      <c r="V65" s="561"/>
      <c r="W65" s="561"/>
    </row>
    <row r="66" spans="1:23" ht="15.75" customHeight="1">
      <c r="A66" s="559" t="s">
        <v>4451</v>
      </c>
      <c r="B66" s="560" t="s">
        <v>6313</v>
      </c>
      <c r="C66" s="559" t="str">
        <f ca="1">IFERROR(__xludf.DUMMYFUNCTION("IF(COUNTA(filter(B:B,B:B=B66))=1,""Regular"",""Conta Repetida"")"),"Regular")</f>
        <v>Regular</v>
      </c>
      <c r="D66" s="561"/>
      <c r="E66" s="561"/>
      <c r="F66" s="561"/>
      <c r="G66" s="561"/>
      <c r="H66" s="561"/>
      <c r="I66" s="561"/>
      <c r="J66" s="561"/>
      <c r="K66" s="561"/>
      <c r="L66" s="561"/>
      <c r="M66" s="561"/>
      <c r="N66" s="561"/>
      <c r="O66" s="561"/>
      <c r="P66" s="561"/>
      <c r="Q66" s="561"/>
      <c r="R66" s="561"/>
      <c r="S66" s="561"/>
      <c r="T66" s="561"/>
      <c r="U66" s="561"/>
      <c r="V66" s="561"/>
      <c r="W66" s="561"/>
    </row>
    <row r="67" spans="1:23" ht="15.75" customHeight="1">
      <c r="A67" s="559" t="s">
        <v>5398</v>
      </c>
      <c r="B67" s="560" t="s">
        <v>6314</v>
      </c>
      <c r="C67" s="559" t="str">
        <f ca="1">IFERROR(__xludf.DUMMYFUNCTION("IF(COUNTA(filter(B:B,B:B=B67))=1,""Regular"",""Conta Repetida"")"),"Regular")</f>
        <v>Regular</v>
      </c>
      <c r="D67" s="561"/>
      <c r="E67" s="561"/>
      <c r="F67" s="561"/>
      <c r="G67" s="561"/>
      <c r="H67" s="561"/>
      <c r="I67" s="561"/>
      <c r="J67" s="561"/>
      <c r="K67" s="561"/>
      <c r="L67" s="561"/>
      <c r="M67" s="561"/>
      <c r="N67" s="561"/>
      <c r="O67" s="561"/>
      <c r="P67" s="561"/>
      <c r="Q67" s="561"/>
      <c r="R67" s="561"/>
      <c r="S67" s="561"/>
      <c r="T67" s="561"/>
      <c r="U67" s="561"/>
      <c r="V67" s="561"/>
      <c r="W67" s="561"/>
    </row>
    <row r="68" spans="1:23" ht="15.75" customHeight="1">
      <c r="A68" s="559" t="s">
        <v>2930</v>
      </c>
      <c r="B68" s="560" t="s">
        <v>6315</v>
      </c>
      <c r="C68" s="559" t="str">
        <f ca="1">IFERROR(__xludf.DUMMYFUNCTION("IF(COUNTA(filter(B:B,B:B=B68))=1,""Regular"",""Conta Repetida"")"),"Regular")</f>
        <v>Regular</v>
      </c>
      <c r="D68" s="561"/>
      <c r="E68" s="561"/>
      <c r="F68" s="561"/>
      <c r="G68" s="561"/>
      <c r="H68" s="561"/>
      <c r="I68" s="561"/>
      <c r="J68" s="561"/>
      <c r="K68" s="561"/>
      <c r="L68" s="561"/>
      <c r="M68" s="561"/>
      <c r="N68" s="561"/>
      <c r="O68" s="561"/>
      <c r="P68" s="561"/>
      <c r="Q68" s="561"/>
      <c r="R68" s="561"/>
      <c r="S68" s="561"/>
      <c r="T68" s="561"/>
      <c r="U68" s="561"/>
      <c r="V68" s="561"/>
      <c r="W68" s="561"/>
    </row>
    <row r="69" spans="1:23" ht="15.75" customHeight="1">
      <c r="A69" s="559" t="s">
        <v>262</v>
      </c>
      <c r="B69" s="560" t="s">
        <v>6316</v>
      </c>
      <c r="C69" s="559" t="str">
        <f ca="1">IFERROR(__xludf.DUMMYFUNCTION("IF(COUNTA(filter(B:B,B:B=B69))=1,""Regular"",""Conta Repetida"")"),"Regular")</f>
        <v>Regular</v>
      </c>
      <c r="D69" s="561"/>
      <c r="E69" s="561"/>
      <c r="F69" s="561"/>
      <c r="G69" s="561"/>
      <c r="H69" s="561"/>
      <c r="I69" s="561"/>
      <c r="J69" s="561"/>
      <c r="K69" s="561"/>
      <c r="L69" s="561"/>
      <c r="M69" s="561"/>
      <c r="N69" s="561"/>
      <c r="O69" s="561"/>
      <c r="P69" s="561"/>
      <c r="Q69" s="561"/>
      <c r="R69" s="561"/>
      <c r="S69" s="561"/>
      <c r="T69" s="561"/>
      <c r="U69" s="561"/>
      <c r="V69" s="561"/>
      <c r="W69" s="561"/>
    </row>
    <row r="70" spans="1:23" ht="15.75" customHeight="1">
      <c r="A70" s="559" t="s">
        <v>35</v>
      </c>
      <c r="B70" s="560" t="s">
        <v>6317</v>
      </c>
      <c r="C70" s="559" t="str">
        <f ca="1">IFERROR(__xludf.DUMMYFUNCTION("IF(COUNTA(filter(B:B,B:B=B70))=1,""Regular"",""Conta Repetida"")"),"Regular")</f>
        <v>Regular</v>
      </c>
      <c r="D70" s="561"/>
      <c r="E70" s="561"/>
      <c r="F70" s="561"/>
      <c r="G70" s="561"/>
      <c r="H70" s="561"/>
      <c r="I70" s="561"/>
      <c r="J70" s="561"/>
      <c r="K70" s="561"/>
      <c r="L70" s="561"/>
      <c r="M70" s="561"/>
      <c r="N70" s="561"/>
      <c r="O70" s="561"/>
      <c r="P70" s="561"/>
      <c r="Q70" s="561"/>
      <c r="R70" s="561"/>
      <c r="S70" s="561"/>
      <c r="T70" s="561"/>
      <c r="U70" s="561"/>
      <c r="V70" s="561"/>
      <c r="W70" s="561"/>
    </row>
    <row r="71" spans="1:23" ht="15.75" customHeight="1">
      <c r="A71" s="559" t="s">
        <v>2971</v>
      </c>
      <c r="B71" s="560" t="s">
        <v>6318</v>
      </c>
      <c r="C71" s="559" t="str">
        <f ca="1">IFERROR(__xludf.DUMMYFUNCTION("IF(COUNTA(filter(B:B,B:B=B71))=1,""Regular"",""Conta Repetida"")"),"Regular")</f>
        <v>Regular</v>
      </c>
      <c r="D71" s="561"/>
      <c r="E71" s="561"/>
      <c r="F71" s="561"/>
      <c r="G71" s="561"/>
      <c r="H71" s="561"/>
      <c r="I71" s="561"/>
      <c r="J71" s="561"/>
      <c r="K71" s="561"/>
      <c r="L71" s="561"/>
      <c r="M71" s="561"/>
      <c r="N71" s="561"/>
      <c r="O71" s="561"/>
      <c r="P71" s="561"/>
      <c r="Q71" s="561"/>
      <c r="R71" s="561"/>
      <c r="S71" s="561"/>
      <c r="T71" s="561"/>
      <c r="U71" s="561"/>
      <c r="V71" s="561"/>
      <c r="W71" s="561"/>
    </row>
    <row r="72" spans="1:23" ht="15.75" customHeight="1">
      <c r="A72" s="559" t="s">
        <v>2989</v>
      </c>
      <c r="B72" s="560" t="s">
        <v>6319</v>
      </c>
      <c r="C72" s="559" t="str">
        <f ca="1">IFERROR(__xludf.DUMMYFUNCTION("IF(COUNTA(filter(B:B,B:B=B72))=1,""Regular"",""Conta Repetida"")"),"Regular")</f>
        <v>Regular</v>
      </c>
      <c r="D72" s="561"/>
      <c r="E72" s="561"/>
      <c r="F72" s="561"/>
      <c r="G72" s="561"/>
      <c r="H72" s="561"/>
      <c r="I72" s="561"/>
      <c r="J72" s="561"/>
      <c r="K72" s="561"/>
      <c r="L72" s="561"/>
      <c r="M72" s="561"/>
      <c r="N72" s="561"/>
      <c r="O72" s="561"/>
      <c r="P72" s="561"/>
      <c r="Q72" s="561"/>
      <c r="R72" s="561"/>
      <c r="S72" s="561"/>
      <c r="T72" s="561"/>
      <c r="U72" s="561"/>
      <c r="V72" s="561"/>
      <c r="W72" s="561"/>
    </row>
    <row r="73" spans="1:23" ht="15.75" customHeight="1">
      <c r="A73" s="559" t="s">
        <v>6320</v>
      </c>
      <c r="B73" s="560" t="s">
        <v>6321</v>
      </c>
      <c r="C73" s="559" t="str">
        <f ca="1">IFERROR(__xludf.DUMMYFUNCTION("IF(COUNTA(filter(B:B,B:B=B73))=1,""Regular"",""Conta Repetida"")"),"Regular")</f>
        <v>Regular</v>
      </c>
      <c r="D73" s="561"/>
      <c r="E73" s="561"/>
      <c r="F73" s="561"/>
      <c r="G73" s="561"/>
      <c r="H73" s="561"/>
      <c r="I73" s="561"/>
      <c r="J73" s="561"/>
      <c r="K73" s="561"/>
      <c r="L73" s="561"/>
      <c r="M73" s="561"/>
      <c r="N73" s="561"/>
      <c r="O73" s="561"/>
      <c r="P73" s="561"/>
      <c r="Q73" s="561"/>
      <c r="R73" s="561"/>
      <c r="S73" s="561"/>
      <c r="T73" s="561"/>
      <c r="U73" s="561"/>
      <c r="V73" s="561"/>
      <c r="W73" s="561"/>
    </row>
    <row r="74" spans="1:23" ht="15.75" customHeight="1">
      <c r="A74" s="559" t="s">
        <v>3618</v>
      </c>
      <c r="B74" s="560" t="s">
        <v>6322</v>
      </c>
      <c r="C74" s="559" t="str">
        <f ca="1">IFERROR(__xludf.DUMMYFUNCTION("IF(COUNTA(filter(B:B,B:B=B74))=1,""Regular"",""Conta Repetida"")"),"Regular")</f>
        <v>Regular</v>
      </c>
      <c r="D74" s="561"/>
      <c r="E74" s="561"/>
      <c r="F74" s="561"/>
      <c r="G74" s="561"/>
      <c r="H74" s="561"/>
      <c r="I74" s="561"/>
      <c r="J74" s="561"/>
      <c r="K74" s="561"/>
      <c r="L74" s="561"/>
      <c r="M74" s="561"/>
      <c r="N74" s="561"/>
      <c r="O74" s="561"/>
      <c r="P74" s="561"/>
      <c r="Q74" s="561"/>
      <c r="R74" s="561"/>
      <c r="S74" s="561"/>
      <c r="T74" s="561"/>
      <c r="U74" s="561"/>
      <c r="V74" s="561"/>
      <c r="W74" s="561"/>
    </row>
    <row r="75" spans="1:23" ht="15.75" customHeight="1">
      <c r="A75" s="559" t="s">
        <v>3653</v>
      </c>
      <c r="B75" s="560" t="s">
        <v>6323</v>
      </c>
      <c r="C75" s="559" t="str">
        <f ca="1">IFERROR(__xludf.DUMMYFUNCTION("IF(COUNTA(filter(B:B,B:B=B75))=1,""Regular"",""Conta Repetida"")"),"Regular")</f>
        <v>Regular</v>
      </c>
      <c r="D75" s="561"/>
      <c r="E75" s="561"/>
      <c r="F75" s="561"/>
      <c r="G75" s="561"/>
      <c r="H75" s="561"/>
      <c r="I75" s="561"/>
      <c r="J75" s="561"/>
      <c r="K75" s="561"/>
      <c r="L75" s="561"/>
      <c r="M75" s="561"/>
      <c r="N75" s="561"/>
      <c r="O75" s="561"/>
      <c r="P75" s="561"/>
      <c r="Q75" s="561"/>
      <c r="R75" s="561"/>
      <c r="S75" s="561"/>
      <c r="T75" s="561"/>
      <c r="U75" s="561"/>
      <c r="V75" s="561"/>
      <c r="W75" s="561"/>
    </row>
    <row r="76" spans="1:23" ht="15.75" customHeight="1">
      <c r="A76" s="559" t="s">
        <v>3661</v>
      </c>
      <c r="B76" s="560" t="s">
        <v>6324</v>
      </c>
      <c r="C76" s="559" t="str">
        <f ca="1">IFERROR(__xludf.DUMMYFUNCTION("IF(COUNTA(filter(B:B,B:B=B76))=1,""Regular"",""Conta Repetida"")"),"Regular")</f>
        <v>Regular</v>
      </c>
      <c r="D76" s="561"/>
      <c r="E76" s="561"/>
      <c r="F76" s="561"/>
      <c r="G76" s="561"/>
      <c r="H76" s="561"/>
      <c r="I76" s="561"/>
      <c r="J76" s="561"/>
      <c r="K76" s="561"/>
      <c r="L76" s="561"/>
      <c r="M76" s="561"/>
      <c r="N76" s="561"/>
      <c r="O76" s="561"/>
      <c r="P76" s="561"/>
      <c r="Q76" s="561"/>
      <c r="R76" s="561"/>
      <c r="S76" s="561"/>
      <c r="T76" s="561"/>
      <c r="U76" s="561"/>
      <c r="V76" s="561"/>
      <c r="W76" s="561"/>
    </row>
    <row r="77" spans="1:23" ht="15.75" customHeight="1">
      <c r="A77" s="559" t="s">
        <v>6325</v>
      </c>
      <c r="B77" s="560">
        <v>15678</v>
      </c>
      <c r="C77" s="559" t="str">
        <f ca="1">IFERROR(__xludf.DUMMYFUNCTION("IF(COUNTA(filter(B:B,B:B=B77))=1,""Regular"",""Conta Repetida"")"),"Regular")</f>
        <v>Regular</v>
      </c>
      <c r="D77" s="561"/>
      <c r="E77" s="561"/>
      <c r="F77" s="561"/>
      <c r="G77" s="561"/>
      <c r="H77" s="561"/>
      <c r="I77" s="561"/>
      <c r="J77" s="561"/>
      <c r="K77" s="561"/>
      <c r="L77" s="561"/>
      <c r="M77" s="561"/>
      <c r="N77" s="561"/>
      <c r="O77" s="561"/>
      <c r="P77" s="561"/>
      <c r="Q77" s="561"/>
      <c r="R77" s="561"/>
      <c r="S77" s="561"/>
      <c r="T77" s="561"/>
      <c r="U77" s="561"/>
      <c r="V77" s="561"/>
      <c r="W77" s="561"/>
    </row>
    <row r="78" spans="1:23" ht="15.75" customHeight="1">
      <c r="A78" s="559" t="s">
        <v>3008</v>
      </c>
      <c r="B78" s="560">
        <v>26542</v>
      </c>
      <c r="C78" s="559" t="str">
        <f ca="1">IFERROR(__xludf.DUMMYFUNCTION("IF(COUNTA(filter(B:B,B:B=B78))=1,""Regular"",""Conta Repetida"")"),"Regular")</f>
        <v>Regular</v>
      </c>
      <c r="D78" s="561"/>
      <c r="E78" s="561"/>
      <c r="F78" s="561"/>
      <c r="G78" s="561"/>
      <c r="H78" s="561"/>
      <c r="I78" s="561"/>
      <c r="J78" s="561"/>
      <c r="K78" s="561"/>
      <c r="L78" s="561"/>
      <c r="M78" s="561"/>
      <c r="N78" s="561"/>
      <c r="O78" s="561"/>
      <c r="P78" s="561"/>
      <c r="Q78" s="561"/>
      <c r="R78" s="561"/>
      <c r="S78" s="561"/>
      <c r="T78" s="561"/>
      <c r="U78" s="561"/>
      <c r="V78" s="561"/>
      <c r="W78" s="561"/>
    </row>
    <row r="79" spans="1:23" ht="15.75" customHeight="1">
      <c r="A79" s="562" t="s">
        <v>6326</v>
      </c>
      <c r="B79" s="560">
        <v>12345</v>
      </c>
      <c r="C79" s="559" t="str">
        <f ca="1">IFERROR(__xludf.DUMMYFUNCTION("IF(COUNTA(filter(B:B,B:B=B79))=1,""Regular"",""Conta Repetida"")"),"Regular")</f>
        <v>Regular</v>
      </c>
      <c r="D79" s="561"/>
      <c r="E79" s="561"/>
      <c r="F79" s="561"/>
      <c r="G79" s="561"/>
      <c r="H79" s="561"/>
      <c r="I79" s="561"/>
      <c r="J79" s="561"/>
      <c r="K79" s="561"/>
      <c r="L79" s="561"/>
      <c r="M79" s="561"/>
      <c r="N79" s="561"/>
      <c r="O79" s="561"/>
      <c r="P79" s="561"/>
      <c r="Q79" s="561"/>
      <c r="R79" s="561"/>
      <c r="S79" s="561"/>
      <c r="T79" s="561"/>
      <c r="U79" s="561"/>
      <c r="V79" s="561"/>
      <c r="W79" s="561"/>
    </row>
    <row r="80" spans="1:23" ht="15.75" customHeight="1">
      <c r="A80" s="562" t="s">
        <v>21</v>
      </c>
      <c r="B80" s="560">
        <v>12344</v>
      </c>
      <c r="C80" s="559" t="str">
        <f ca="1">IFERROR(__xludf.DUMMYFUNCTION("IF(COUNTA(filter(B:B,B:B=B80))=1,""Regular"",""Conta Repetida"")"),"Regular")</f>
        <v>Regular</v>
      </c>
      <c r="D80" s="561"/>
      <c r="E80" s="561"/>
      <c r="F80" s="561"/>
      <c r="G80" s="561"/>
      <c r="H80" s="561"/>
      <c r="I80" s="561"/>
      <c r="J80" s="561"/>
      <c r="K80" s="561"/>
      <c r="L80" s="561"/>
      <c r="M80" s="561"/>
      <c r="N80" s="561"/>
      <c r="O80" s="561"/>
      <c r="P80" s="561"/>
      <c r="Q80" s="561"/>
      <c r="R80" s="561"/>
      <c r="S80" s="561"/>
      <c r="T80" s="561"/>
      <c r="U80" s="561"/>
      <c r="V80" s="561"/>
      <c r="W80" s="561"/>
    </row>
    <row r="81" spans="1:23" ht="15.75" customHeight="1">
      <c r="A81" s="559" t="s">
        <v>2226</v>
      </c>
      <c r="B81" s="560">
        <v>12343</v>
      </c>
      <c r="C81" s="559" t="str">
        <f ca="1">IFERROR(__xludf.DUMMYFUNCTION("IF(COUNTA(filter(B:B,B:B=B81))=1,""Regular"",""Conta Repetida"")"),"Regular")</f>
        <v>Regular</v>
      </c>
      <c r="D81" s="561"/>
      <c r="E81" s="561"/>
      <c r="F81" s="561"/>
      <c r="G81" s="561"/>
      <c r="H81" s="561"/>
      <c r="I81" s="561"/>
      <c r="J81" s="561"/>
      <c r="K81" s="561"/>
      <c r="L81" s="561"/>
      <c r="M81" s="561"/>
      <c r="N81" s="561"/>
      <c r="O81" s="561"/>
      <c r="P81" s="561"/>
      <c r="Q81" s="561"/>
      <c r="R81" s="561"/>
      <c r="S81" s="561"/>
      <c r="T81" s="561"/>
      <c r="U81" s="561"/>
      <c r="V81" s="561"/>
      <c r="W81" s="561"/>
    </row>
    <row r="82" spans="1:23" ht="15.75" customHeight="1">
      <c r="A82" s="559" t="s">
        <v>942</v>
      </c>
      <c r="B82" s="560">
        <v>12342</v>
      </c>
      <c r="C82" s="559" t="str">
        <f ca="1">IFERROR(__xludf.DUMMYFUNCTION("IF(COUNTA(filter(B:B,B:B=B82))=1,""Regular"",""Conta Repetida"")"),"Regular")</f>
        <v>Regular</v>
      </c>
      <c r="D82" s="561"/>
      <c r="E82" s="561"/>
      <c r="F82" s="561"/>
      <c r="G82" s="561"/>
      <c r="H82" s="561"/>
      <c r="I82" s="561"/>
      <c r="J82" s="561"/>
      <c r="K82" s="561"/>
      <c r="L82" s="561"/>
      <c r="M82" s="561"/>
      <c r="N82" s="561"/>
      <c r="O82" s="561"/>
      <c r="P82" s="561"/>
      <c r="Q82" s="561"/>
      <c r="R82" s="561"/>
      <c r="S82" s="561"/>
      <c r="T82" s="561"/>
      <c r="U82" s="561"/>
      <c r="V82" s="561"/>
      <c r="W82" s="561"/>
    </row>
    <row r="83" spans="1:23" ht="15.75" customHeight="1">
      <c r="A83" s="535" t="s">
        <v>6327</v>
      </c>
      <c r="B83" s="560">
        <v>12341</v>
      </c>
      <c r="C83" s="559" t="str">
        <f ca="1">IFERROR(__xludf.DUMMYFUNCTION("IF(COUNTA(filter(B:B,B:B=B83))=1,""Regular"",""Conta Repetida"")"),"Regular")</f>
        <v>Regular</v>
      </c>
      <c r="D83" s="561"/>
      <c r="E83" s="561"/>
      <c r="F83" s="561"/>
      <c r="G83" s="561"/>
      <c r="H83" s="561"/>
      <c r="I83" s="561"/>
      <c r="J83" s="561"/>
      <c r="K83" s="561"/>
      <c r="L83" s="561"/>
      <c r="M83" s="561"/>
      <c r="N83" s="561"/>
      <c r="O83" s="561"/>
      <c r="P83" s="561"/>
      <c r="Q83" s="561"/>
      <c r="R83" s="561"/>
      <c r="S83" s="561"/>
      <c r="T83" s="561"/>
      <c r="U83" s="561"/>
      <c r="V83" s="561"/>
      <c r="W83" s="561"/>
    </row>
    <row r="84" spans="1:23" ht="15.75" customHeight="1">
      <c r="A84" s="535" t="s">
        <v>4736</v>
      </c>
      <c r="B84" s="560">
        <v>12340</v>
      </c>
      <c r="C84" s="559" t="str">
        <f ca="1">IFERROR(__xludf.DUMMYFUNCTION("IF(COUNTA(filter(B:B,B:B=B84))=1,""Regular"",""Conta Repetida"")"),"Regular")</f>
        <v>Regular</v>
      </c>
      <c r="D84" s="561"/>
      <c r="E84" s="561"/>
      <c r="F84" s="561"/>
      <c r="G84" s="561"/>
      <c r="H84" s="561"/>
      <c r="I84" s="561"/>
      <c r="J84" s="561"/>
      <c r="K84" s="561"/>
      <c r="L84" s="561"/>
      <c r="M84" s="561"/>
      <c r="N84" s="561"/>
      <c r="O84" s="561"/>
      <c r="P84" s="561"/>
      <c r="Q84" s="561"/>
      <c r="R84" s="561"/>
      <c r="S84" s="561"/>
      <c r="T84" s="561"/>
      <c r="U84" s="561"/>
      <c r="V84" s="561"/>
      <c r="W84" s="561"/>
    </row>
    <row r="85" spans="1:23" ht="15.75" customHeight="1">
      <c r="A85" s="535" t="s">
        <v>4097</v>
      </c>
      <c r="B85" s="560">
        <v>12339</v>
      </c>
      <c r="C85" s="559" t="str">
        <f ca="1">IFERROR(__xludf.DUMMYFUNCTION("IF(COUNTA(filter(B:B,B:B=B85))=1,""Regular"",""Conta Repetida"")"),"Regular")</f>
        <v>Regular</v>
      </c>
      <c r="D85" s="561"/>
      <c r="E85" s="561"/>
      <c r="F85" s="561"/>
      <c r="G85" s="561"/>
      <c r="H85" s="561"/>
      <c r="I85" s="561"/>
      <c r="J85" s="561"/>
      <c r="K85" s="561"/>
      <c r="L85" s="561"/>
      <c r="M85" s="561"/>
      <c r="N85" s="561"/>
      <c r="O85" s="561"/>
      <c r="P85" s="561"/>
      <c r="Q85" s="561"/>
      <c r="R85" s="561"/>
      <c r="S85" s="561"/>
      <c r="T85" s="561"/>
      <c r="U85" s="561"/>
      <c r="V85" s="561"/>
      <c r="W85" s="561"/>
    </row>
    <row r="86" spans="1:23" ht="15.75" customHeight="1">
      <c r="A86" s="535" t="s">
        <v>4936</v>
      </c>
      <c r="B86" s="560">
        <v>12338</v>
      </c>
      <c r="C86" s="559" t="str">
        <f ca="1">IFERROR(__xludf.DUMMYFUNCTION("IF(COUNTA(filter(B:B,B:B=B86))=1,""Regular"",""Conta Repetida"")"),"Regular")</f>
        <v>Regular</v>
      </c>
      <c r="D86" s="561"/>
      <c r="E86" s="561"/>
      <c r="F86" s="561"/>
      <c r="G86" s="561"/>
      <c r="H86" s="561"/>
      <c r="I86" s="561"/>
      <c r="J86" s="561"/>
      <c r="K86" s="561"/>
      <c r="L86" s="561"/>
      <c r="M86" s="561"/>
      <c r="N86" s="561"/>
      <c r="O86" s="561"/>
      <c r="P86" s="561"/>
      <c r="Q86" s="561"/>
      <c r="R86" s="561"/>
      <c r="S86" s="561"/>
      <c r="T86" s="561"/>
      <c r="U86" s="561"/>
      <c r="V86" s="561"/>
      <c r="W86" s="561"/>
    </row>
    <row r="87" spans="1:23" ht="15.75" customHeight="1">
      <c r="A87" s="535" t="s">
        <v>4142</v>
      </c>
      <c r="B87" s="560">
        <v>12337</v>
      </c>
      <c r="C87" s="559" t="str">
        <f ca="1">IFERROR(__xludf.DUMMYFUNCTION("IF(COUNTA(filter(B:B,B:B=B87))=1,""Regular"",""Conta Repetida"")"),"Regular")</f>
        <v>Regular</v>
      </c>
      <c r="D87" s="561"/>
      <c r="E87" s="561"/>
      <c r="F87" s="561"/>
      <c r="G87" s="561"/>
      <c r="H87" s="561"/>
      <c r="I87" s="561"/>
      <c r="J87" s="561"/>
      <c r="K87" s="561"/>
      <c r="L87" s="561"/>
      <c r="M87" s="561"/>
      <c r="N87" s="561"/>
      <c r="O87" s="561"/>
      <c r="P87" s="561"/>
      <c r="Q87" s="561"/>
      <c r="R87" s="561"/>
      <c r="S87" s="561"/>
      <c r="T87" s="561"/>
      <c r="U87" s="561"/>
      <c r="V87" s="561"/>
      <c r="W87" s="561"/>
    </row>
    <row r="88" spans="1:23" ht="15.75" customHeight="1">
      <c r="A88" s="535" t="s">
        <v>3801</v>
      </c>
      <c r="B88" s="560">
        <v>12336</v>
      </c>
      <c r="C88" s="559" t="str">
        <f ca="1">IFERROR(__xludf.DUMMYFUNCTION("IF(COUNTA(filter(B:B,B:B=B88))=1,""Regular"",""Conta Repetida"")"),"Regular")</f>
        <v>Regular</v>
      </c>
      <c r="D88" s="561"/>
      <c r="E88" s="561"/>
      <c r="F88" s="561"/>
      <c r="G88" s="561"/>
      <c r="H88" s="561"/>
      <c r="I88" s="561"/>
      <c r="J88" s="561"/>
      <c r="K88" s="561"/>
      <c r="L88" s="561"/>
      <c r="M88" s="561"/>
      <c r="N88" s="561"/>
      <c r="O88" s="561"/>
      <c r="P88" s="561"/>
      <c r="Q88" s="561"/>
      <c r="R88" s="561"/>
      <c r="S88" s="561"/>
      <c r="T88" s="561"/>
      <c r="U88" s="561"/>
      <c r="V88" s="561"/>
      <c r="W88" s="561"/>
    </row>
    <row r="89" spans="1:23" ht="15.75" customHeight="1">
      <c r="A89" s="535" t="s">
        <v>4218</v>
      </c>
      <c r="B89" s="560">
        <v>12335</v>
      </c>
      <c r="C89" s="559" t="str">
        <f ca="1">IFERROR(__xludf.DUMMYFUNCTION("IF(COUNTA(filter(B:B,B:B=B89))=1,""Regular"",""Conta Repetida"")"),"Regular")</f>
        <v>Regular</v>
      </c>
      <c r="D89" s="561"/>
      <c r="E89" s="561"/>
      <c r="F89" s="561"/>
      <c r="G89" s="561"/>
      <c r="H89" s="561"/>
      <c r="I89" s="561"/>
      <c r="J89" s="561"/>
      <c r="K89" s="561"/>
      <c r="L89" s="561"/>
      <c r="M89" s="561"/>
      <c r="N89" s="561"/>
      <c r="O89" s="561"/>
      <c r="P89" s="561"/>
      <c r="Q89" s="561"/>
      <c r="R89" s="561"/>
      <c r="S89" s="561"/>
      <c r="T89" s="561"/>
      <c r="U89" s="561"/>
      <c r="V89" s="561"/>
      <c r="W89" s="561"/>
    </row>
    <row r="90" spans="1:23" ht="15.75" customHeight="1">
      <c r="A90" s="535" t="s">
        <v>6328</v>
      </c>
      <c r="B90" s="560">
        <v>12334</v>
      </c>
      <c r="C90" s="559" t="str">
        <f ca="1">IFERROR(__xludf.DUMMYFUNCTION("IF(COUNTA(filter(B:B,B:B=B90))=1,""Regular"",""Conta Repetida"")"),"Regular")</f>
        <v>Regular</v>
      </c>
      <c r="D90" s="561"/>
      <c r="E90" s="561"/>
      <c r="F90" s="561"/>
      <c r="G90" s="561"/>
      <c r="H90" s="561"/>
      <c r="I90" s="561"/>
      <c r="J90" s="561"/>
      <c r="K90" s="561"/>
      <c r="L90" s="561"/>
      <c r="M90" s="561"/>
      <c r="N90" s="561"/>
      <c r="O90" s="561"/>
      <c r="P90" s="561"/>
      <c r="Q90" s="561"/>
      <c r="R90" s="561"/>
      <c r="S90" s="561"/>
      <c r="T90" s="561"/>
      <c r="U90" s="561"/>
      <c r="V90" s="561"/>
      <c r="W90" s="561"/>
    </row>
    <row r="91" spans="1:23" ht="15.75" customHeight="1">
      <c r="A91" s="562" t="s">
        <v>6244</v>
      </c>
      <c r="B91" s="560">
        <v>12333</v>
      </c>
      <c r="C91" s="559" t="str">
        <f ca="1">IFERROR(__xludf.DUMMYFUNCTION("IF(COUNTA(filter(B:B,B:B=B91))=1,""Regular"",""Conta Repetida"")"),"Regular")</f>
        <v>Regular</v>
      </c>
      <c r="D91" s="561"/>
      <c r="E91" s="561"/>
      <c r="F91" s="561"/>
      <c r="G91" s="561"/>
      <c r="H91" s="561"/>
      <c r="I91" s="561"/>
      <c r="J91" s="561"/>
      <c r="K91" s="561"/>
      <c r="L91" s="561"/>
      <c r="M91" s="561"/>
      <c r="N91" s="561"/>
      <c r="O91" s="561"/>
      <c r="P91" s="561"/>
      <c r="Q91" s="561"/>
      <c r="R91" s="561"/>
      <c r="S91" s="561"/>
      <c r="T91" s="561"/>
      <c r="U91" s="561"/>
      <c r="V91" s="561"/>
      <c r="W91" s="561"/>
    </row>
    <row r="92" spans="1:23" ht="15.75" customHeight="1">
      <c r="A92" s="562" t="s">
        <v>199</v>
      </c>
      <c r="B92" s="560">
        <v>12332</v>
      </c>
      <c r="C92" s="559" t="str">
        <f ca="1">IFERROR(__xludf.DUMMYFUNCTION("IF(COUNTA(filter(B:B,B:B=B92))=1,""Regular"",""Conta Repetida"")"),"Regular")</f>
        <v>Regular</v>
      </c>
      <c r="D92" s="561"/>
      <c r="E92" s="561"/>
      <c r="F92" s="561"/>
      <c r="G92" s="561"/>
      <c r="H92" s="561"/>
      <c r="I92" s="561"/>
      <c r="J92" s="561"/>
      <c r="K92" s="561"/>
      <c r="L92" s="561"/>
      <c r="M92" s="561"/>
      <c r="N92" s="561"/>
      <c r="O92" s="561"/>
      <c r="P92" s="561"/>
      <c r="Q92" s="561"/>
      <c r="R92" s="561"/>
      <c r="S92" s="561"/>
      <c r="T92" s="561"/>
      <c r="U92" s="561"/>
      <c r="V92" s="561"/>
      <c r="W92" s="561"/>
    </row>
    <row r="93" spans="1:23" ht="15.75" customHeight="1">
      <c r="A93" s="562" t="s">
        <v>50</v>
      </c>
      <c r="B93" s="560">
        <v>12331</v>
      </c>
      <c r="C93" s="559" t="str">
        <f ca="1">IFERROR(__xludf.DUMMYFUNCTION("IF(COUNTA(filter(B:B,B:B=B93))=1,""Regular"",""Conta Repetida"")"),"Regular")</f>
        <v>Regular</v>
      </c>
      <c r="D93" s="561"/>
      <c r="E93" s="561"/>
      <c r="F93" s="561"/>
      <c r="G93" s="561"/>
      <c r="H93" s="561"/>
      <c r="I93" s="561"/>
      <c r="J93" s="561"/>
      <c r="K93" s="561"/>
      <c r="L93" s="561"/>
      <c r="M93" s="561"/>
      <c r="N93" s="561"/>
      <c r="O93" s="561"/>
      <c r="P93" s="561"/>
      <c r="Q93" s="561"/>
      <c r="R93" s="561"/>
      <c r="S93" s="561"/>
      <c r="T93" s="561"/>
      <c r="U93" s="561"/>
      <c r="V93" s="561"/>
      <c r="W93" s="561"/>
    </row>
    <row r="94" spans="1:23" ht="15.75" customHeight="1">
      <c r="A94" s="562" t="s">
        <v>4267</v>
      </c>
      <c r="B94" s="560">
        <v>12330</v>
      </c>
      <c r="C94" s="559" t="str">
        <f ca="1">IFERROR(__xludf.DUMMYFUNCTION("IF(COUNTA(filter(B:B,B:B=B94))=1,""Regular"",""Conta Repetida"")"),"Regular")</f>
        <v>Regular</v>
      </c>
      <c r="D94" s="561"/>
      <c r="E94" s="561"/>
      <c r="F94" s="561"/>
      <c r="G94" s="561"/>
      <c r="H94" s="561"/>
      <c r="I94" s="561"/>
      <c r="J94" s="561"/>
      <c r="K94" s="561"/>
      <c r="L94" s="561"/>
      <c r="M94" s="561"/>
      <c r="N94" s="561"/>
      <c r="O94" s="561"/>
      <c r="P94" s="561"/>
      <c r="Q94" s="561"/>
      <c r="R94" s="561"/>
      <c r="S94" s="561"/>
      <c r="T94" s="561"/>
      <c r="U94" s="561"/>
      <c r="V94" s="561"/>
      <c r="W94" s="561"/>
    </row>
    <row r="95" spans="1:23" ht="15.75" customHeight="1">
      <c r="A95" s="562" t="s">
        <v>2803</v>
      </c>
      <c r="B95" s="560">
        <v>12347</v>
      </c>
      <c r="C95" s="559" t="str">
        <f ca="1">IFERROR(__xludf.DUMMYFUNCTION("IF(COUNTA(filter(B:B,B:B=B95))=1,""Regular"",""Conta Repetida"")"),"Regular")</f>
        <v>Regular</v>
      </c>
      <c r="D95" s="561"/>
      <c r="E95" s="561"/>
      <c r="F95" s="561"/>
      <c r="G95" s="561"/>
      <c r="H95" s="561"/>
      <c r="I95" s="561"/>
      <c r="J95" s="561"/>
      <c r="K95" s="561"/>
      <c r="L95" s="561"/>
      <c r="M95" s="561"/>
      <c r="N95" s="561"/>
      <c r="O95" s="561"/>
      <c r="P95" s="561"/>
      <c r="Q95" s="561"/>
      <c r="R95" s="561"/>
      <c r="S95" s="561"/>
      <c r="T95" s="561"/>
      <c r="U95" s="561"/>
      <c r="V95" s="561"/>
      <c r="W95" s="561"/>
    </row>
    <row r="96" spans="1:23" ht="15.75" customHeight="1">
      <c r="A96" s="562" t="s">
        <v>6329</v>
      </c>
      <c r="B96" s="560">
        <v>12348</v>
      </c>
      <c r="C96" s="559" t="str">
        <f ca="1">IFERROR(__xludf.DUMMYFUNCTION("IF(COUNTA(filter(B:B,B:B=B96))=1,""Regular"",""Conta Repetida"")"),"Regular")</f>
        <v>Regular</v>
      </c>
      <c r="D96" s="561"/>
      <c r="E96" s="561"/>
      <c r="F96" s="561"/>
      <c r="G96" s="561"/>
      <c r="H96" s="561"/>
      <c r="I96" s="561"/>
      <c r="J96" s="561"/>
      <c r="K96" s="561"/>
      <c r="L96" s="561"/>
      <c r="M96" s="561"/>
      <c r="N96" s="561"/>
      <c r="O96" s="561"/>
      <c r="P96" s="561"/>
      <c r="Q96" s="561"/>
      <c r="R96" s="561"/>
      <c r="S96" s="561"/>
      <c r="T96" s="561"/>
      <c r="U96" s="561"/>
      <c r="V96" s="561"/>
      <c r="W96" s="561"/>
    </row>
    <row r="97" spans="1:23" ht="15.75" customHeight="1">
      <c r="A97" s="562" t="s">
        <v>6330</v>
      </c>
      <c r="B97" s="560">
        <v>12349</v>
      </c>
      <c r="C97" s="559" t="str">
        <f ca="1">IFERROR(__xludf.DUMMYFUNCTION("IF(COUNTA(filter(B:B,B:B=B97))=1,""Regular"",""Conta Repetida"")"),"Regular")</f>
        <v>Regular</v>
      </c>
      <c r="D97" s="561"/>
      <c r="E97" s="561"/>
      <c r="F97" s="561"/>
      <c r="G97" s="561"/>
      <c r="H97" s="561"/>
      <c r="I97" s="561"/>
      <c r="J97" s="561"/>
      <c r="K97" s="561"/>
      <c r="L97" s="561"/>
      <c r="M97" s="561"/>
      <c r="N97" s="561"/>
      <c r="O97" s="561"/>
      <c r="P97" s="561"/>
      <c r="Q97" s="561"/>
      <c r="R97" s="561"/>
      <c r="S97" s="561"/>
      <c r="T97" s="561"/>
      <c r="U97" s="561"/>
      <c r="V97" s="561"/>
      <c r="W97" s="561"/>
    </row>
    <row r="98" spans="1:23" ht="15.75" customHeight="1">
      <c r="A98" s="562" t="s">
        <v>2036</v>
      </c>
      <c r="B98" s="560">
        <v>12350</v>
      </c>
      <c r="C98" s="559" t="str">
        <f ca="1">IFERROR(__xludf.DUMMYFUNCTION("IF(COUNTA(filter(B:B,B:B=B98))=1,""Regular"",""Conta Repetida"")"),"Regular")</f>
        <v>Regular</v>
      </c>
      <c r="D98" s="561"/>
      <c r="E98" s="561"/>
      <c r="F98" s="561"/>
      <c r="G98" s="561"/>
      <c r="H98" s="561"/>
      <c r="I98" s="561"/>
      <c r="J98" s="561"/>
      <c r="K98" s="561"/>
      <c r="L98" s="561"/>
      <c r="M98" s="561"/>
      <c r="N98" s="561"/>
      <c r="O98" s="561"/>
      <c r="P98" s="561"/>
      <c r="Q98" s="561"/>
      <c r="R98" s="561"/>
      <c r="S98" s="561"/>
      <c r="T98" s="561"/>
      <c r="U98" s="561"/>
      <c r="V98" s="561"/>
      <c r="W98" s="561"/>
    </row>
    <row r="99" spans="1:23" ht="15.75" customHeight="1">
      <c r="A99" s="562" t="s">
        <v>3983</v>
      </c>
      <c r="B99" s="560">
        <v>12351</v>
      </c>
      <c r="C99" s="559" t="str">
        <f ca="1">IFERROR(__xludf.DUMMYFUNCTION("IF(COUNTA(filter(B:B,B:B=B99))=1,""Regular"",""Conta Repetida"")"),"Regular")</f>
        <v>Regular</v>
      </c>
      <c r="D99" s="561"/>
      <c r="E99" s="561"/>
      <c r="F99" s="561"/>
      <c r="G99" s="561"/>
      <c r="H99" s="561"/>
      <c r="I99" s="561"/>
      <c r="J99" s="561"/>
      <c r="K99" s="561"/>
      <c r="L99" s="561"/>
      <c r="M99" s="561"/>
      <c r="N99" s="561"/>
      <c r="O99" s="561"/>
      <c r="P99" s="561"/>
      <c r="Q99" s="561"/>
      <c r="R99" s="561"/>
      <c r="S99" s="561"/>
      <c r="T99" s="561"/>
      <c r="U99" s="561"/>
      <c r="V99" s="561"/>
      <c r="W99" s="561"/>
    </row>
    <row r="100" spans="1:23" ht="15.75" customHeight="1">
      <c r="A100" s="562" t="s">
        <v>4152</v>
      </c>
      <c r="B100" s="560">
        <v>12352</v>
      </c>
      <c r="C100" s="559" t="str">
        <f ca="1">IFERROR(__xludf.DUMMYFUNCTION("IF(COUNTA(filter(B:B,B:B=B100))=1,""Regular"",""Conta Repetida"")"),"Regular")</f>
        <v>Regular</v>
      </c>
      <c r="D100" s="561"/>
      <c r="E100" s="561"/>
      <c r="F100" s="561"/>
      <c r="G100" s="561"/>
      <c r="H100" s="561"/>
      <c r="I100" s="561"/>
      <c r="J100" s="561"/>
      <c r="K100" s="561"/>
      <c r="L100" s="561"/>
      <c r="M100" s="561"/>
      <c r="N100" s="561"/>
      <c r="O100" s="561"/>
      <c r="P100" s="561"/>
      <c r="Q100" s="561"/>
      <c r="R100" s="561"/>
      <c r="S100" s="561"/>
      <c r="T100" s="561"/>
      <c r="U100" s="561"/>
      <c r="V100" s="561"/>
      <c r="W100" s="561"/>
    </row>
    <row r="101" spans="1:23" ht="15.75" customHeight="1">
      <c r="A101" s="562" t="s">
        <v>6331</v>
      </c>
      <c r="B101" s="560">
        <v>12353</v>
      </c>
      <c r="C101" s="559" t="str">
        <f ca="1">IFERROR(__xludf.DUMMYFUNCTION("IF(COUNTA(filter(B:B,B:B=B101))=1,""Regular"",""Conta Repetida"")"),"Regular")</f>
        <v>Regular</v>
      </c>
      <c r="D101" s="561"/>
      <c r="E101" s="561"/>
      <c r="F101" s="561"/>
      <c r="G101" s="561"/>
      <c r="H101" s="561"/>
      <c r="I101" s="561"/>
      <c r="J101" s="561"/>
      <c r="K101" s="561"/>
      <c r="L101" s="561"/>
      <c r="M101" s="561"/>
      <c r="N101" s="561"/>
      <c r="O101" s="561"/>
      <c r="P101" s="561"/>
      <c r="Q101" s="561"/>
      <c r="R101" s="561"/>
      <c r="S101" s="561"/>
      <c r="T101" s="561"/>
      <c r="U101" s="561"/>
      <c r="V101" s="561"/>
      <c r="W101" s="561"/>
    </row>
    <row r="102" spans="1:23" ht="15.75" customHeight="1">
      <c r="A102" s="560" t="s">
        <v>6332</v>
      </c>
      <c r="B102" s="560">
        <v>12354</v>
      </c>
      <c r="C102" s="559" t="str">
        <f ca="1">IFERROR(__xludf.DUMMYFUNCTION("IF(COUNTA(filter(B:B,B:B=B102))=1,""Regular"",""Conta Repetida"")"),"Regular")</f>
        <v>Regular</v>
      </c>
      <c r="D102" s="561"/>
      <c r="E102" s="561"/>
      <c r="F102" s="561"/>
      <c r="G102" s="561"/>
      <c r="H102" s="561"/>
      <c r="I102" s="561"/>
      <c r="J102" s="561"/>
      <c r="K102" s="561"/>
      <c r="L102" s="561"/>
      <c r="M102" s="561"/>
      <c r="N102" s="561"/>
      <c r="O102" s="561"/>
      <c r="P102" s="561"/>
      <c r="Q102" s="561"/>
      <c r="R102" s="561"/>
      <c r="S102" s="561"/>
      <c r="T102" s="561"/>
      <c r="U102" s="561"/>
      <c r="V102" s="561"/>
      <c r="W102" s="561"/>
    </row>
    <row r="103" spans="1:23" ht="15.75" customHeight="1">
      <c r="A103" s="562" t="s">
        <v>3337</v>
      </c>
      <c r="B103" s="560">
        <v>12355</v>
      </c>
      <c r="C103" s="559" t="str">
        <f ca="1">IFERROR(__xludf.DUMMYFUNCTION("IF(COUNTA(filter(B:B,B:B=B103))=1,""Regular"",""Conta Repetida"")"),"Regular")</f>
        <v>Regular</v>
      </c>
      <c r="D103" s="561"/>
      <c r="E103" s="561"/>
      <c r="F103" s="561"/>
      <c r="G103" s="561"/>
      <c r="H103" s="561"/>
      <c r="I103" s="561"/>
      <c r="J103" s="561"/>
      <c r="K103" s="561"/>
      <c r="L103" s="561"/>
      <c r="M103" s="561"/>
      <c r="N103" s="561"/>
      <c r="O103" s="561"/>
      <c r="P103" s="561"/>
      <c r="Q103" s="561"/>
      <c r="R103" s="561"/>
      <c r="S103" s="561"/>
      <c r="T103" s="561"/>
      <c r="U103" s="561"/>
      <c r="V103" s="561"/>
      <c r="W103" s="561"/>
    </row>
    <row r="104" spans="1:23" ht="15.75" customHeight="1">
      <c r="A104" s="563" t="s">
        <v>3876</v>
      </c>
      <c r="B104" s="564">
        <v>12356</v>
      </c>
      <c r="C104" s="561" t="s">
        <v>6333</v>
      </c>
      <c r="D104" s="561"/>
      <c r="E104" s="561"/>
      <c r="F104" s="561"/>
      <c r="G104" s="561"/>
      <c r="H104" s="561"/>
      <c r="I104" s="561"/>
      <c r="J104" s="561"/>
      <c r="K104" s="561"/>
      <c r="L104" s="561"/>
      <c r="M104" s="561"/>
      <c r="N104" s="561"/>
      <c r="O104" s="561"/>
      <c r="P104" s="561"/>
      <c r="Q104" s="561"/>
      <c r="R104" s="561"/>
      <c r="S104" s="561"/>
      <c r="T104" s="561"/>
      <c r="U104" s="561"/>
      <c r="V104" s="561"/>
      <c r="W104" s="561"/>
    </row>
    <row r="105" spans="1:23" ht="15.75" customHeight="1">
      <c r="A105" s="565" t="s">
        <v>4585</v>
      </c>
      <c r="B105" s="564">
        <v>12357</v>
      </c>
      <c r="C105" s="561" t="s">
        <v>6333</v>
      </c>
      <c r="D105" s="561"/>
      <c r="E105" s="561"/>
      <c r="F105" s="561"/>
      <c r="G105" s="561"/>
      <c r="H105" s="561"/>
      <c r="I105" s="561"/>
      <c r="J105" s="561"/>
      <c r="K105" s="561"/>
      <c r="L105" s="561"/>
      <c r="M105" s="561"/>
      <c r="N105" s="561"/>
      <c r="O105" s="561"/>
      <c r="P105" s="561"/>
      <c r="Q105" s="561"/>
      <c r="R105" s="561"/>
      <c r="S105" s="561"/>
      <c r="T105" s="561"/>
      <c r="U105" s="561"/>
      <c r="V105" s="561"/>
      <c r="W105" s="561"/>
    </row>
    <row r="106" spans="1:23" ht="15.75" customHeight="1">
      <c r="A106" s="565" t="s">
        <v>4640</v>
      </c>
      <c r="B106" s="564">
        <v>12358</v>
      </c>
      <c r="C106" s="561" t="s">
        <v>6333</v>
      </c>
      <c r="D106" s="561"/>
      <c r="E106" s="561"/>
      <c r="F106" s="561"/>
      <c r="G106" s="561"/>
      <c r="H106" s="561"/>
      <c r="I106" s="561"/>
      <c r="J106" s="561"/>
      <c r="K106" s="561"/>
      <c r="L106" s="561"/>
      <c r="M106" s="561"/>
      <c r="N106" s="561"/>
      <c r="O106" s="561"/>
      <c r="P106" s="561"/>
      <c r="Q106" s="561"/>
      <c r="R106" s="561"/>
      <c r="S106" s="561"/>
      <c r="T106" s="561"/>
      <c r="U106" s="561"/>
      <c r="V106" s="561"/>
      <c r="W106" s="561"/>
    </row>
    <row r="107" spans="1:23" ht="15.75" customHeight="1">
      <c r="A107" s="563" t="s">
        <v>372</v>
      </c>
      <c r="B107" s="564">
        <v>12359</v>
      </c>
      <c r="C107" s="561" t="s">
        <v>6333</v>
      </c>
      <c r="D107" s="561"/>
      <c r="E107" s="561"/>
      <c r="F107" s="561"/>
      <c r="G107" s="561"/>
      <c r="H107" s="561"/>
      <c r="I107" s="561"/>
      <c r="J107" s="561"/>
      <c r="K107" s="561"/>
      <c r="L107" s="561"/>
      <c r="M107" s="561"/>
      <c r="N107" s="561"/>
      <c r="O107" s="561"/>
      <c r="P107" s="561"/>
      <c r="Q107" s="561"/>
      <c r="R107" s="561"/>
      <c r="S107" s="561"/>
      <c r="T107" s="561"/>
      <c r="U107" s="561"/>
      <c r="V107" s="561"/>
      <c r="W107" s="561"/>
    </row>
    <row r="108" spans="1:23" ht="15.75" customHeight="1">
      <c r="A108" s="563" t="s">
        <v>4918</v>
      </c>
      <c r="B108" s="564">
        <v>12360</v>
      </c>
      <c r="C108" s="561" t="s">
        <v>6333</v>
      </c>
      <c r="D108" s="561"/>
      <c r="E108" s="561"/>
      <c r="F108" s="561"/>
      <c r="G108" s="561"/>
      <c r="H108" s="561"/>
      <c r="I108" s="561"/>
      <c r="J108" s="561"/>
      <c r="K108" s="561"/>
      <c r="L108" s="561"/>
      <c r="M108" s="561"/>
      <c r="N108" s="561"/>
      <c r="O108" s="561"/>
      <c r="P108" s="561"/>
      <c r="Q108" s="561"/>
      <c r="R108" s="561"/>
      <c r="S108" s="561"/>
      <c r="T108" s="561"/>
      <c r="U108" s="561"/>
      <c r="V108" s="561"/>
      <c r="W108" s="561"/>
    </row>
    <row r="109" spans="1:23" ht="15.75" customHeight="1">
      <c r="A109" s="565" t="s">
        <v>6334</v>
      </c>
      <c r="B109" s="564">
        <v>12361</v>
      </c>
      <c r="C109" s="561" t="s">
        <v>6333</v>
      </c>
      <c r="D109" s="561"/>
      <c r="E109" s="561"/>
      <c r="F109" s="561"/>
      <c r="G109" s="561"/>
      <c r="H109" s="561"/>
      <c r="I109" s="561"/>
      <c r="J109" s="561"/>
      <c r="K109" s="561"/>
      <c r="L109" s="561"/>
      <c r="M109" s="561"/>
      <c r="N109" s="561"/>
      <c r="O109" s="561"/>
      <c r="P109" s="561"/>
      <c r="Q109" s="561"/>
      <c r="R109" s="561"/>
      <c r="S109" s="561"/>
      <c r="T109" s="561"/>
      <c r="U109" s="561"/>
      <c r="V109" s="561"/>
      <c r="W109" s="561"/>
    </row>
    <row r="110" spans="1:23" ht="15.75" customHeight="1">
      <c r="A110" s="566" t="s">
        <v>616</v>
      </c>
      <c r="B110" s="564">
        <v>12362</v>
      </c>
      <c r="C110" s="561" t="s">
        <v>6333</v>
      </c>
      <c r="D110" s="561"/>
      <c r="E110" s="561"/>
      <c r="F110" s="561"/>
      <c r="G110" s="561"/>
      <c r="H110" s="561"/>
      <c r="I110" s="561"/>
      <c r="J110" s="561"/>
      <c r="K110" s="561"/>
      <c r="L110" s="561"/>
      <c r="M110" s="561"/>
      <c r="N110" s="561"/>
      <c r="O110" s="561"/>
      <c r="P110" s="561"/>
      <c r="Q110" s="561"/>
      <c r="R110" s="561"/>
      <c r="S110" s="561"/>
      <c r="T110" s="561"/>
      <c r="U110" s="561"/>
      <c r="V110" s="561"/>
      <c r="W110" s="561"/>
    </row>
    <row r="111" spans="1:23" ht="15.75" customHeight="1">
      <c r="A111" s="567" t="s">
        <v>3471</v>
      </c>
      <c r="B111" s="564">
        <v>12363</v>
      </c>
      <c r="C111" s="561" t="s">
        <v>6333</v>
      </c>
      <c r="D111" s="561"/>
      <c r="E111" s="561"/>
      <c r="F111" s="561"/>
      <c r="G111" s="561"/>
      <c r="H111" s="561"/>
      <c r="I111" s="561"/>
      <c r="J111" s="561"/>
      <c r="K111" s="561"/>
      <c r="L111" s="561"/>
      <c r="M111" s="561"/>
      <c r="N111" s="561"/>
      <c r="O111" s="561"/>
      <c r="P111" s="561"/>
      <c r="Q111" s="561"/>
      <c r="R111" s="561"/>
      <c r="S111" s="561"/>
      <c r="T111" s="561"/>
      <c r="U111" s="561"/>
      <c r="V111" s="561"/>
      <c r="W111" s="561"/>
    </row>
    <row r="112" spans="1:23" ht="15.75" customHeight="1">
      <c r="A112" s="561"/>
      <c r="B112" s="564"/>
      <c r="C112" s="561"/>
      <c r="D112" s="561"/>
      <c r="E112" s="561"/>
      <c r="F112" s="561"/>
      <c r="G112" s="561"/>
      <c r="H112" s="561"/>
      <c r="I112" s="561"/>
      <c r="J112" s="561"/>
      <c r="K112" s="561"/>
      <c r="L112" s="561"/>
      <c r="M112" s="561"/>
      <c r="N112" s="561"/>
      <c r="O112" s="561"/>
      <c r="P112" s="561"/>
      <c r="Q112" s="561"/>
      <c r="R112" s="561"/>
      <c r="S112" s="561"/>
      <c r="T112" s="561"/>
      <c r="U112" s="561"/>
      <c r="V112" s="561"/>
      <c r="W112" s="561"/>
    </row>
    <row r="113" spans="1:23" ht="15.75" customHeight="1">
      <c r="A113" s="561"/>
      <c r="B113" s="564"/>
      <c r="C113" s="561"/>
      <c r="D113" s="561"/>
      <c r="E113" s="561"/>
      <c r="F113" s="561"/>
      <c r="G113" s="561"/>
      <c r="H113" s="561"/>
      <c r="I113" s="561"/>
      <c r="J113" s="561"/>
      <c r="K113" s="561"/>
      <c r="L113" s="561"/>
      <c r="M113" s="561"/>
      <c r="N113" s="561"/>
      <c r="O113" s="561"/>
      <c r="P113" s="561"/>
      <c r="Q113" s="561"/>
      <c r="R113" s="561"/>
      <c r="S113" s="561"/>
      <c r="T113" s="561"/>
      <c r="U113" s="561"/>
      <c r="V113" s="561"/>
      <c r="W113" s="561"/>
    </row>
    <row r="114" spans="1:23" ht="15.75" customHeight="1">
      <c r="A114" s="561"/>
      <c r="B114" s="564"/>
      <c r="C114" s="561"/>
      <c r="D114" s="561"/>
      <c r="E114" s="561"/>
      <c r="F114" s="561"/>
      <c r="G114" s="561"/>
      <c r="H114" s="561"/>
      <c r="I114" s="561"/>
      <c r="J114" s="561"/>
      <c r="K114" s="561"/>
      <c r="L114" s="561"/>
      <c r="M114" s="561"/>
      <c r="N114" s="561"/>
      <c r="O114" s="561"/>
      <c r="P114" s="561"/>
      <c r="Q114" s="561"/>
      <c r="R114" s="561"/>
      <c r="S114" s="561"/>
      <c r="T114" s="561"/>
      <c r="U114" s="561"/>
      <c r="V114" s="561"/>
      <c r="W114" s="561"/>
    </row>
    <row r="115" spans="1:23" ht="15.75" customHeight="1">
      <c r="A115" s="561"/>
      <c r="B115" s="564"/>
      <c r="C115" s="561"/>
      <c r="D115" s="561"/>
      <c r="E115" s="561"/>
      <c r="F115" s="561"/>
      <c r="G115" s="561"/>
      <c r="H115" s="561"/>
      <c r="I115" s="561"/>
      <c r="J115" s="561"/>
      <c r="K115" s="561"/>
      <c r="L115" s="561"/>
      <c r="M115" s="561"/>
      <c r="N115" s="561"/>
      <c r="O115" s="561"/>
      <c r="P115" s="561"/>
      <c r="Q115" s="561"/>
      <c r="R115" s="561"/>
      <c r="S115" s="561"/>
      <c r="T115" s="561"/>
      <c r="U115" s="561"/>
      <c r="V115" s="561"/>
      <c r="W115" s="561"/>
    </row>
    <row r="116" spans="1:23" ht="15.75" customHeight="1">
      <c r="A116" s="561"/>
      <c r="B116" s="564"/>
      <c r="C116" s="561"/>
      <c r="D116" s="561"/>
      <c r="E116" s="561"/>
      <c r="F116" s="561"/>
      <c r="G116" s="561"/>
      <c r="H116" s="561"/>
      <c r="I116" s="561"/>
      <c r="J116" s="561"/>
      <c r="K116" s="561"/>
      <c r="L116" s="561"/>
      <c r="M116" s="561"/>
      <c r="N116" s="561"/>
      <c r="O116" s="561"/>
      <c r="P116" s="561"/>
      <c r="Q116" s="561"/>
      <c r="R116" s="561"/>
      <c r="S116" s="561"/>
      <c r="T116" s="561"/>
      <c r="U116" s="561"/>
      <c r="V116" s="561"/>
      <c r="W116" s="561"/>
    </row>
    <row r="117" spans="1:23" ht="15.75" customHeight="1">
      <c r="A117" s="561"/>
      <c r="B117" s="564"/>
      <c r="C117" s="561"/>
      <c r="D117" s="561"/>
      <c r="E117" s="561"/>
      <c r="F117" s="561"/>
      <c r="G117" s="561"/>
      <c r="H117" s="561"/>
      <c r="I117" s="561"/>
      <c r="J117" s="561"/>
      <c r="K117" s="561"/>
      <c r="L117" s="561"/>
      <c r="M117" s="561"/>
      <c r="N117" s="561"/>
      <c r="O117" s="561"/>
      <c r="P117" s="561"/>
      <c r="Q117" s="561"/>
      <c r="R117" s="561"/>
      <c r="S117" s="561"/>
      <c r="T117" s="561"/>
      <c r="U117" s="561"/>
      <c r="V117" s="561"/>
      <c r="W117" s="561"/>
    </row>
    <row r="118" spans="1:23" ht="15.75" customHeight="1">
      <c r="A118" s="561"/>
      <c r="B118" s="564"/>
      <c r="C118" s="561"/>
      <c r="D118" s="561"/>
      <c r="E118" s="561"/>
      <c r="F118" s="561"/>
      <c r="G118" s="561"/>
      <c r="H118" s="561"/>
      <c r="I118" s="561"/>
      <c r="J118" s="561"/>
      <c r="K118" s="561"/>
      <c r="L118" s="561"/>
      <c r="M118" s="561"/>
      <c r="N118" s="561"/>
      <c r="O118" s="561"/>
      <c r="P118" s="561"/>
      <c r="Q118" s="561"/>
      <c r="R118" s="561"/>
      <c r="S118" s="561"/>
      <c r="T118" s="561"/>
      <c r="U118" s="561"/>
      <c r="V118" s="561"/>
      <c r="W118" s="561"/>
    </row>
    <row r="119" spans="1:23" ht="15.75" customHeight="1">
      <c r="A119" s="561"/>
      <c r="B119" s="564"/>
      <c r="C119" s="561"/>
      <c r="D119" s="561"/>
      <c r="E119" s="561"/>
      <c r="F119" s="561"/>
      <c r="G119" s="561"/>
      <c r="H119" s="561"/>
      <c r="I119" s="561"/>
      <c r="J119" s="561"/>
      <c r="K119" s="561"/>
      <c r="L119" s="561"/>
      <c r="M119" s="561"/>
      <c r="N119" s="561"/>
      <c r="O119" s="561"/>
      <c r="P119" s="561"/>
      <c r="Q119" s="561"/>
      <c r="R119" s="561"/>
      <c r="S119" s="561"/>
      <c r="T119" s="561"/>
      <c r="U119" s="561"/>
      <c r="V119" s="561"/>
      <c r="W119" s="561"/>
    </row>
    <row r="120" spans="1:23" ht="15.75" customHeight="1">
      <c r="A120" s="561"/>
      <c r="B120" s="564"/>
      <c r="C120" s="561"/>
      <c r="D120" s="561"/>
      <c r="E120" s="561"/>
      <c r="F120" s="561"/>
      <c r="G120" s="561"/>
      <c r="H120" s="561"/>
      <c r="I120" s="561"/>
      <c r="J120" s="561"/>
      <c r="K120" s="561"/>
      <c r="L120" s="561"/>
      <c r="M120" s="561"/>
      <c r="N120" s="561"/>
      <c r="O120" s="561"/>
      <c r="P120" s="561"/>
      <c r="Q120" s="561"/>
      <c r="R120" s="561"/>
      <c r="S120" s="561"/>
      <c r="T120" s="561"/>
      <c r="U120" s="561"/>
      <c r="V120" s="561"/>
      <c r="W120" s="561"/>
    </row>
    <row r="121" spans="1:23" ht="15.75" customHeight="1">
      <c r="A121" s="561"/>
      <c r="B121" s="564"/>
      <c r="C121" s="561"/>
      <c r="D121" s="561"/>
      <c r="E121" s="561"/>
      <c r="F121" s="561"/>
      <c r="G121" s="561"/>
      <c r="H121" s="561"/>
      <c r="I121" s="561"/>
      <c r="J121" s="561"/>
      <c r="K121" s="561"/>
      <c r="L121" s="561"/>
      <c r="M121" s="561"/>
      <c r="N121" s="561"/>
      <c r="O121" s="561"/>
      <c r="P121" s="561"/>
      <c r="Q121" s="561"/>
      <c r="R121" s="561"/>
      <c r="S121" s="561"/>
      <c r="T121" s="561"/>
      <c r="U121" s="561"/>
      <c r="V121" s="561"/>
      <c r="W121" s="561"/>
    </row>
    <row r="122" spans="1:23" ht="15.75" customHeight="1">
      <c r="A122" s="561"/>
      <c r="B122" s="564"/>
      <c r="C122" s="561"/>
      <c r="D122" s="561"/>
      <c r="E122" s="561"/>
      <c r="F122" s="561"/>
      <c r="G122" s="561"/>
      <c r="H122" s="561"/>
      <c r="I122" s="561"/>
      <c r="J122" s="561"/>
      <c r="K122" s="561"/>
      <c r="L122" s="561"/>
      <c r="M122" s="561"/>
      <c r="N122" s="561"/>
      <c r="O122" s="561"/>
      <c r="P122" s="561"/>
      <c r="Q122" s="561"/>
      <c r="R122" s="561"/>
      <c r="S122" s="561"/>
      <c r="T122" s="561"/>
      <c r="U122" s="561"/>
      <c r="V122" s="561"/>
      <c r="W122" s="561"/>
    </row>
    <row r="123" spans="1:23" ht="15.75" customHeight="1">
      <c r="A123" s="561"/>
      <c r="B123" s="564"/>
      <c r="C123" s="561"/>
      <c r="D123" s="561"/>
      <c r="E123" s="561"/>
      <c r="F123" s="561"/>
      <c r="G123" s="561"/>
      <c r="H123" s="561"/>
      <c r="I123" s="561"/>
      <c r="J123" s="561"/>
      <c r="K123" s="561"/>
      <c r="L123" s="561"/>
      <c r="M123" s="561"/>
      <c r="N123" s="561"/>
      <c r="O123" s="561"/>
      <c r="P123" s="561"/>
      <c r="Q123" s="561"/>
      <c r="R123" s="561"/>
      <c r="S123" s="561"/>
      <c r="T123" s="561"/>
      <c r="U123" s="561"/>
      <c r="V123" s="561"/>
      <c r="W123" s="561"/>
    </row>
    <row r="124" spans="1:23" ht="15.75" customHeight="1">
      <c r="A124" s="561"/>
      <c r="B124" s="564"/>
      <c r="C124" s="561"/>
      <c r="D124" s="561"/>
      <c r="E124" s="561"/>
      <c r="F124" s="561"/>
      <c r="G124" s="561"/>
      <c r="H124" s="561"/>
      <c r="I124" s="561"/>
      <c r="J124" s="561"/>
      <c r="K124" s="561"/>
      <c r="L124" s="561"/>
      <c r="M124" s="561"/>
      <c r="N124" s="561"/>
      <c r="O124" s="561"/>
      <c r="P124" s="561"/>
      <c r="Q124" s="561"/>
      <c r="R124" s="561"/>
      <c r="S124" s="561"/>
      <c r="T124" s="561"/>
      <c r="U124" s="561"/>
      <c r="V124" s="561"/>
      <c r="W124" s="561"/>
    </row>
    <row r="125" spans="1:23" ht="15.75" customHeight="1">
      <c r="A125" s="561"/>
      <c r="B125" s="564"/>
      <c r="C125" s="561"/>
      <c r="D125" s="561"/>
      <c r="E125" s="561"/>
      <c r="F125" s="561"/>
      <c r="G125" s="561"/>
      <c r="H125" s="561"/>
      <c r="I125" s="561"/>
      <c r="J125" s="561"/>
      <c r="K125" s="561"/>
      <c r="L125" s="561"/>
      <c r="M125" s="561"/>
      <c r="N125" s="561"/>
      <c r="O125" s="561"/>
      <c r="P125" s="561"/>
      <c r="Q125" s="561"/>
      <c r="R125" s="561"/>
      <c r="S125" s="561"/>
      <c r="T125" s="561"/>
      <c r="U125" s="561"/>
      <c r="V125" s="561"/>
      <c r="W125" s="561"/>
    </row>
    <row r="126" spans="1:23" ht="15.75" customHeight="1">
      <c r="A126" s="561"/>
      <c r="B126" s="564"/>
      <c r="C126" s="561"/>
      <c r="D126" s="561"/>
      <c r="E126" s="561"/>
      <c r="F126" s="561"/>
      <c r="G126" s="561"/>
      <c r="H126" s="561"/>
      <c r="I126" s="561"/>
      <c r="J126" s="561"/>
      <c r="K126" s="561"/>
      <c r="L126" s="561"/>
      <c r="M126" s="561"/>
      <c r="N126" s="561"/>
      <c r="O126" s="561"/>
      <c r="P126" s="561"/>
      <c r="Q126" s="561"/>
      <c r="R126" s="561"/>
      <c r="S126" s="561"/>
      <c r="T126" s="561"/>
      <c r="U126" s="561"/>
      <c r="V126" s="561"/>
      <c r="W126" s="561"/>
    </row>
    <row r="127" spans="1:23" ht="15.75" customHeight="1">
      <c r="A127" s="561"/>
      <c r="B127" s="564"/>
      <c r="C127" s="561"/>
      <c r="D127" s="561"/>
      <c r="E127" s="561"/>
      <c r="F127" s="561"/>
      <c r="G127" s="561"/>
      <c r="H127" s="561"/>
      <c r="I127" s="561"/>
      <c r="J127" s="561"/>
      <c r="K127" s="561"/>
      <c r="L127" s="561"/>
      <c r="M127" s="561"/>
      <c r="N127" s="561"/>
      <c r="O127" s="561"/>
      <c r="P127" s="561"/>
      <c r="Q127" s="561"/>
      <c r="R127" s="561"/>
      <c r="S127" s="561"/>
      <c r="T127" s="561"/>
      <c r="U127" s="561"/>
      <c r="V127" s="561"/>
      <c r="W127" s="561"/>
    </row>
    <row r="128" spans="1:23" ht="15.75" customHeight="1">
      <c r="A128" s="561"/>
      <c r="B128" s="564"/>
      <c r="C128" s="561"/>
      <c r="D128" s="561"/>
      <c r="E128" s="561"/>
      <c r="F128" s="561"/>
      <c r="G128" s="561"/>
      <c r="H128" s="561"/>
      <c r="I128" s="561"/>
      <c r="J128" s="561"/>
      <c r="K128" s="561"/>
      <c r="L128" s="561"/>
      <c r="M128" s="561"/>
      <c r="N128" s="561"/>
      <c r="O128" s="561"/>
      <c r="P128" s="561"/>
      <c r="Q128" s="561"/>
      <c r="R128" s="561"/>
      <c r="S128" s="561"/>
      <c r="T128" s="561"/>
      <c r="U128" s="561"/>
      <c r="V128" s="561"/>
      <c r="W128" s="561"/>
    </row>
    <row r="129" spans="1:23" ht="15.75" customHeight="1">
      <c r="A129" s="561"/>
      <c r="B129" s="564"/>
      <c r="C129" s="561"/>
      <c r="D129" s="561"/>
      <c r="E129" s="561"/>
      <c r="F129" s="561"/>
      <c r="G129" s="561"/>
      <c r="H129" s="561"/>
      <c r="I129" s="561"/>
      <c r="J129" s="561"/>
      <c r="K129" s="561"/>
      <c r="L129" s="561"/>
      <c r="M129" s="561"/>
      <c r="N129" s="561"/>
      <c r="O129" s="561"/>
      <c r="P129" s="561"/>
      <c r="Q129" s="561"/>
      <c r="R129" s="561"/>
      <c r="S129" s="561"/>
      <c r="T129" s="561"/>
      <c r="U129" s="561"/>
      <c r="V129" s="561"/>
      <c r="W129" s="561"/>
    </row>
    <row r="130" spans="1:23" ht="15.75" customHeight="1">
      <c r="A130" s="561"/>
      <c r="B130" s="564"/>
      <c r="C130" s="561"/>
      <c r="D130" s="561"/>
      <c r="E130" s="561"/>
      <c r="F130" s="561"/>
      <c r="G130" s="561"/>
      <c r="H130" s="561"/>
      <c r="I130" s="561"/>
      <c r="J130" s="561"/>
      <c r="K130" s="561"/>
      <c r="L130" s="561"/>
      <c r="M130" s="561"/>
      <c r="N130" s="561"/>
      <c r="O130" s="561"/>
      <c r="P130" s="561"/>
      <c r="Q130" s="561"/>
      <c r="R130" s="561"/>
      <c r="S130" s="561"/>
      <c r="T130" s="561"/>
      <c r="U130" s="561"/>
      <c r="V130" s="561"/>
      <c r="W130" s="561"/>
    </row>
    <row r="131" spans="1:23" ht="15.75" customHeight="1">
      <c r="A131" s="561"/>
      <c r="B131" s="564"/>
      <c r="C131" s="561"/>
      <c r="D131" s="561"/>
      <c r="E131" s="561"/>
      <c r="F131" s="561"/>
      <c r="G131" s="561"/>
      <c r="H131" s="561"/>
      <c r="I131" s="561"/>
      <c r="J131" s="561"/>
      <c r="K131" s="561"/>
      <c r="L131" s="561"/>
      <c r="M131" s="561"/>
      <c r="N131" s="561"/>
      <c r="O131" s="561"/>
      <c r="P131" s="561"/>
      <c r="Q131" s="561"/>
      <c r="R131" s="561"/>
      <c r="S131" s="561"/>
      <c r="T131" s="561"/>
      <c r="U131" s="561"/>
      <c r="V131" s="561"/>
      <c r="W131" s="561"/>
    </row>
    <row r="132" spans="1:23" ht="15.75" customHeight="1">
      <c r="A132" s="561"/>
      <c r="B132" s="564"/>
      <c r="C132" s="561"/>
      <c r="D132" s="561"/>
      <c r="E132" s="561"/>
      <c r="F132" s="561"/>
      <c r="G132" s="561"/>
      <c r="H132" s="561"/>
      <c r="I132" s="561"/>
      <c r="J132" s="561"/>
      <c r="K132" s="561"/>
      <c r="L132" s="561"/>
      <c r="M132" s="561"/>
      <c r="N132" s="561"/>
      <c r="O132" s="561"/>
      <c r="P132" s="561"/>
      <c r="Q132" s="561"/>
      <c r="R132" s="561"/>
      <c r="S132" s="561"/>
      <c r="T132" s="561"/>
      <c r="U132" s="561"/>
      <c r="V132" s="561"/>
      <c r="W132" s="561"/>
    </row>
    <row r="133" spans="1:23" ht="15.75" customHeight="1">
      <c r="A133" s="561"/>
      <c r="B133" s="564"/>
      <c r="C133" s="561"/>
      <c r="D133" s="561"/>
      <c r="E133" s="561"/>
      <c r="F133" s="561"/>
      <c r="G133" s="561"/>
      <c r="H133" s="561"/>
      <c r="I133" s="561"/>
      <c r="J133" s="561"/>
      <c r="K133" s="561"/>
      <c r="L133" s="561"/>
      <c r="M133" s="561"/>
      <c r="N133" s="561"/>
      <c r="O133" s="561"/>
      <c r="P133" s="561"/>
      <c r="Q133" s="561"/>
      <c r="R133" s="561"/>
      <c r="S133" s="561"/>
      <c r="T133" s="561"/>
      <c r="U133" s="561"/>
      <c r="V133" s="561"/>
      <c r="W133" s="561"/>
    </row>
    <row r="134" spans="1:23" ht="15.75" customHeight="1">
      <c r="A134" s="561"/>
      <c r="B134" s="564"/>
      <c r="C134" s="561"/>
      <c r="D134" s="561"/>
      <c r="E134" s="561"/>
      <c r="F134" s="561"/>
      <c r="G134" s="561"/>
      <c r="H134" s="561"/>
      <c r="I134" s="561"/>
      <c r="J134" s="561"/>
      <c r="K134" s="561"/>
      <c r="L134" s="561"/>
      <c r="M134" s="561"/>
      <c r="N134" s="561"/>
      <c r="O134" s="561"/>
      <c r="P134" s="561"/>
      <c r="Q134" s="561"/>
      <c r="R134" s="561"/>
      <c r="S134" s="561"/>
      <c r="T134" s="561"/>
      <c r="U134" s="561"/>
      <c r="V134" s="561"/>
      <c r="W134" s="561"/>
    </row>
    <row r="135" spans="1:23" ht="15.75" customHeight="1">
      <c r="A135" s="561"/>
      <c r="B135" s="564"/>
      <c r="C135" s="561"/>
      <c r="D135" s="561"/>
      <c r="E135" s="561"/>
      <c r="F135" s="561"/>
      <c r="G135" s="561"/>
      <c r="H135" s="561"/>
      <c r="I135" s="561"/>
      <c r="J135" s="561"/>
      <c r="K135" s="561"/>
      <c r="L135" s="561"/>
      <c r="M135" s="561"/>
      <c r="N135" s="561"/>
      <c r="O135" s="561"/>
      <c r="P135" s="561"/>
      <c r="Q135" s="561"/>
      <c r="R135" s="561"/>
      <c r="S135" s="561"/>
      <c r="T135" s="561"/>
      <c r="U135" s="561"/>
      <c r="V135" s="561"/>
      <c r="W135" s="561"/>
    </row>
    <row r="136" spans="1:23" ht="15.75" customHeight="1">
      <c r="A136" s="561"/>
      <c r="B136" s="564"/>
      <c r="C136" s="561"/>
      <c r="D136" s="561"/>
      <c r="E136" s="561"/>
      <c r="F136" s="561"/>
      <c r="G136" s="561"/>
      <c r="H136" s="561"/>
      <c r="I136" s="561"/>
      <c r="J136" s="561"/>
      <c r="K136" s="561"/>
      <c r="L136" s="561"/>
      <c r="M136" s="561"/>
      <c r="N136" s="561"/>
      <c r="O136" s="561"/>
      <c r="P136" s="561"/>
      <c r="Q136" s="561"/>
      <c r="R136" s="561"/>
      <c r="S136" s="561"/>
      <c r="T136" s="561"/>
      <c r="U136" s="561"/>
      <c r="V136" s="561"/>
      <c r="W136" s="561"/>
    </row>
    <row r="137" spans="1:23" ht="15.75" customHeight="1">
      <c r="A137" s="561"/>
      <c r="B137" s="564"/>
      <c r="C137" s="561"/>
      <c r="D137" s="561"/>
      <c r="E137" s="561"/>
      <c r="F137" s="561"/>
      <c r="G137" s="561"/>
      <c r="H137" s="561"/>
      <c r="I137" s="561"/>
      <c r="J137" s="561"/>
      <c r="K137" s="561"/>
      <c r="L137" s="561"/>
      <c r="M137" s="561"/>
      <c r="N137" s="561"/>
      <c r="O137" s="561"/>
      <c r="P137" s="561"/>
      <c r="Q137" s="561"/>
      <c r="R137" s="561"/>
      <c r="S137" s="561"/>
      <c r="T137" s="561"/>
      <c r="U137" s="561"/>
      <c r="V137" s="561"/>
      <c r="W137" s="561"/>
    </row>
    <row r="138" spans="1:23" ht="15.75" customHeight="1">
      <c r="A138" s="561"/>
      <c r="B138" s="564"/>
      <c r="C138" s="561"/>
      <c r="D138" s="561"/>
      <c r="E138" s="561"/>
      <c r="F138" s="561"/>
      <c r="G138" s="561"/>
      <c r="H138" s="561"/>
      <c r="I138" s="561"/>
      <c r="J138" s="561"/>
      <c r="K138" s="561"/>
      <c r="L138" s="561"/>
      <c r="M138" s="561"/>
      <c r="N138" s="561"/>
      <c r="O138" s="561"/>
      <c r="P138" s="561"/>
      <c r="Q138" s="561"/>
      <c r="R138" s="561"/>
      <c r="S138" s="561"/>
      <c r="T138" s="561"/>
      <c r="U138" s="561"/>
      <c r="V138" s="561"/>
      <c r="W138" s="561"/>
    </row>
    <row r="139" spans="1:23" ht="15.75" customHeight="1">
      <c r="A139" s="561"/>
      <c r="B139" s="564"/>
      <c r="C139" s="561"/>
      <c r="D139" s="561"/>
      <c r="E139" s="561"/>
      <c r="F139" s="561"/>
      <c r="G139" s="561"/>
      <c r="H139" s="561"/>
      <c r="I139" s="561"/>
      <c r="J139" s="561"/>
      <c r="K139" s="561"/>
      <c r="L139" s="561"/>
      <c r="M139" s="561"/>
      <c r="N139" s="561"/>
      <c r="O139" s="561"/>
      <c r="P139" s="561"/>
      <c r="Q139" s="561"/>
      <c r="R139" s="561"/>
      <c r="S139" s="561"/>
      <c r="T139" s="561"/>
      <c r="U139" s="561"/>
      <c r="V139" s="561"/>
      <c r="W139" s="561"/>
    </row>
    <row r="140" spans="1:23" ht="15.75" customHeight="1">
      <c r="A140" s="561"/>
      <c r="B140" s="564"/>
      <c r="C140" s="561"/>
      <c r="D140" s="561"/>
      <c r="E140" s="561"/>
      <c r="F140" s="561"/>
      <c r="G140" s="561"/>
      <c r="H140" s="561"/>
      <c r="I140" s="561"/>
      <c r="J140" s="561"/>
      <c r="K140" s="561"/>
      <c r="L140" s="561"/>
      <c r="M140" s="561"/>
      <c r="N140" s="561"/>
      <c r="O140" s="561"/>
      <c r="P140" s="561"/>
      <c r="Q140" s="561"/>
      <c r="R140" s="561"/>
      <c r="S140" s="561"/>
      <c r="T140" s="561"/>
      <c r="U140" s="561"/>
      <c r="V140" s="561"/>
      <c r="W140" s="561"/>
    </row>
    <row r="141" spans="1:23" ht="15.75" customHeight="1">
      <c r="A141" s="561"/>
      <c r="B141" s="564"/>
      <c r="C141" s="561"/>
      <c r="D141" s="561"/>
      <c r="E141" s="561"/>
      <c r="F141" s="561"/>
      <c r="G141" s="561"/>
      <c r="H141" s="561"/>
      <c r="I141" s="561"/>
      <c r="J141" s="561"/>
      <c r="K141" s="561"/>
      <c r="L141" s="561"/>
      <c r="M141" s="561"/>
      <c r="N141" s="561"/>
      <c r="O141" s="561"/>
      <c r="P141" s="561"/>
      <c r="Q141" s="561"/>
      <c r="R141" s="561"/>
      <c r="S141" s="561"/>
      <c r="T141" s="561"/>
      <c r="U141" s="561"/>
      <c r="V141" s="561"/>
      <c r="W141" s="561"/>
    </row>
    <row r="142" spans="1:23" ht="15.75" customHeight="1">
      <c r="A142" s="561"/>
      <c r="B142" s="564"/>
      <c r="C142" s="561"/>
      <c r="D142" s="561"/>
      <c r="E142" s="561"/>
      <c r="F142" s="561"/>
      <c r="G142" s="561"/>
      <c r="H142" s="561"/>
      <c r="I142" s="561"/>
      <c r="J142" s="561"/>
      <c r="K142" s="561"/>
      <c r="L142" s="561"/>
      <c r="M142" s="561"/>
      <c r="N142" s="561"/>
      <c r="O142" s="561"/>
      <c r="P142" s="561"/>
      <c r="Q142" s="561"/>
      <c r="R142" s="561"/>
      <c r="S142" s="561"/>
      <c r="T142" s="561"/>
      <c r="U142" s="561"/>
      <c r="V142" s="561"/>
      <c r="W142" s="561"/>
    </row>
    <row r="143" spans="1:23" ht="15.75" customHeight="1">
      <c r="A143" s="561"/>
      <c r="B143" s="564"/>
      <c r="C143" s="561"/>
      <c r="D143" s="561"/>
      <c r="E143" s="561"/>
      <c r="F143" s="561"/>
      <c r="G143" s="561"/>
      <c r="H143" s="561"/>
      <c r="I143" s="561"/>
      <c r="J143" s="561"/>
      <c r="K143" s="561"/>
      <c r="L143" s="561"/>
      <c r="M143" s="561"/>
      <c r="N143" s="561"/>
      <c r="O143" s="561"/>
      <c r="P143" s="561"/>
      <c r="Q143" s="561"/>
      <c r="R143" s="561"/>
      <c r="S143" s="561"/>
      <c r="T143" s="561"/>
      <c r="U143" s="561"/>
      <c r="V143" s="561"/>
      <c r="W143" s="561"/>
    </row>
    <row r="144" spans="1:23" ht="15.75" customHeight="1">
      <c r="A144" s="561"/>
      <c r="B144" s="564"/>
      <c r="C144" s="561"/>
      <c r="D144" s="561"/>
      <c r="E144" s="561"/>
      <c r="F144" s="561"/>
      <c r="G144" s="561"/>
      <c r="H144" s="561"/>
      <c r="I144" s="561"/>
      <c r="J144" s="561"/>
      <c r="K144" s="561"/>
      <c r="L144" s="561"/>
      <c r="M144" s="561"/>
      <c r="N144" s="561"/>
      <c r="O144" s="561"/>
      <c r="P144" s="561"/>
      <c r="Q144" s="561"/>
      <c r="R144" s="561"/>
      <c r="S144" s="561"/>
      <c r="T144" s="561"/>
      <c r="U144" s="561"/>
      <c r="V144" s="561"/>
      <c r="W144" s="561"/>
    </row>
    <row r="145" spans="1:23" ht="15.75" customHeight="1">
      <c r="A145" s="561"/>
      <c r="B145" s="564"/>
      <c r="C145" s="561"/>
      <c r="D145" s="561"/>
      <c r="E145" s="561"/>
      <c r="F145" s="561"/>
      <c r="G145" s="561"/>
      <c r="H145" s="561"/>
      <c r="I145" s="561"/>
      <c r="J145" s="561"/>
      <c r="K145" s="561"/>
      <c r="L145" s="561"/>
      <c r="M145" s="561"/>
      <c r="N145" s="561"/>
      <c r="O145" s="561"/>
      <c r="P145" s="561"/>
      <c r="Q145" s="561"/>
      <c r="R145" s="561"/>
      <c r="S145" s="561"/>
      <c r="T145" s="561"/>
      <c r="U145" s="561"/>
      <c r="V145" s="561"/>
      <c r="W145" s="561"/>
    </row>
    <row r="146" spans="1:23" ht="15.75" customHeight="1">
      <c r="A146" s="561"/>
      <c r="B146" s="564"/>
      <c r="C146" s="561"/>
      <c r="D146" s="561"/>
      <c r="E146" s="561"/>
      <c r="F146" s="561"/>
      <c r="G146" s="561"/>
      <c r="H146" s="561"/>
      <c r="I146" s="561"/>
      <c r="J146" s="561"/>
      <c r="K146" s="561"/>
      <c r="L146" s="561"/>
      <c r="M146" s="561"/>
      <c r="N146" s="561"/>
      <c r="O146" s="561"/>
      <c r="P146" s="561"/>
      <c r="Q146" s="561"/>
      <c r="R146" s="561"/>
      <c r="S146" s="561"/>
      <c r="T146" s="561"/>
      <c r="U146" s="561"/>
      <c r="V146" s="561"/>
      <c r="W146" s="561"/>
    </row>
    <row r="147" spans="1:23" ht="15.75" customHeight="1">
      <c r="A147" s="561"/>
      <c r="B147" s="564"/>
      <c r="C147" s="561"/>
      <c r="D147" s="561"/>
      <c r="E147" s="561"/>
      <c r="F147" s="561"/>
      <c r="G147" s="561"/>
      <c r="H147" s="561"/>
      <c r="I147" s="561"/>
      <c r="J147" s="561"/>
      <c r="K147" s="561"/>
      <c r="L147" s="561"/>
      <c r="M147" s="561"/>
      <c r="N147" s="561"/>
      <c r="O147" s="561"/>
      <c r="P147" s="561"/>
      <c r="Q147" s="561"/>
      <c r="R147" s="561"/>
      <c r="S147" s="561"/>
      <c r="T147" s="561"/>
      <c r="U147" s="561"/>
      <c r="V147" s="561"/>
      <c r="W147" s="561"/>
    </row>
    <row r="148" spans="1:23" ht="15.75" customHeight="1">
      <c r="A148" s="561"/>
      <c r="B148" s="564"/>
      <c r="C148" s="561"/>
      <c r="D148" s="561"/>
      <c r="E148" s="561"/>
      <c r="F148" s="561"/>
      <c r="G148" s="561"/>
      <c r="H148" s="561"/>
      <c r="I148" s="561"/>
      <c r="J148" s="561"/>
      <c r="K148" s="561"/>
      <c r="L148" s="561"/>
      <c r="M148" s="561"/>
      <c r="N148" s="561"/>
      <c r="O148" s="561"/>
      <c r="P148" s="561"/>
      <c r="Q148" s="561"/>
      <c r="R148" s="561"/>
      <c r="S148" s="561"/>
      <c r="T148" s="561"/>
      <c r="U148" s="561"/>
      <c r="V148" s="561"/>
      <c r="W148" s="561"/>
    </row>
    <row r="149" spans="1:23" ht="15.75" customHeight="1">
      <c r="A149" s="561"/>
      <c r="B149" s="564"/>
      <c r="C149" s="561"/>
      <c r="D149" s="561"/>
      <c r="E149" s="561"/>
      <c r="F149" s="561"/>
      <c r="G149" s="561"/>
      <c r="H149" s="561"/>
      <c r="I149" s="561"/>
      <c r="J149" s="561"/>
      <c r="K149" s="561"/>
      <c r="L149" s="561"/>
      <c r="M149" s="561"/>
      <c r="N149" s="561"/>
      <c r="O149" s="561"/>
      <c r="P149" s="561"/>
      <c r="Q149" s="561"/>
      <c r="R149" s="561"/>
      <c r="S149" s="561"/>
      <c r="T149" s="561"/>
      <c r="U149" s="561"/>
      <c r="V149" s="561"/>
      <c r="W149" s="561"/>
    </row>
    <row r="150" spans="1:23" ht="15.75" customHeight="1">
      <c r="A150" s="561"/>
      <c r="B150" s="564"/>
      <c r="C150" s="561"/>
      <c r="D150" s="561"/>
      <c r="E150" s="561"/>
      <c r="F150" s="561"/>
      <c r="G150" s="561"/>
      <c r="H150" s="561"/>
      <c r="I150" s="561"/>
      <c r="J150" s="561"/>
      <c r="K150" s="561"/>
      <c r="L150" s="561"/>
      <c r="M150" s="561"/>
      <c r="N150" s="561"/>
      <c r="O150" s="561"/>
      <c r="P150" s="561"/>
      <c r="Q150" s="561"/>
      <c r="R150" s="561"/>
      <c r="S150" s="561"/>
      <c r="T150" s="561"/>
      <c r="U150" s="561"/>
      <c r="V150" s="561"/>
      <c r="W150" s="561"/>
    </row>
    <row r="151" spans="1:23" ht="15.75" customHeight="1">
      <c r="A151" s="561"/>
      <c r="B151" s="564"/>
      <c r="C151" s="561"/>
      <c r="D151" s="561"/>
      <c r="E151" s="561"/>
      <c r="F151" s="561"/>
      <c r="G151" s="561"/>
      <c r="H151" s="561"/>
      <c r="I151" s="561"/>
      <c r="J151" s="561"/>
      <c r="K151" s="561"/>
      <c r="L151" s="561"/>
      <c r="M151" s="561"/>
      <c r="N151" s="561"/>
      <c r="O151" s="561"/>
      <c r="P151" s="561"/>
      <c r="Q151" s="561"/>
      <c r="R151" s="561"/>
      <c r="S151" s="561"/>
      <c r="T151" s="561"/>
      <c r="U151" s="561"/>
      <c r="V151" s="561"/>
      <c r="W151" s="561"/>
    </row>
    <row r="152" spans="1:23" ht="15.75" customHeight="1">
      <c r="A152" s="561"/>
      <c r="B152" s="564"/>
      <c r="C152" s="561"/>
      <c r="D152" s="561"/>
      <c r="E152" s="561"/>
      <c r="F152" s="561"/>
      <c r="G152" s="561"/>
      <c r="H152" s="561"/>
      <c r="I152" s="561"/>
      <c r="J152" s="561"/>
      <c r="K152" s="561"/>
      <c r="L152" s="561"/>
      <c r="M152" s="561"/>
      <c r="N152" s="561"/>
      <c r="O152" s="561"/>
      <c r="P152" s="561"/>
      <c r="Q152" s="561"/>
      <c r="R152" s="561"/>
      <c r="S152" s="561"/>
      <c r="T152" s="561"/>
      <c r="U152" s="561"/>
      <c r="V152" s="561"/>
      <c r="W152" s="561"/>
    </row>
    <row r="153" spans="1:23" ht="15.75" customHeight="1">
      <c r="A153" s="561"/>
      <c r="B153" s="564"/>
      <c r="C153" s="561"/>
      <c r="D153" s="561"/>
      <c r="E153" s="561"/>
      <c r="F153" s="561"/>
      <c r="G153" s="561"/>
      <c r="H153" s="561"/>
      <c r="I153" s="561"/>
      <c r="J153" s="561"/>
      <c r="K153" s="561"/>
      <c r="L153" s="561"/>
      <c r="M153" s="561"/>
      <c r="N153" s="561"/>
      <c r="O153" s="561"/>
      <c r="P153" s="561"/>
      <c r="Q153" s="561"/>
      <c r="R153" s="561"/>
      <c r="S153" s="561"/>
      <c r="T153" s="561"/>
      <c r="U153" s="561"/>
      <c r="V153" s="561"/>
      <c r="W153" s="561"/>
    </row>
    <row r="154" spans="1:23" ht="15.75" customHeight="1">
      <c r="A154" s="561"/>
      <c r="B154" s="564"/>
      <c r="C154" s="561"/>
      <c r="D154" s="561"/>
      <c r="E154" s="561"/>
      <c r="F154" s="561"/>
      <c r="G154" s="561"/>
      <c r="H154" s="561"/>
      <c r="I154" s="561"/>
      <c r="J154" s="561"/>
      <c r="K154" s="561"/>
      <c r="L154" s="561"/>
      <c r="M154" s="561"/>
      <c r="N154" s="561"/>
      <c r="O154" s="561"/>
      <c r="P154" s="561"/>
      <c r="Q154" s="561"/>
      <c r="R154" s="561"/>
      <c r="S154" s="561"/>
      <c r="T154" s="561"/>
      <c r="U154" s="561"/>
      <c r="V154" s="561"/>
      <c r="W154" s="561"/>
    </row>
    <row r="155" spans="1:23" ht="15.75" customHeight="1">
      <c r="A155" s="561"/>
      <c r="B155" s="564"/>
      <c r="C155" s="561"/>
      <c r="D155" s="561"/>
      <c r="E155" s="561"/>
      <c r="F155" s="561"/>
      <c r="G155" s="561"/>
      <c r="H155" s="561"/>
      <c r="I155" s="561"/>
      <c r="J155" s="561"/>
      <c r="K155" s="561"/>
      <c r="L155" s="561"/>
      <c r="M155" s="561"/>
      <c r="N155" s="561"/>
      <c r="O155" s="561"/>
      <c r="P155" s="561"/>
      <c r="Q155" s="561"/>
      <c r="R155" s="561"/>
      <c r="S155" s="561"/>
      <c r="T155" s="561"/>
      <c r="U155" s="561"/>
      <c r="V155" s="561"/>
      <c r="W155" s="561"/>
    </row>
    <row r="156" spans="1:23" ht="15.75" customHeight="1">
      <c r="A156" s="561"/>
      <c r="B156" s="564"/>
      <c r="C156" s="561"/>
      <c r="D156" s="561"/>
      <c r="E156" s="561"/>
      <c r="F156" s="561"/>
      <c r="G156" s="561"/>
      <c r="H156" s="561"/>
      <c r="I156" s="561"/>
      <c r="J156" s="561"/>
      <c r="K156" s="561"/>
      <c r="L156" s="561"/>
      <c r="M156" s="561"/>
      <c r="N156" s="561"/>
      <c r="O156" s="561"/>
      <c r="P156" s="561"/>
      <c r="Q156" s="561"/>
      <c r="R156" s="561"/>
      <c r="S156" s="561"/>
      <c r="T156" s="561"/>
      <c r="U156" s="561"/>
      <c r="V156" s="561"/>
      <c r="W156" s="561"/>
    </row>
    <row r="157" spans="1:23" ht="15.75" customHeight="1">
      <c r="A157" s="561"/>
      <c r="B157" s="564"/>
      <c r="C157" s="561"/>
      <c r="D157" s="561"/>
      <c r="E157" s="561"/>
      <c r="F157" s="561"/>
      <c r="G157" s="561"/>
      <c r="H157" s="561"/>
      <c r="I157" s="561"/>
      <c r="J157" s="561"/>
      <c r="K157" s="561"/>
      <c r="L157" s="561"/>
      <c r="M157" s="561"/>
      <c r="N157" s="561"/>
      <c r="O157" s="561"/>
      <c r="P157" s="561"/>
      <c r="Q157" s="561"/>
      <c r="R157" s="561"/>
      <c r="S157" s="561"/>
      <c r="T157" s="561"/>
      <c r="U157" s="561"/>
      <c r="V157" s="561"/>
      <c r="W157" s="561"/>
    </row>
    <row r="158" spans="1:23" ht="15.75" customHeight="1">
      <c r="A158" s="561"/>
      <c r="B158" s="564"/>
      <c r="C158" s="561"/>
      <c r="D158" s="561"/>
      <c r="E158" s="561"/>
      <c r="F158" s="561"/>
      <c r="G158" s="561"/>
      <c r="H158" s="561"/>
      <c r="I158" s="561"/>
      <c r="J158" s="561"/>
      <c r="K158" s="561"/>
      <c r="L158" s="561"/>
      <c r="M158" s="561"/>
      <c r="N158" s="561"/>
      <c r="O158" s="561"/>
      <c r="P158" s="561"/>
      <c r="Q158" s="561"/>
      <c r="R158" s="561"/>
      <c r="S158" s="561"/>
      <c r="T158" s="561"/>
      <c r="U158" s="561"/>
      <c r="V158" s="561"/>
      <c r="W158" s="561"/>
    </row>
    <row r="159" spans="1:23" ht="15.75" customHeight="1">
      <c r="A159" s="561"/>
      <c r="B159" s="564"/>
      <c r="C159" s="561"/>
      <c r="D159" s="561"/>
      <c r="E159" s="561"/>
      <c r="F159" s="561"/>
      <c r="G159" s="561"/>
      <c r="H159" s="561"/>
      <c r="I159" s="561"/>
      <c r="J159" s="561"/>
      <c r="K159" s="561"/>
      <c r="L159" s="561"/>
      <c r="M159" s="561"/>
      <c r="N159" s="561"/>
      <c r="O159" s="561"/>
      <c r="P159" s="561"/>
      <c r="Q159" s="561"/>
      <c r="R159" s="561"/>
      <c r="S159" s="561"/>
      <c r="T159" s="561"/>
      <c r="U159" s="561"/>
      <c r="V159" s="561"/>
      <c r="W159" s="561"/>
    </row>
    <row r="160" spans="1:23" ht="15.75" customHeight="1">
      <c r="A160" s="561"/>
      <c r="B160" s="564"/>
      <c r="C160" s="561"/>
      <c r="D160" s="561"/>
      <c r="E160" s="561"/>
      <c r="F160" s="561"/>
      <c r="G160" s="561"/>
      <c r="H160" s="561"/>
      <c r="I160" s="561"/>
      <c r="J160" s="561"/>
      <c r="K160" s="561"/>
      <c r="L160" s="561"/>
      <c r="M160" s="561"/>
      <c r="N160" s="561"/>
      <c r="O160" s="561"/>
      <c r="P160" s="561"/>
      <c r="Q160" s="561"/>
      <c r="R160" s="561"/>
      <c r="S160" s="561"/>
      <c r="T160" s="561"/>
      <c r="U160" s="561"/>
      <c r="V160" s="561"/>
      <c r="W160" s="561"/>
    </row>
    <row r="161" spans="1:23" ht="15.75" customHeight="1">
      <c r="A161" s="561"/>
      <c r="B161" s="564"/>
      <c r="C161" s="561"/>
      <c r="D161" s="561"/>
      <c r="E161" s="561"/>
      <c r="F161" s="561"/>
      <c r="G161" s="561"/>
      <c r="H161" s="561"/>
      <c r="I161" s="561"/>
      <c r="J161" s="561"/>
      <c r="K161" s="561"/>
      <c r="L161" s="561"/>
      <c r="M161" s="561"/>
      <c r="N161" s="561"/>
      <c r="O161" s="561"/>
      <c r="P161" s="561"/>
      <c r="Q161" s="561"/>
      <c r="R161" s="561"/>
      <c r="S161" s="561"/>
      <c r="T161" s="561"/>
      <c r="U161" s="561"/>
      <c r="V161" s="561"/>
      <c r="W161" s="561"/>
    </row>
    <row r="162" spans="1:23" ht="15.75" customHeight="1">
      <c r="A162" s="561"/>
      <c r="B162" s="564"/>
      <c r="C162" s="561"/>
      <c r="D162" s="561"/>
      <c r="E162" s="561"/>
      <c r="F162" s="561"/>
      <c r="G162" s="561"/>
      <c r="H162" s="561"/>
      <c r="I162" s="561"/>
      <c r="J162" s="561"/>
      <c r="K162" s="561"/>
      <c r="L162" s="561"/>
      <c r="M162" s="561"/>
      <c r="N162" s="561"/>
      <c r="O162" s="561"/>
      <c r="P162" s="561"/>
      <c r="Q162" s="561"/>
      <c r="R162" s="561"/>
      <c r="S162" s="561"/>
      <c r="T162" s="561"/>
      <c r="U162" s="561"/>
      <c r="V162" s="561"/>
      <c r="W162" s="561"/>
    </row>
    <row r="163" spans="1:23" ht="15.75" customHeight="1">
      <c r="A163" s="561"/>
      <c r="B163" s="564"/>
      <c r="C163" s="561"/>
      <c r="D163" s="561"/>
      <c r="E163" s="561"/>
      <c r="F163" s="561"/>
      <c r="G163" s="561"/>
      <c r="H163" s="561"/>
      <c r="I163" s="561"/>
      <c r="J163" s="561"/>
      <c r="K163" s="561"/>
      <c r="L163" s="561"/>
      <c r="M163" s="561"/>
      <c r="N163" s="561"/>
      <c r="O163" s="561"/>
      <c r="P163" s="561"/>
      <c r="Q163" s="561"/>
      <c r="R163" s="561"/>
      <c r="S163" s="561"/>
      <c r="T163" s="561"/>
      <c r="U163" s="561"/>
      <c r="V163" s="561"/>
      <c r="W163" s="561"/>
    </row>
    <row r="164" spans="1:23" ht="15.75" customHeight="1">
      <c r="A164" s="561"/>
      <c r="B164" s="564"/>
      <c r="C164" s="561"/>
      <c r="D164" s="561"/>
      <c r="E164" s="561"/>
      <c r="F164" s="561"/>
      <c r="G164" s="561"/>
      <c r="H164" s="561"/>
      <c r="I164" s="561"/>
      <c r="J164" s="561"/>
      <c r="K164" s="561"/>
      <c r="L164" s="561"/>
      <c r="M164" s="561"/>
      <c r="N164" s="561"/>
      <c r="O164" s="561"/>
      <c r="P164" s="561"/>
      <c r="Q164" s="561"/>
      <c r="R164" s="561"/>
      <c r="S164" s="561"/>
      <c r="T164" s="561"/>
      <c r="U164" s="561"/>
      <c r="V164" s="561"/>
      <c r="W164" s="561"/>
    </row>
    <row r="165" spans="1:23" ht="15.75" customHeight="1">
      <c r="A165" s="561"/>
      <c r="B165" s="564"/>
      <c r="C165" s="561"/>
      <c r="D165" s="561"/>
      <c r="E165" s="561"/>
      <c r="F165" s="561"/>
      <c r="G165" s="561"/>
      <c r="H165" s="561"/>
      <c r="I165" s="561"/>
      <c r="J165" s="561"/>
      <c r="K165" s="561"/>
      <c r="L165" s="561"/>
      <c r="M165" s="561"/>
      <c r="N165" s="561"/>
      <c r="O165" s="561"/>
      <c r="P165" s="561"/>
      <c r="Q165" s="561"/>
      <c r="R165" s="561"/>
      <c r="S165" s="561"/>
      <c r="T165" s="561"/>
      <c r="U165" s="561"/>
      <c r="V165" s="561"/>
      <c r="W165" s="561"/>
    </row>
    <row r="166" spans="1:23" ht="15.75" customHeight="1">
      <c r="A166" s="561"/>
      <c r="B166" s="564"/>
      <c r="C166" s="561"/>
      <c r="D166" s="561"/>
      <c r="E166" s="561"/>
      <c r="F166" s="561"/>
      <c r="G166" s="561"/>
      <c r="H166" s="561"/>
      <c r="I166" s="561"/>
      <c r="J166" s="561"/>
      <c r="K166" s="561"/>
      <c r="L166" s="561"/>
      <c r="M166" s="561"/>
      <c r="N166" s="561"/>
      <c r="O166" s="561"/>
      <c r="P166" s="561"/>
      <c r="Q166" s="561"/>
      <c r="R166" s="561"/>
      <c r="S166" s="561"/>
      <c r="T166" s="561"/>
      <c r="U166" s="561"/>
      <c r="V166" s="561"/>
      <c r="W166" s="561"/>
    </row>
    <row r="167" spans="1:23" ht="15.75" customHeight="1">
      <c r="A167" s="561"/>
      <c r="B167" s="564"/>
      <c r="C167" s="561"/>
      <c r="D167" s="561"/>
      <c r="E167" s="561"/>
      <c r="F167" s="561"/>
      <c r="G167" s="561"/>
      <c r="H167" s="561"/>
      <c r="I167" s="561"/>
      <c r="J167" s="561"/>
      <c r="K167" s="561"/>
      <c r="L167" s="561"/>
      <c r="M167" s="561"/>
      <c r="N167" s="561"/>
      <c r="O167" s="561"/>
      <c r="P167" s="561"/>
      <c r="Q167" s="561"/>
      <c r="R167" s="561"/>
      <c r="S167" s="561"/>
      <c r="T167" s="561"/>
      <c r="U167" s="561"/>
      <c r="V167" s="561"/>
      <c r="W167" s="561"/>
    </row>
    <row r="168" spans="1:23" ht="15.75" customHeight="1">
      <c r="A168" s="561"/>
      <c r="B168" s="564"/>
      <c r="C168" s="561"/>
      <c r="D168" s="561"/>
      <c r="E168" s="561"/>
      <c r="F168" s="561"/>
      <c r="G168" s="561"/>
      <c r="H168" s="561"/>
      <c r="I168" s="561"/>
      <c r="J168" s="561"/>
      <c r="K168" s="561"/>
      <c r="L168" s="561"/>
      <c r="M168" s="561"/>
      <c r="N168" s="561"/>
      <c r="O168" s="561"/>
      <c r="P168" s="561"/>
      <c r="Q168" s="561"/>
      <c r="R168" s="561"/>
      <c r="S168" s="561"/>
      <c r="T168" s="561"/>
      <c r="U168" s="561"/>
      <c r="V168" s="561"/>
      <c r="W168" s="561"/>
    </row>
    <row r="169" spans="1:23" ht="15.75" customHeight="1">
      <c r="A169" s="561"/>
      <c r="B169" s="564"/>
      <c r="C169" s="561"/>
      <c r="D169" s="561"/>
      <c r="E169" s="561"/>
      <c r="F169" s="561"/>
      <c r="G169" s="561"/>
      <c r="H169" s="561"/>
      <c r="I169" s="561"/>
      <c r="J169" s="561"/>
      <c r="K169" s="561"/>
      <c r="L169" s="561"/>
      <c r="M169" s="561"/>
      <c r="N169" s="561"/>
      <c r="O169" s="561"/>
      <c r="P169" s="561"/>
      <c r="Q169" s="561"/>
      <c r="R169" s="561"/>
      <c r="S169" s="561"/>
      <c r="T169" s="561"/>
      <c r="U169" s="561"/>
      <c r="V169" s="561"/>
      <c r="W169" s="561"/>
    </row>
    <row r="170" spans="1:23" ht="15.75" customHeight="1">
      <c r="A170" s="561"/>
      <c r="B170" s="564"/>
      <c r="C170" s="561"/>
      <c r="D170" s="561"/>
      <c r="E170" s="561"/>
      <c r="F170" s="561"/>
      <c r="G170" s="561"/>
      <c r="H170" s="561"/>
      <c r="I170" s="561"/>
      <c r="J170" s="561"/>
      <c r="K170" s="561"/>
      <c r="L170" s="561"/>
      <c r="M170" s="561"/>
      <c r="N170" s="561"/>
      <c r="O170" s="561"/>
      <c r="P170" s="561"/>
      <c r="Q170" s="561"/>
      <c r="R170" s="561"/>
      <c r="S170" s="561"/>
      <c r="T170" s="561"/>
      <c r="U170" s="561"/>
      <c r="V170" s="561"/>
      <c r="W170" s="561"/>
    </row>
    <row r="171" spans="1:23" ht="15.75" customHeight="1">
      <c r="A171" s="561"/>
      <c r="B171" s="564"/>
      <c r="C171" s="561"/>
      <c r="D171" s="561"/>
      <c r="E171" s="561"/>
      <c r="F171" s="561"/>
      <c r="G171" s="561"/>
      <c r="H171" s="561"/>
      <c r="I171" s="561"/>
      <c r="J171" s="561"/>
      <c r="K171" s="561"/>
      <c r="L171" s="561"/>
      <c r="M171" s="561"/>
      <c r="N171" s="561"/>
      <c r="O171" s="561"/>
      <c r="P171" s="561"/>
      <c r="Q171" s="561"/>
      <c r="R171" s="561"/>
      <c r="S171" s="561"/>
      <c r="T171" s="561"/>
      <c r="U171" s="561"/>
      <c r="V171" s="561"/>
      <c r="W171" s="561"/>
    </row>
    <row r="172" spans="1:23" ht="15.75" customHeight="1">
      <c r="A172" s="561"/>
      <c r="B172" s="564"/>
      <c r="C172" s="561"/>
      <c r="D172" s="561"/>
      <c r="E172" s="561"/>
      <c r="F172" s="561"/>
      <c r="G172" s="561"/>
      <c r="H172" s="561"/>
      <c r="I172" s="561"/>
      <c r="J172" s="561"/>
      <c r="K172" s="561"/>
      <c r="L172" s="561"/>
      <c r="M172" s="561"/>
      <c r="N172" s="561"/>
      <c r="O172" s="561"/>
      <c r="P172" s="561"/>
      <c r="Q172" s="561"/>
      <c r="R172" s="561"/>
      <c r="S172" s="561"/>
      <c r="T172" s="561"/>
      <c r="U172" s="561"/>
      <c r="V172" s="561"/>
      <c r="W172" s="561"/>
    </row>
    <row r="173" spans="1:23" ht="15.75" customHeight="1">
      <c r="A173" s="561"/>
      <c r="B173" s="564"/>
      <c r="C173" s="561"/>
      <c r="D173" s="561"/>
      <c r="E173" s="561"/>
      <c r="F173" s="561"/>
      <c r="G173" s="561"/>
      <c r="H173" s="561"/>
      <c r="I173" s="561"/>
      <c r="J173" s="561"/>
      <c r="K173" s="561"/>
      <c r="L173" s="561"/>
      <c r="M173" s="561"/>
      <c r="N173" s="561"/>
      <c r="O173" s="561"/>
      <c r="P173" s="561"/>
      <c r="Q173" s="561"/>
      <c r="R173" s="561"/>
      <c r="S173" s="561"/>
      <c r="T173" s="561"/>
      <c r="U173" s="561"/>
      <c r="V173" s="561"/>
      <c r="W173" s="561"/>
    </row>
    <row r="174" spans="1:23" ht="15.75" customHeight="1">
      <c r="A174" s="561"/>
      <c r="B174" s="564"/>
      <c r="C174" s="561"/>
      <c r="D174" s="561"/>
      <c r="E174" s="561"/>
      <c r="F174" s="561"/>
      <c r="G174" s="561"/>
      <c r="H174" s="561"/>
      <c r="I174" s="561"/>
      <c r="J174" s="561"/>
      <c r="K174" s="561"/>
      <c r="L174" s="561"/>
      <c r="M174" s="561"/>
      <c r="N174" s="561"/>
      <c r="O174" s="561"/>
      <c r="P174" s="561"/>
      <c r="Q174" s="561"/>
      <c r="R174" s="561"/>
      <c r="S174" s="561"/>
      <c r="T174" s="561"/>
      <c r="U174" s="561"/>
      <c r="V174" s="561"/>
      <c r="W174" s="561"/>
    </row>
    <row r="175" spans="1:23" ht="15.75" customHeight="1">
      <c r="A175" s="561"/>
      <c r="B175" s="564"/>
      <c r="C175" s="561"/>
      <c r="D175" s="561"/>
      <c r="E175" s="561"/>
      <c r="F175" s="561"/>
      <c r="G175" s="561"/>
      <c r="H175" s="561"/>
      <c r="I175" s="561"/>
      <c r="J175" s="561"/>
      <c r="K175" s="561"/>
      <c r="L175" s="561"/>
      <c r="M175" s="561"/>
      <c r="N175" s="561"/>
      <c r="O175" s="561"/>
      <c r="P175" s="561"/>
      <c r="Q175" s="561"/>
      <c r="R175" s="561"/>
      <c r="S175" s="561"/>
      <c r="T175" s="561"/>
      <c r="U175" s="561"/>
      <c r="V175" s="561"/>
      <c r="W175" s="561"/>
    </row>
    <row r="176" spans="1:23" ht="15.75" customHeight="1">
      <c r="A176" s="561"/>
      <c r="B176" s="564"/>
      <c r="C176" s="561"/>
      <c r="D176" s="561"/>
      <c r="E176" s="561"/>
      <c r="F176" s="561"/>
      <c r="G176" s="561"/>
      <c r="H176" s="561"/>
      <c r="I176" s="561"/>
      <c r="J176" s="561"/>
      <c r="K176" s="561"/>
      <c r="L176" s="561"/>
      <c r="M176" s="561"/>
      <c r="N176" s="561"/>
      <c r="O176" s="561"/>
      <c r="P176" s="561"/>
      <c r="Q176" s="561"/>
      <c r="R176" s="561"/>
      <c r="S176" s="561"/>
      <c r="T176" s="561"/>
      <c r="U176" s="561"/>
      <c r="V176" s="561"/>
      <c r="W176" s="561"/>
    </row>
    <row r="177" spans="1:23" ht="15.75" customHeight="1">
      <c r="A177" s="561"/>
      <c r="B177" s="564"/>
      <c r="C177" s="561"/>
      <c r="D177" s="561"/>
      <c r="E177" s="561"/>
      <c r="F177" s="561"/>
      <c r="G177" s="561"/>
      <c r="H177" s="561"/>
      <c r="I177" s="561"/>
      <c r="J177" s="561"/>
      <c r="K177" s="561"/>
      <c r="L177" s="561"/>
      <c r="M177" s="561"/>
      <c r="N177" s="561"/>
      <c r="O177" s="561"/>
      <c r="P177" s="561"/>
      <c r="Q177" s="561"/>
      <c r="R177" s="561"/>
      <c r="S177" s="561"/>
      <c r="T177" s="561"/>
      <c r="U177" s="561"/>
      <c r="V177" s="561"/>
      <c r="W177" s="561"/>
    </row>
    <row r="178" spans="1:23" ht="15.75" customHeight="1">
      <c r="A178" s="561"/>
      <c r="B178" s="564"/>
      <c r="C178" s="561"/>
      <c r="D178" s="561"/>
      <c r="E178" s="561"/>
      <c r="F178" s="561"/>
      <c r="G178" s="561"/>
      <c r="H178" s="561"/>
      <c r="I178" s="561"/>
      <c r="J178" s="561"/>
      <c r="K178" s="561"/>
      <c r="L178" s="561"/>
      <c r="M178" s="561"/>
      <c r="N178" s="561"/>
      <c r="O178" s="561"/>
      <c r="P178" s="561"/>
      <c r="Q178" s="561"/>
      <c r="R178" s="561"/>
      <c r="S178" s="561"/>
      <c r="T178" s="561"/>
      <c r="U178" s="561"/>
      <c r="V178" s="561"/>
      <c r="W178" s="561"/>
    </row>
    <row r="179" spans="1:23" ht="15.75" customHeight="1">
      <c r="A179" s="561"/>
      <c r="B179" s="564"/>
      <c r="C179" s="561"/>
      <c r="D179" s="561"/>
      <c r="E179" s="561"/>
      <c r="F179" s="561"/>
      <c r="G179" s="561"/>
      <c r="H179" s="561"/>
      <c r="I179" s="561"/>
      <c r="J179" s="561"/>
      <c r="K179" s="561"/>
      <c r="L179" s="561"/>
      <c r="M179" s="561"/>
      <c r="N179" s="561"/>
      <c r="O179" s="561"/>
      <c r="P179" s="561"/>
      <c r="Q179" s="561"/>
      <c r="R179" s="561"/>
      <c r="S179" s="561"/>
      <c r="T179" s="561"/>
      <c r="U179" s="561"/>
      <c r="V179" s="561"/>
      <c r="W179" s="561"/>
    </row>
    <row r="180" spans="1:23" ht="15.75" customHeight="1">
      <c r="A180" s="561"/>
      <c r="B180" s="564"/>
      <c r="C180" s="561"/>
      <c r="D180" s="561"/>
      <c r="E180" s="561"/>
      <c r="F180" s="561"/>
      <c r="G180" s="561"/>
      <c r="H180" s="561"/>
      <c r="I180" s="561"/>
      <c r="J180" s="561"/>
      <c r="K180" s="561"/>
      <c r="L180" s="561"/>
      <c r="M180" s="561"/>
      <c r="N180" s="561"/>
      <c r="O180" s="561"/>
      <c r="P180" s="561"/>
      <c r="Q180" s="561"/>
      <c r="R180" s="561"/>
      <c r="S180" s="561"/>
      <c r="T180" s="561"/>
      <c r="U180" s="561"/>
      <c r="V180" s="561"/>
      <c r="W180" s="561"/>
    </row>
    <row r="181" spans="1:23" ht="15.75" customHeight="1">
      <c r="A181" s="561"/>
      <c r="B181" s="564"/>
      <c r="C181" s="561"/>
      <c r="D181" s="561"/>
      <c r="E181" s="561"/>
      <c r="F181" s="561"/>
      <c r="G181" s="561"/>
      <c r="H181" s="561"/>
      <c r="I181" s="561"/>
      <c r="J181" s="561"/>
      <c r="K181" s="561"/>
      <c r="L181" s="561"/>
      <c r="M181" s="561"/>
      <c r="N181" s="561"/>
      <c r="O181" s="561"/>
      <c r="P181" s="561"/>
      <c r="Q181" s="561"/>
      <c r="R181" s="561"/>
      <c r="S181" s="561"/>
      <c r="T181" s="561"/>
      <c r="U181" s="561"/>
      <c r="V181" s="561"/>
      <c r="W181" s="561"/>
    </row>
    <row r="182" spans="1:23" ht="15.75" customHeight="1">
      <c r="A182" s="561"/>
      <c r="B182" s="564"/>
      <c r="C182" s="561"/>
      <c r="D182" s="561"/>
      <c r="E182" s="561"/>
      <c r="F182" s="561"/>
      <c r="G182" s="561"/>
      <c r="H182" s="561"/>
      <c r="I182" s="561"/>
      <c r="J182" s="561"/>
      <c r="K182" s="561"/>
      <c r="L182" s="561"/>
      <c r="M182" s="561"/>
      <c r="N182" s="561"/>
      <c r="O182" s="561"/>
      <c r="P182" s="561"/>
      <c r="Q182" s="561"/>
      <c r="R182" s="561"/>
      <c r="S182" s="561"/>
      <c r="T182" s="561"/>
      <c r="U182" s="561"/>
      <c r="V182" s="561"/>
      <c r="W182" s="561"/>
    </row>
    <row r="183" spans="1:23" ht="15.75" customHeight="1">
      <c r="A183" s="561"/>
      <c r="B183" s="564"/>
      <c r="C183" s="561"/>
      <c r="D183" s="561"/>
      <c r="E183" s="561"/>
      <c r="F183" s="561"/>
      <c r="G183" s="561"/>
      <c r="H183" s="561"/>
      <c r="I183" s="561"/>
      <c r="J183" s="561"/>
      <c r="K183" s="561"/>
      <c r="L183" s="561"/>
      <c r="M183" s="561"/>
      <c r="N183" s="561"/>
      <c r="O183" s="561"/>
      <c r="P183" s="561"/>
      <c r="Q183" s="561"/>
      <c r="R183" s="561"/>
      <c r="S183" s="561"/>
      <c r="T183" s="561"/>
      <c r="U183" s="561"/>
      <c r="V183" s="561"/>
      <c r="W183" s="561"/>
    </row>
    <row r="184" spans="1:23" ht="15.75" customHeight="1">
      <c r="A184" s="561"/>
      <c r="B184" s="564"/>
      <c r="C184" s="561"/>
      <c r="D184" s="561"/>
      <c r="E184" s="561"/>
      <c r="F184" s="561"/>
      <c r="G184" s="561"/>
      <c r="H184" s="561"/>
      <c r="I184" s="561"/>
      <c r="J184" s="561"/>
      <c r="K184" s="561"/>
      <c r="L184" s="561"/>
      <c r="M184" s="561"/>
      <c r="N184" s="561"/>
      <c r="O184" s="561"/>
      <c r="P184" s="561"/>
      <c r="Q184" s="561"/>
      <c r="R184" s="561"/>
      <c r="S184" s="561"/>
      <c r="T184" s="561"/>
      <c r="U184" s="561"/>
      <c r="V184" s="561"/>
      <c r="W184" s="561"/>
    </row>
    <row r="185" spans="1:23" ht="15.75" customHeight="1">
      <c r="A185" s="561"/>
      <c r="B185" s="564"/>
      <c r="C185" s="561"/>
      <c r="D185" s="561"/>
      <c r="E185" s="561"/>
      <c r="F185" s="561"/>
      <c r="G185" s="561"/>
      <c r="H185" s="561"/>
      <c r="I185" s="561"/>
      <c r="J185" s="561"/>
      <c r="K185" s="561"/>
      <c r="L185" s="561"/>
      <c r="M185" s="561"/>
      <c r="N185" s="561"/>
      <c r="O185" s="561"/>
      <c r="P185" s="561"/>
      <c r="Q185" s="561"/>
      <c r="R185" s="561"/>
      <c r="S185" s="561"/>
      <c r="T185" s="561"/>
      <c r="U185" s="561"/>
      <c r="V185" s="561"/>
      <c r="W185" s="561"/>
    </row>
    <row r="186" spans="1:23" ht="15.75" customHeight="1">
      <c r="A186" s="561"/>
      <c r="B186" s="564"/>
      <c r="C186" s="561"/>
      <c r="D186" s="561"/>
      <c r="E186" s="561"/>
      <c r="F186" s="561"/>
      <c r="G186" s="561"/>
      <c r="H186" s="561"/>
      <c r="I186" s="561"/>
      <c r="J186" s="561"/>
      <c r="K186" s="561"/>
      <c r="L186" s="561"/>
      <c r="M186" s="561"/>
      <c r="N186" s="561"/>
      <c r="O186" s="561"/>
      <c r="P186" s="561"/>
      <c r="Q186" s="561"/>
      <c r="R186" s="561"/>
      <c r="S186" s="561"/>
      <c r="T186" s="561"/>
      <c r="U186" s="561"/>
      <c r="V186" s="561"/>
      <c r="W186" s="561"/>
    </row>
    <row r="187" spans="1:23" ht="15.75" customHeight="1">
      <c r="A187" s="561"/>
      <c r="B187" s="564"/>
      <c r="C187" s="561"/>
      <c r="D187" s="561"/>
      <c r="E187" s="561"/>
      <c r="F187" s="561"/>
      <c r="G187" s="561"/>
      <c r="H187" s="561"/>
      <c r="I187" s="561"/>
      <c r="J187" s="561"/>
      <c r="K187" s="561"/>
      <c r="L187" s="561"/>
      <c r="M187" s="561"/>
      <c r="N187" s="561"/>
      <c r="O187" s="561"/>
      <c r="P187" s="561"/>
      <c r="Q187" s="561"/>
      <c r="R187" s="561"/>
      <c r="S187" s="561"/>
      <c r="T187" s="561"/>
      <c r="U187" s="561"/>
      <c r="V187" s="561"/>
      <c r="W187" s="561"/>
    </row>
    <row r="188" spans="1:23" ht="15.75" customHeight="1">
      <c r="A188" s="561"/>
      <c r="B188" s="564"/>
      <c r="C188" s="561"/>
      <c r="D188" s="561"/>
      <c r="E188" s="561"/>
      <c r="F188" s="561"/>
      <c r="G188" s="561"/>
      <c r="H188" s="561"/>
      <c r="I188" s="561"/>
      <c r="J188" s="561"/>
      <c r="K188" s="561"/>
      <c r="L188" s="561"/>
      <c r="M188" s="561"/>
      <c r="N188" s="561"/>
      <c r="O188" s="561"/>
      <c r="P188" s="561"/>
      <c r="Q188" s="561"/>
      <c r="R188" s="561"/>
      <c r="S188" s="561"/>
      <c r="T188" s="561"/>
      <c r="U188" s="561"/>
      <c r="V188" s="561"/>
      <c r="W188" s="561"/>
    </row>
    <row r="189" spans="1:23" ht="15.75" customHeight="1">
      <c r="A189" s="561"/>
      <c r="B189" s="564"/>
      <c r="C189" s="561"/>
      <c r="D189" s="561"/>
      <c r="E189" s="561"/>
      <c r="F189" s="561"/>
      <c r="G189" s="561"/>
      <c r="H189" s="561"/>
      <c r="I189" s="561"/>
      <c r="J189" s="561"/>
      <c r="K189" s="561"/>
      <c r="L189" s="561"/>
      <c r="M189" s="561"/>
      <c r="N189" s="561"/>
      <c r="O189" s="561"/>
      <c r="P189" s="561"/>
      <c r="Q189" s="561"/>
      <c r="R189" s="561"/>
      <c r="S189" s="561"/>
      <c r="T189" s="561"/>
      <c r="U189" s="561"/>
      <c r="V189" s="561"/>
      <c r="W189" s="561"/>
    </row>
    <row r="190" spans="1:23" ht="15.75" customHeight="1">
      <c r="A190" s="561"/>
      <c r="B190" s="564"/>
      <c r="C190" s="561"/>
      <c r="D190" s="561"/>
      <c r="E190" s="561"/>
      <c r="F190" s="561"/>
      <c r="G190" s="561"/>
      <c r="H190" s="561"/>
      <c r="I190" s="561"/>
      <c r="J190" s="561"/>
      <c r="K190" s="561"/>
      <c r="L190" s="561"/>
      <c r="M190" s="561"/>
      <c r="N190" s="561"/>
      <c r="O190" s="561"/>
      <c r="P190" s="561"/>
      <c r="Q190" s="561"/>
      <c r="R190" s="561"/>
      <c r="S190" s="561"/>
      <c r="T190" s="561"/>
      <c r="U190" s="561"/>
      <c r="V190" s="561"/>
      <c r="W190" s="561"/>
    </row>
    <row r="191" spans="1:23" ht="15.75" customHeight="1">
      <c r="A191" s="561"/>
      <c r="B191" s="564"/>
      <c r="C191" s="561"/>
      <c r="D191" s="561"/>
      <c r="E191" s="561"/>
      <c r="F191" s="561"/>
      <c r="G191" s="561"/>
      <c r="H191" s="561"/>
      <c r="I191" s="561"/>
      <c r="J191" s="561"/>
      <c r="K191" s="561"/>
      <c r="L191" s="561"/>
      <c r="M191" s="561"/>
      <c r="N191" s="561"/>
      <c r="O191" s="561"/>
      <c r="P191" s="561"/>
      <c r="Q191" s="561"/>
      <c r="R191" s="561"/>
      <c r="S191" s="561"/>
      <c r="T191" s="561"/>
      <c r="U191" s="561"/>
      <c r="V191" s="561"/>
      <c r="W191" s="561"/>
    </row>
    <row r="192" spans="1:23" ht="15.75" customHeight="1">
      <c r="A192" s="561"/>
      <c r="B192" s="564"/>
      <c r="C192" s="561"/>
      <c r="D192" s="561"/>
      <c r="E192" s="561"/>
      <c r="F192" s="561"/>
      <c r="G192" s="561"/>
      <c r="H192" s="561"/>
      <c r="I192" s="561"/>
      <c r="J192" s="561"/>
      <c r="K192" s="561"/>
      <c r="L192" s="561"/>
      <c r="M192" s="561"/>
      <c r="N192" s="561"/>
      <c r="O192" s="561"/>
      <c r="P192" s="561"/>
      <c r="Q192" s="561"/>
      <c r="R192" s="561"/>
      <c r="S192" s="561"/>
      <c r="T192" s="561"/>
      <c r="U192" s="561"/>
      <c r="V192" s="561"/>
      <c r="W192" s="561"/>
    </row>
    <row r="193" spans="1:23" ht="15.75" customHeight="1">
      <c r="A193" s="561"/>
      <c r="B193" s="564"/>
      <c r="C193" s="561"/>
      <c r="D193" s="561"/>
      <c r="E193" s="561"/>
      <c r="F193" s="561"/>
      <c r="G193" s="561"/>
      <c r="H193" s="561"/>
      <c r="I193" s="561"/>
      <c r="J193" s="561"/>
      <c r="K193" s="561"/>
      <c r="L193" s="561"/>
      <c r="M193" s="561"/>
      <c r="N193" s="561"/>
      <c r="O193" s="561"/>
      <c r="P193" s="561"/>
      <c r="Q193" s="561"/>
      <c r="R193" s="561"/>
      <c r="S193" s="561"/>
      <c r="T193" s="561"/>
      <c r="U193" s="561"/>
      <c r="V193" s="561"/>
      <c r="W193" s="561"/>
    </row>
    <row r="194" spans="1:23" ht="15.75" customHeight="1">
      <c r="A194" s="561"/>
      <c r="B194" s="564"/>
      <c r="C194" s="561"/>
      <c r="D194" s="561"/>
      <c r="E194" s="561"/>
      <c r="F194" s="561"/>
      <c r="G194" s="561"/>
      <c r="H194" s="561"/>
      <c r="I194" s="561"/>
      <c r="J194" s="561"/>
      <c r="K194" s="561"/>
      <c r="L194" s="561"/>
      <c r="M194" s="561"/>
      <c r="N194" s="561"/>
      <c r="O194" s="561"/>
      <c r="P194" s="561"/>
      <c r="Q194" s="561"/>
      <c r="R194" s="561"/>
      <c r="S194" s="561"/>
      <c r="T194" s="561"/>
      <c r="U194" s="561"/>
      <c r="V194" s="561"/>
      <c r="W194" s="561"/>
    </row>
    <row r="195" spans="1:23" ht="15.75" customHeight="1">
      <c r="A195" s="561"/>
      <c r="B195" s="564"/>
      <c r="C195" s="561"/>
      <c r="D195" s="561"/>
      <c r="E195" s="561"/>
      <c r="F195" s="561"/>
      <c r="G195" s="561"/>
      <c r="H195" s="561"/>
      <c r="I195" s="561"/>
      <c r="J195" s="561"/>
      <c r="K195" s="561"/>
      <c r="L195" s="561"/>
      <c r="M195" s="561"/>
      <c r="N195" s="561"/>
      <c r="O195" s="561"/>
      <c r="P195" s="561"/>
      <c r="Q195" s="561"/>
      <c r="R195" s="561"/>
      <c r="S195" s="561"/>
      <c r="T195" s="561"/>
      <c r="U195" s="561"/>
      <c r="V195" s="561"/>
      <c r="W195" s="561"/>
    </row>
    <row r="196" spans="1:23" ht="15.75" customHeight="1">
      <c r="A196" s="561"/>
      <c r="B196" s="564"/>
      <c r="C196" s="561"/>
      <c r="D196" s="561"/>
      <c r="E196" s="561"/>
      <c r="F196" s="561"/>
      <c r="G196" s="561"/>
      <c r="H196" s="561"/>
      <c r="I196" s="561"/>
      <c r="J196" s="561"/>
      <c r="K196" s="561"/>
      <c r="L196" s="561"/>
      <c r="M196" s="561"/>
      <c r="N196" s="561"/>
      <c r="O196" s="561"/>
      <c r="P196" s="561"/>
      <c r="Q196" s="561"/>
      <c r="R196" s="561"/>
      <c r="S196" s="561"/>
      <c r="T196" s="561"/>
      <c r="U196" s="561"/>
      <c r="V196" s="561"/>
      <c r="W196" s="561"/>
    </row>
    <row r="197" spans="1:23" ht="15.75" customHeight="1">
      <c r="A197" s="561"/>
      <c r="B197" s="564"/>
      <c r="C197" s="561"/>
      <c r="D197" s="561"/>
      <c r="E197" s="561"/>
      <c r="F197" s="561"/>
      <c r="G197" s="561"/>
      <c r="H197" s="561"/>
      <c r="I197" s="561"/>
      <c r="J197" s="561"/>
      <c r="K197" s="561"/>
      <c r="L197" s="561"/>
      <c r="M197" s="561"/>
      <c r="N197" s="561"/>
      <c r="O197" s="561"/>
      <c r="P197" s="561"/>
      <c r="Q197" s="561"/>
      <c r="R197" s="561"/>
      <c r="S197" s="561"/>
      <c r="T197" s="561"/>
      <c r="U197" s="561"/>
      <c r="V197" s="561"/>
      <c r="W197" s="561"/>
    </row>
    <row r="198" spans="1:23" ht="15.75" customHeight="1">
      <c r="A198" s="561"/>
      <c r="B198" s="564"/>
      <c r="C198" s="561"/>
      <c r="D198" s="561"/>
      <c r="E198" s="561"/>
      <c r="F198" s="561"/>
      <c r="G198" s="561"/>
      <c r="H198" s="561"/>
      <c r="I198" s="561"/>
      <c r="J198" s="561"/>
      <c r="K198" s="561"/>
      <c r="L198" s="561"/>
      <c r="M198" s="561"/>
      <c r="N198" s="561"/>
      <c r="O198" s="561"/>
      <c r="P198" s="561"/>
      <c r="Q198" s="561"/>
      <c r="R198" s="561"/>
      <c r="S198" s="561"/>
      <c r="T198" s="561"/>
      <c r="U198" s="561"/>
      <c r="V198" s="561"/>
      <c r="W198" s="561"/>
    </row>
    <row r="199" spans="1:23" ht="15.75" customHeight="1">
      <c r="A199" s="561"/>
      <c r="B199" s="564"/>
      <c r="C199" s="561"/>
      <c r="D199" s="561"/>
      <c r="E199" s="561"/>
      <c r="F199" s="561"/>
      <c r="G199" s="561"/>
      <c r="H199" s="561"/>
      <c r="I199" s="561"/>
      <c r="J199" s="561"/>
      <c r="K199" s="561"/>
      <c r="L199" s="561"/>
      <c r="M199" s="561"/>
      <c r="N199" s="561"/>
      <c r="O199" s="561"/>
      <c r="P199" s="561"/>
      <c r="Q199" s="561"/>
      <c r="R199" s="561"/>
      <c r="S199" s="561"/>
      <c r="T199" s="561"/>
      <c r="U199" s="561"/>
      <c r="V199" s="561"/>
      <c r="W199" s="561"/>
    </row>
    <row r="200" spans="1:23" ht="15.75" customHeight="1">
      <c r="A200" s="561"/>
      <c r="B200" s="564"/>
      <c r="C200" s="561"/>
      <c r="D200" s="561"/>
      <c r="E200" s="561"/>
      <c r="F200" s="561"/>
      <c r="G200" s="561"/>
      <c r="H200" s="561"/>
      <c r="I200" s="561"/>
      <c r="J200" s="561"/>
      <c r="K200" s="561"/>
      <c r="L200" s="561"/>
      <c r="M200" s="561"/>
      <c r="N200" s="561"/>
      <c r="O200" s="561"/>
      <c r="P200" s="561"/>
      <c r="Q200" s="561"/>
      <c r="R200" s="561"/>
      <c r="S200" s="561"/>
      <c r="T200" s="561"/>
      <c r="U200" s="561"/>
      <c r="V200" s="561"/>
      <c r="W200" s="561"/>
    </row>
    <row r="201" spans="1:23" ht="15.75" customHeight="1"/>
    <row r="202" spans="1:23" ht="15.75" customHeight="1"/>
    <row r="203" spans="1:23" ht="15.75" customHeight="1"/>
    <row r="204" spans="1:23" ht="15.75" customHeight="1"/>
    <row r="205" spans="1:23" ht="15.75" customHeight="1"/>
    <row r="206" spans="1:23" ht="15.75" customHeight="1"/>
    <row r="207" spans="1:23" ht="15.75" customHeight="1"/>
    <row r="208" spans="1:23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AU1300"/>
  <sheetViews>
    <sheetView workbookViewId="0"/>
  </sheetViews>
  <sheetFormatPr defaultColWidth="12.5703125" defaultRowHeight="15" customHeight="1"/>
  <cols>
    <col min="1" max="1" width="12.28515625" customWidth="1"/>
    <col min="2" max="2" width="11" customWidth="1"/>
    <col min="3" max="3" width="11.140625" customWidth="1"/>
    <col min="4" max="4" width="16.42578125" customWidth="1"/>
    <col min="5" max="5" width="16" customWidth="1"/>
    <col min="6" max="6" width="62.28515625" customWidth="1"/>
    <col min="7" max="7" width="12.42578125" customWidth="1"/>
    <col min="8" max="8" width="5.7109375" customWidth="1"/>
    <col min="9" max="9" width="15.85546875" customWidth="1"/>
    <col min="10" max="10" width="16.42578125" customWidth="1"/>
    <col min="11" max="11" width="16" customWidth="1"/>
  </cols>
  <sheetData>
    <row r="1" spans="1:31" ht="15.75" customHeight="1">
      <c r="A1" s="568" t="s">
        <v>6335</v>
      </c>
      <c r="B1" s="569" t="s">
        <v>1</v>
      </c>
      <c r="C1" s="568" t="s">
        <v>2</v>
      </c>
      <c r="D1" s="568" t="s">
        <v>6336</v>
      </c>
      <c r="E1" s="570" t="s">
        <v>5411</v>
      </c>
      <c r="F1" s="568" t="s">
        <v>6061</v>
      </c>
      <c r="G1" s="568" t="s">
        <v>3</v>
      </c>
      <c r="H1" s="568" t="s">
        <v>4</v>
      </c>
      <c r="I1" s="568" t="s">
        <v>5</v>
      </c>
      <c r="J1" s="571" t="s">
        <v>102</v>
      </c>
      <c r="K1" s="568" t="s">
        <v>8</v>
      </c>
      <c r="L1" s="572"/>
      <c r="M1" s="572"/>
      <c r="N1" s="572"/>
      <c r="O1" s="572"/>
      <c r="P1" s="572"/>
      <c r="Q1" s="572"/>
      <c r="R1" s="572"/>
      <c r="S1" s="572"/>
      <c r="T1" s="572"/>
      <c r="U1" s="572"/>
      <c r="V1" s="572"/>
      <c r="W1" s="572"/>
      <c r="X1" s="572"/>
      <c r="Y1" s="572"/>
      <c r="Z1" s="572"/>
      <c r="AA1" s="572"/>
      <c r="AB1" s="572"/>
      <c r="AC1" s="572"/>
      <c r="AD1" s="572"/>
      <c r="AE1" s="572"/>
    </row>
    <row r="2" spans="1:31" ht="15.75" customHeight="1">
      <c r="A2" s="573">
        <v>43768</v>
      </c>
      <c r="B2" s="574" t="s">
        <v>6337</v>
      </c>
      <c r="C2" s="563" t="s">
        <v>2921</v>
      </c>
      <c r="D2" s="563" t="s">
        <v>3110</v>
      </c>
      <c r="E2" s="575">
        <v>0</v>
      </c>
      <c r="F2" s="563" t="s">
        <v>3010</v>
      </c>
      <c r="G2" s="573" t="s">
        <v>2923</v>
      </c>
      <c r="H2" s="573" t="s">
        <v>20</v>
      </c>
      <c r="I2" s="573" t="s">
        <v>2924</v>
      </c>
      <c r="J2" s="573">
        <v>43567</v>
      </c>
      <c r="K2" s="576" t="s">
        <v>3809</v>
      </c>
      <c r="L2" s="572"/>
      <c r="M2" s="572"/>
      <c r="N2" s="572"/>
      <c r="O2" s="572"/>
      <c r="P2" s="572"/>
      <c r="Q2" s="572"/>
      <c r="R2" s="572"/>
      <c r="S2" s="572"/>
      <c r="T2" s="572"/>
      <c r="U2" s="572"/>
      <c r="V2" s="572"/>
      <c r="W2" s="572"/>
      <c r="X2" s="572"/>
      <c r="Y2" s="572"/>
      <c r="Z2" s="572"/>
      <c r="AA2" s="572"/>
      <c r="AB2" s="572"/>
      <c r="AC2" s="572"/>
      <c r="AD2" s="572"/>
      <c r="AE2" s="572"/>
    </row>
    <row r="3" spans="1:31" ht="15.75" customHeight="1">
      <c r="A3" s="573">
        <v>43782</v>
      </c>
      <c r="B3" s="574" t="s">
        <v>6338</v>
      </c>
      <c r="C3" s="563" t="s">
        <v>2921</v>
      </c>
      <c r="D3" s="563" t="s">
        <v>3110</v>
      </c>
      <c r="E3" s="575">
        <v>0</v>
      </c>
      <c r="F3" s="563" t="s">
        <v>3289</v>
      </c>
      <c r="G3" s="573" t="s">
        <v>2923</v>
      </c>
      <c r="H3" s="573" t="s">
        <v>20</v>
      </c>
      <c r="I3" s="573" t="s">
        <v>2930</v>
      </c>
      <c r="J3" s="573">
        <v>43567</v>
      </c>
      <c r="K3" s="576" t="s">
        <v>4188</v>
      </c>
      <c r="L3" s="572"/>
      <c r="M3" s="572"/>
      <c r="N3" s="572"/>
      <c r="O3" s="572"/>
      <c r="P3" s="572"/>
      <c r="Q3" s="572"/>
      <c r="R3" s="572"/>
      <c r="S3" s="572"/>
      <c r="T3" s="572"/>
      <c r="U3" s="572"/>
      <c r="V3" s="572"/>
      <c r="W3" s="572"/>
      <c r="X3" s="572"/>
      <c r="Y3" s="572"/>
      <c r="Z3" s="572"/>
      <c r="AA3" s="572"/>
      <c r="AB3" s="572"/>
      <c r="AC3" s="572"/>
      <c r="AD3" s="572"/>
      <c r="AE3" s="572"/>
    </row>
    <row r="4" spans="1:31" ht="15.75" customHeight="1">
      <c r="A4" s="573">
        <v>43862</v>
      </c>
      <c r="B4" s="574" t="s">
        <v>6339</v>
      </c>
      <c r="C4" s="563" t="s">
        <v>2921</v>
      </c>
      <c r="D4" s="563" t="s">
        <v>3110</v>
      </c>
      <c r="E4" s="575">
        <v>0</v>
      </c>
      <c r="F4" s="563" t="s">
        <v>3542</v>
      </c>
      <c r="G4" s="573" t="s">
        <v>19</v>
      </c>
      <c r="H4" s="573" t="s">
        <v>20</v>
      </c>
      <c r="I4" s="573" t="s">
        <v>3072</v>
      </c>
      <c r="J4" s="573">
        <v>43461</v>
      </c>
      <c r="K4" s="576" t="s">
        <v>4188</v>
      </c>
      <c r="L4" s="572"/>
      <c r="M4" s="572"/>
      <c r="N4" s="572"/>
      <c r="O4" s="572"/>
      <c r="P4" s="572"/>
      <c r="Q4" s="572"/>
      <c r="R4" s="572"/>
      <c r="S4" s="572"/>
      <c r="T4" s="572"/>
      <c r="U4" s="572"/>
      <c r="V4" s="572"/>
      <c r="W4" s="572"/>
      <c r="X4" s="572"/>
      <c r="Y4" s="572"/>
      <c r="Z4" s="572"/>
      <c r="AA4" s="572"/>
      <c r="AB4" s="572"/>
      <c r="AC4" s="572"/>
      <c r="AD4" s="572"/>
      <c r="AE4" s="572"/>
    </row>
    <row r="5" spans="1:31" ht="15.75" customHeight="1">
      <c r="A5" s="577">
        <v>43893</v>
      </c>
      <c r="B5" s="578" t="s">
        <v>6340</v>
      </c>
      <c r="C5" s="405" t="s">
        <v>2921</v>
      </c>
      <c r="D5" s="563" t="s">
        <v>6341</v>
      </c>
      <c r="E5" s="575">
        <v>25000</v>
      </c>
      <c r="F5" s="563" t="s">
        <v>3468</v>
      </c>
      <c r="G5" s="573" t="s">
        <v>2923</v>
      </c>
      <c r="H5" s="573" t="s">
        <v>20</v>
      </c>
      <c r="I5" s="573" t="s">
        <v>2924</v>
      </c>
      <c r="J5" s="573">
        <v>43675</v>
      </c>
      <c r="K5" s="576" t="s">
        <v>4188</v>
      </c>
      <c r="L5" s="572"/>
      <c r="M5" s="572"/>
      <c r="N5" s="572"/>
      <c r="O5" s="572"/>
      <c r="P5" s="572"/>
      <c r="Q5" s="572"/>
      <c r="R5" s="572"/>
      <c r="S5" s="572"/>
      <c r="T5" s="572"/>
      <c r="U5" s="572"/>
      <c r="V5" s="572"/>
      <c r="W5" s="572"/>
      <c r="X5" s="572"/>
      <c r="Y5" s="572"/>
      <c r="Z5" s="572"/>
      <c r="AA5" s="572"/>
      <c r="AB5" s="572"/>
      <c r="AC5" s="572"/>
      <c r="AD5" s="572"/>
      <c r="AE5" s="572"/>
    </row>
    <row r="6" spans="1:31" ht="15.75" customHeight="1">
      <c r="A6" s="577">
        <v>43893</v>
      </c>
      <c r="B6" s="578" t="s">
        <v>6342</v>
      </c>
      <c r="C6" s="405" t="s">
        <v>2921</v>
      </c>
      <c r="D6" s="563" t="s">
        <v>6341</v>
      </c>
      <c r="E6" s="575">
        <v>6000</v>
      </c>
      <c r="F6" s="563" t="s">
        <v>2264</v>
      </c>
      <c r="G6" s="573" t="s">
        <v>2923</v>
      </c>
      <c r="H6" s="573" t="s">
        <v>20</v>
      </c>
      <c r="I6" s="573" t="s">
        <v>2930</v>
      </c>
      <c r="J6" s="573">
        <v>43620</v>
      </c>
      <c r="K6" s="576" t="s">
        <v>3795</v>
      </c>
      <c r="L6" s="572"/>
      <c r="M6" s="572"/>
      <c r="N6" s="572"/>
      <c r="O6" s="572"/>
      <c r="P6" s="572"/>
      <c r="Q6" s="572"/>
      <c r="R6" s="572"/>
      <c r="S6" s="572"/>
      <c r="T6" s="572"/>
      <c r="U6" s="572"/>
      <c r="V6" s="572"/>
      <c r="W6" s="572"/>
      <c r="X6" s="572"/>
      <c r="Y6" s="572"/>
      <c r="Z6" s="572"/>
      <c r="AA6" s="572"/>
      <c r="AB6" s="572"/>
      <c r="AC6" s="572"/>
      <c r="AD6" s="572"/>
      <c r="AE6" s="572"/>
    </row>
    <row r="7" spans="1:31" ht="15.75" customHeight="1">
      <c r="A7" s="577">
        <v>43894</v>
      </c>
      <c r="B7" s="578" t="s">
        <v>6343</v>
      </c>
      <c r="C7" s="405" t="s">
        <v>3785</v>
      </c>
      <c r="D7" s="563" t="s">
        <v>6341</v>
      </c>
      <c r="E7" s="575">
        <v>50000</v>
      </c>
      <c r="F7" s="563" t="s">
        <v>5048</v>
      </c>
      <c r="G7" s="563" t="s">
        <v>2923</v>
      </c>
      <c r="H7" s="563" t="s">
        <v>20</v>
      </c>
      <c r="I7" s="563" t="s">
        <v>2923</v>
      </c>
      <c r="J7" s="573">
        <v>43749</v>
      </c>
      <c r="K7" s="579" t="s">
        <v>4188</v>
      </c>
      <c r="L7" s="572"/>
      <c r="M7" s="572"/>
      <c r="N7" s="572"/>
      <c r="O7" s="572"/>
      <c r="P7" s="572"/>
      <c r="Q7" s="572"/>
      <c r="R7" s="572"/>
      <c r="S7" s="572"/>
      <c r="T7" s="572"/>
      <c r="U7" s="572"/>
      <c r="V7" s="572"/>
      <c r="W7" s="572"/>
      <c r="X7" s="572"/>
      <c r="Y7" s="572"/>
      <c r="Z7" s="572"/>
      <c r="AA7" s="572"/>
      <c r="AB7" s="572"/>
      <c r="AC7" s="572"/>
      <c r="AD7" s="572"/>
      <c r="AE7" s="572"/>
    </row>
    <row r="8" spans="1:31" ht="15.75" customHeight="1">
      <c r="A8" s="577">
        <v>43894</v>
      </c>
      <c r="B8" s="578" t="s">
        <v>6340</v>
      </c>
      <c r="C8" s="405" t="s">
        <v>2921</v>
      </c>
      <c r="D8" s="563" t="s">
        <v>6341</v>
      </c>
      <c r="E8" s="575">
        <v>9500</v>
      </c>
      <c r="F8" s="563" t="s">
        <v>3468</v>
      </c>
      <c r="G8" s="573" t="s">
        <v>2923</v>
      </c>
      <c r="H8" s="573" t="s">
        <v>20</v>
      </c>
      <c r="I8" s="573" t="s">
        <v>2924</v>
      </c>
      <c r="J8" s="573">
        <v>43675</v>
      </c>
      <c r="K8" s="576" t="s">
        <v>4188</v>
      </c>
      <c r="L8" s="572"/>
      <c r="M8" s="572"/>
      <c r="N8" s="572"/>
      <c r="O8" s="572"/>
      <c r="P8" s="572"/>
      <c r="Q8" s="572"/>
      <c r="R8" s="572"/>
      <c r="S8" s="572"/>
      <c r="T8" s="572"/>
      <c r="U8" s="572"/>
      <c r="V8" s="572"/>
      <c r="W8" s="572"/>
      <c r="X8" s="572"/>
      <c r="Y8" s="572"/>
      <c r="Z8" s="572"/>
      <c r="AA8" s="572"/>
      <c r="AB8" s="572"/>
      <c r="AC8" s="572"/>
      <c r="AD8" s="572"/>
      <c r="AE8" s="572"/>
    </row>
    <row r="9" spans="1:31" ht="15.75" customHeight="1">
      <c r="A9" s="577">
        <v>43894</v>
      </c>
      <c r="B9" s="578" t="s">
        <v>6344</v>
      </c>
      <c r="C9" s="405" t="s">
        <v>2921</v>
      </c>
      <c r="D9" s="563" t="s">
        <v>6341</v>
      </c>
      <c r="E9" s="575">
        <v>5000</v>
      </c>
      <c r="F9" s="563" t="s">
        <v>3424</v>
      </c>
      <c r="G9" s="573" t="s">
        <v>2923</v>
      </c>
      <c r="H9" s="573" t="s">
        <v>20</v>
      </c>
      <c r="I9" s="573" t="s">
        <v>2924</v>
      </c>
      <c r="J9" s="573">
        <v>43700</v>
      </c>
      <c r="K9" s="576" t="s">
        <v>4188</v>
      </c>
      <c r="L9" s="572"/>
      <c r="M9" s="572"/>
      <c r="N9" s="572"/>
      <c r="O9" s="572"/>
      <c r="P9" s="572"/>
      <c r="Q9" s="572"/>
      <c r="R9" s="572"/>
      <c r="S9" s="572"/>
      <c r="T9" s="572"/>
      <c r="U9" s="572"/>
      <c r="V9" s="572"/>
      <c r="W9" s="572"/>
      <c r="X9" s="572"/>
      <c r="Y9" s="572"/>
      <c r="Z9" s="572"/>
      <c r="AA9" s="572"/>
      <c r="AB9" s="572"/>
      <c r="AC9" s="572"/>
      <c r="AD9" s="572"/>
      <c r="AE9" s="572"/>
    </row>
    <row r="10" spans="1:31" ht="15.75" customHeight="1">
      <c r="A10" s="577">
        <v>43894</v>
      </c>
      <c r="B10" s="578" t="s">
        <v>6345</v>
      </c>
      <c r="C10" s="405" t="s">
        <v>2921</v>
      </c>
      <c r="D10" s="563" t="s">
        <v>6341</v>
      </c>
      <c r="E10" s="575">
        <v>3700</v>
      </c>
      <c r="F10" s="563" t="s">
        <v>3221</v>
      </c>
      <c r="G10" s="573" t="s">
        <v>19</v>
      </c>
      <c r="H10" s="573" t="s">
        <v>20</v>
      </c>
      <c r="I10" s="573" t="s">
        <v>3072</v>
      </c>
      <c r="J10" s="573">
        <v>43510</v>
      </c>
      <c r="K10" s="576" t="s">
        <v>6346</v>
      </c>
      <c r="L10" s="572"/>
      <c r="M10" s="572"/>
      <c r="N10" s="572"/>
      <c r="O10" s="572"/>
      <c r="P10" s="572"/>
      <c r="Q10" s="572"/>
      <c r="R10" s="572"/>
      <c r="S10" s="572"/>
      <c r="T10" s="572"/>
      <c r="U10" s="572"/>
      <c r="V10" s="572"/>
      <c r="W10" s="572"/>
      <c r="X10" s="572"/>
      <c r="Y10" s="572"/>
      <c r="Z10" s="572"/>
      <c r="AA10" s="572"/>
      <c r="AB10" s="572"/>
      <c r="AC10" s="572"/>
      <c r="AD10" s="572"/>
      <c r="AE10" s="572"/>
    </row>
    <row r="11" spans="1:31" ht="15.75" customHeight="1">
      <c r="A11" s="577">
        <v>43895</v>
      </c>
      <c r="B11" s="578" t="s">
        <v>6347</v>
      </c>
      <c r="C11" s="405" t="s">
        <v>2921</v>
      </c>
      <c r="D11" s="563" t="s">
        <v>6341</v>
      </c>
      <c r="E11" s="575">
        <v>14000</v>
      </c>
      <c r="F11" s="563" t="s">
        <v>3191</v>
      </c>
      <c r="G11" s="573" t="s">
        <v>2923</v>
      </c>
      <c r="H11" s="573" t="s">
        <v>20</v>
      </c>
      <c r="I11" s="573" t="s">
        <v>2924</v>
      </c>
      <c r="J11" s="573">
        <v>43703</v>
      </c>
      <c r="K11" s="576" t="s">
        <v>4188</v>
      </c>
      <c r="L11" s="572"/>
      <c r="M11" s="572"/>
      <c r="N11" s="572"/>
      <c r="O11" s="572"/>
      <c r="P11" s="572"/>
      <c r="Q11" s="572"/>
      <c r="R11" s="572"/>
      <c r="S11" s="572"/>
      <c r="T11" s="572"/>
      <c r="U11" s="572"/>
      <c r="V11" s="572"/>
      <c r="W11" s="572"/>
      <c r="X11" s="572"/>
      <c r="Y11" s="572"/>
      <c r="Z11" s="572"/>
      <c r="AA11" s="572"/>
      <c r="AB11" s="572"/>
      <c r="AC11" s="572"/>
      <c r="AD11" s="572"/>
      <c r="AE11" s="572"/>
    </row>
    <row r="12" spans="1:31" ht="15.75" customHeight="1">
      <c r="A12" s="577">
        <v>43902</v>
      </c>
      <c r="B12" s="578" t="s">
        <v>6348</v>
      </c>
      <c r="C12" s="405" t="s">
        <v>2921</v>
      </c>
      <c r="D12" s="563" t="s">
        <v>6341</v>
      </c>
      <c r="E12" s="575">
        <v>10000</v>
      </c>
      <c r="F12" s="563" t="s">
        <v>3557</v>
      </c>
      <c r="G12" s="573" t="s">
        <v>2923</v>
      </c>
      <c r="H12" s="573" t="s">
        <v>20</v>
      </c>
      <c r="I12" s="573" t="s">
        <v>2924</v>
      </c>
      <c r="J12" s="573">
        <v>43567</v>
      </c>
      <c r="K12" s="576" t="s">
        <v>3795</v>
      </c>
      <c r="L12" s="572"/>
      <c r="M12" s="572"/>
      <c r="N12" s="572"/>
      <c r="O12" s="572"/>
      <c r="P12" s="572"/>
      <c r="Q12" s="572"/>
      <c r="R12" s="572"/>
      <c r="S12" s="572"/>
      <c r="T12" s="572"/>
      <c r="U12" s="572"/>
      <c r="V12" s="572"/>
      <c r="W12" s="572"/>
      <c r="X12" s="572"/>
      <c r="Y12" s="572"/>
      <c r="Z12" s="572"/>
      <c r="AA12" s="572"/>
      <c r="AB12" s="572"/>
      <c r="AC12" s="572"/>
      <c r="AD12" s="572"/>
      <c r="AE12" s="572"/>
    </row>
    <row r="13" spans="1:31" ht="15.75" customHeight="1">
      <c r="A13" s="577">
        <v>43906</v>
      </c>
      <c r="B13" s="578" t="s">
        <v>6349</v>
      </c>
      <c r="C13" s="405" t="s">
        <v>2921</v>
      </c>
      <c r="D13" s="563" t="s">
        <v>6341</v>
      </c>
      <c r="E13" s="575">
        <v>193205.23</v>
      </c>
      <c r="F13" s="563" t="s">
        <v>3228</v>
      </c>
      <c r="G13" s="573" t="s">
        <v>2923</v>
      </c>
      <c r="H13" s="573" t="s">
        <v>20</v>
      </c>
      <c r="I13" s="573" t="s">
        <v>2924</v>
      </c>
      <c r="J13" s="573">
        <v>43605</v>
      </c>
      <c r="K13" s="576" t="s">
        <v>3805</v>
      </c>
      <c r="L13" s="572"/>
      <c r="M13" s="572"/>
      <c r="N13" s="572"/>
      <c r="O13" s="572"/>
      <c r="P13" s="572"/>
      <c r="Q13" s="572"/>
      <c r="R13" s="572"/>
      <c r="S13" s="572"/>
      <c r="T13" s="572"/>
      <c r="U13" s="572"/>
      <c r="V13" s="572"/>
      <c r="W13" s="572"/>
      <c r="X13" s="572"/>
      <c r="Y13" s="572"/>
      <c r="Z13" s="572"/>
      <c r="AA13" s="572"/>
      <c r="AB13" s="572"/>
      <c r="AC13" s="572"/>
      <c r="AD13" s="572"/>
      <c r="AE13" s="572"/>
    </row>
    <row r="14" spans="1:31" ht="15.75" customHeight="1">
      <c r="A14" s="577">
        <v>43906</v>
      </c>
      <c r="B14" s="580" t="s">
        <v>6350</v>
      </c>
      <c r="C14" s="405" t="s">
        <v>3785</v>
      </c>
      <c r="D14" s="563" t="s">
        <v>6341</v>
      </c>
      <c r="E14" s="575">
        <v>10000</v>
      </c>
      <c r="F14" s="563" t="s">
        <v>5169</v>
      </c>
      <c r="G14" s="563" t="s">
        <v>2923</v>
      </c>
      <c r="H14" s="563" t="s">
        <v>20</v>
      </c>
      <c r="I14" s="563" t="s">
        <v>2923</v>
      </c>
      <c r="J14" s="573">
        <v>43924</v>
      </c>
      <c r="K14" s="579" t="s">
        <v>3795</v>
      </c>
      <c r="L14" s="572"/>
      <c r="M14" s="572"/>
      <c r="N14" s="572"/>
      <c r="O14" s="572"/>
      <c r="P14" s="572"/>
      <c r="Q14" s="572"/>
      <c r="R14" s="572"/>
      <c r="S14" s="572"/>
      <c r="T14" s="572"/>
      <c r="U14" s="572"/>
      <c r="V14" s="572"/>
      <c r="W14" s="572"/>
      <c r="X14" s="572"/>
      <c r="Y14" s="572"/>
      <c r="Z14" s="572"/>
      <c r="AA14" s="572"/>
      <c r="AB14" s="572"/>
      <c r="AC14" s="572"/>
      <c r="AD14" s="572"/>
      <c r="AE14" s="572"/>
    </row>
    <row r="15" spans="1:31" ht="15.75" customHeight="1">
      <c r="A15" s="577">
        <v>43907</v>
      </c>
      <c r="B15" s="578" t="s">
        <v>6351</v>
      </c>
      <c r="C15" s="405" t="s">
        <v>2921</v>
      </c>
      <c r="D15" s="563" t="s">
        <v>6341</v>
      </c>
      <c r="E15" s="575">
        <v>25000</v>
      </c>
      <c r="F15" s="563" t="s">
        <v>3067</v>
      </c>
      <c r="G15" s="573" t="s">
        <v>2923</v>
      </c>
      <c r="H15" s="573" t="s">
        <v>20</v>
      </c>
      <c r="I15" s="573" t="s">
        <v>2924</v>
      </c>
      <c r="J15" s="573">
        <v>43822</v>
      </c>
      <c r="K15" s="576" t="s">
        <v>3805</v>
      </c>
      <c r="L15" s="572"/>
      <c r="M15" s="572"/>
      <c r="N15" s="572"/>
      <c r="O15" s="572"/>
      <c r="P15" s="572"/>
      <c r="Q15" s="572"/>
      <c r="R15" s="572"/>
      <c r="S15" s="572"/>
      <c r="T15" s="572"/>
      <c r="U15" s="572"/>
      <c r="V15" s="572"/>
      <c r="W15" s="572"/>
      <c r="X15" s="572"/>
      <c r="Y15" s="572"/>
      <c r="Z15" s="572"/>
      <c r="AA15" s="572"/>
      <c r="AB15" s="572"/>
      <c r="AC15" s="572"/>
      <c r="AD15" s="572"/>
      <c r="AE15" s="572"/>
    </row>
    <row r="16" spans="1:31" ht="15.75" customHeight="1">
      <c r="A16" s="577">
        <v>43907</v>
      </c>
      <c r="B16" s="578" t="s">
        <v>6347</v>
      </c>
      <c r="C16" s="405" t="s">
        <v>2921</v>
      </c>
      <c r="D16" s="563" t="s">
        <v>6341</v>
      </c>
      <c r="E16" s="575">
        <v>7000</v>
      </c>
      <c r="F16" s="563" t="s">
        <v>3191</v>
      </c>
      <c r="G16" s="573" t="s">
        <v>2923</v>
      </c>
      <c r="H16" s="573" t="s">
        <v>20</v>
      </c>
      <c r="I16" s="573" t="s">
        <v>2924</v>
      </c>
      <c r="J16" s="573">
        <v>43703</v>
      </c>
      <c r="K16" s="576" t="s">
        <v>4188</v>
      </c>
      <c r="L16" s="572"/>
      <c r="M16" s="572"/>
      <c r="N16" s="572"/>
      <c r="O16" s="572"/>
      <c r="P16" s="572"/>
      <c r="Q16" s="572"/>
      <c r="R16" s="572"/>
      <c r="S16" s="572"/>
      <c r="T16" s="572"/>
      <c r="U16" s="572"/>
      <c r="V16" s="572"/>
      <c r="W16" s="572"/>
      <c r="X16" s="572"/>
      <c r="Y16" s="572"/>
      <c r="Z16" s="572"/>
      <c r="AA16" s="572"/>
      <c r="AB16" s="572"/>
      <c r="AC16" s="572"/>
      <c r="AD16" s="572"/>
      <c r="AE16" s="572"/>
    </row>
    <row r="17" spans="1:31" ht="15.75" customHeight="1">
      <c r="A17" s="577">
        <v>43907</v>
      </c>
      <c r="B17" s="578" t="s">
        <v>6352</v>
      </c>
      <c r="C17" s="405" t="s">
        <v>3785</v>
      </c>
      <c r="D17" s="563" t="s">
        <v>6341</v>
      </c>
      <c r="E17" s="575">
        <v>95799.8</v>
      </c>
      <c r="F17" s="563" t="s">
        <v>4665</v>
      </c>
      <c r="G17" s="563" t="s">
        <v>2923</v>
      </c>
      <c r="H17" s="563" t="s">
        <v>20</v>
      </c>
      <c r="I17" s="563" t="s">
        <v>2923</v>
      </c>
      <c r="J17" s="573">
        <v>44252</v>
      </c>
      <c r="K17" s="579" t="s">
        <v>3805</v>
      </c>
      <c r="L17" s="572"/>
      <c r="M17" s="572"/>
      <c r="N17" s="572"/>
      <c r="O17" s="572"/>
      <c r="P17" s="572"/>
      <c r="Q17" s="572"/>
      <c r="R17" s="572"/>
      <c r="S17" s="572"/>
      <c r="T17" s="572"/>
      <c r="U17" s="572"/>
      <c r="V17" s="572"/>
      <c r="W17" s="572"/>
      <c r="X17" s="572"/>
      <c r="Y17" s="572"/>
      <c r="Z17" s="572"/>
      <c r="AA17" s="572"/>
      <c r="AB17" s="572"/>
      <c r="AC17" s="572"/>
      <c r="AD17" s="572"/>
      <c r="AE17" s="572"/>
    </row>
    <row r="18" spans="1:31" ht="15.75" customHeight="1">
      <c r="A18" s="573">
        <v>43910</v>
      </c>
      <c r="B18" s="574" t="s">
        <v>6353</v>
      </c>
      <c r="C18" s="563" t="s">
        <v>2921</v>
      </c>
      <c r="D18" s="563" t="s">
        <v>3110</v>
      </c>
      <c r="E18" s="575">
        <v>0</v>
      </c>
      <c r="F18" s="563" t="s">
        <v>3129</v>
      </c>
      <c r="G18" s="573" t="s">
        <v>2923</v>
      </c>
      <c r="H18" s="573" t="s">
        <v>20</v>
      </c>
      <c r="I18" s="573" t="s">
        <v>2930</v>
      </c>
      <c r="J18" s="573">
        <v>43699</v>
      </c>
      <c r="K18" s="576" t="s">
        <v>4188</v>
      </c>
      <c r="L18" s="572"/>
      <c r="M18" s="572"/>
      <c r="N18" s="572"/>
      <c r="O18" s="572"/>
      <c r="P18" s="572"/>
      <c r="Q18" s="572"/>
      <c r="R18" s="572"/>
      <c r="S18" s="572"/>
      <c r="T18" s="572"/>
      <c r="U18" s="572"/>
      <c r="V18" s="572"/>
      <c r="W18" s="572"/>
      <c r="X18" s="572"/>
      <c r="Y18" s="572"/>
      <c r="Z18" s="572"/>
      <c r="AA18" s="572"/>
      <c r="AB18" s="572"/>
      <c r="AC18" s="572"/>
      <c r="AD18" s="572"/>
      <c r="AE18" s="572"/>
    </row>
    <row r="19" spans="1:31" ht="15.75" customHeight="1">
      <c r="A19" s="577">
        <v>43915</v>
      </c>
      <c r="B19" s="578" t="s">
        <v>6349</v>
      </c>
      <c r="C19" s="405" t="s">
        <v>2921</v>
      </c>
      <c r="D19" s="563" t="s">
        <v>6341</v>
      </c>
      <c r="E19" s="575">
        <v>0</v>
      </c>
      <c r="F19" s="563" t="s">
        <v>3228</v>
      </c>
      <c r="G19" s="573" t="s">
        <v>2923</v>
      </c>
      <c r="H19" s="573" t="s">
        <v>20</v>
      </c>
      <c r="I19" s="573" t="s">
        <v>2924</v>
      </c>
      <c r="J19" s="573">
        <v>43605</v>
      </c>
      <c r="K19" s="576" t="s">
        <v>3805</v>
      </c>
      <c r="L19" s="572"/>
      <c r="M19" s="572"/>
      <c r="N19" s="572"/>
      <c r="O19" s="572"/>
      <c r="P19" s="572"/>
      <c r="Q19" s="572"/>
      <c r="R19" s="572"/>
      <c r="S19" s="572"/>
      <c r="T19" s="572"/>
      <c r="U19" s="572"/>
      <c r="V19" s="572"/>
      <c r="W19" s="572"/>
      <c r="X19" s="572"/>
      <c r="Y19" s="572"/>
      <c r="Z19" s="572"/>
      <c r="AA19" s="572"/>
      <c r="AB19" s="572"/>
      <c r="AC19" s="572"/>
      <c r="AD19" s="572"/>
      <c r="AE19" s="572"/>
    </row>
    <row r="20" spans="1:31" ht="15.75" customHeight="1">
      <c r="A20" s="577">
        <v>43915</v>
      </c>
      <c r="B20" s="578" t="s">
        <v>6347</v>
      </c>
      <c r="C20" s="405" t="s">
        <v>2921</v>
      </c>
      <c r="D20" s="563" t="s">
        <v>6341</v>
      </c>
      <c r="E20" s="575">
        <v>80000</v>
      </c>
      <c r="F20" s="563" t="s">
        <v>3191</v>
      </c>
      <c r="G20" s="573" t="s">
        <v>2923</v>
      </c>
      <c r="H20" s="573" t="s">
        <v>20</v>
      </c>
      <c r="I20" s="573" t="s">
        <v>2924</v>
      </c>
      <c r="J20" s="573">
        <v>43703</v>
      </c>
      <c r="K20" s="576" t="s">
        <v>4188</v>
      </c>
      <c r="L20" s="572"/>
      <c r="M20" s="572"/>
      <c r="N20" s="572"/>
      <c r="O20" s="572"/>
      <c r="P20" s="572"/>
      <c r="Q20" s="572"/>
      <c r="R20" s="572"/>
      <c r="S20" s="572"/>
      <c r="T20" s="572"/>
      <c r="U20" s="572"/>
      <c r="V20" s="572"/>
      <c r="W20" s="572"/>
      <c r="X20" s="572"/>
      <c r="Y20" s="572"/>
      <c r="Z20" s="572"/>
      <c r="AA20" s="572"/>
      <c r="AB20" s="572"/>
      <c r="AC20" s="572"/>
      <c r="AD20" s="572"/>
      <c r="AE20" s="572"/>
    </row>
    <row r="21" spans="1:31" ht="15.75" customHeight="1">
      <c r="A21" s="577">
        <v>43915</v>
      </c>
      <c r="B21" s="578" t="s">
        <v>6350</v>
      </c>
      <c r="C21" s="405" t="s">
        <v>3785</v>
      </c>
      <c r="D21" s="563" t="s">
        <v>928</v>
      </c>
      <c r="E21" s="575">
        <v>10000</v>
      </c>
      <c r="F21" s="563" t="s">
        <v>5169</v>
      </c>
      <c r="G21" s="563" t="s">
        <v>2923</v>
      </c>
      <c r="H21" s="563" t="s">
        <v>20</v>
      </c>
      <c r="I21" s="563" t="s">
        <v>2923</v>
      </c>
      <c r="J21" s="573">
        <v>43924</v>
      </c>
      <c r="K21" s="579" t="s">
        <v>3795</v>
      </c>
      <c r="L21" s="572"/>
      <c r="M21" s="572"/>
      <c r="N21" s="572"/>
      <c r="O21" s="572"/>
      <c r="P21" s="572"/>
      <c r="Q21" s="572"/>
      <c r="R21" s="572"/>
      <c r="S21" s="572"/>
      <c r="T21" s="572"/>
      <c r="U21" s="572"/>
      <c r="V21" s="572"/>
      <c r="W21" s="572"/>
      <c r="X21" s="572"/>
      <c r="Y21" s="572"/>
      <c r="Z21" s="572"/>
      <c r="AA21" s="572"/>
      <c r="AB21" s="572"/>
      <c r="AC21" s="572"/>
      <c r="AD21" s="572"/>
      <c r="AE21" s="572"/>
    </row>
    <row r="22" spans="1:31" ht="15.75" customHeight="1">
      <c r="A22" s="577">
        <v>43917</v>
      </c>
      <c r="B22" s="578" t="s">
        <v>6354</v>
      </c>
      <c r="C22" s="405" t="s">
        <v>2921</v>
      </c>
      <c r="D22" s="563" t="s">
        <v>6341</v>
      </c>
      <c r="E22" s="575">
        <v>80000</v>
      </c>
      <c r="F22" s="563" t="s">
        <v>3254</v>
      </c>
      <c r="G22" s="573" t="s">
        <v>2923</v>
      </c>
      <c r="H22" s="573" t="s">
        <v>20</v>
      </c>
      <c r="I22" s="573" t="s">
        <v>2930</v>
      </c>
      <c r="J22" s="573">
        <v>43664</v>
      </c>
      <c r="K22" s="576" t="s">
        <v>4188</v>
      </c>
      <c r="L22" s="572"/>
      <c r="M22" s="572"/>
      <c r="N22" s="572"/>
      <c r="O22" s="572"/>
      <c r="P22" s="572"/>
      <c r="Q22" s="572"/>
      <c r="R22" s="572"/>
      <c r="S22" s="572"/>
      <c r="T22" s="572"/>
      <c r="U22" s="572"/>
      <c r="V22" s="572"/>
      <c r="W22" s="572"/>
      <c r="X22" s="572"/>
      <c r="Y22" s="572"/>
      <c r="Z22" s="572"/>
      <c r="AA22" s="572"/>
      <c r="AB22" s="572"/>
      <c r="AC22" s="572"/>
      <c r="AD22" s="572"/>
      <c r="AE22" s="572"/>
    </row>
    <row r="23" spans="1:31" ht="15.75" customHeight="1">
      <c r="A23" s="577">
        <v>43917</v>
      </c>
      <c r="B23" s="578" t="s">
        <v>6343</v>
      </c>
      <c r="C23" s="405" t="s">
        <v>3785</v>
      </c>
      <c r="D23" s="563" t="s">
        <v>6341</v>
      </c>
      <c r="E23" s="575">
        <v>25000</v>
      </c>
      <c r="F23" s="563" t="s">
        <v>5048</v>
      </c>
      <c r="G23" s="563" t="s">
        <v>2923</v>
      </c>
      <c r="H23" s="563" t="s">
        <v>20</v>
      </c>
      <c r="I23" s="563" t="s">
        <v>2923</v>
      </c>
      <c r="J23" s="573">
        <v>43749</v>
      </c>
      <c r="K23" s="579" t="s">
        <v>4188</v>
      </c>
      <c r="L23" s="572"/>
      <c r="M23" s="572"/>
      <c r="N23" s="572"/>
      <c r="O23" s="572"/>
      <c r="P23" s="572"/>
      <c r="Q23" s="572"/>
      <c r="R23" s="572"/>
      <c r="S23" s="572"/>
      <c r="T23" s="572"/>
      <c r="U23" s="572"/>
      <c r="V23" s="572"/>
      <c r="W23" s="572"/>
      <c r="X23" s="572"/>
      <c r="Y23" s="572"/>
      <c r="Z23" s="572"/>
      <c r="AA23" s="572"/>
      <c r="AB23" s="572"/>
      <c r="AC23" s="572"/>
      <c r="AD23" s="572"/>
      <c r="AE23" s="572"/>
    </row>
    <row r="24" spans="1:31" ht="15.75" customHeight="1">
      <c r="A24" s="577">
        <v>43920</v>
      </c>
      <c r="B24" s="578" t="s">
        <v>6355</v>
      </c>
      <c r="C24" s="405" t="s">
        <v>2921</v>
      </c>
      <c r="D24" s="563" t="s">
        <v>6341</v>
      </c>
      <c r="E24" s="575">
        <v>20000</v>
      </c>
      <c r="F24" s="563" t="s">
        <v>3236</v>
      </c>
      <c r="G24" s="573" t="s">
        <v>2923</v>
      </c>
      <c r="H24" s="573" t="s">
        <v>20</v>
      </c>
      <c r="I24" s="573" t="s">
        <v>2930</v>
      </c>
      <c r="J24" s="573">
        <v>43559</v>
      </c>
      <c r="K24" s="576" t="s">
        <v>4188</v>
      </c>
      <c r="L24" s="572"/>
      <c r="M24" s="572"/>
      <c r="N24" s="572"/>
      <c r="O24" s="572"/>
      <c r="P24" s="572"/>
      <c r="Q24" s="572"/>
      <c r="R24" s="572"/>
      <c r="S24" s="572"/>
      <c r="T24" s="572"/>
      <c r="U24" s="572"/>
      <c r="V24" s="572"/>
      <c r="W24" s="572"/>
      <c r="X24" s="572"/>
      <c r="Y24" s="572"/>
      <c r="Z24" s="572"/>
      <c r="AA24" s="572"/>
      <c r="AB24" s="572"/>
      <c r="AC24" s="572"/>
      <c r="AD24" s="572"/>
      <c r="AE24" s="572"/>
    </row>
    <row r="25" spans="1:31" ht="15.75" customHeight="1">
      <c r="A25" s="573">
        <v>43922</v>
      </c>
      <c r="B25" s="574" t="s">
        <v>6356</v>
      </c>
      <c r="C25" s="563" t="s">
        <v>2921</v>
      </c>
      <c r="D25" s="563" t="s">
        <v>3110</v>
      </c>
      <c r="E25" s="575">
        <v>95799.8</v>
      </c>
      <c r="F25" s="563" t="s">
        <v>3417</v>
      </c>
      <c r="G25" s="573" t="s">
        <v>2923</v>
      </c>
      <c r="H25" s="573" t="s">
        <v>20</v>
      </c>
      <c r="I25" s="573" t="s">
        <v>2924</v>
      </c>
      <c r="J25" s="573">
        <v>43563</v>
      </c>
      <c r="K25" s="576" t="s">
        <v>3809</v>
      </c>
      <c r="L25" s="572"/>
      <c r="M25" s="572"/>
      <c r="N25" s="572"/>
      <c r="O25" s="572"/>
      <c r="P25" s="572"/>
      <c r="Q25" s="572"/>
      <c r="R25" s="572"/>
      <c r="S25" s="572"/>
      <c r="T25" s="572"/>
      <c r="U25" s="572"/>
      <c r="V25" s="572"/>
      <c r="W25" s="572"/>
      <c r="X25" s="572"/>
      <c r="Y25" s="572"/>
      <c r="Z25" s="572"/>
      <c r="AA25" s="572"/>
      <c r="AB25" s="572"/>
      <c r="AC25" s="572"/>
      <c r="AD25" s="572"/>
      <c r="AE25" s="572"/>
    </row>
    <row r="26" spans="1:31" ht="15.75" customHeight="1">
      <c r="A26" s="577">
        <v>43922</v>
      </c>
      <c r="B26" s="578" t="s">
        <v>6356</v>
      </c>
      <c r="C26" s="405" t="s">
        <v>2921</v>
      </c>
      <c r="D26" s="563" t="s">
        <v>928</v>
      </c>
      <c r="E26" s="575">
        <v>50000</v>
      </c>
      <c r="F26" s="563" t="s">
        <v>3417</v>
      </c>
      <c r="G26" s="573" t="s">
        <v>2923</v>
      </c>
      <c r="H26" s="573" t="s">
        <v>20</v>
      </c>
      <c r="I26" s="573" t="s">
        <v>2924</v>
      </c>
      <c r="J26" s="573">
        <v>43563</v>
      </c>
      <c r="K26" s="576" t="s">
        <v>3809</v>
      </c>
      <c r="L26" s="572"/>
      <c r="M26" s="572"/>
      <c r="N26" s="572"/>
      <c r="O26" s="572"/>
      <c r="P26" s="572"/>
      <c r="Q26" s="572"/>
      <c r="R26" s="572"/>
      <c r="S26" s="572"/>
      <c r="T26" s="572"/>
      <c r="U26" s="572"/>
      <c r="V26" s="572"/>
      <c r="W26" s="572"/>
      <c r="X26" s="572"/>
      <c r="Y26" s="572"/>
      <c r="Z26" s="572"/>
      <c r="AA26" s="572"/>
      <c r="AB26" s="572"/>
      <c r="AC26" s="572"/>
      <c r="AD26" s="572"/>
      <c r="AE26" s="572"/>
    </row>
    <row r="27" spans="1:31" ht="15.75" customHeight="1">
      <c r="A27" s="577">
        <v>43922</v>
      </c>
      <c r="B27" s="578" t="s">
        <v>6357</v>
      </c>
      <c r="C27" s="405" t="s">
        <v>2921</v>
      </c>
      <c r="D27" s="563" t="s">
        <v>928</v>
      </c>
      <c r="E27" s="575">
        <v>30000</v>
      </c>
      <c r="F27" s="563" t="s">
        <v>3060</v>
      </c>
      <c r="G27" s="573" t="s">
        <v>2923</v>
      </c>
      <c r="H27" s="573" t="s">
        <v>20</v>
      </c>
      <c r="I27" s="573" t="s">
        <v>2924</v>
      </c>
      <c r="J27" s="573">
        <v>43453</v>
      </c>
      <c r="K27" s="576" t="s">
        <v>3809</v>
      </c>
      <c r="L27" s="572"/>
      <c r="M27" s="572"/>
      <c r="N27" s="572"/>
      <c r="O27" s="572"/>
      <c r="P27" s="572"/>
      <c r="Q27" s="572"/>
      <c r="R27" s="572"/>
      <c r="S27" s="572"/>
      <c r="T27" s="572"/>
      <c r="U27" s="572"/>
      <c r="V27" s="572"/>
      <c r="W27" s="572"/>
      <c r="X27" s="572"/>
      <c r="Y27" s="572"/>
      <c r="Z27" s="572"/>
      <c r="AA27" s="572"/>
      <c r="AB27" s="572"/>
      <c r="AC27" s="572"/>
      <c r="AD27" s="572"/>
      <c r="AE27" s="572"/>
    </row>
    <row r="28" spans="1:31" ht="15.75" customHeight="1">
      <c r="A28" s="577">
        <v>43923</v>
      </c>
      <c r="B28" s="578" t="s">
        <v>6347</v>
      </c>
      <c r="C28" s="405" t="s">
        <v>2921</v>
      </c>
      <c r="D28" s="563" t="s">
        <v>6341</v>
      </c>
      <c r="E28" s="575">
        <v>14000</v>
      </c>
      <c r="F28" s="563" t="s">
        <v>3191</v>
      </c>
      <c r="G28" s="573" t="s">
        <v>2923</v>
      </c>
      <c r="H28" s="573" t="s">
        <v>20</v>
      </c>
      <c r="I28" s="573" t="s">
        <v>2924</v>
      </c>
      <c r="J28" s="573">
        <v>43703</v>
      </c>
      <c r="K28" s="576" t="s">
        <v>4188</v>
      </c>
      <c r="L28" s="572"/>
      <c r="M28" s="572"/>
      <c r="N28" s="572"/>
      <c r="O28" s="572"/>
      <c r="P28" s="572"/>
      <c r="Q28" s="572"/>
      <c r="R28" s="572"/>
      <c r="S28" s="572"/>
      <c r="T28" s="572"/>
      <c r="U28" s="572"/>
      <c r="V28" s="572"/>
      <c r="W28" s="572"/>
      <c r="X28" s="572"/>
      <c r="Y28" s="572"/>
      <c r="Z28" s="572"/>
      <c r="AA28" s="572"/>
      <c r="AB28" s="572"/>
      <c r="AC28" s="572"/>
      <c r="AD28" s="572"/>
      <c r="AE28" s="572"/>
    </row>
    <row r="29" spans="1:31" ht="15.75" customHeight="1">
      <c r="A29" s="573">
        <v>43924</v>
      </c>
      <c r="B29" s="574" t="s">
        <v>6350</v>
      </c>
      <c r="C29" s="563" t="s">
        <v>3785</v>
      </c>
      <c r="D29" s="563" t="s">
        <v>3110</v>
      </c>
      <c r="E29" s="575">
        <v>0</v>
      </c>
      <c r="F29" s="563" t="s">
        <v>5169</v>
      </c>
      <c r="G29" s="563" t="s">
        <v>2923</v>
      </c>
      <c r="H29" s="563" t="s">
        <v>20</v>
      </c>
      <c r="I29" s="563" t="s">
        <v>2923</v>
      </c>
      <c r="J29" s="573">
        <v>43684</v>
      </c>
      <c r="K29" s="579" t="s">
        <v>3795</v>
      </c>
      <c r="L29" s="572"/>
      <c r="M29" s="572"/>
      <c r="N29" s="572"/>
      <c r="O29" s="572"/>
      <c r="P29" s="572"/>
      <c r="Q29" s="572"/>
      <c r="R29" s="572"/>
      <c r="S29" s="572"/>
      <c r="T29" s="572"/>
      <c r="U29" s="572"/>
      <c r="V29" s="572"/>
      <c r="W29" s="572"/>
      <c r="X29" s="572"/>
      <c r="Y29" s="572"/>
      <c r="Z29" s="572"/>
      <c r="AA29" s="572"/>
      <c r="AB29" s="572"/>
      <c r="AC29" s="572"/>
      <c r="AD29" s="572"/>
      <c r="AE29" s="572"/>
    </row>
    <row r="30" spans="1:31" ht="15.75" customHeight="1">
      <c r="A30" s="577">
        <v>43928</v>
      </c>
      <c r="B30" s="578" t="s">
        <v>6358</v>
      </c>
      <c r="C30" s="405" t="s">
        <v>3785</v>
      </c>
      <c r="D30" s="563" t="s">
        <v>6341</v>
      </c>
      <c r="E30" s="575">
        <v>20000</v>
      </c>
      <c r="F30" s="563" t="s">
        <v>4679</v>
      </c>
      <c r="G30" s="563" t="s">
        <v>2923</v>
      </c>
      <c r="H30" s="563" t="s">
        <v>20</v>
      </c>
      <c r="I30" s="563" t="s">
        <v>2923</v>
      </c>
      <c r="J30" s="573">
        <v>43872</v>
      </c>
      <c r="K30" s="579" t="s">
        <v>3795</v>
      </c>
      <c r="L30" s="572"/>
      <c r="M30" s="572"/>
      <c r="N30" s="572"/>
      <c r="O30" s="572"/>
      <c r="P30" s="572"/>
      <c r="Q30" s="572"/>
      <c r="R30" s="572"/>
      <c r="S30" s="572"/>
      <c r="T30" s="572"/>
      <c r="U30" s="572"/>
      <c r="V30" s="572"/>
      <c r="W30" s="572"/>
      <c r="X30" s="572"/>
      <c r="Y30" s="572"/>
      <c r="Z30" s="572"/>
      <c r="AA30" s="572"/>
      <c r="AB30" s="572"/>
      <c r="AC30" s="572"/>
      <c r="AD30" s="572"/>
      <c r="AE30" s="572"/>
    </row>
    <row r="31" spans="1:31" ht="15.75" customHeight="1">
      <c r="A31" s="577">
        <v>43929</v>
      </c>
      <c r="B31" s="578" t="s">
        <v>6359</v>
      </c>
      <c r="C31" s="405" t="s">
        <v>2921</v>
      </c>
      <c r="D31" s="563" t="s">
        <v>6341</v>
      </c>
      <c r="E31" s="575">
        <v>8000</v>
      </c>
      <c r="F31" s="563" t="s">
        <v>3546</v>
      </c>
      <c r="G31" s="573" t="s">
        <v>2923</v>
      </c>
      <c r="H31" s="573" t="s">
        <v>20</v>
      </c>
      <c r="I31" s="573" t="s">
        <v>2924</v>
      </c>
      <c r="J31" s="573">
        <v>43738</v>
      </c>
      <c r="K31" s="576" t="s">
        <v>3809</v>
      </c>
      <c r="L31" s="572"/>
      <c r="M31" s="572"/>
      <c r="N31" s="572"/>
      <c r="O31" s="572"/>
      <c r="P31" s="572"/>
      <c r="Q31" s="572"/>
      <c r="R31" s="572"/>
      <c r="S31" s="572"/>
      <c r="T31" s="572"/>
      <c r="U31" s="572"/>
      <c r="V31" s="572"/>
      <c r="W31" s="572"/>
      <c r="X31" s="572"/>
      <c r="Y31" s="572"/>
      <c r="Z31" s="572"/>
      <c r="AA31" s="572"/>
      <c r="AB31" s="572"/>
      <c r="AC31" s="572"/>
      <c r="AD31" s="572"/>
      <c r="AE31" s="572"/>
    </row>
    <row r="32" spans="1:31" ht="15.75" customHeight="1">
      <c r="A32" s="577">
        <v>43930</v>
      </c>
      <c r="B32" s="578" t="s">
        <v>3696</v>
      </c>
      <c r="C32" s="405" t="s">
        <v>3607</v>
      </c>
      <c r="D32" s="563" t="s">
        <v>6341</v>
      </c>
      <c r="E32" s="575">
        <v>5000</v>
      </c>
      <c r="F32" s="563" t="s">
        <v>3695</v>
      </c>
      <c r="G32" s="573" t="s">
        <v>19</v>
      </c>
      <c r="H32" s="573" t="s">
        <v>20</v>
      </c>
      <c r="I32" s="573" t="s">
        <v>2512</v>
      </c>
      <c r="J32" s="573">
        <v>43797</v>
      </c>
      <c r="K32" s="576" t="s">
        <v>3805</v>
      </c>
      <c r="L32" s="572"/>
      <c r="M32" s="572"/>
      <c r="N32" s="572"/>
      <c r="O32" s="572"/>
      <c r="P32" s="572"/>
      <c r="Q32" s="572"/>
      <c r="R32" s="572"/>
      <c r="S32" s="572"/>
      <c r="T32" s="572"/>
      <c r="U32" s="572"/>
      <c r="V32" s="572"/>
      <c r="W32" s="572"/>
      <c r="X32" s="572"/>
      <c r="Y32" s="572"/>
      <c r="Z32" s="572"/>
      <c r="AA32" s="572"/>
      <c r="AB32" s="572"/>
      <c r="AC32" s="572"/>
      <c r="AD32" s="572"/>
      <c r="AE32" s="572"/>
    </row>
    <row r="33" spans="1:31" ht="15.75" customHeight="1">
      <c r="A33" s="577">
        <v>43935</v>
      </c>
      <c r="B33" s="578" t="s">
        <v>6360</v>
      </c>
      <c r="C33" s="405" t="s">
        <v>3785</v>
      </c>
      <c r="D33" s="563" t="s">
        <v>6341</v>
      </c>
      <c r="E33" s="575">
        <v>2000</v>
      </c>
      <c r="F33" s="563" t="s">
        <v>5111</v>
      </c>
      <c r="G33" s="563" t="s">
        <v>2923</v>
      </c>
      <c r="H33" s="563" t="s">
        <v>20</v>
      </c>
      <c r="I33" s="563" t="s">
        <v>2923</v>
      </c>
      <c r="J33" s="573">
        <v>44225</v>
      </c>
      <c r="K33" s="579" t="s">
        <v>3795</v>
      </c>
      <c r="L33" s="572"/>
      <c r="M33" s="572"/>
      <c r="N33" s="572"/>
      <c r="O33" s="572"/>
      <c r="P33" s="572"/>
      <c r="Q33" s="572"/>
      <c r="R33" s="572"/>
      <c r="S33" s="572"/>
      <c r="T33" s="572"/>
      <c r="U33" s="572"/>
      <c r="V33" s="572"/>
      <c r="W33" s="572"/>
      <c r="X33" s="572"/>
      <c r="Y33" s="572"/>
      <c r="Z33" s="572"/>
      <c r="AA33" s="572"/>
      <c r="AB33" s="572"/>
      <c r="AC33" s="572"/>
      <c r="AD33" s="572"/>
      <c r="AE33" s="572"/>
    </row>
    <row r="34" spans="1:31" ht="15.75" customHeight="1">
      <c r="A34" s="577">
        <v>43938</v>
      </c>
      <c r="B34" s="578" t="s">
        <v>6349</v>
      </c>
      <c r="C34" s="405" t="s">
        <v>2921</v>
      </c>
      <c r="D34" s="563" t="s">
        <v>6341</v>
      </c>
      <c r="E34" s="575">
        <v>3000</v>
      </c>
      <c r="F34" s="563" t="s">
        <v>3228</v>
      </c>
      <c r="G34" s="573" t="s">
        <v>2923</v>
      </c>
      <c r="H34" s="573" t="s">
        <v>20</v>
      </c>
      <c r="I34" s="573" t="s">
        <v>2924</v>
      </c>
      <c r="J34" s="573">
        <v>43605</v>
      </c>
      <c r="K34" s="576" t="s">
        <v>3805</v>
      </c>
      <c r="L34" s="572"/>
      <c r="M34" s="572"/>
      <c r="N34" s="572"/>
      <c r="O34" s="572"/>
      <c r="P34" s="572"/>
      <c r="Q34" s="572"/>
      <c r="R34" s="572"/>
      <c r="S34" s="572"/>
      <c r="T34" s="572"/>
      <c r="U34" s="572"/>
      <c r="V34" s="572"/>
      <c r="W34" s="572"/>
      <c r="X34" s="572"/>
      <c r="Y34" s="572"/>
      <c r="Z34" s="572"/>
      <c r="AA34" s="572"/>
      <c r="AB34" s="572"/>
      <c r="AC34" s="572"/>
      <c r="AD34" s="572"/>
      <c r="AE34" s="572"/>
    </row>
    <row r="35" spans="1:31" ht="15.75" customHeight="1">
      <c r="A35" s="577">
        <v>43948</v>
      </c>
      <c r="B35" s="578" t="s">
        <v>6347</v>
      </c>
      <c r="C35" s="405" t="s">
        <v>2921</v>
      </c>
      <c r="D35" s="563" t="s">
        <v>6341</v>
      </c>
      <c r="E35" s="575">
        <v>10000</v>
      </c>
      <c r="F35" s="563" t="s">
        <v>3191</v>
      </c>
      <c r="G35" s="573" t="s">
        <v>2923</v>
      </c>
      <c r="H35" s="573" t="s">
        <v>20</v>
      </c>
      <c r="I35" s="573" t="s">
        <v>2924</v>
      </c>
      <c r="J35" s="573">
        <v>43703</v>
      </c>
      <c r="K35" s="576" t="s">
        <v>4188</v>
      </c>
      <c r="L35" s="572"/>
      <c r="M35" s="572"/>
      <c r="N35" s="572"/>
      <c r="O35" s="572"/>
      <c r="P35" s="572"/>
      <c r="Q35" s="572"/>
      <c r="R35" s="572"/>
      <c r="S35" s="572"/>
      <c r="T35" s="572"/>
      <c r="U35" s="572"/>
      <c r="V35" s="572"/>
      <c r="W35" s="572"/>
      <c r="X35" s="572"/>
      <c r="Y35" s="572"/>
      <c r="Z35" s="572"/>
      <c r="AA35" s="572"/>
      <c r="AB35" s="572"/>
      <c r="AC35" s="572"/>
      <c r="AD35" s="572"/>
      <c r="AE35" s="572"/>
    </row>
    <row r="36" spans="1:31" ht="15.75" customHeight="1">
      <c r="A36" s="577">
        <v>43948</v>
      </c>
      <c r="B36" s="578" t="s">
        <v>6349</v>
      </c>
      <c r="C36" s="405" t="s">
        <v>2921</v>
      </c>
      <c r="D36" s="563" t="s">
        <v>6341</v>
      </c>
      <c r="E36" s="575">
        <v>2000</v>
      </c>
      <c r="F36" s="563" t="s">
        <v>3228</v>
      </c>
      <c r="G36" s="573" t="s">
        <v>2923</v>
      </c>
      <c r="H36" s="573" t="s">
        <v>20</v>
      </c>
      <c r="I36" s="573" t="s">
        <v>2924</v>
      </c>
      <c r="J36" s="573">
        <v>43605</v>
      </c>
      <c r="K36" s="576" t="s">
        <v>3805</v>
      </c>
      <c r="L36" s="572"/>
      <c r="M36" s="572"/>
      <c r="N36" s="572"/>
      <c r="O36" s="572"/>
      <c r="P36" s="572"/>
      <c r="Q36" s="572"/>
      <c r="R36" s="572"/>
      <c r="S36" s="572"/>
      <c r="T36" s="572"/>
      <c r="U36" s="572"/>
      <c r="V36" s="572"/>
      <c r="W36" s="572"/>
      <c r="X36" s="572"/>
      <c r="Y36" s="572"/>
      <c r="Z36" s="572"/>
      <c r="AA36" s="572"/>
      <c r="AB36" s="572"/>
      <c r="AC36" s="572"/>
      <c r="AD36" s="572"/>
      <c r="AE36" s="572"/>
    </row>
    <row r="37" spans="1:31" ht="15.75" customHeight="1">
      <c r="A37" s="577">
        <v>43949</v>
      </c>
      <c r="B37" s="578" t="s">
        <v>6343</v>
      </c>
      <c r="C37" s="405" t="s">
        <v>3785</v>
      </c>
      <c r="D37" s="563" t="s">
        <v>6341</v>
      </c>
      <c r="E37" s="575">
        <v>15000</v>
      </c>
      <c r="F37" s="563" t="s">
        <v>5048</v>
      </c>
      <c r="G37" s="563" t="s">
        <v>2923</v>
      </c>
      <c r="H37" s="563" t="s">
        <v>20</v>
      </c>
      <c r="I37" s="563" t="s">
        <v>2923</v>
      </c>
      <c r="J37" s="573">
        <v>43749</v>
      </c>
      <c r="K37" s="579" t="s">
        <v>4188</v>
      </c>
      <c r="L37" s="572"/>
      <c r="M37" s="572"/>
      <c r="N37" s="572"/>
      <c r="O37" s="572"/>
      <c r="P37" s="572"/>
      <c r="Q37" s="572"/>
      <c r="R37" s="572"/>
      <c r="S37" s="572"/>
      <c r="T37" s="572"/>
      <c r="U37" s="572"/>
      <c r="V37" s="572"/>
      <c r="W37" s="572"/>
      <c r="X37" s="572"/>
      <c r="Y37" s="572"/>
      <c r="Z37" s="572"/>
      <c r="AA37" s="572"/>
      <c r="AB37" s="572"/>
      <c r="AC37" s="572"/>
      <c r="AD37" s="572"/>
      <c r="AE37" s="572"/>
    </row>
    <row r="38" spans="1:31" ht="15.75" customHeight="1">
      <c r="A38" s="577">
        <v>43950</v>
      </c>
      <c r="B38" s="578" t="s">
        <v>6354</v>
      </c>
      <c r="C38" s="405" t="s">
        <v>2921</v>
      </c>
      <c r="D38" s="563" t="s">
        <v>6341</v>
      </c>
      <c r="E38" s="575">
        <v>100000</v>
      </c>
      <c r="F38" s="563" t="s">
        <v>3254</v>
      </c>
      <c r="G38" s="573" t="s">
        <v>2923</v>
      </c>
      <c r="H38" s="573" t="s">
        <v>20</v>
      </c>
      <c r="I38" s="573" t="s">
        <v>2930</v>
      </c>
      <c r="J38" s="573">
        <v>43664</v>
      </c>
      <c r="K38" s="576" t="s">
        <v>4188</v>
      </c>
      <c r="L38" s="572"/>
      <c r="M38" s="572"/>
      <c r="N38" s="572"/>
      <c r="O38" s="572"/>
      <c r="P38" s="572"/>
      <c r="Q38" s="572"/>
      <c r="R38" s="572"/>
      <c r="S38" s="572"/>
      <c r="T38" s="572"/>
      <c r="U38" s="572"/>
      <c r="V38" s="572"/>
      <c r="W38" s="572"/>
      <c r="X38" s="572"/>
      <c r="Y38" s="572"/>
      <c r="Z38" s="572"/>
      <c r="AA38" s="572"/>
      <c r="AB38" s="572"/>
      <c r="AC38" s="572"/>
      <c r="AD38" s="572"/>
      <c r="AE38" s="572"/>
    </row>
    <row r="39" spans="1:31" ht="15.75" customHeight="1">
      <c r="A39" s="577">
        <v>43951</v>
      </c>
      <c r="B39" s="578" t="s">
        <v>6355</v>
      </c>
      <c r="C39" s="405" t="s">
        <v>2921</v>
      </c>
      <c r="D39" s="563" t="s">
        <v>6341</v>
      </c>
      <c r="E39" s="575">
        <v>20000</v>
      </c>
      <c r="F39" s="563" t="s">
        <v>3236</v>
      </c>
      <c r="G39" s="573" t="s">
        <v>2923</v>
      </c>
      <c r="H39" s="573" t="s">
        <v>20</v>
      </c>
      <c r="I39" s="573" t="s">
        <v>2930</v>
      </c>
      <c r="J39" s="573">
        <v>43559</v>
      </c>
      <c r="K39" s="576" t="s">
        <v>4188</v>
      </c>
      <c r="L39" s="572"/>
      <c r="M39" s="572"/>
      <c r="N39" s="572"/>
      <c r="O39" s="572"/>
      <c r="P39" s="572"/>
      <c r="Q39" s="572"/>
      <c r="R39" s="572"/>
      <c r="S39" s="572"/>
      <c r="T39" s="572"/>
      <c r="U39" s="572"/>
      <c r="V39" s="572"/>
      <c r="W39" s="572"/>
      <c r="X39" s="572"/>
      <c r="Y39" s="572"/>
      <c r="Z39" s="572"/>
      <c r="AA39" s="572"/>
      <c r="AB39" s="572"/>
      <c r="AC39" s="572"/>
      <c r="AD39" s="572"/>
      <c r="AE39" s="572"/>
    </row>
    <row r="40" spans="1:31" ht="15.75" customHeight="1">
      <c r="A40" s="577">
        <v>43956</v>
      </c>
      <c r="B40" s="578" t="s">
        <v>6361</v>
      </c>
      <c r="C40" s="405" t="s">
        <v>2921</v>
      </c>
      <c r="D40" s="563" t="s">
        <v>6341</v>
      </c>
      <c r="E40" s="575">
        <v>75000</v>
      </c>
      <c r="F40" s="563" t="s">
        <v>3400</v>
      </c>
      <c r="G40" s="573" t="s">
        <v>2923</v>
      </c>
      <c r="H40" s="573" t="s">
        <v>20</v>
      </c>
      <c r="I40" s="573" t="s">
        <v>2924</v>
      </c>
      <c r="J40" s="573">
        <v>43699</v>
      </c>
      <c r="K40" s="576" t="s">
        <v>4188</v>
      </c>
      <c r="L40" s="572"/>
      <c r="M40" s="572"/>
      <c r="N40" s="572"/>
      <c r="O40" s="572"/>
      <c r="P40" s="572"/>
      <c r="Q40" s="572"/>
      <c r="R40" s="572"/>
      <c r="S40" s="572"/>
      <c r="T40" s="572"/>
      <c r="U40" s="572"/>
      <c r="V40" s="572"/>
      <c r="W40" s="572"/>
      <c r="X40" s="572"/>
      <c r="Y40" s="572"/>
      <c r="Z40" s="572"/>
      <c r="AA40" s="572"/>
      <c r="AB40" s="572"/>
      <c r="AC40" s="572"/>
      <c r="AD40" s="572"/>
      <c r="AE40" s="572"/>
    </row>
    <row r="41" spans="1:31" ht="15.75" customHeight="1">
      <c r="A41" s="577">
        <v>43958</v>
      </c>
      <c r="B41" s="578" t="s">
        <v>6355</v>
      </c>
      <c r="C41" s="405" t="s">
        <v>2921</v>
      </c>
      <c r="D41" s="563" t="s">
        <v>6341</v>
      </c>
      <c r="E41" s="575">
        <v>2000</v>
      </c>
      <c r="F41" s="563" t="s">
        <v>3236</v>
      </c>
      <c r="G41" s="573" t="s">
        <v>2923</v>
      </c>
      <c r="H41" s="573" t="s">
        <v>20</v>
      </c>
      <c r="I41" s="573" t="s">
        <v>2930</v>
      </c>
      <c r="J41" s="573">
        <v>43559</v>
      </c>
      <c r="K41" s="576" t="s">
        <v>4188</v>
      </c>
      <c r="L41" s="572"/>
      <c r="M41" s="572"/>
      <c r="N41" s="572"/>
      <c r="O41" s="572"/>
      <c r="P41" s="572"/>
      <c r="Q41" s="572"/>
      <c r="R41" s="572"/>
      <c r="S41" s="572"/>
      <c r="T41" s="572"/>
      <c r="U41" s="572"/>
      <c r="V41" s="572"/>
      <c r="W41" s="572"/>
      <c r="X41" s="572"/>
      <c r="Y41" s="572"/>
      <c r="Z41" s="572"/>
      <c r="AA41" s="572"/>
      <c r="AB41" s="572"/>
      <c r="AC41" s="572"/>
      <c r="AD41" s="572"/>
      <c r="AE41" s="572"/>
    </row>
    <row r="42" spans="1:31" ht="15.75" customHeight="1">
      <c r="A42" s="577">
        <v>43958</v>
      </c>
      <c r="B42" s="578" t="s">
        <v>6362</v>
      </c>
      <c r="C42" s="405" t="s">
        <v>2921</v>
      </c>
      <c r="D42" s="563" t="s">
        <v>6341</v>
      </c>
      <c r="E42" s="575">
        <v>2000</v>
      </c>
      <c r="F42" s="563" t="s">
        <v>3509</v>
      </c>
      <c r="G42" s="573" t="s">
        <v>2923</v>
      </c>
      <c r="H42" s="573" t="s">
        <v>20</v>
      </c>
      <c r="I42" s="573" t="s">
        <v>2924</v>
      </c>
      <c r="J42" s="573">
        <v>43717</v>
      </c>
      <c r="K42" s="576" t="s">
        <v>4188</v>
      </c>
      <c r="L42" s="572"/>
      <c r="M42" s="572"/>
      <c r="N42" s="572"/>
      <c r="O42" s="572"/>
      <c r="P42" s="572"/>
      <c r="Q42" s="572"/>
      <c r="R42" s="572"/>
      <c r="S42" s="572"/>
      <c r="T42" s="572"/>
      <c r="U42" s="572"/>
      <c r="V42" s="572"/>
      <c r="W42" s="572"/>
      <c r="X42" s="572"/>
      <c r="Y42" s="572"/>
      <c r="Z42" s="572"/>
      <c r="AA42" s="572"/>
      <c r="AB42" s="572"/>
      <c r="AC42" s="572"/>
      <c r="AD42" s="572"/>
      <c r="AE42" s="572"/>
    </row>
    <row r="43" spans="1:31" ht="15.75" customHeight="1">
      <c r="A43" s="577">
        <v>43959</v>
      </c>
      <c r="B43" s="580" t="s">
        <v>6363</v>
      </c>
      <c r="C43" s="405" t="s">
        <v>2921</v>
      </c>
      <c r="D43" s="563" t="s">
        <v>6341</v>
      </c>
      <c r="E43" s="581">
        <v>1000</v>
      </c>
      <c r="F43" s="563" t="s">
        <v>3445</v>
      </c>
      <c r="G43" s="573" t="s">
        <v>2923</v>
      </c>
      <c r="H43" s="573" t="s">
        <v>20</v>
      </c>
      <c r="I43" s="573" t="s">
        <v>2924</v>
      </c>
      <c r="J43" s="573">
        <v>43894</v>
      </c>
      <c r="K43" s="576" t="s">
        <v>3805</v>
      </c>
      <c r="L43" s="572"/>
      <c r="M43" s="572"/>
      <c r="N43" s="572"/>
      <c r="O43" s="572"/>
      <c r="P43" s="572"/>
      <c r="Q43" s="572"/>
      <c r="R43" s="572"/>
      <c r="S43" s="572"/>
      <c r="T43" s="572"/>
      <c r="U43" s="572"/>
      <c r="V43" s="572"/>
      <c r="W43" s="572"/>
      <c r="X43" s="572"/>
      <c r="Y43" s="572"/>
      <c r="Z43" s="572"/>
      <c r="AA43" s="572"/>
      <c r="AB43" s="572"/>
      <c r="AC43" s="572"/>
      <c r="AD43" s="572"/>
      <c r="AE43" s="572"/>
    </row>
    <row r="44" spans="1:31" ht="15.75" customHeight="1">
      <c r="A44" s="577">
        <v>43964</v>
      </c>
      <c r="B44" s="578" t="s">
        <v>6359</v>
      </c>
      <c r="C44" s="405" t="s">
        <v>2921</v>
      </c>
      <c r="D44" s="563" t="s">
        <v>6341</v>
      </c>
      <c r="E44" s="575">
        <v>60000</v>
      </c>
      <c r="F44" s="563" t="s">
        <v>3546</v>
      </c>
      <c r="G44" s="573" t="s">
        <v>2923</v>
      </c>
      <c r="H44" s="573" t="s">
        <v>20</v>
      </c>
      <c r="I44" s="573" t="s">
        <v>2924</v>
      </c>
      <c r="J44" s="573">
        <v>43738</v>
      </c>
      <c r="K44" s="576" t="s">
        <v>3809</v>
      </c>
      <c r="L44" s="572"/>
      <c r="M44" s="572"/>
      <c r="N44" s="572"/>
      <c r="O44" s="572"/>
      <c r="P44" s="572"/>
      <c r="Q44" s="572"/>
      <c r="R44" s="572"/>
      <c r="S44" s="572"/>
      <c r="T44" s="572"/>
      <c r="U44" s="572"/>
      <c r="V44" s="572"/>
      <c r="W44" s="572"/>
      <c r="X44" s="572"/>
      <c r="Y44" s="572"/>
      <c r="Z44" s="572"/>
      <c r="AA44" s="572"/>
      <c r="AB44" s="572"/>
      <c r="AC44" s="572"/>
      <c r="AD44" s="572"/>
      <c r="AE44" s="572"/>
    </row>
    <row r="45" spans="1:31" ht="15.75" customHeight="1">
      <c r="A45" s="577">
        <v>43965</v>
      </c>
      <c r="B45" s="580" t="s">
        <v>6364</v>
      </c>
      <c r="C45" s="405" t="s">
        <v>2921</v>
      </c>
      <c r="D45" s="563" t="s">
        <v>6341</v>
      </c>
      <c r="E45" s="575">
        <v>20000</v>
      </c>
      <c r="F45" s="563" t="s">
        <v>3098</v>
      </c>
      <c r="G45" s="573" t="s">
        <v>2923</v>
      </c>
      <c r="H45" s="573" t="s">
        <v>20</v>
      </c>
      <c r="I45" s="573" t="s">
        <v>2930</v>
      </c>
      <c r="J45" s="573">
        <v>43913</v>
      </c>
      <c r="K45" s="576" t="s">
        <v>3795</v>
      </c>
      <c r="L45" s="572"/>
      <c r="M45" s="572"/>
      <c r="N45" s="572"/>
      <c r="O45" s="572"/>
      <c r="P45" s="572"/>
      <c r="Q45" s="572"/>
      <c r="R45" s="572"/>
      <c r="S45" s="572"/>
      <c r="T45" s="572"/>
      <c r="U45" s="572"/>
      <c r="V45" s="572"/>
      <c r="W45" s="572"/>
      <c r="X45" s="572"/>
      <c r="Y45" s="572"/>
      <c r="Z45" s="572"/>
      <c r="AA45" s="572"/>
      <c r="AB45" s="572"/>
      <c r="AC45" s="572"/>
      <c r="AD45" s="572"/>
      <c r="AE45" s="572"/>
    </row>
    <row r="46" spans="1:31" ht="15.75" customHeight="1">
      <c r="A46" s="577">
        <v>43965</v>
      </c>
      <c r="B46" s="578" t="s">
        <v>6360</v>
      </c>
      <c r="C46" s="405" t="s">
        <v>3785</v>
      </c>
      <c r="D46" s="563" t="s">
        <v>6341</v>
      </c>
      <c r="E46" s="575">
        <v>20000</v>
      </c>
      <c r="F46" s="563" t="s">
        <v>5111</v>
      </c>
      <c r="G46" s="563" t="s">
        <v>2923</v>
      </c>
      <c r="H46" s="563" t="s">
        <v>20</v>
      </c>
      <c r="I46" s="563" t="s">
        <v>2923</v>
      </c>
      <c r="J46" s="573">
        <v>44225</v>
      </c>
      <c r="K46" s="579" t="s">
        <v>3795</v>
      </c>
      <c r="L46" s="572"/>
      <c r="M46" s="572"/>
      <c r="N46" s="572"/>
      <c r="O46" s="572"/>
      <c r="P46" s="572"/>
      <c r="Q46" s="572"/>
      <c r="R46" s="572"/>
      <c r="S46" s="572"/>
      <c r="T46" s="572"/>
      <c r="U46" s="572"/>
      <c r="V46" s="572"/>
      <c r="W46" s="572"/>
      <c r="X46" s="572"/>
      <c r="Y46" s="572"/>
      <c r="Z46" s="572"/>
      <c r="AA46" s="572"/>
      <c r="AB46" s="572"/>
      <c r="AC46" s="572"/>
      <c r="AD46" s="572"/>
      <c r="AE46" s="572"/>
    </row>
    <row r="47" spans="1:31" ht="15.75" customHeight="1">
      <c r="A47" s="577">
        <v>43965</v>
      </c>
      <c r="B47" s="578" t="s">
        <v>6359</v>
      </c>
      <c r="C47" s="405" t="s">
        <v>2921</v>
      </c>
      <c r="D47" s="563" t="s">
        <v>6341</v>
      </c>
      <c r="E47" s="575">
        <v>6000</v>
      </c>
      <c r="F47" s="563" t="s">
        <v>3546</v>
      </c>
      <c r="G47" s="573" t="s">
        <v>2923</v>
      </c>
      <c r="H47" s="573" t="s">
        <v>20</v>
      </c>
      <c r="I47" s="573" t="s">
        <v>2924</v>
      </c>
      <c r="J47" s="573">
        <v>43738</v>
      </c>
      <c r="K47" s="576" t="s">
        <v>3809</v>
      </c>
      <c r="L47" s="572"/>
      <c r="M47" s="572"/>
      <c r="N47" s="572"/>
      <c r="O47" s="572"/>
      <c r="P47" s="572"/>
      <c r="Q47" s="572"/>
      <c r="R47" s="572"/>
      <c r="S47" s="572"/>
      <c r="T47" s="572"/>
      <c r="U47" s="572"/>
      <c r="V47" s="572"/>
      <c r="W47" s="572"/>
      <c r="X47" s="572"/>
      <c r="Y47" s="572"/>
      <c r="Z47" s="572"/>
      <c r="AA47" s="572"/>
      <c r="AB47" s="572"/>
      <c r="AC47" s="572"/>
      <c r="AD47" s="572"/>
      <c r="AE47" s="572"/>
    </row>
    <row r="48" spans="1:31" ht="15.75" customHeight="1">
      <c r="A48" s="577">
        <v>43966</v>
      </c>
      <c r="B48" s="578" t="s">
        <v>6347</v>
      </c>
      <c r="C48" s="405" t="s">
        <v>2921</v>
      </c>
      <c r="D48" s="563" t="s">
        <v>6341</v>
      </c>
      <c r="E48" s="575">
        <v>10000</v>
      </c>
      <c r="F48" s="563" t="s">
        <v>3191</v>
      </c>
      <c r="G48" s="573" t="s">
        <v>2923</v>
      </c>
      <c r="H48" s="573" t="s">
        <v>20</v>
      </c>
      <c r="I48" s="573" t="s">
        <v>2924</v>
      </c>
      <c r="J48" s="573">
        <v>43703</v>
      </c>
      <c r="K48" s="576" t="s">
        <v>4188</v>
      </c>
      <c r="L48" s="572"/>
      <c r="M48" s="572"/>
      <c r="N48" s="572"/>
      <c r="O48" s="572"/>
      <c r="P48" s="572"/>
      <c r="Q48" s="572"/>
      <c r="R48" s="572"/>
      <c r="S48" s="572"/>
      <c r="T48" s="572"/>
      <c r="U48" s="572"/>
      <c r="V48" s="572"/>
      <c r="W48" s="572"/>
      <c r="X48" s="572"/>
      <c r="Y48" s="572"/>
      <c r="Z48" s="572"/>
      <c r="AA48" s="572"/>
      <c r="AB48" s="572"/>
      <c r="AC48" s="572"/>
      <c r="AD48" s="572"/>
      <c r="AE48" s="572"/>
    </row>
    <row r="49" spans="1:31" ht="15.75" customHeight="1">
      <c r="A49" s="577">
        <v>43969</v>
      </c>
      <c r="B49" s="578" t="s">
        <v>6363</v>
      </c>
      <c r="C49" s="405" t="s">
        <v>2921</v>
      </c>
      <c r="D49" s="563" t="s">
        <v>6341</v>
      </c>
      <c r="E49" s="575">
        <v>7000</v>
      </c>
      <c r="F49" s="563" t="s">
        <v>3445</v>
      </c>
      <c r="G49" s="573" t="s">
        <v>2923</v>
      </c>
      <c r="H49" s="573" t="s">
        <v>20</v>
      </c>
      <c r="I49" s="573" t="s">
        <v>2924</v>
      </c>
      <c r="J49" s="573">
        <v>43894</v>
      </c>
      <c r="K49" s="576" t="s">
        <v>3805</v>
      </c>
      <c r="L49" s="572"/>
      <c r="M49" s="572"/>
      <c r="N49" s="572"/>
      <c r="O49" s="572"/>
      <c r="P49" s="572"/>
      <c r="Q49" s="572"/>
      <c r="R49" s="572"/>
      <c r="S49" s="572"/>
      <c r="T49" s="572"/>
      <c r="U49" s="572"/>
      <c r="V49" s="572"/>
      <c r="W49" s="572"/>
      <c r="X49" s="572"/>
      <c r="Y49" s="572"/>
      <c r="Z49" s="572"/>
      <c r="AA49" s="572"/>
      <c r="AB49" s="572"/>
      <c r="AC49" s="572"/>
      <c r="AD49" s="572"/>
      <c r="AE49" s="572"/>
    </row>
    <row r="50" spans="1:31" ht="15.75" customHeight="1">
      <c r="A50" s="577">
        <v>43969</v>
      </c>
      <c r="B50" s="578" t="s">
        <v>6363</v>
      </c>
      <c r="C50" s="405" t="s">
        <v>2921</v>
      </c>
      <c r="D50" s="563" t="s">
        <v>6341</v>
      </c>
      <c r="E50" s="575">
        <v>10000</v>
      </c>
      <c r="F50" s="563" t="s">
        <v>3445</v>
      </c>
      <c r="G50" s="573" t="s">
        <v>2923</v>
      </c>
      <c r="H50" s="573" t="s">
        <v>20</v>
      </c>
      <c r="I50" s="573" t="s">
        <v>2924</v>
      </c>
      <c r="J50" s="573">
        <v>43894</v>
      </c>
      <c r="K50" s="576" t="s">
        <v>3805</v>
      </c>
      <c r="L50" s="572"/>
      <c r="M50" s="572"/>
      <c r="N50" s="572"/>
      <c r="O50" s="572"/>
      <c r="P50" s="572"/>
      <c r="Q50" s="572"/>
      <c r="R50" s="572"/>
      <c r="S50" s="572"/>
      <c r="T50" s="572"/>
      <c r="U50" s="572"/>
      <c r="V50" s="572"/>
      <c r="W50" s="572"/>
      <c r="X50" s="572"/>
      <c r="Y50" s="572"/>
      <c r="Z50" s="572"/>
      <c r="AA50" s="572"/>
      <c r="AB50" s="572"/>
      <c r="AC50" s="572"/>
      <c r="AD50" s="572"/>
      <c r="AE50" s="572"/>
    </row>
    <row r="51" spans="1:31" ht="15.75" customHeight="1">
      <c r="A51" s="577">
        <v>43969</v>
      </c>
      <c r="B51" s="578" t="s">
        <v>6365</v>
      </c>
      <c r="C51" s="405" t="s">
        <v>2921</v>
      </c>
      <c r="D51" s="563" t="s">
        <v>6341</v>
      </c>
      <c r="E51" s="575">
        <v>1000</v>
      </c>
      <c r="F51" s="563" t="s">
        <v>2986</v>
      </c>
      <c r="G51" s="573" t="s">
        <v>2923</v>
      </c>
      <c r="H51" s="573" t="s">
        <v>20</v>
      </c>
      <c r="I51" s="573" t="s">
        <v>2924</v>
      </c>
      <c r="J51" s="573">
        <v>43867</v>
      </c>
      <c r="K51" s="576" t="s">
        <v>3795</v>
      </c>
      <c r="L51" s="572"/>
      <c r="M51" s="572"/>
      <c r="N51" s="572"/>
      <c r="O51" s="572"/>
      <c r="P51" s="572"/>
      <c r="Q51" s="572"/>
      <c r="R51" s="572"/>
      <c r="S51" s="572"/>
      <c r="T51" s="572"/>
      <c r="U51" s="572"/>
      <c r="V51" s="572"/>
      <c r="W51" s="572"/>
      <c r="X51" s="572"/>
      <c r="Y51" s="572"/>
      <c r="Z51" s="572"/>
      <c r="AA51" s="572"/>
      <c r="AB51" s="572"/>
      <c r="AC51" s="572"/>
      <c r="AD51" s="572"/>
      <c r="AE51" s="572"/>
    </row>
    <row r="52" spans="1:31" ht="15.75" customHeight="1">
      <c r="A52" s="577">
        <v>43971</v>
      </c>
      <c r="B52" s="580" t="s">
        <v>6343</v>
      </c>
      <c r="C52" s="405" t="s">
        <v>3785</v>
      </c>
      <c r="D52" s="563" t="s">
        <v>6341</v>
      </c>
      <c r="E52" s="575">
        <v>7500</v>
      </c>
      <c r="F52" s="563" t="s">
        <v>5048</v>
      </c>
      <c r="G52" s="563" t="s">
        <v>2923</v>
      </c>
      <c r="H52" s="563" t="s">
        <v>20</v>
      </c>
      <c r="I52" s="563" t="s">
        <v>2923</v>
      </c>
      <c r="J52" s="573">
        <v>43749</v>
      </c>
      <c r="K52" s="579" t="s">
        <v>4188</v>
      </c>
      <c r="L52" s="572"/>
      <c r="M52" s="572"/>
      <c r="N52" s="572"/>
      <c r="O52" s="572"/>
      <c r="P52" s="572"/>
      <c r="Q52" s="572"/>
      <c r="R52" s="572"/>
      <c r="S52" s="572"/>
      <c r="T52" s="572"/>
      <c r="U52" s="572"/>
      <c r="V52" s="572"/>
      <c r="W52" s="572"/>
      <c r="X52" s="572"/>
      <c r="Y52" s="572"/>
      <c r="Z52" s="572"/>
      <c r="AA52" s="572"/>
      <c r="AB52" s="572"/>
      <c r="AC52" s="572"/>
      <c r="AD52" s="572"/>
      <c r="AE52" s="572"/>
    </row>
    <row r="53" spans="1:31" ht="15.75" customHeight="1">
      <c r="A53" s="577">
        <v>43972</v>
      </c>
      <c r="B53" s="578" t="s">
        <v>6361</v>
      </c>
      <c r="C53" s="405" t="s">
        <v>2921</v>
      </c>
      <c r="D53" s="563" t="s">
        <v>6341</v>
      </c>
      <c r="E53" s="575">
        <v>50000</v>
      </c>
      <c r="F53" s="563" t="s">
        <v>3400</v>
      </c>
      <c r="G53" s="573" t="s">
        <v>2923</v>
      </c>
      <c r="H53" s="573" t="s">
        <v>20</v>
      </c>
      <c r="I53" s="573" t="s">
        <v>2924</v>
      </c>
      <c r="J53" s="573">
        <v>43699</v>
      </c>
      <c r="K53" s="576" t="s">
        <v>4188</v>
      </c>
      <c r="L53" s="572"/>
      <c r="M53" s="572"/>
      <c r="N53" s="572"/>
      <c r="O53" s="572"/>
      <c r="P53" s="572"/>
      <c r="Q53" s="572"/>
      <c r="R53" s="572"/>
      <c r="S53" s="572"/>
      <c r="T53" s="572"/>
      <c r="U53" s="572"/>
      <c r="V53" s="572"/>
      <c r="W53" s="572"/>
      <c r="X53" s="572"/>
      <c r="Y53" s="572"/>
      <c r="Z53" s="572"/>
      <c r="AA53" s="572"/>
      <c r="AB53" s="572"/>
      <c r="AC53" s="572"/>
      <c r="AD53" s="572"/>
      <c r="AE53" s="572"/>
    </row>
    <row r="54" spans="1:31" ht="15.75" customHeight="1">
      <c r="A54" s="577">
        <v>43973</v>
      </c>
      <c r="B54" s="580" t="s">
        <v>6352</v>
      </c>
      <c r="C54" s="405" t="s">
        <v>3785</v>
      </c>
      <c r="D54" s="563" t="s">
        <v>6341</v>
      </c>
      <c r="E54" s="575">
        <v>20000</v>
      </c>
      <c r="F54" s="563" t="s">
        <v>4665</v>
      </c>
      <c r="G54" s="563" t="s">
        <v>2923</v>
      </c>
      <c r="H54" s="563" t="s">
        <v>20</v>
      </c>
      <c r="I54" s="563" t="s">
        <v>2923</v>
      </c>
      <c r="J54" s="573">
        <v>44252</v>
      </c>
      <c r="K54" s="579" t="s">
        <v>3805</v>
      </c>
      <c r="L54" s="572"/>
      <c r="M54" s="572"/>
      <c r="N54" s="572"/>
      <c r="O54" s="572"/>
      <c r="P54" s="572"/>
      <c r="Q54" s="572"/>
      <c r="R54" s="572"/>
      <c r="S54" s="572"/>
      <c r="T54" s="572"/>
      <c r="U54" s="572"/>
      <c r="V54" s="572"/>
      <c r="W54" s="572"/>
      <c r="X54" s="572"/>
      <c r="Y54" s="572"/>
      <c r="Z54" s="572"/>
      <c r="AA54" s="572"/>
      <c r="AB54" s="572"/>
      <c r="AC54" s="572"/>
      <c r="AD54" s="572"/>
      <c r="AE54" s="572"/>
    </row>
    <row r="55" spans="1:31" ht="15.75" customHeight="1">
      <c r="A55" s="577">
        <v>43973</v>
      </c>
      <c r="B55" s="578" t="s">
        <v>3696</v>
      </c>
      <c r="C55" s="405" t="s">
        <v>6366</v>
      </c>
      <c r="D55" s="563" t="s">
        <v>6341</v>
      </c>
      <c r="E55" s="575">
        <v>10000</v>
      </c>
      <c r="F55" s="563" t="s">
        <v>3695</v>
      </c>
      <c r="G55" s="563" t="s">
        <v>19</v>
      </c>
      <c r="H55" s="563" t="s">
        <v>20</v>
      </c>
      <c r="I55" s="563" t="s">
        <v>2512</v>
      </c>
      <c r="J55" s="573">
        <v>43797</v>
      </c>
      <c r="K55" s="576" t="s">
        <v>3805</v>
      </c>
      <c r="L55" s="572"/>
      <c r="M55" s="572"/>
      <c r="N55" s="572"/>
      <c r="O55" s="572"/>
      <c r="P55" s="572"/>
      <c r="Q55" s="572"/>
      <c r="R55" s="572"/>
      <c r="S55" s="572"/>
      <c r="T55" s="572"/>
      <c r="U55" s="572"/>
      <c r="V55" s="572"/>
      <c r="W55" s="572"/>
      <c r="X55" s="572"/>
      <c r="Y55" s="572"/>
      <c r="Z55" s="572"/>
      <c r="AA55" s="572"/>
      <c r="AB55" s="572"/>
      <c r="AC55" s="572"/>
      <c r="AD55" s="572"/>
      <c r="AE55" s="572"/>
    </row>
    <row r="56" spans="1:31" ht="15.75" customHeight="1">
      <c r="A56" s="577">
        <v>43976</v>
      </c>
      <c r="B56" s="578" t="s">
        <v>6355</v>
      </c>
      <c r="C56" s="405" t="s">
        <v>2921</v>
      </c>
      <c r="D56" s="563" t="s">
        <v>6341</v>
      </c>
      <c r="E56" s="575">
        <v>973440.75</v>
      </c>
      <c r="F56" s="563" t="s">
        <v>3236</v>
      </c>
      <c r="G56" s="573" t="s">
        <v>2923</v>
      </c>
      <c r="H56" s="573" t="s">
        <v>20</v>
      </c>
      <c r="I56" s="573" t="s">
        <v>2930</v>
      </c>
      <c r="J56" s="573">
        <v>43559</v>
      </c>
      <c r="K56" s="576" t="s">
        <v>4188</v>
      </c>
      <c r="L56" s="572"/>
      <c r="M56" s="572"/>
      <c r="N56" s="572"/>
      <c r="O56" s="572"/>
      <c r="P56" s="572"/>
      <c r="Q56" s="572"/>
      <c r="R56" s="572"/>
      <c r="S56" s="572"/>
      <c r="T56" s="572"/>
      <c r="U56" s="572"/>
      <c r="V56" s="572"/>
      <c r="W56" s="572"/>
      <c r="X56" s="572"/>
      <c r="Y56" s="572"/>
      <c r="Z56" s="572"/>
      <c r="AA56" s="572"/>
      <c r="AB56" s="572"/>
      <c r="AC56" s="572"/>
      <c r="AD56" s="572"/>
      <c r="AE56" s="572"/>
    </row>
    <row r="57" spans="1:31" ht="15.75" customHeight="1">
      <c r="A57" s="577">
        <v>43977</v>
      </c>
      <c r="B57" s="578" t="s">
        <v>6347</v>
      </c>
      <c r="C57" s="405" t="s">
        <v>2921</v>
      </c>
      <c r="D57" s="563" t="s">
        <v>6341</v>
      </c>
      <c r="E57" s="575">
        <v>7000</v>
      </c>
      <c r="F57" s="563" t="s">
        <v>3191</v>
      </c>
      <c r="G57" s="573" t="s">
        <v>2923</v>
      </c>
      <c r="H57" s="573" t="s">
        <v>20</v>
      </c>
      <c r="I57" s="573" t="s">
        <v>2924</v>
      </c>
      <c r="J57" s="573">
        <v>43703</v>
      </c>
      <c r="K57" s="576" t="s">
        <v>4188</v>
      </c>
      <c r="L57" s="572"/>
      <c r="M57" s="572"/>
      <c r="N57" s="572"/>
      <c r="O57" s="572"/>
      <c r="P57" s="572"/>
      <c r="Q57" s="572"/>
      <c r="R57" s="572"/>
      <c r="S57" s="572"/>
      <c r="T57" s="572"/>
      <c r="U57" s="572"/>
      <c r="V57" s="572"/>
      <c r="W57" s="572"/>
      <c r="X57" s="572"/>
      <c r="Y57" s="572"/>
      <c r="Z57" s="572"/>
      <c r="AA57" s="572"/>
      <c r="AB57" s="572"/>
      <c r="AC57" s="572"/>
      <c r="AD57" s="572"/>
      <c r="AE57" s="572"/>
    </row>
    <row r="58" spans="1:31" ht="15.75" customHeight="1">
      <c r="A58" s="577">
        <v>43978</v>
      </c>
      <c r="B58" s="578" t="s">
        <v>6363</v>
      </c>
      <c r="C58" s="405" t="s">
        <v>2921</v>
      </c>
      <c r="D58" s="563" t="s">
        <v>6341</v>
      </c>
      <c r="E58" s="575">
        <v>180000</v>
      </c>
      <c r="F58" s="563" t="s">
        <v>3445</v>
      </c>
      <c r="G58" s="573" t="s">
        <v>2923</v>
      </c>
      <c r="H58" s="573" t="s">
        <v>20</v>
      </c>
      <c r="I58" s="573" t="s">
        <v>2924</v>
      </c>
      <c r="J58" s="573">
        <v>43894</v>
      </c>
      <c r="K58" s="576" t="s">
        <v>3805</v>
      </c>
      <c r="L58" s="572"/>
      <c r="M58" s="572"/>
      <c r="N58" s="572"/>
      <c r="O58" s="572"/>
      <c r="P58" s="572"/>
      <c r="Q58" s="572"/>
      <c r="R58" s="572"/>
      <c r="S58" s="572"/>
      <c r="T58" s="572"/>
      <c r="U58" s="572"/>
      <c r="V58" s="572"/>
      <c r="W58" s="572"/>
      <c r="X58" s="572"/>
      <c r="Y58" s="572"/>
      <c r="Z58" s="572"/>
      <c r="AA58" s="572"/>
      <c r="AB58" s="572"/>
      <c r="AC58" s="572"/>
      <c r="AD58" s="572"/>
      <c r="AE58" s="572"/>
    </row>
    <row r="59" spans="1:31" ht="15.75" customHeight="1">
      <c r="A59" s="577">
        <v>43980</v>
      </c>
      <c r="B59" s="580" t="s">
        <v>6354</v>
      </c>
      <c r="C59" s="405" t="s">
        <v>2921</v>
      </c>
      <c r="D59" s="563" t="s">
        <v>6341</v>
      </c>
      <c r="E59" s="575">
        <v>10701</v>
      </c>
      <c r="F59" s="563" t="s">
        <v>3254</v>
      </c>
      <c r="G59" s="573" t="s">
        <v>2923</v>
      </c>
      <c r="H59" s="573" t="s">
        <v>20</v>
      </c>
      <c r="I59" s="573" t="s">
        <v>2930</v>
      </c>
      <c r="J59" s="573">
        <v>43664</v>
      </c>
      <c r="K59" s="576" t="s">
        <v>4188</v>
      </c>
      <c r="L59" s="572"/>
      <c r="M59" s="572"/>
      <c r="N59" s="572"/>
      <c r="O59" s="572"/>
      <c r="P59" s="572"/>
      <c r="Q59" s="572"/>
      <c r="R59" s="572"/>
      <c r="S59" s="572"/>
      <c r="T59" s="572"/>
      <c r="U59" s="572"/>
      <c r="V59" s="572"/>
      <c r="W59" s="572"/>
      <c r="X59" s="572"/>
      <c r="Y59" s="572"/>
      <c r="Z59" s="572"/>
      <c r="AA59" s="572"/>
      <c r="AB59" s="572"/>
      <c r="AC59" s="572"/>
      <c r="AD59" s="572"/>
      <c r="AE59" s="572"/>
    </row>
    <row r="60" spans="1:31" ht="15.75" customHeight="1">
      <c r="A60" s="577">
        <v>43984</v>
      </c>
      <c r="B60" s="578" t="s">
        <v>6365</v>
      </c>
      <c r="C60" s="405" t="s">
        <v>2921</v>
      </c>
      <c r="D60" s="563" t="s">
        <v>6341</v>
      </c>
      <c r="E60" s="575">
        <v>2000</v>
      </c>
      <c r="F60" s="563" t="s">
        <v>2986</v>
      </c>
      <c r="G60" s="573" t="s">
        <v>2923</v>
      </c>
      <c r="H60" s="573" t="s">
        <v>20</v>
      </c>
      <c r="I60" s="573" t="s">
        <v>2924</v>
      </c>
      <c r="J60" s="573">
        <v>43867</v>
      </c>
      <c r="K60" s="576" t="s">
        <v>3795</v>
      </c>
      <c r="L60" s="572"/>
      <c r="M60" s="572"/>
      <c r="N60" s="572"/>
      <c r="O60" s="572"/>
      <c r="P60" s="572"/>
      <c r="Q60" s="572"/>
      <c r="R60" s="572"/>
      <c r="S60" s="572"/>
      <c r="T60" s="572"/>
      <c r="U60" s="572"/>
      <c r="V60" s="572"/>
      <c r="W60" s="572"/>
      <c r="X60" s="572"/>
      <c r="Y60" s="572"/>
      <c r="Z60" s="572"/>
      <c r="AA60" s="572"/>
      <c r="AB60" s="572"/>
      <c r="AC60" s="572"/>
      <c r="AD60" s="572"/>
      <c r="AE60" s="572"/>
    </row>
    <row r="61" spans="1:31" ht="15.75" customHeight="1">
      <c r="A61" s="577">
        <v>43984</v>
      </c>
      <c r="B61" s="578" t="s">
        <v>6361</v>
      </c>
      <c r="C61" s="405" t="s">
        <v>2921</v>
      </c>
      <c r="D61" s="563" t="s">
        <v>6341</v>
      </c>
      <c r="E61" s="575">
        <v>200000</v>
      </c>
      <c r="F61" s="563" t="s">
        <v>3400</v>
      </c>
      <c r="G61" s="573" t="s">
        <v>2923</v>
      </c>
      <c r="H61" s="573" t="s">
        <v>20</v>
      </c>
      <c r="I61" s="573" t="s">
        <v>2924</v>
      </c>
      <c r="J61" s="573">
        <v>43699</v>
      </c>
      <c r="K61" s="576" t="s">
        <v>4188</v>
      </c>
      <c r="L61" s="572"/>
      <c r="M61" s="572"/>
      <c r="N61" s="572"/>
      <c r="O61" s="572"/>
      <c r="P61" s="572"/>
      <c r="Q61" s="572"/>
      <c r="R61" s="572"/>
      <c r="S61" s="572"/>
      <c r="T61" s="572"/>
      <c r="U61" s="572"/>
      <c r="V61" s="572"/>
      <c r="W61" s="572"/>
      <c r="X61" s="572"/>
      <c r="Y61" s="572"/>
      <c r="Z61" s="572"/>
      <c r="AA61" s="572"/>
      <c r="AB61" s="572"/>
      <c r="AC61" s="572"/>
      <c r="AD61" s="572"/>
      <c r="AE61" s="572"/>
    </row>
    <row r="62" spans="1:31" ht="15.75" customHeight="1">
      <c r="A62" s="577">
        <v>43985</v>
      </c>
      <c r="B62" s="578" t="s">
        <v>6347</v>
      </c>
      <c r="C62" s="405" t="s">
        <v>2921</v>
      </c>
      <c r="D62" s="563" t="s">
        <v>6341</v>
      </c>
      <c r="E62" s="575">
        <v>6000</v>
      </c>
      <c r="F62" s="563" t="s">
        <v>3191</v>
      </c>
      <c r="G62" s="573" t="s">
        <v>2923</v>
      </c>
      <c r="H62" s="573" t="s">
        <v>20</v>
      </c>
      <c r="I62" s="573" t="s">
        <v>2924</v>
      </c>
      <c r="J62" s="573">
        <v>43703</v>
      </c>
      <c r="K62" s="576" t="s">
        <v>4188</v>
      </c>
      <c r="L62" s="572"/>
      <c r="M62" s="572"/>
      <c r="N62" s="572"/>
      <c r="O62" s="572"/>
      <c r="P62" s="572"/>
      <c r="Q62" s="572"/>
      <c r="R62" s="572"/>
      <c r="S62" s="572"/>
      <c r="T62" s="572"/>
      <c r="U62" s="572"/>
      <c r="V62" s="572"/>
      <c r="W62" s="572"/>
      <c r="X62" s="572"/>
      <c r="Y62" s="572"/>
      <c r="Z62" s="572"/>
      <c r="AA62" s="572"/>
      <c r="AB62" s="572"/>
      <c r="AC62" s="572"/>
      <c r="AD62" s="572"/>
      <c r="AE62" s="572"/>
    </row>
    <row r="63" spans="1:31" ht="15.75" customHeight="1">
      <c r="A63" s="577">
        <v>43987</v>
      </c>
      <c r="B63" s="580" t="s">
        <v>6355</v>
      </c>
      <c r="C63" s="405" t="s">
        <v>2921</v>
      </c>
      <c r="D63" s="563" t="s">
        <v>6341</v>
      </c>
      <c r="E63" s="575">
        <v>10000</v>
      </c>
      <c r="F63" s="563" t="s">
        <v>3236</v>
      </c>
      <c r="G63" s="573" t="s">
        <v>2923</v>
      </c>
      <c r="H63" s="573" t="s">
        <v>20</v>
      </c>
      <c r="I63" s="573" t="s">
        <v>2930</v>
      </c>
      <c r="J63" s="573">
        <v>43559</v>
      </c>
      <c r="K63" s="576" t="s">
        <v>4188</v>
      </c>
      <c r="L63" s="572"/>
      <c r="M63" s="572"/>
      <c r="N63" s="572"/>
      <c r="O63" s="572"/>
      <c r="P63" s="572"/>
      <c r="Q63" s="572"/>
      <c r="R63" s="572"/>
      <c r="S63" s="572"/>
      <c r="T63" s="572"/>
      <c r="U63" s="572"/>
      <c r="V63" s="572"/>
      <c r="W63" s="572"/>
      <c r="X63" s="572"/>
      <c r="Y63" s="572"/>
      <c r="Z63" s="572"/>
      <c r="AA63" s="572"/>
      <c r="AB63" s="572"/>
      <c r="AC63" s="572"/>
      <c r="AD63" s="572"/>
      <c r="AE63" s="572"/>
    </row>
    <row r="64" spans="1:31" ht="15.75" customHeight="1">
      <c r="A64" s="577">
        <v>43990</v>
      </c>
      <c r="B64" s="578" t="s">
        <v>6367</v>
      </c>
      <c r="C64" s="405" t="s">
        <v>2921</v>
      </c>
      <c r="D64" s="563" t="s">
        <v>6341</v>
      </c>
      <c r="E64" s="575">
        <v>20000</v>
      </c>
      <c r="F64" s="563" t="s">
        <v>3480</v>
      </c>
      <c r="G64" s="573" t="s">
        <v>2923</v>
      </c>
      <c r="H64" s="573" t="s">
        <v>20</v>
      </c>
      <c r="I64" s="573" t="s">
        <v>2930</v>
      </c>
      <c r="J64" s="573">
        <v>43607</v>
      </c>
      <c r="K64" s="576" t="s">
        <v>4188</v>
      </c>
      <c r="L64" s="572"/>
      <c r="M64" s="572"/>
      <c r="N64" s="572"/>
      <c r="O64" s="572"/>
      <c r="P64" s="572"/>
      <c r="Q64" s="572"/>
      <c r="R64" s="572"/>
      <c r="S64" s="572"/>
      <c r="T64" s="572"/>
      <c r="U64" s="572"/>
      <c r="V64" s="572"/>
      <c r="W64" s="572"/>
      <c r="X64" s="572"/>
      <c r="Y64" s="572"/>
      <c r="Z64" s="572"/>
      <c r="AA64" s="572"/>
      <c r="AB64" s="572"/>
      <c r="AC64" s="572"/>
      <c r="AD64" s="572"/>
      <c r="AE64" s="572"/>
    </row>
    <row r="65" spans="1:31" ht="15.75" customHeight="1">
      <c r="A65" s="577">
        <v>43991</v>
      </c>
      <c r="B65" s="578" t="s">
        <v>6368</v>
      </c>
      <c r="C65" s="405" t="s">
        <v>2921</v>
      </c>
      <c r="D65" s="563" t="s">
        <v>6341</v>
      </c>
      <c r="E65" s="575">
        <v>6000</v>
      </c>
      <c r="F65" s="563" t="s">
        <v>3349</v>
      </c>
      <c r="G65" s="573" t="s">
        <v>2923</v>
      </c>
      <c r="H65" s="573" t="s">
        <v>20</v>
      </c>
      <c r="I65" s="573" t="s">
        <v>2924</v>
      </c>
      <c r="J65" s="573">
        <v>43564</v>
      </c>
      <c r="K65" s="576" t="s">
        <v>3809</v>
      </c>
      <c r="L65" s="572"/>
      <c r="M65" s="572"/>
      <c r="N65" s="572"/>
      <c r="O65" s="572"/>
      <c r="P65" s="572"/>
      <c r="Q65" s="572"/>
      <c r="R65" s="572"/>
      <c r="S65" s="572"/>
      <c r="T65" s="572"/>
      <c r="U65" s="572"/>
      <c r="V65" s="572"/>
      <c r="W65" s="572"/>
      <c r="X65" s="572"/>
      <c r="Y65" s="572"/>
      <c r="Z65" s="572"/>
      <c r="AA65" s="572"/>
      <c r="AB65" s="572"/>
      <c r="AC65" s="572"/>
      <c r="AD65" s="572"/>
      <c r="AE65" s="572"/>
    </row>
    <row r="66" spans="1:31" ht="15.75" customHeight="1">
      <c r="A66" s="577">
        <v>43991</v>
      </c>
      <c r="B66" s="580" t="s">
        <v>6363</v>
      </c>
      <c r="C66" s="405" t="s">
        <v>2921</v>
      </c>
      <c r="D66" s="563" t="s">
        <v>6341</v>
      </c>
      <c r="E66" s="575">
        <v>3000</v>
      </c>
      <c r="F66" s="563" t="s">
        <v>3445</v>
      </c>
      <c r="G66" s="573" t="s">
        <v>2923</v>
      </c>
      <c r="H66" s="573" t="s">
        <v>20</v>
      </c>
      <c r="I66" s="573" t="s">
        <v>2924</v>
      </c>
      <c r="J66" s="573">
        <v>43894</v>
      </c>
      <c r="K66" s="576" t="s">
        <v>3805</v>
      </c>
      <c r="L66" s="572"/>
      <c r="M66" s="572"/>
      <c r="N66" s="572"/>
      <c r="O66" s="572"/>
      <c r="P66" s="572"/>
      <c r="Q66" s="572"/>
      <c r="R66" s="572"/>
      <c r="S66" s="572"/>
      <c r="T66" s="572"/>
      <c r="U66" s="572"/>
      <c r="V66" s="572"/>
      <c r="W66" s="572"/>
      <c r="X66" s="572"/>
      <c r="Y66" s="572"/>
      <c r="Z66" s="572"/>
      <c r="AA66" s="572"/>
      <c r="AB66" s="572"/>
      <c r="AC66" s="572"/>
      <c r="AD66" s="572"/>
      <c r="AE66" s="572"/>
    </row>
    <row r="67" spans="1:31" ht="15.75" customHeight="1">
      <c r="A67" s="577">
        <v>43994</v>
      </c>
      <c r="B67" s="578" t="s">
        <v>6369</v>
      </c>
      <c r="C67" s="405" t="s">
        <v>3785</v>
      </c>
      <c r="D67" s="563" t="s">
        <v>6341</v>
      </c>
      <c r="E67" s="575">
        <v>14000</v>
      </c>
      <c r="F67" s="563" t="s">
        <v>5310</v>
      </c>
      <c r="G67" s="563" t="s">
        <v>2923</v>
      </c>
      <c r="H67" s="563" t="s">
        <v>20</v>
      </c>
      <c r="I67" s="563" t="s">
        <v>2923</v>
      </c>
      <c r="J67" s="573">
        <v>44216</v>
      </c>
      <c r="K67" s="579" t="s">
        <v>3795</v>
      </c>
      <c r="L67" s="572"/>
      <c r="M67" s="572"/>
      <c r="N67" s="572"/>
      <c r="O67" s="572"/>
      <c r="P67" s="572"/>
      <c r="Q67" s="572"/>
      <c r="R67" s="572"/>
      <c r="S67" s="572"/>
      <c r="T67" s="572"/>
      <c r="U67" s="572"/>
      <c r="V67" s="572"/>
      <c r="W67" s="572"/>
      <c r="X67" s="572"/>
      <c r="Y67" s="572"/>
      <c r="Z67" s="572"/>
      <c r="AA67" s="572"/>
      <c r="AB67" s="572"/>
      <c r="AC67" s="572"/>
      <c r="AD67" s="572"/>
      <c r="AE67" s="572"/>
    </row>
    <row r="68" spans="1:31" ht="15.75" customHeight="1">
      <c r="A68" s="573">
        <v>43997</v>
      </c>
      <c r="B68" s="574" t="s">
        <v>6357</v>
      </c>
      <c r="C68" s="563" t="s">
        <v>2921</v>
      </c>
      <c r="D68" s="563" t="s">
        <v>3110</v>
      </c>
      <c r="E68" s="575">
        <v>0</v>
      </c>
      <c r="F68" s="563" t="s">
        <v>3060</v>
      </c>
      <c r="G68" s="573" t="s">
        <v>2923</v>
      </c>
      <c r="H68" s="573" t="s">
        <v>20</v>
      </c>
      <c r="I68" s="573" t="s">
        <v>2924</v>
      </c>
      <c r="J68" s="573">
        <v>43453</v>
      </c>
      <c r="K68" s="576" t="s">
        <v>3809</v>
      </c>
      <c r="L68" s="572"/>
      <c r="M68" s="572"/>
      <c r="N68" s="572"/>
      <c r="O68" s="572"/>
      <c r="P68" s="572"/>
      <c r="Q68" s="572"/>
      <c r="R68" s="572"/>
      <c r="S68" s="572"/>
      <c r="T68" s="572"/>
      <c r="U68" s="572"/>
      <c r="V68" s="572"/>
      <c r="W68" s="572"/>
      <c r="X68" s="572"/>
      <c r="Y68" s="572"/>
      <c r="Z68" s="572"/>
      <c r="AA68" s="572"/>
      <c r="AB68" s="572"/>
      <c r="AC68" s="572"/>
      <c r="AD68" s="572"/>
      <c r="AE68" s="572"/>
    </row>
    <row r="69" spans="1:31" ht="15.75" customHeight="1">
      <c r="A69" s="573">
        <v>43997</v>
      </c>
      <c r="B69" s="574" t="s">
        <v>6370</v>
      </c>
      <c r="C69" s="563" t="s">
        <v>2921</v>
      </c>
      <c r="D69" s="563" t="s">
        <v>3110</v>
      </c>
      <c r="E69" s="575">
        <v>76468.36</v>
      </c>
      <c r="F69" s="563" t="s">
        <v>3312</v>
      </c>
      <c r="G69" s="573" t="s">
        <v>2923</v>
      </c>
      <c r="H69" s="573" t="s">
        <v>20</v>
      </c>
      <c r="I69" s="573" t="s">
        <v>2930</v>
      </c>
      <c r="J69" s="573">
        <v>43853</v>
      </c>
      <c r="K69" s="576" t="s">
        <v>3805</v>
      </c>
      <c r="L69" s="572"/>
      <c r="M69" s="572"/>
      <c r="N69" s="572"/>
      <c r="O69" s="572"/>
      <c r="P69" s="572"/>
      <c r="Q69" s="572"/>
      <c r="R69" s="572"/>
      <c r="S69" s="572"/>
      <c r="T69" s="572"/>
      <c r="U69" s="572"/>
      <c r="V69" s="572"/>
      <c r="W69" s="572"/>
      <c r="X69" s="572"/>
      <c r="Y69" s="572"/>
      <c r="Z69" s="572"/>
      <c r="AA69" s="572"/>
      <c r="AB69" s="572"/>
      <c r="AC69" s="572"/>
      <c r="AD69" s="572"/>
      <c r="AE69" s="572"/>
    </row>
    <row r="70" spans="1:31" ht="15.75" customHeight="1">
      <c r="A70" s="573">
        <v>43998</v>
      </c>
      <c r="B70" s="574" t="s">
        <v>6371</v>
      </c>
      <c r="C70" s="563" t="s">
        <v>2921</v>
      </c>
      <c r="D70" s="563" t="s">
        <v>3110</v>
      </c>
      <c r="E70" s="575">
        <v>36013.410000000003</v>
      </c>
      <c r="F70" s="563" t="s">
        <v>3060</v>
      </c>
      <c r="G70" s="573" t="s">
        <v>2923</v>
      </c>
      <c r="H70" s="573" t="s">
        <v>20</v>
      </c>
      <c r="I70" s="573" t="s">
        <v>2924</v>
      </c>
      <c r="J70" s="573">
        <v>43997</v>
      </c>
      <c r="K70" s="576" t="s">
        <v>3795</v>
      </c>
      <c r="L70" s="572"/>
      <c r="M70" s="572"/>
      <c r="N70" s="572"/>
      <c r="O70" s="572"/>
      <c r="P70" s="572"/>
      <c r="Q70" s="572"/>
      <c r="R70" s="572"/>
      <c r="S70" s="572"/>
      <c r="T70" s="572"/>
      <c r="U70" s="572"/>
      <c r="V70" s="572"/>
      <c r="W70" s="572"/>
      <c r="X70" s="572"/>
      <c r="Y70" s="572"/>
      <c r="Z70" s="572"/>
      <c r="AA70" s="572"/>
      <c r="AB70" s="572"/>
      <c r="AC70" s="572"/>
      <c r="AD70" s="572"/>
      <c r="AE70" s="572"/>
    </row>
    <row r="71" spans="1:31" ht="15.75" customHeight="1">
      <c r="A71" s="577">
        <v>43999</v>
      </c>
      <c r="B71" s="578" t="s">
        <v>6362</v>
      </c>
      <c r="C71" s="405" t="s">
        <v>2921</v>
      </c>
      <c r="D71" s="563" t="s">
        <v>6341</v>
      </c>
      <c r="E71" s="575">
        <v>100000</v>
      </c>
      <c r="F71" s="563" t="s">
        <v>3509</v>
      </c>
      <c r="G71" s="573" t="s">
        <v>2923</v>
      </c>
      <c r="H71" s="573" t="s">
        <v>20</v>
      </c>
      <c r="I71" s="573" t="s">
        <v>2924</v>
      </c>
      <c r="J71" s="573">
        <v>43717</v>
      </c>
      <c r="K71" s="576" t="s">
        <v>4188</v>
      </c>
      <c r="L71" s="572"/>
      <c r="M71" s="572"/>
      <c r="N71" s="572"/>
      <c r="O71" s="572"/>
      <c r="P71" s="572"/>
      <c r="Q71" s="572"/>
      <c r="R71" s="572"/>
      <c r="S71" s="572"/>
      <c r="T71" s="572"/>
      <c r="U71" s="572"/>
      <c r="V71" s="572"/>
      <c r="W71" s="572"/>
      <c r="X71" s="572"/>
      <c r="Y71" s="572"/>
      <c r="Z71" s="572"/>
      <c r="AA71" s="572"/>
      <c r="AB71" s="572"/>
      <c r="AC71" s="572"/>
      <c r="AD71" s="572"/>
      <c r="AE71" s="572"/>
    </row>
    <row r="72" spans="1:31" ht="15.75" customHeight="1">
      <c r="A72" s="577">
        <v>43999</v>
      </c>
      <c r="B72" s="578" t="s">
        <v>6361</v>
      </c>
      <c r="C72" s="405" t="s">
        <v>2921</v>
      </c>
      <c r="D72" s="563" t="s">
        <v>6341</v>
      </c>
      <c r="E72" s="575">
        <v>10000</v>
      </c>
      <c r="F72" s="563" t="s">
        <v>3400</v>
      </c>
      <c r="G72" s="573" t="s">
        <v>2923</v>
      </c>
      <c r="H72" s="573" t="s">
        <v>20</v>
      </c>
      <c r="I72" s="573" t="s">
        <v>2924</v>
      </c>
      <c r="J72" s="573">
        <v>43699</v>
      </c>
      <c r="K72" s="576" t="s">
        <v>4188</v>
      </c>
      <c r="L72" s="572"/>
      <c r="M72" s="572"/>
      <c r="N72" s="572"/>
      <c r="O72" s="572"/>
      <c r="P72" s="572"/>
      <c r="Q72" s="572"/>
      <c r="R72" s="572"/>
      <c r="S72" s="572"/>
      <c r="T72" s="572"/>
      <c r="U72" s="572"/>
      <c r="V72" s="572"/>
      <c r="W72" s="572"/>
      <c r="X72" s="572"/>
      <c r="Y72" s="572"/>
      <c r="Z72" s="572"/>
      <c r="AA72" s="572"/>
      <c r="AB72" s="572"/>
      <c r="AC72" s="572"/>
      <c r="AD72" s="572"/>
      <c r="AE72" s="572"/>
    </row>
    <row r="73" spans="1:31" ht="15.75" customHeight="1">
      <c r="A73" s="577">
        <v>43999</v>
      </c>
      <c r="B73" s="580" t="s">
        <v>6368</v>
      </c>
      <c r="C73" s="405" t="s">
        <v>2921</v>
      </c>
      <c r="D73" s="563" t="s">
        <v>6341</v>
      </c>
      <c r="E73" s="575">
        <v>7000</v>
      </c>
      <c r="F73" s="563" t="s">
        <v>3349</v>
      </c>
      <c r="G73" s="573" t="s">
        <v>2923</v>
      </c>
      <c r="H73" s="573" t="s">
        <v>20</v>
      </c>
      <c r="I73" s="573" t="s">
        <v>2924</v>
      </c>
      <c r="J73" s="573">
        <v>43564</v>
      </c>
      <c r="K73" s="576" t="s">
        <v>3809</v>
      </c>
      <c r="L73" s="572"/>
      <c r="M73" s="572"/>
      <c r="N73" s="572"/>
      <c r="O73" s="572"/>
      <c r="P73" s="572"/>
      <c r="Q73" s="572"/>
      <c r="R73" s="572"/>
      <c r="S73" s="572"/>
      <c r="T73" s="572"/>
      <c r="U73" s="572"/>
      <c r="V73" s="572"/>
      <c r="W73" s="572"/>
      <c r="X73" s="572"/>
      <c r="Y73" s="572"/>
      <c r="Z73" s="572"/>
      <c r="AA73" s="572"/>
      <c r="AB73" s="572"/>
      <c r="AC73" s="572"/>
      <c r="AD73" s="572"/>
      <c r="AE73" s="572"/>
    </row>
    <row r="74" spans="1:31" ht="15.75" customHeight="1">
      <c r="A74" s="577">
        <v>44004</v>
      </c>
      <c r="B74" s="578" t="s">
        <v>6368</v>
      </c>
      <c r="C74" s="405" t="s">
        <v>2921</v>
      </c>
      <c r="D74" s="563" t="s">
        <v>6341</v>
      </c>
      <c r="E74" s="575">
        <v>9000</v>
      </c>
      <c r="F74" s="563" t="s">
        <v>3349</v>
      </c>
      <c r="G74" s="573" t="s">
        <v>2923</v>
      </c>
      <c r="H74" s="573" t="s">
        <v>20</v>
      </c>
      <c r="I74" s="573" t="s">
        <v>2924</v>
      </c>
      <c r="J74" s="573">
        <v>43564</v>
      </c>
      <c r="K74" s="576" t="s">
        <v>3809</v>
      </c>
      <c r="L74" s="572"/>
      <c r="M74" s="572"/>
      <c r="N74" s="572"/>
      <c r="O74" s="572"/>
      <c r="P74" s="572"/>
      <c r="Q74" s="572"/>
      <c r="R74" s="572"/>
      <c r="S74" s="572"/>
      <c r="T74" s="572"/>
      <c r="U74" s="572"/>
      <c r="V74" s="572"/>
      <c r="W74" s="572"/>
      <c r="X74" s="572"/>
      <c r="Y74" s="572"/>
      <c r="Z74" s="572"/>
      <c r="AA74" s="572"/>
      <c r="AB74" s="572"/>
      <c r="AC74" s="572"/>
      <c r="AD74" s="572"/>
      <c r="AE74" s="572"/>
    </row>
    <row r="75" spans="1:31" ht="15.75" customHeight="1">
      <c r="A75" s="577">
        <v>44004</v>
      </c>
      <c r="B75" s="580" t="s">
        <v>6355</v>
      </c>
      <c r="C75" s="405" t="s">
        <v>2921</v>
      </c>
      <c r="D75" s="563" t="s">
        <v>6341</v>
      </c>
      <c r="E75" s="575">
        <v>10000</v>
      </c>
      <c r="F75" s="563" t="s">
        <v>3236</v>
      </c>
      <c r="G75" s="573" t="s">
        <v>2923</v>
      </c>
      <c r="H75" s="573" t="s">
        <v>20</v>
      </c>
      <c r="I75" s="573" t="s">
        <v>2930</v>
      </c>
      <c r="J75" s="573">
        <v>43559</v>
      </c>
      <c r="K75" s="576" t="s">
        <v>4188</v>
      </c>
      <c r="L75" s="572"/>
      <c r="M75" s="572"/>
      <c r="N75" s="572"/>
      <c r="O75" s="572"/>
      <c r="P75" s="572"/>
      <c r="Q75" s="572"/>
      <c r="R75" s="572"/>
      <c r="S75" s="572"/>
      <c r="T75" s="572"/>
      <c r="U75" s="572"/>
      <c r="V75" s="572"/>
      <c r="W75" s="572"/>
      <c r="X75" s="572"/>
      <c r="Y75" s="572"/>
      <c r="Z75" s="572"/>
      <c r="AA75" s="572"/>
      <c r="AB75" s="572"/>
      <c r="AC75" s="572"/>
      <c r="AD75" s="572"/>
      <c r="AE75" s="572"/>
    </row>
    <row r="76" spans="1:31" ht="15.75" customHeight="1">
      <c r="A76" s="573">
        <v>44007</v>
      </c>
      <c r="B76" s="574" t="s">
        <v>6372</v>
      </c>
      <c r="C76" s="563" t="s">
        <v>2921</v>
      </c>
      <c r="D76" s="563" t="s">
        <v>3110</v>
      </c>
      <c r="E76" s="575">
        <v>120144.24</v>
      </c>
      <c r="F76" s="563" t="s">
        <v>3213</v>
      </c>
      <c r="G76" s="573" t="s">
        <v>2923</v>
      </c>
      <c r="H76" s="573" t="s">
        <v>20</v>
      </c>
      <c r="I76" s="573" t="s">
        <v>2930</v>
      </c>
      <c r="J76" s="573">
        <v>43822</v>
      </c>
      <c r="K76" s="576" t="s">
        <v>3795</v>
      </c>
      <c r="L76" s="572"/>
      <c r="M76" s="572"/>
      <c r="N76" s="572"/>
      <c r="O76" s="572"/>
      <c r="P76" s="572"/>
      <c r="Q76" s="572"/>
      <c r="R76" s="572"/>
      <c r="S76" s="572"/>
      <c r="T76" s="572"/>
      <c r="U76" s="572"/>
      <c r="V76" s="572"/>
      <c r="W76" s="572"/>
      <c r="X76" s="572"/>
      <c r="Y76" s="572"/>
      <c r="Z76" s="572"/>
      <c r="AA76" s="572"/>
      <c r="AB76" s="572"/>
      <c r="AC76" s="572"/>
      <c r="AD76" s="572"/>
      <c r="AE76" s="572"/>
    </row>
    <row r="77" spans="1:31" ht="15.75" customHeight="1">
      <c r="A77" s="577">
        <v>44007</v>
      </c>
      <c r="B77" s="578" t="s">
        <v>6363</v>
      </c>
      <c r="C77" s="405" t="s">
        <v>2921</v>
      </c>
      <c r="D77" s="563" t="s">
        <v>6341</v>
      </c>
      <c r="E77" s="575">
        <v>160000</v>
      </c>
      <c r="F77" s="563" t="s">
        <v>3445</v>
      </c>
      <c r="G77" s="573" t="s">
        <v>2923</v>
      </c>
      <c r="H77" s="573" t="s">
        <v>20</v>
      </c>
      <c r="I77" s="573" t="s">
        <v>2924</v>
      </c>
      <c r="J77" s="573">
        <v>43894</v>
      </c>
      <c r="K77" s="576" t="s">
        <v>3805</v>
      </c>
      <c r="L77" s="572"/>
      <c r="M77" s="572"/>
      <c r="N77" s="572"/>
      <c r="O77" s="572"/>
      <c r="P77" s="572"/>
      <c r="Q77" s="572"/>
      <c r="R77" s="572"/>
      <c r="S77" s="572"/>
      <c r="T77" s="572"/>
      <c r="U77" s="572"/>
      <c r="V77" s="572"/>
      <c r="W77" s="572"/>
      <c r="X77" s="572"/>
      <c r="Y77" s="572"/>
      <c r="Z77" s="572"/>
      <c r="AA77" s="572"/>
      <c r="AB77" s="572"/>
      <c r="AC77" s="572"/>
      <c r="AD77" s="572"/>
      <c r="AE77" s="572"/>
    </row>
    <row r="78" spans="1:31" ht="15.75" customHeight="1">
      <c r="A78" s="577">
        <v>44007</v>
      </c>
      <c r="B78" s="578" t="s">
        <v>6349</v>
      </c>
      <c r="C78" s="405" t="s">
        <v>2921</v>
      </c>
      <c r="D78" s="563" t="s">
        <v>6341</v>
      </c>
      <c r="E78" s="575">
        <v>2500</v>
      </c>
      <c r="F78" s="563" t="s">
        <v>3228</v>
      </c>
      <c r="G78" s="573" t="s">
        <v>2923</v>
      </c>
      <c r="H78" s="573" t="s">
        <v>20</v>
      </c>
      <c r="I78" s="573" t="s">
        <v>2924</v>
      </c>
      <c r="J78" s="573">
        <v>43605</v>
      </c>
      <c r="K78" s="576" t="s">
        <v>3805</v>
      </c>
      <c r="L78" s="572"/>
      <c r="M78" s="572"/>
      <c r="N78" s="572"/>
      <c r="O78" s="572"/>
      <c r="P78" s="572"/>
      <c r="Q78" s="572"/>
      <c r="R78" s="572"/>
      <c r="S78" s="572"/>
      <c r="T78" s="572"/>
      <c r="U78" s="572"/>
      <c r="V78" s="572"/>
      <c r="W78" s="572"/>
      <c r="X78" s="572"/>
      <c r="Y78" s="572"/>
      <c r="Z78" s="572"/>
      <c r="AA78" s="572"/>
      <c r="AB78" s="572"/>
      <c r="AC78" s="572"/>
      <c r="AD78" s="572"/>
      <c r="AE78" s="572"/>
    </row>
    <row r="79" spans="1:31" ht="15.75" customHeight="1">
      <c r="A79" s="577">
        <v>44008</v>
      </c>
      <c r="B79" s="578" t="s">
        <v>6347</v>
      </c>
      <c r="C79" s="405" t="s">
        <v>2921</v>
      </c>
      <c r="D79" s="563" t="s">
        <v>6341</v>
      </c>
      <c r="E79" s="575">
        <v>11000</v>
      </c>
      <c r="F79" s="563" t="s">
        <v>3191</v>
      </c>
      <c r="G79" s="573" t="s">
        <v>2923</v>
      </c>
      <c r="H79" s="573" t="s">
        <v>20</v>
      </c>
      <c r="I79" s="573" t="s">
        <v>2924</v>
      </c>
      <c r="J79" s="573">
        <v>43703</v>
      </c>
      <c r="K79" s="576" t="s">
        <v>4188</v>
      </c>
      <c r="L79" s="572"/>
      <c r="M79" s="572"/>
      <c r="N79" s="572"/>
      <c r="O79" s="572"/>
      <c r="P79" s="572"/>
      <c r="Q79" s="572"/>
      <c r="R79" s="572"/>
      <c r="S79" s="572"/>
      <c r="T79" s="572"/>
      <c r="U79" s="572"/>
      <c r="V79" s="572"/>
      <c r="W79" s="572"/>
      <c r="X79" s="572"/>
      <c r="Y79" s="572"/>
      <c r="Z79" s="572"/>
      <c r="AA79" s="572"/>
      <c r="AB79" s="572"/>
      <c r="AC79" s="572"/>
      <c r="AD79" s="572"/>
      <c r="AE79" s="572"/>
    </row>
    <row r="80" spans="1:31" ht="15.75" customHeight="1">
      <c r="A80" s="573">
        <v>44011</v>
      </c>
      <c r="B80" s="574" t="s">
        <v>6369</v>
      </c>
      <c r="C80" s="563" t="s">
        <v>3785</v>
      </c>
      <c r="D80" s="563" t="s">
        <v>3110</v>
      </c>
      <c r="E80" s="575">
        <v>0</v>
      </c>
      <c r="F80" s="563" t="s">
        <v>5310</v>
      </c>
      <c r="G80" s="563" t="s">
        <v>2923</v>
      </c>
      <c r="H80" s="563" t="s">
        <v>20</v>
      </c>
      <c r="I80" s="563" t="s">
        <v>2923</v>
      </c>
      <c r="J80" s="573">
        <v>44216</v>
      </c>
      <c r="K80" s="579" t="s">
        <v>3795</v>
      </c>
      <c r="L80" s="572"/>
      <c r="M80" s="572"/>
      <c r="N80" s="572"/>
      <c r="O80" s="572"/>
      <c r="P80" s="572"/>
      <c r="Q80" s="572"/>
      <c r="R80" s="572"/>
      <c r="S80" s="572"/>
      <c r="T80" s="572"/>
      <c r="U80" s="572"/>
      <c r="V80" s="572"/>
      <c r="W80" s="572"/>
      <c r="X80" s="572"/>
      <c r="Y80" s="572"/>
      <c r="Z80" s="572"/>
      <c r="AA80" s="572"/>
      <c r="AB80" s="572"/>
      <c r="AC80" s="572"/>
      <c r="AD80" s="572"/>
      <c r="AE80" s="572"/>
    </row>
    <row r="81" spans="1:31" ht="15.75" customHeight="1">
      <c r="A81" s="577">
        <v>44012</v>
      </c>
      <c r="B81" s="578" t="s">
        <v>6373</v>
      </c>
      <c r="C81" s="405" t="s">
        <v>2921</v>
      </c>
      <c r="D81" s="563" t="s">
        <v>6341</v>
      </c>
      <c r="E81" s="575">
        <v>36000</v>
      </c>
      <c r="F81" s="563" t="s">
        <v>3164</v>
      </c>
      <c r="G81" s="573" t="s">
        <v>2923</v>
      </c>
      <c r="H81" s="573" t="s">
        <v>20</v>
      </c>
      <c r="I81" s="573" t="s">
        <v>2924</v>
      </c>
      <c r="J81" s="573">
        <v>43888</v>
      </c>
      <c r="K81" s="576" t="s">
        <v>3795</v>
      </c>
      <c r="L81" s="572"/>
      <c r="M81" s="572"/>
      <c r="N81" s="572"/>
      <c r="O81" s="572"/>
      <c r="P81" s="572"/>
      <c r="Q81" s="572"/>
      <c r="R81" s="572"/>
      <c r="S81" s="572"/>
      <c r="T81" s="572"/>
      <c r="U81" s="572"/>
      <c r="V81" s="572"/>
      <c r="W81" s="572"/>
      <c r="X81" s="572"/>
      <c r="Y81" s="572"/>
      <c r="Z81" s="572"/>
      <c r="AA81" s="572"/>
      <c r="AB81" s="572"/>
      <c r="AC81" s="572"/>
      <c r="AD81" s="572"/>
      <c r="AE81" s="572"/>
    </row>
    <row r="82" spans="1:31" ht="15.75" customHeight="1">
      <c r="A82" s="577">
        <v>44014</v>
      </c>
      <c r="B82" s="578" t="s">
        <v>6355</v>
      </c>
      <c r="C82" s="405" t="s">
        <v>2921</v>
      </c>
      <c r="D82" s="563" t="s">
        <v>6341</v>
      </c>
      <c r="E82" s="575">
        <v>100000</v>
      </c>
      <c r="F82" s="563" t="s">
        <v>3236</v>
      </c>
      <c r="G82" s="573" t="s">
        <v>2923</v>
      </c>
      <c r="H82" s="573" t="s">
        <v>20</v>
      </c>
      <c r="I82" s="573" t="s">
        <v>2930</v>
      </c>
      <c r="J82" s="573">
        <v>43559</v>
      </c>
      <c r="K82" s="576" t="s">
        <v>4188</v>
      </c>
      <c r="L82" s="572"/>
      <c r="M82" s="572"/>
      <c r="N82" s="572"/>
      <c r="O82" s="572"/>
      <c r="P82" s="572"/>
      <c r="Q82" s="572"/>
      <c r="R82" s="572"/>
      <c r="S82" s="572"/>
      <c r="T82" s="572"/>
      <c r="U82" s="572"/>
      <c r="V82" s="572"/>
      <c r="W82" s="572"/>
      <c r="X82" s="572"/>
      <c r="Y82" s="572"/>
      <c r="Z82" s="572"/>
      <c r="AA82" s="572"/>
      <c r="AB82" s="572"/>
      <c r="AC82" s="572"/>
      <c r="AD82" s="572"/>
      <c r="AE82" s="572"/>
    </row>
    <row r="83" spans="1:31" ht="15.75" customHeight="1">
      <c r="A83" s="577">
        <v>44022</v>
      </c>
      <c r="B83" s="578" t="s">
        <v>3696</v>
      </c>
      <c r="C83" s="405" t="s">
        <v>3607</v>
      </c>
      <c r="D83" s="563" t="s">
        <v>6341</v>
      </c>
      <c r="E83" s="575">
        <v>100000</v>
      </c>
      <c r="F83" s="563" t="s">
        <v>3695</v>
      </c>
      <c r="G83" s="573" t="s">
        <v>19</v>
      </c>
      <c r="H83" s="573" t="s">
        <v>20</v>
      </c>
      <c r="I83" s="573" t="s">
        <v>2512</v>
      </c>
      <c r="J83" s="573">
        <v>43797</v>
      </c>
      <c r="K83" s="576" t="s">
        <v>3805</v>
      </c>
      <c r="L83" s="572"/>
      <c r="M83" s="572"/>
      <c r="N83" s="572"/>
      <c r="O83" s="572"/>
      <c r="P83" s="572"/>
      <c r="Q83" s="572"/>
      <c r="R83" s="572"/>
      <c r="S83" s="572"/>
      <c r="T83" s="572"/>
      <c r="U83" s="572"/>
      <c r="V83" s="572"/>
      <c r="W83" s="572"/>
      <c r="X83" s="572"/>
      <c r="Y83" s="572"/>
      <c r="Z83" s="572"/>
      <c r="AA83" s="572"/>
      <c r="AB83" s="572"/>
      <c r="AC83" s="572"/>
      <c r="AD83" s="572"/>
      <c r="AE83" s="572"/>
    </row>
    <row r="84" spans="1:31" ht="15.75" customHeight="1">
      <c r="A84" s="577">
        <v>44022</v>
      </c>
      <c r="B84" s="578" t="s">
        <v>6374</v>
      </c>
      <c r="C84" s="405" t="s">
        <v>2921</v>
      </c>
      <c r="D84" s="563" t="s">
        <v>6341</v>
      </c>
      <c r="E84" s="575">
        <v>40078.019999999997</v>
      </c>
      <c r="F84" s="563" t="s">
        <v>3455</v>
      </c>
      <c r="G84" s="573" t="s">
        <v>2923</v>
      </c>
      <c r="H84" s="573" t="s">
        <v>20</v>
      </c>
      <c r="I84" s="573" t="s">
        <v>2924</v>
      </c>
      <c r="J84" s="573">
        <v>43840</v>
      </c>
      <c r="K84" s="576" t="s">
        <v>3805</v>
      </c>
      <c r="L84" s="572"/>
      <c r="M84" s="572"/>
      <c r="N84" s="572"/>
      <c r="O84" s="572"/>
      <c r="P84" s="572"/>
      <c r="Q84" s="572"/>
      <c r="R84" s="572"/>
      <c r="S84" s="572"/>
      <c r="T84" s="572"/>
      <c r="U84" s="572"/>
      <c r="V84" s="572"/>
      <c r="W84" s="572"/>
      <c r="X84" s="572"/>
      <c r="Y84" s="572"/>
      <c r="Z84" s="572"/>
      <c r="AA84" s="572"/>
      <c r="AB84" s="572"/>
      <c r="AC84" s="572"/>
      <c r="AD84" s="572"/>
      <c r="AE84" s="572"/>
    </row>
    <row r="85" spans="1:31" ht="15.75" customHeight="1">
      <c r="A85" s="577">
        <v>44023</v>
      </c>
      <c r="B85" s="578" t="s">
        <v>6375</v>
      </c>
      <c r="C85" s="405" t="s">
        <v>2921</v>
      </c>
      <c r="D85" s="563" t="s">
        <v>6341</v>
      </c>
      <c r="E85" s="575">
        <v>46758.86</v>
      </c>
      <c r="F85" s="563" t="s">
        <v>3217</v>
      </c>
      <c r="G85" s="573" t="s">
        <v>2923</v>
      </c>
      <c r="H85" s="573" t="s">
        <v>20</v>
      </c>
      <c r="I85" s="573" t="s">
        <v>2924</v>
      </c>
      <c r="J85" s="573">
        <v>43620</v>
      </c>
      <c r="K85" s="576" t="s">
        <v>3809</v>
      </c>
      <c r="L85" s="572"/>
      <c r="M85" s="572"/>
      <c r="N85" s="572"/>
      <c r="O85" s="572"/>
      <c r="P85" s="572"/>
      <c r="Q85" s="572"/>
      <c r="R85" s="572"/>
      <c r="S85" s="572"/>
      <c r="T85" s="572"/>
      <c r="U85" s="572"/>
      <c r="V85" s="572"/>
      <c r="W85" s="572"/>
      <c r="X85" s="572"/>
      <c r="Y85" s="572"/>
      <c r="Z85" s="572"/>
      <c r="AA85" s="572"/>
      <c r="AB85" s="572"/>
      <c r="AC85" s="572"/>
      <c r="AD85" s="572"/>
      <c r="AE85" s="572"/>
    </row>
    <row r="86" spans="1:31" ht="15.75" customHeight="1">
      <c r="A86" s="573">
        <v>44025</v>
      </c>
      <c r="B86" s="574" t="s">
        <v>6376</v>
      </c>
      <c r="C86" s="563" t="s">
        <v>2921</v>
      </c>
      <c r="D86" s="563" t="s">
        <v>3110</v>
      </c>
      <c r="E86" s="575">
        <v>0</v>
      </c>
      <c r="F86" s="563" t="s">
        <v>3548</v>
      </c>
      <c r="G86" s="573" t="s">
        <v>2923</v>
      </c>
      <c r="H86" s="573" t="s">
        <v>20</v>
      </c>
      <c r="I86" s="573" t="s">
        <v>2924</v>
      </c>
      <c r="J86" s="573">
        <v>43538</v>
      </c>
      <c r="K86" s="576" t="s">
        <v>4188</v>
      </c>
      <c r="L86" s="572"/>
      <c r="M86" s="572"/>
      <c r="N86" s="572"/>
      <c r="O86" s="572"/>
      <c r="P86" s="572"/>
      <c r="Q86" s="572"/>
      <c r="R86" s="572"/>
      <c r="S86" s="572"/>
      <c r="T86" s="572"/>
      <c r="U86" s="572"/>
      <c r="V86" s="572"/>
      <c r="W86" s="572"/>
      <c r="X86" s="572"/>
      <c r="Y86" s="572"/>
      <c r="Z86" s="572"/>
      <c r="AA86" s="572"/>
      <c r="AB86" s="572"/>
      <c r="AC86" s="572"/>
      <c r="AD86" s="572"/>
      <c r="AE86" s="572"/>
    </row>
    <row r="87" spans="1:31" ht="15.75" customHeight="1">
      <c r="A87" s="573">
        <v>44025</v>
      </c>
      <c r="B87" s="574" t="s">
        <v>6377</v>
      </c>
      <c r="C87" s="563" t="s">
        <v>2921</v>
      </c>
      <c r="D87" s="563" t="s">
        <v>3110</v>
      </c>
      <c r="E87" s="575">
        <v>0</v>
      </c>
      <c r="F87" s="563" t="s">
        <v>3548</v>
      </c>
      <c r="G87" s="573" t="s">
        <v>2923</v>
      </c>
      <c r="H87" s="573" t="s">
        <v>20</v>
      </c>
      <c r="I87" s="573" t="s">
        <v>2924</v>
      </c>
      <c r="J87" s="573">
        <v>43538</v>
      </c>
      <c r="K87" s="576" t="s">
        <v>3809</v>
      </c>
      <c r="L87" s="572"/>
      <c r="M87" s="572"/>
      <c r="N87" s="572"/>
      <c r="O87" s="572"/>
      <c r="P87" s="572"/>
      <c r="Q87" s="572"/>
      <c r="R87" s="572"/>
      <c r="S87" s="572"/>
      <c r="T87" s="572"/>
      <c r="U87" s="572"/>
      <c r="V87" s="572"/>
      <c r="W87" s="572"/>
      <c r="X87" s="572"/>
      <c r="Y87" s="572"/>
      <c r="Z87" s="572"/>
      <c r="AA87" s="572"/>
      <c r="AB87" s="572"/>
      <c r="AC87" s="572"/>
      <c r="AD87" s="572"/>
      <c r="AE87" s="572"/>
    </row>
    <row r="88" spans="1:31" ht="15.75" customHeight="1">
      <c r="A88" s="577">
        <v>44029</v>
      </c>
      <c r="B88" s="578" t="s">
        <v>6363</v>
      </c>
      <c r="C88" s="405" t="s">
        <v>2921</v>
      </c>
      <c r="D88" s="563" t="s">
        <v>6341</v>
      </c>
      <c r="E88" s="575">
        <v>60000</v>
      </c>
      <c r="F88" s="563" t="s">
        <v>3445</v>
      </c>
      <c r="G88" s="573" t="s">
        <v>2923</v>
      </c>
      <c r="H88" s="573" t="s">
        <v>20</v>
      </c>
      <c r="I88" s="573" t="s">
        <v>2924</v>
      </c>
      <c r="J88" s="573">
        <v>43894</v>
      </c>
      <c r="K88" s="576" t="s">
        <v>3805</v>
      </c>
      <c r="L88" s="572"/>
      <c r="M88" s="572"/>
      <c r="N88" s="572"/>
      <c r="O88" s="572"/>
      <c r="P88" s="572"/>
      <c r="Q88" s="572"/>
      <c r="R88" s="572"/>
      <c r="S88" s="572"/>
      <c r="T88" s="572"/>
      <c r="U88" s="572"/>
      <c r="V88" s="572"/>
      <c r="W88" s="572"/>
      <c r="X88" s="572"/>
      <c r="Y88" s="572"/>
      <c r="Z88" s="572"/>
      <c r="AA88" s="572"/>
      <c r="AB88" s="572"/>
      <c r="AC88" s="572"/>
      <c r="AD88" s="572"/>
      <c r="AE88" s="572"/>
    </row>
    <row r="89" spans="1:31" ht="15.75" customHeight="1">
      <c r="A89" s="577">
        <v>44032</v>
      </c>
      <c r="B89" s="578" t="s">
        <v>6349</v>
      </c>
      <c r="C89" s="405" t="s">
        <v>2921</v>
      </c>
      <c r="D89" s="563" t="s">
        <v>6341</v>
      </c>
      <c r="E89" s="575">
        <v>211079.19</v>
      </c>
      <c r="F89" s="563" t="s">
        <v>3228</v>
      </c>
      <c r="G89" s="573" t="s">
        <v>2923</v>
      </c>
      <c r="H89" s="573" t="s">
        <v>20</v>
      </c>
      <c r="I89" s="573" t="s">
        <v>2924</v>
      </c>
      <c r="J89" s="573">
        <v>43605</v>
      </c>
      <c r="K89" s="576" t="s">
        <v>3805</v>
      </c>
      <c r="L89" s="572"/>
      <c r="M89" s="572"/>
      <c r="N89" s="572"/>
      <c r="O89" s="572"/>
      <c r="P89" s="572"/>
      <c r="Q89" s="572"/>
      <c r="R89" s="572"/>
      <c r="S89" s="572"/>
      <c r="T89" s="572"/>
      <c r="U89" s="572"/>
      <c r="V89" s="572"/>
      <c r="W89" s="572"/>
      <c r="X89" s="572"/>
      <c r="Y89" s="572"/>
      <c r="Z89" s="572"/>
      <c r="AA89" s="572"/>
      <c r="AB89" s="572"/>
      <c r="AC89" s="572"/>
      <c r="AD89" s="572"/>
      <c r="AE89" s="572"/>
    </row>
    <row r="90" spans="1:31" ht="15.75" customHeight="1">
      <c r="A90" s="577">
        <v>44032</v>
      </c>
      <c r="B90" s="578" t="s">
        <v>6378</v>
      </c>
      <c r="C90" s="405" t="s">
        <v>2921</v>
      </c>
      <c r="D90" s="563" t="s">
        <v>6341</v>
      </c>
      <c r="E90" s="575">
        <v>7000</v>
      </c>
      <c r="F90" s="563" t="s">
        <v>3291</v>
      </c>
      <c r="G90" s="573" t="s">
        <v>2923</v>
      </c>
      <c r="H90" s="573" t="s">
        <v>20</v>
      </c>
      <c r="I90" s="573" t="s">
        <v>2924</v>
      </c>
      <c r="J90" s="573">
        <v>43732</v>
      </c>
      <c r="K90" s="576" t="s">
        <v>4188</v>
      </c>
      <c r="L90" s="572"/>
      <c r="M90" s="572"/>
      <c r="N90" s="572"/>
      <c r="O90" s="572"/>
      <c r="P90" s="572"/>
      <c r="Q90" s="572"/>
      <c r="R90" s="572"/>
      <c r="S90" s="572"/>
      <c r="T90" s="572"/>
      <c r="U90" s="572"/>
      <c r="V90" s="572"/>
      <c r="W90" s="572"/>
      <c r="X90" s="572"/>
      <c r="Y90" s="572"/>
      <c r="Z90" s="572"/>
      <c r="AA90" s="572"/>
      <c r="AB90" s="572"/>
      <c r="AC90" s="572"/>
      <c r="AD90" s="572"/>
      <c r="AE90" s="572"/>
    </row>
    <row r="91" spans="1:31" ht="15.75" customHeight="1">
      <c r="A91" s="577">
        <v>44032</v>
      </c>
      <c r="B91" s="578" t="s">
        <v>6379</v>
      </c>
      <c r="C91" s="405" t="s">
        <v>2921</v>
      </c>
      <c r="D91" s="563" t="s">
        <v>6341</v>
      </c>
      <c r="E91" s="575">
        <v>14000</v>
      </c>
      <c r="F91" s="563" t="s">
        <v>3302</v>
      </c>
      <c r="G91" s="573" t="s">
        <v>2923</v>
      </c>
      <c r="H91" s="573" t="s">
        <v>20</v>
      </c>
      <c r="I91" s="573" t="s">
        <v>2924</v>
      </c>
      <c r="J91" s="573">
        <v>43620</v>
      </c>
      <c r="K91" s="576" t="s">
        <v>3795</v>
      </c>
      <c r="L91" s="572"/>
      <c r="M91" s="572"/>
      <c r="N91" s="572"/>
      <c r="O91" s="572"/>
      <c r="P91" s="572"/>
      <c r="Q91" s="572"/>
      <c r="R91" s="572"/>
      <c r="S91" s="572"/>
      <c r="T91" s="572"/>
      <c r="U91" s="572"/>
      <c r="V91" s="572"/>
      <c r="W91" s="572"/>
      <c r="X91" s="572"/>
      <c r="Y91" s="572"/>
      <c r="Z91" s="572"/>
      <c r="AA91" s="572"/>
      <c r="AB91" s="572"/>
      <c r="AC91" s="572"/>
      <c r="AD91" s="572"/>
      <c r="AE91" s="572"/>
    </row>
    <row r="92" spans="1:31" ht="15.75" customHeight="1">
      <c r="A92" s="577">
        <v>44032</v>
      </c>
      <c r="B92" s="578" t="s">
        <v>6380</v>
      </c>
      <c r="C92" s="405" t="s">
        <v>3785</v>
      </c>
      <c r="D92" s="563" t="s">
        <v>6341</v>
      </c>
      <c r="E92" s="575">
        <v>10000</v>
      </c>
      <c r="F92" s="563" t="s">
        <v>3302</v>
      </c>
      <c r="G92" s="563" t="s">
        <v>2923</v>
      </c>
      <c r="H92" s="563" t="s">
        <v>20</v>
      </c>
      <c r="I92" s="563" t="s">
        <v>2923</v>
      </c>
      <c r="J92" s="573">
        <v>43700</v>
      </c>
      <c r="K92" s="579" t="s">
        <v>3795</v>
      </c>
      <c r="L92" s="572"/>
      <c r="M92" s="572"/>
      <c r="N92" s="572"/>
      <c r="O92" s="572"/>
      <c r="P92" s="572"/>
      <c r="Q92" s="572"/>
      <c r="R92" s="572"/>
      <c r="S92" s="572"/>
      <c r="T92" s="572"/>
      <c r="U92" s="572"/>
      <c r="V92" s="572"/>
      <c r="W92" s="572"/>
      <c r="X92" s="572"/>
      <c r="Y92" s="572"/>
      <c r="Z92" s="572"/>
      <c r="AA92" s="572"/>
      <c r="AB92" s="572"/>
      <c r="AC92" s="572"/>
      <c r="AD92" s="572"/>
      <c r="AE92" s="572"/>
    </row>
    <row r="93" spans="1:31" ht="15.75" customHeight="1">
      <c r="A93" s="577">
        <v>44033</v>
      </c>
      <c r="B93" s="580" t="s">
        <v>6364</v>
      </c>
      <c r="C93" s="405" t="s">
        <v>2921</v>
      </c>
      <c r="D93" s="563" t="s">
        <v>928</v>
      </c>
      <c r="E93" s="575">
        <v>30000</v>
      </c>
      <c r="F93" s="563" t="s">
        <v>3098</v>
      </c>
      <c r="G93" s="573" t="s">
        <v>2923</v>
      </c>
      <c r="H93" s="573" t="s">
        <v>20</v>
      </c>
      <c r="I93" s="573" t="s">
        <v>2930</v>
      </c>
      <c r="J93" s="573">
        <v>43913</v>
      </c>
      <c r="K93" s="576" t="s">
        <v>3795</v>
      </c>
      <c r="L93" s="572"/>
      <c r="M93" s="572"/>
      <c r="N93" s="572"/>
      <c r="O93" s="572"/>
      <c r="P93" s="572"/>
      <c r="Q93" s="572"/>
      <c r="R93" s="572"/>
      <c r="S93" s="572"/>
      <c r="T93" s="572"/>
      <c r="U93" s="572"/>
      <c r="V93" s="572"/>
      <c r="W93" s="572"/>
      <c r="X93" s="572"/>
      <c r="Y93" s="572"/>
      <c r="Z93" s="572"/>
      <c r="AA93" s="572"/>
      <c r="AB93" s="572"/>
      <c r="AC93" s="572"/>
      <c r="AD93" s="572"/>
      <c r="AE93" s="572"/>
    </row>
    <row r="94" spans="1:31" ht="15.75" customHeight="1">
      <c r="A94" s="577">
        <v>44034</v>
      </c>
      <c r="B94" s="578" t="s">
        <v>6381</v>
      </c>
      <c r="C94" s="405" t="s">
        <v>2921</v>
      </c>
      <c r="D94" s="563" t="s">
        <v>928</v>
      </c>
      <c r="E94" s="575">
        <v>20000</v>
      </c>
      <c r="F94" s="563" t="s">
        <v>3392</v>
      </c>
      <c r="G94" s="573" t="s">
        <v>2989</v>
      </c>
      <c r="H94" s="573" t="s">
        <v>20</v>
      </c>
      <c r="I94" s="573" t="s">
        <v>2989</v>
      </c>
      <c r="J94" s="573">
        <v>43441</v>
      </c>
      <c r="K94" s="576" t="s">
        <v>3809</v>
      </c>
      <c r="L94" s="572"/>
      <c r="M94" s="572"/>
      <c r="N94" s="572"/>
      <c r="O94" s="572"/>
      <c r="P94" s="572"/>
      <c r="Q94" s="572"/>
      <c r="R94" s="572"/>
      <c r="S94" s="572"/>
      <c r="T94" s="572"/>
      <c r="U94" s="572"/>
      <c r="V94" s="572"/>
      <c r="W94" s="572"/>
      <c r="X94" s="572"/>
      <c r="Y94" s="572"/>
      <c r="Z94" s="572"/>
      <c r="AA94" s="572"/>
      <c r="AB94" s="572"/>
      <c r="AC94" s="572"/>
      <c r="AD94" s="572"/>
      <c r="AE94" s="572"/>
    </row>
    <row r="95" spans="1:31" ht="15.75" customHeight="1">
      <c r="A95" s="577">
        <v>44036</v>
      </c>
      <c r="B95" s="578" t="s">
        <v>6379</v>
      </c>
      <c r="C95" s="405" t="s">
        <v>2921</v>
      </c>
      <c r="D95" s="563" t="s">
        <v>6341</v>
      </c>
      <c r="E95" s="575">
        <v>3500</v>
      </c>
      <c r="F95" s="563" t="s">
        <v>3302</v>
      </c>
      <c r="G95" s="573" t="s">
        <v>2923</v>
      </c>
      <c r="H95" s="573" t="s">
        <v>20</v>
      </c>
      <c r="I95" s="573" t="s">
        <v>2924</v>
      </c>
      <c r="J95" s="573">
        <v>43620</v>
      </c>
      <c r="K95" s="576" t="s">
        <v>3795</v>
      </c>
      <c r="L95" s="572"/>
      <c r="M95" s="572"/>
      <c r="N95" s="572"/>
      <c r="O95" s="572"/>
      <c r="P95" s="572"/>
      <c r="Q95" s="572"/>
      <c r="R95" s="572"/>
      <c r="S95" s="572"/>
      <c r="T95" s="572"/>
      <c r="U95" s="572"/>
      <c r="V95" s="572"/>
      <c r="W95" s="572"/>
      <c r="X95" s="572"/>
      <c r="Y95" s="572"/>
      <c r="Z95" s="572"/>
      <c r="AA95" s="572"/>
      <c r="AB95" s="572"/>
      <c r="AC95" s="572"/>
      <c r="AD95" s="572"/>
      <c r="AE95" s="572"/>
    </row>
    <row r="96" spans="1:31" ht="15.75" customHeight="1">
      <c r="A96" s="577">
        <v>44036</v>
      </c>
      <c r="B96" s="580" t="s">
        <v>6375</v>
      </c>
      <c r="C96" s="405" t="s">
        <v>2921</v>
      </c>
      <c r="D96" s="563" t="s">
        <v>928</v>
      </c>
      <c r="E96" s="575">
        <v>7000</v>
      </c>
      <c r="F96" s="563" t="s">
        <v>3217</v>
      </c>
      <c r="G96" s="573" t="s">
        <v>2923</v>
      </c>
      <c r="H96" s="573" t="s">
        <v>20</v>
      </c>
      <c r="I96" s="573" t="s">
        <v>2924</v>
      </c>
      <c r="J96" s="573">
        <v>43620</v>
      </c>
      <c r="K96" s="576" t="s">
        <v>3809</v>
      </c>
      <c r="L96" s="572"/>
      <c r="M96" s="572"/>
      <c r="N96" s="572"/>
      <c r="O96" s="572"/>
      <c r="P96" s="572"/>
      <c r="Q96" s="572"/>
      <c r="R96" s="572"/>
      <c r="S96" s="572"/>
      <c r="T96" s="572"/>
      <c r="U96" s="572"/>
      <c r="V96" s="572"/>
      <c r="W96" s="572"/>
      <c r="X96" s="572"/>
      <c r="Y96" s="572"/>
      <c r="Z96" s="572"/>
      <c r="AA96" s="572"/>
      <c r="AB96" s="572"/>
      <c r="AC96" s="572"/>
      <c r="AD96" s="572"/>
      <c r="AE96" s="572"/>
    </row>
    <row r="97" spans="1:31" ht="15.75" customHeight="1">
      <c r="A97" s="577">
        <v>44039</v>
      </c>
      <c r="B97" s="578" t="s">
        <v>6374</v>
      </c>
      <c r="C97" s="405" t="s">
        <v>2921</v>
      </c>
      <c r="D97" s="563" t="s">
        <v>6341</v>
      </c>
      <c r="E97" s="575">
        <v>20000</v>
      </c>
      <c r="F97" s="563" t="s">
        <v>3455</v>
      </c>
      <c r="G97" s="573" t="s">
        <v>2923</v>
      </c>
      <c r="H97" s="573" t="s">
        <v>20</v>
      </c>
      <c r="I97" s="573" t="s">
        <v>2924</v>
      </c>
      <c r="J97" s="573">
        <v>43840</v>
      </c>
      <c r="K97" s="576" t="s">
        <v>3805</v>
      </c>
      <c r="L97" s="572"/>
      <c r="M97" s="572"/>
      <c r="N97" s="572"/>
      <c r="O97" s="572"/>
      <c r="P97" s="572"/>
      <c r="Q97" s="572"/>
      <c r="R97" s="572"/>
      <c r="S97" s="572"/>
      <c r="T97" s="572"/>
      <c r="U97" s="572"/>
      <c r="V97" s="572"/>
      <c r="W97" s="572"/>
      <c r="X97" s="572"/>
      <c r="Y97" s="572"/>
      <c r="Z97" s="572"/>
      <c r="AA97" s="572"/>
      <c r="AB97" s="572"/>
      <c r="AC97" s="572"/>
      <c r="AD97" s="572"/>
      <c r="AE97" s="572"/>
    </row>
    <row r="98" spans="1:31" ht="15.75" customHeight="1">
      <c r="A98" s="577">
        <v>44039</v>
      </c>
      <c r="B98" s="580" t="s">
        <v>6349</v>
      </c>
      <c r="C98" s="405" t="s">
        <v>2921</v>
      </c>
      <c r="D98" s="563" t="s">
        <v>6341</v>
      </c>
      <c r="E98" s="575">
        <v>5000</v>
      </c>
      <c r="F98" s="563" t="s">
        <v>3228</v>
      </c>
      <c r="G98" s="573" t="s">
        <v>2923</v>
      </c>
      <c r="H98" s="573" t="s">
        <v>20</v>
      </c>
      <c r="I98" s="573" t="s">
        <v>2924</v>
      </c>
      <c r="J98" s="573">
        <v>43605</v>
      </c>
      <c r="K98" s="576" t="s">
        <v>3805</v>
      </c>
      <c r="L98" s="572"/>
      <c r="M98" s="572"/>
      <c r="N98" s="572"/>
      <c r="O98" s="572"/>
      <c r="P98" s="572"/>
      <c r="Q98" s="572"/>
      <c r="R98" s="572"/>
      <c r="S98" s="572"/>
      <c r="T98" s="572"/>
      <c r="U98" s="572"/>
      <c r="V98" s="572"/>
      <c r="W98" s="572"/>
      <c r="X98" s="572"/>
      <c r="Y98" s="572"/>
      <c r="Z98" s="572"/>
      <c r="AA98" s="572"/>
      <c r="AB98" s="572"/>
      <c r="AC98" s="572"/>
      <c r="AD98" s="572"/>
      <c r="AE98" s="572"/>
    </row>
    <row r="99" spans="1:31" ht="15.75" customHeight="1">
      <c r="A99" s="577">
        <v>44040</v>
      </c>
      <c r="B99" s="578" t="s">
        <v>6347</v>
      </c>
      <c r="C99" s="405" t="s">
        <v>2921</v>
      </c>
      <c r="D99" s="563" t="s">
        <v>6341</v>
      </c>
      <c r="E99" s="575">
        <v>10000</v>
      </c>
      <c r="F99" s="563" t="s">
        <v>3191</v>
      </c>
      <c r="G99" s="573" t="s">
        <v>2923</v>
      </c>
      <c r="H99" s="573" t="s">
        <v>20</v>
      </c>
      <c r="I99" s="573" t="s">
        <v>2924</v>
      </c>
      <c r="J99" s="573">
        <v>43703</v>
      </c>
      <c r="K99" s="576" t="s">
        <v>4188</v>
      </c>
      <c r="L99" s="572"/>
      <c r="M99" s="572"/>
      <c r="N99" s="572"/>
      <c r="O99" s="572"/>
      <c r="P99" s="572"/>
      <c r="Q99" s="572"/>
      <c r="R99" s="572"/>
      <c r="S99" s="572"/>
      <c r="T99" s="572"/>
      <c r="U99" s="572"/>
      <c r="V99" s="572"/>
      <c r="W99" s="572"/>
      <c r="X99" s="572"/>
      <c r="Y99" s="572"/>
      <c r="Z99" s="572"/>
      <c r="AA99" s="572"/>
      <c r="AB99" s="572"/>
      <c r="AC99" s="572"/>
      <c r="AD99" s="572"/>
      <c r="AE99" s="572"/>
    </row>
    <row r="100" spans="1:31" ht="15.75" customHeight="1">
      <c r="A100" s="573">
        <v>44041</v>
      </c>
      <c r="B100" s="574" t="s">
        <v>6382</v>
      </c>
      <c r="C100" s="563" t="s">
        <v>2921</v>
      </c>
      <c r="D100" s="563" t="s">
        <v>3110</v>
      </c>
      <c r="E100" s="575">
        <v>0</v>
      </c>
      <c r="F100" s="563" t="s">
        <v>6383</v>
      </c>
      <c r="G100" s="573"/>
      <c r="H100" s="573"/>
      <c r="I100" s="573"/>
      <c r="J100" s="573"/>
      <c r="K100" s="576"/>
      <c r="L100" s="572"/>
      <c r="M100" s="572"/>
      <c r="N100" s="572"/>
      <c r="O100" s="572"/>
      <c r="P100" s="572"/>
      <c r="Q100" s="572"/>
      <c r="R100" s="572"/>
      <c r="S100" s="572"/>
      <c r="T100" s="572"/>
      <c r="U100" s="572"/>
      <c r="V100" s="572"/>
      <c r="W100" s="572"/>
      <c r="X100" s="572"/>
      <c r="Y100" s="572"/>
      <c r="Z100" s="572"/>
      <c r="AA100" s="572"/>
      <c r="AB100" s="572"/>
      <c r="AC100" s="572"/>
      <c r="AD100" s="572"/>
      <c r="AE100" s="572"/>
    </row>
    <row r="101" spans="1:31" ht="15.75" customHeight="1">
      <c r="A101" s="577">
        <v>44041</v>
      </c>
      <c r="B101" s="580" t="s">
        <v>6373</v>
      </c>
      <c r="C101" s="405" t="s">
        <v>2921</v>
      </c>
      <c r="D101" s="563" t="s">
        <v>6341</v>
      </c>
      <c r="E101" s="575">
        <v>151239.98000000001</v>
      </c>
      <c r="F101" s="563" t="s">
        <v>3164</v>
      </c>
      <c r="G101" s="573" t="s">
        <v>2923</v>
      </c>
      <c r="H101" s="573" t="s">
        <v>20</v>
      </c>
      <c r="I101" s="573" t="s">
        <v>2924</v>
      </c>
      <c r="J101" s="573">
        <v>43888</v>
      </c>
      <c r="K101" s="576" t="s">
        <v>3795</v>
      </c>
      <c r="L101" s="572"/>
      <c r="M101" s="572"/>
      <c r="N101" s="572"/>
      <c r="O101" s="572"/>
      <c r="P101" s="572"/>
      <c r="Q101" s="572"/>
      <c r="R101" s="572"/>
      <c r="S101" s="572"/>
      <c r="T101" s="572"/>
      <c r="U101" s="572"/>
      <c r="V101" s="572"/>
      <c r="W101" s="572"/>
      <c r="X101" s="572"/>
      <c r="Y101" s="572"/>
      <c r="Z101" s="572"/>
      <c r="AA101" s="572"/>
      <c r="AB101" s="572"/>
      <c r="AC101" s="572"/>
      <c r="AD101" s="572"/>
      <c r="AE101" s="572"/>
    </row>
    <row r="102" spans="1:31" ht="15.75" customHeight="1">
      <c r="A102" s="577">
        <v>44041</v>
      </c>
      <c r="B102" s="578" t="s">
        <v>3623</v>
      </c>
      <c r="C102" s="405" t="s">
        <v>3607</v>
      </c>
      <c r="D102" s="563" t="s">
        <v>6341</v>
      </c>
      <c r="E102" s="575">
        <v>10000</v>
      </c>
      <c r="F102" s="563" t="s">
        <v>510</v>
      </c>
      <c r="G102" s="573" t="s">
        <v>19</v>
      </c>
      <c r="H102" s="573" t="s">
        <v>20</v>
      </c>
      <c r="I102" s="573" t="s">
        <v>3072</v>
      </c>
      <c r="J102" s="573">
        <v>43934</v>
      </c>
      <c r="K102" s="576" t="s">
        <v>3789</v>
      </c>
      <c r="L102" s="572"/>
      <c r="M102" s="572"/>
      <c r="N102" s="572"/>
      <c r="O102" s="572"/>
      <c r="P102" s="572"/>
      <c r="Q102" s="572"/>
      <c r="R102" s="572"/>
      <c r="S102" s="572"/>
      <c r="T102" s="572"/>
      <c r="U102" s="572"/>
      <c r="V102" s="572"/>
      <c r="W102" s="572"/>
      <c r="X102" s="572"/>
      <c r="Y102" s="572"/>
      <c r="Z102" s="572"/>
      <c r="AA102" s="572"/>
      <c r="AB102" s="572"/>
      <c r="AC102" s="572"/>
      <c r="AD102" s="572"/>
      <c r="AE102" s="572"/>
    </row>
    <row r="103" spans="1:31" ht="15.75" customHeight="1">
      <c r="A103" s="573">
        <v>44042</v>
      </c>
      <c r="B103" s="582" t="s">
        <v>6384</v>
      </c>
      <c r="C103" s="563" t="s">
        <v>3785</v>
      </c>
      <c r="D103" s="563" t="s">
        <v>3110</v>
      </c>
      <c r="E103" s="575">
        <v>0</v>
      </c>
      <c r="F103" s="563" t="s">
        <v>3940</v>
      </c>
      <c r="G103" s="563" t="s">
        <v>2923</v>
      </c>
      <c r="H103" s="563" t="s">
        <v>20</v>
      </c>
      <c r="I103" s="563" t="s">
        <v>2923</v>
      </c>
      <c r="J103" s="573">
        <v>43838</v>
      </c>
      <c r="K103" s="579" t="s">
        <v>3941</v>
      </c>
      <c r="L103" s="572"/>
      <c r="M103" s="572"/>
      <c r="N103" s="572"/>
      <c r="O103" s="572"/>
      <c r="P103" s="572"/>
      <c r="Q103" s="572"/>
      <c r="R103" s="572"/>
      <c r="S103" s="572"/>
      <c r="T103" s="572"/>
      <c r="U103" s="572"/>
      <c r="V103" s="572"/>
      <c r="W103" s="572"/>
      <c r="X103" s="572"/>
      <c r="Y103" s="572"/>
      <c r="Z103" s="572"/>
      <c r="AA103" s="572"/>
      <c r="AB103" s="572"/>
      <c r="AC103" s="572"/>
      <c r="AD103" s="572"/>
      <c r="AE103" s="572"/>
    </row>
    <row r="104" spans="1:31" ht="15.75" customHeight="1">
      <c r="A104" s="577">
        <v>44042</v>
      </c>
      <c r="B104" s="578" t="s">
        <v>3691</v>
      </c>
      <c r="C104" s="405" t="s">
        <v>3607</v>
      </c>
      <c r="D104" s="563" t="s">
        <v>6341</v>
      </c>
      <c r="E104" s="575">
        <v>10000</v>
      </c>
      <c r="F104" s="563" t="s">
        <v>3690</v>
      </c>
      <c r="G104" s="573" t="s">
        <v>19</v>
      </c>
      <c r="H104" s="573" t="s">
        <v>20</v>
      </c>
      <c r="I104" s="573" t="s">
        <v>3072</v>
      </c>
      <c r="J104" s="573">
        <v>43635</v>
      </c>
      <c r="K104" s="576" t="s">
        <v>4188</v>
      </c>
      <c r="L104" s="572"/>
      <c r="M104" s="572"/>
      <c r="N104" s="572"/>
      <c r="O104" s="572"/>
      <c r="P104" s="572"/>
      <c r="Q104" s="572"/>
      <c r="R104" s="572"/>
      <c r="S104" s="572"/>
      <c r="T104" s="572"/>
      <c r="U104" s="572"/>
      <c r="V104" s="572"/>
      <c r="W104" s="572"/>
      <c r="X104" s="572"/>
      <c r="Y104" s="572"/>
      <c r="Z104" s="572"/>
      <c r="AA104" s="572"/>
      <c r="AB104" s="572"/>
      <c r="AC104" s="572"/>
      <c r="AD104" s="572"/>
      <c r="AE104" s="572"/>
    </row>
    <row r="105" spans="1:31" ht="15.75" customHeight="1">
      <c r="A105" s="573">
        <v>44044</v>
      </c>
      <c r="B105" s="574" t="s">
        <v>6385</v>
      </c>
      <c r="C105" s="563" t="s">
        <v>2921</v>
      </c>
      <c r="D105" s="563" t="s">
        <v>3110</v>
      </c>
      <c r="E105" s="575">
        <v>151239.98000000001</v>
      </c>
      <c r="F105" s="563" t="s">
        <v>3449</v>
      </c>
      <c r="G105" s="573" t="s">
        <v>2923</v>
      </c>
      <c r="H105" s="573" t="s">
        <v>20</v>
      </c>
      <c r="I105" s="573" t="s">
        <v>2924</v>
      </c>
      <c r="J105" s="573">
        <v>43668</v>
      </c>
      <c r="K105" s="576" t="s">
        <v>4188</v>
      </c>
      <c r="L105" s="572"/>
      <c r="M105" s="572"/>
      <c r="N105" s="572"/>
      <c r="O105" s="572"/>
      <c r="P105" s="572"/>
      <c r="Q105" s="572"/>
      <c r="R105" s="572"/>
      <c r="S105" s="572"/>
      <c r="T105" s="572"/>
      <c r="U105" s="572"/>
      <c r="V105" s="572"/>
      <c r="W105" s="572"/>
      <c r="X105" s="572"/>
      <c r="Y105" s="572"/>
      <c r="Z105" s="572"/>
      <c r="AA105" s="572"/>
      <c r="AB105" s="572"/>
      <c r="AC105" s="572"/>
      <c r="AD105" s="572"/>
      <c r="AE105" s="572"/>
    </row>
    <row r="106" spans="1:31" ht="15.75" customHeight="1">
      <c r="A106" s="577">
        <v>44046</v>
      </c>
      <c r="B106" s="578" t="s">
        <v>6355</v>
      </c>
      <c r="C106" s="405" t="s">
        <v>2921</v>
      </c>
      <c r="D106" s="563" t="s">
        <v>6341</v>
      </c>
      <c r="E106" s="575">
        <v>3000</v>
      </c>
      <c r="F106" s="563" t="s">
        <v>3236</v>
      </c>
      <c r="G106" s="573" t="s">
        <v>2923</v>
      </c>
      <c r="H106" s="573" t="s">
        <v>20</v>
      </c>
      <c r="I106" s="573" t="s">
        <v>2930</v>
      </c>
      <c r="J106" s="573">
        <v>43559</v>
      </c>
      <c r="K106" s="576" t="s">
        <v>4188</v>
      </c>
      <c r="L106" s="572"/>
      <c r="M106" s="572"/>
      <c r="N106" s="572"/>
      <c r="O106" s="572"/>
      <c r="P106" s="572"/>
      <c r="Q106" s="572"/>
      <c r="R106" s="572"/>
      <c r="S106" s="572"/>
      <c r="T106" s="572"/>
      <c r="U106" s="572"/>
      <c r="V106" s="572"/>
      <c r="W106" s="572"/>
      <c r="X106" s="572"/>
      <c r="Y106" s="572"/>
      <c r="Z106" s="572"/>
      <c r="AA106" s="572"/>
      <c r="AB106" s="572"/>
      <c r="AC106" s="572"/>
      <c r="AD106" s="572"/>
      <c r="AE106" s="572"/>
    </row>
    <row r="107" spans="1:31" ht="15.75" customHeight="1">
      <c r="A107" s="577">
        <v>44046</v>
      </c>
      <c r="B107" s="578" t="s">
        <v>6340</v>
      </c>
      <c r="C107" s="405" t="s">
        <v>2921</v>
      </c>
      <c r="D107" s="563" t="s">
        <v>6341</v>
      </c>
      <c r="E107" s="575">
        <v>6500</v>
      </c>
      <c r="F107" s="563" t="s">
        <v>3468</v>
      </c>
      <c r="G107" s="573" t="s">
        <v>2923</v>
      </c>
      <c r="H107" s="573" t="s">
        <v>20</v>
      </c>
      <c r="I107" s="573" t="s">
        <v>2924</v>
      </c>
      <c r="J107" s="573">
        <v>43675</v>
      </c>
      <c r="K107" s="576" t="s">
        <v>4188</v>
      </c>
      <c r="L107" s="572"/>
      <c r="M107" s="572"/>
      <c r="N107" s="572"/>
      <c r="O107" s="572"/>
      <c r="P107" s="572"/>
      <c r="Q107" s="572"/>
      <c r="R107" s="572"/>
      <c r="S107" s="572"/>
      <c r="T107" s="572"/>
      <c r="U107" s="572"/>
      <c r="V107" s="572"/>
      <c r="W107" s="572"/>
      <c r="X107" s="572"/>
      <c r="Y107" s="572"/>
      <c r="Z107" s="572"/>
      <c r="AA107" s="572"/>
      <c r="AB107" s="572"/>
      <c r="AC107" s="572"/>
      <c r="AD107" s="572"/>
      <c r="AE107" s="572"/>
    </row>
    <row r="108" spans="1:31" ht="15.75" customHeight="1">
      <c r="A108" s="577">
        <v>44048</v>
      </c>
      <c r="B108" s="580" t="s">
        <v>6352</v>
      </c>
      <c r="C108" s="405" t="s">
        <v>3785</v>
      </c>
      <c r="D108" s="563" t="s">
        <v>6341</v>
      </c>
      <c r="E108" s="575">
        <v>10000</v>
      </c>
      <c r="F108" s="563" t="s">
        <v>4665</v>
      </c>
      <c r="G108" s="563" t="s">
        <v>2923</v>
      </c>
      <c r="H108" s="563" t="s">
        <v>20</v>
      </c>
      <c r="I108" s="563" t="s">
        <v>2923</v>
      </c>
      <c r="J108" s="573">
        <v>44252</v>
      </c>
      <c r="K108" s="579" t="s">
        <v>3805</v>
      </c>
      <c r="L108" s="572"/>
      <c r="M108" s="572"/>
      <c r="N108" s="572"/>
      <c r="O108" s="572"/>
      <c r="P108" s="572"/>
      <c r="Q108" s="572"/>
      <c r="R108" s="572"/>
      <c r="S108" s="572"/>
      <c r="T108" s="572"/>
      <c r="U108" s="572"/>
      <c r="V108" s="572"/>
      <c r="W108" s="572"/>
      <c r="X108" s="572"/>
      <c r="Y108" s="572"/>
      <c r="Z108" s="572"/>
      <c r="AA108" s="572"/>
      <c r="AB108" s="572"/>
      <c r="AC108" s="572"/>
      <c r="AD108" s="572"/>
      <c r="AE108" s="572"/>
    </row>
    <row r="109" spans="1:31" ht="15.75" customHeight="1">
      <c r="A109" s="577">
        <v>44048</v>
      </c>
      <c r="B109" s="578" t="s">
        <v>6361</v>
      </c>
      <c r="C109" s="405" t="s">
        <v>2921</v>
      </c>
      <c r="D109" s="563" t="s">
        <v>6341</v>
      </c>
      <c r="E109" s="575">
        <v>33000</v>
      </c>
      <c r="F109" s="563" t="s">
        <v>3400</v>
      </c>
      <c r="G109" s="573" t="s">
        <v>2923</v>
      </c>
      <c r="H109" s="573" t="s">
        <v>20</v>
      </c>
      <c r="I109" s="573" t="s">
        <v>2924</v>
      </c>
      <c r="J109" s="573">
        <v>43699</v>
      </c>
      <c r="K109" s="576" t="s">
        <v>4188</v>
      </c>
      <c r="L109" s="572"/>
      <c r="M109" s="572"/>
      <c r="N109" s="572"/>
      <c r="O109" s="572"/>
      <c r="P109" s="572"/>
      <c r="Q109" s="572"/>
      <c r="R109" s="572"/>
      <c r="S109" s="572"/>
      <c r="T109" s="572"/>
      <c r="U109" s="572"/>
      <c r="V109" s="572"/>
      <c r="W109" s="572"/>
      <c r="X109" s="572"/>
      <c r="Y109" s="572"/>
      <c r="Z109" s="572"/>
      <c r="AA109" s="572"/>
      <c r="AB109" s="572"/>
      <c r="AC109" s="572"/>
      <c r="AD109" s="572"/>
      <c r="AE109" s="572"/>
    </row>
    <row r="110" spans="1:31" ht="15.75" customHeight="1">
      <c r="A110" s="577">
        <v>44049</v>
      </c>
      <c r="B110" s="578" t="s">
        <v>6385</v>
      </c>
      <c r="C110" s="405" t="s">
        <v>2921</v>
      </c>
      <c r="D110" s="563" t="s">
        <v>928</v>
      </c>
      <c r="E110" s="575">
        <v>5000</v>
      </c>
      <c r="F110" s="563" t="s">
        <v>3449</v>
      </c>
      <c r="G110" s="573" t="s">
        <v>2923</v>
      </c>
      <c r="H110" s="573" t="s">
        <v>20</v>
      </c>
      <c r="I110" s="573" t="s">
        <v>2924</v>
      </c>
      <c r="J110" s="573">
        <v>43668</v>
      </c>
      <c r="K110" s="576" t="s">
        <v>4188</v>
      </c>
      <c r="L110" s="572"/>
      <c r="M110" s="572"/>
      <c r="N110" s="572"/>
      <c r="O110" s="572"/>
      <c r="P110" s="572"/>
      <c r="Q110" s="572"/>
      <c r="R110" s="572"/>
      <c r="S110" s="572"/>
      <c r="T110" s="572"/>
      <c r="U110" s="572"/>
      <c r="V110" s="572"/>
      <c r="W110" s="572"/>
      <c r="X110" s="572"/>
      <c r="Y110" s="572"/>
      <c r="Z110" s="572"/>
      <c r="AA110" s="572"/>
      <c r="AB110" s="572"/>
      <c r="AC110" s="572"/>
      <c r="AD110" s="572"/>
      <c r="AE110" s="572"/>
    </row>
    <row r="111" spans="1:31" ht="15.75" customHeight="1">
      <c r="A111" s="577">
        <v>44049</v>
      </c>
      <c r="B111" s="578" t="s">
        <v>6373</v>
      </c>
      <c r="C111" s="405" t="s">
        <v>2921</v>
      </c>
      <c r="D111" s="563" t="s">
        <v>6341</v>
      </c>
      <c r="E111" s="575">
        <v>99216.1</v>
      </c>
      <c r="F111" s="563" t="s">
        <v>3164</v>
      </c>
      <c r="G111" s="573" t="s">
        <v>2923</v>
      </c>
      <c r="H111" s="573" t="s">
        <v>20</v>
      </c>
      <c r="I111" s="573" t="s">
        <v>2924</v>
      </c>
      <c r="J111" s="573">
        <v>43888</v>
      </c>
      <c r="K111" s="576" t="s">
        <v>3795</v>
      </c>
      <c r="L111" s="572"/>
      <c r="M111" s="572"/>
      <c r="N111" s="572"/>
      <c r="O111" s="572"/>
      <c r="P111" s="572"/>
      <c r="Q111" s="572"/>
      <c r="R111" s="572"/>
      <c r="S111" s="572"/>
      <c r="T111" s="572"/>
      <c r="U111" s="572"/>
      <c r="V111" s="572"/>
      <c r="W111" s="572"/>
      <c r="X111" s="572"/>
      <c r="Y111" s="572"/>
      <c r="Z111" s="572"/>
      <c r="AA111" s="572"/>
      <c r="AB111" s="572"/>
      <c r="AC111" s="572"/>
      <c r="AD111" s="572"/>
      <c r="AE111" s="572"/>
    </row>
    <row r="112" spans="1:31" ht="15.75" customHeight="1">
      <c r="A112" s="577">
        <v>44050</v>
      </c>
      <c r="B112" s="578" t="s">
        <v>6347</v>
      </c>
      <c r="C112" s="405" t="s">
        <v>2921</v>
      </c>
      <c r="D112" s="563" t="s">
        <v>6341</v>
      </c>
      <c r="E112" s="575">
        <v>14000</v>
      </c>
      <c r="F112" s="563" t="s">
        <v>3191</v>
      </c>
      <c r="G112" s="573" t="s">
        <v>2923</v>
      </c>
      <c r="H112" s="573" t="s">
        <v>20</v>
      </c>
      <c r="I112" s="573" t="s">
        <v>2924</v>
      </c>
      <c r="J112" s="573">
        <v>43703</v>
      </c>
      <c r="K112" s="576" t="s">
        <v>4188</v>
      </c>
      <c r="L112" s="572"/>
      <c r="M112" s="572"/>
      <c r="N112" s="572"/>
      <c r="O112" s="572"/>
      <c r="P112" s="572"/>
      <c r="Q112" s="572"/>
      <c r="R112" s="572"/>
      <c r="S112" s="572"/>
      <c r="T112" s="572"/>
      <c r="U112" s="572"/>
      <c r="V112" s="572"/>
      <c r="W112" s="572"/>
      <c r="X112" s="572"/>
      <c r="Y112" s="572"/>
      <c r="Z112" s="572"/>
      <c r="AA112" s="572"/>
      <c r="AB112" s="572"/>
      <c r="AC112" s="572"/>
      <c r="AD112" s="572"/>
      <c r="AE112" s="572"/>
    </row>
    <row r="113" spans="1:31" ht="15.75" customHeight="1">
      <c r="A113" s="577">
        <v>44050</v>
      </c>
      <c r="B113" s="578" t="s">
        <v>6363</v>
      </c>
      <c r="C113" s="405" t="s">
        <v>2921</v>
      </c>
      <c r="D113" s="563" t="s">
        <v>6341</v>
      </c>
      <c r="E113" s="575">
        <v>9000</v>
      </c>
      <c r="F113" s="563" t="s">
        <v>3445</v>
      </c>
      <c r="G113" s="573" t="s">
        <v>2923</v>
      </c>
      <c r="H113" s="573" t="s">
        <v>20</v>
      </c>
      <c r="I113" s="573" t="s">
        <v>2924</v>
      </c>
      <c r="J113" s="573">
        <v>43894</v>
      </c>
      <c r="K113" s="576" t="s">
        <v>3805</v>
      </c>
      <c r="L113" s="572"/>
      <c r="M113" s="572"/>
      <c r="N113" s="572"/>
      <c r="O113" s="572"/>
      <c r="P113" s="572"/>
      <c r="Q113" s="572"/>
      <c r="R113" s="572"/>
      <c r="S113" s="572"/>
      <c r="T113" s="572"/>
      <c r="U113" s="572"/>
      <c r="V113" s="572"/>
      <c r="W113" s="572"/>
      <c r="X113" s="572"/>
      <c r="Y113" s="572"/>
      <c r="Z113" s="572"/>
      <c r="AA113" s="572"/>
      <c r="AB113" s="572"/>
      <c r="AC113" s="572"/>
      <c r="AD113" s="572"/>
      <c r="AE113" s="572"/>
    </row>
    <row r="114" spans="1:31" ht="15.75" customHeight="1">
      <c r="A114" s="577">
        <v>44050</v>
      </c>
      <c r="B114" s="580" t="s">
        <v>6354</v>
      </c>
      <c r="C114" s="405" t="s">
        <v>2921</v>
      </c>
      <c r="D114" s="563" t="s">
        <v>6341</v>
      </c>
      <c r="E114" s="575">
        <v>20000</v>
      </c>
      <c r="F114" s="563" t="s">
        <v>3254</v>
      </c>
      <c r="G114" s="573" t="s">
        <v>2923</v>
      </c>
      <c r="H114" s="573" t="s">
        <v>20</v>
      </c>
      <c r="I114" s="573" t="s">
        <v>2930</v>
      </c>
      <c r="J114" s="573">
        <v>43664</v>
      </c>
      <c r="K114" s="576" t="s">
        <v>4188</v>
      </c>
      <c r="L114" s="572"/>
      <c r="M114" s="572"/>
      <c r="N114" s="572"/>
      <c r="O114" s="572"/>
      <c r="P114" s="572"/>
      <c r="Q114" s="572"/>
      <c r="R114" s="572"/>
      <c r="S114" s="572"/>
      <c r="T114" s="572"/>
      <c r="U114" s="572"/>
      <c r="V114" s="572"/>
      <c r="W114" s="572"/>
      <c r="X114" s="572"/>
      <c r="Y114" s="572"/>
      <c r="Z114" s="572"/>
      <c r="AA114" s="572"/>
      <c r="AB114" s="572"/>
      <c r="AC114" s="572"/>
      <c r="AD114" s="572"/>
      <c r="AE114" s="572"/>
    </row>
    <row r="115" spans="1:31" ht="15.75" customHeight="1">
      <c r="A115" s="573">
        <v>44053</v>
      </c>
      <c r="B115" s="574" t="s">
        <v>6359</v>
      </c>
      <c r="C115" s="563" t="s">
        <v>2921</v>
      </c>
      <c r="D115" s="563" t="s">
        <v>3110</v>
      </c>
      <c r="E115" s="575">
        <v>0</v>
      </c>
      <c r="F115" s="563" t="s">
        <v>3546</v>
      </c>
      <c r="G115" s="573" t="s">
        <v>2923</v>
      </c>
      <c r="H115" s="573" t="s">
        <v>20</v>
      </c>
      <c r="I115" s="573" t="s">
        <v>2924</v>
      </c>
      <c r="J115" s="573">
        <v>43738</v>
      </c>
      <c r="K115" s="576" t="s">
        <v>3809</v>
      </c>
      <c r="L115" s="572"/>
      <c r="M115" s="572"/>
      <c r="N115" s="572"/>
      <c r="O115" s="572"/>
      <c r="P115" s="572"/>
      <c r="Q115" s="572"/>
      <c r="R115" s="572"/>
      <c r="S115" s="572"/>
      <c r="T115" s="572"/>
      <c r="U115" s="572"/>
      <c r="V115" s="572"/>
      <c r="W115" s="572"/>
      <c r="X115" s="572"/>
      <c r="Y115" s="572"/>
      <c r="Z115" s="572"/>
      <c r="AA115" s="572"/>
      <c r="AB115" s="572"/>
      <c r="AC115" s="572"/>
      <c r="AD115" s="572"/>
      <c r="AE115" s="572"/>
    </row>
    <row r="116" spans="1:31" ht="15.75" customHeight="1">
      <c r="A116" s="577">
        <v>44057</v>
      </c>
      <c r="B116" s="580" t="s">
        <v>6362</v>
      </c>
      <c r="C116" s="405" t="s">
        <v>2921</v>
      </c>
      <c r="D116" s="563" t="s">
        <v>6341</v>
      </c>
      <c r="E116" s="575">
        <v>200000</v>
      </c>
      <c r="F116" s="563" t="s">
        <v>3509</v>
      </c>
      <c r="G116" s="573" t="s">
        <v>2923</v>
      </c>
      <c r="H116" s="573" t="s">
        <v>20</v>
      </c>
      <c r="I116" s="573" t="s">
        <v>2924</v>
      </c>
      <c r="J116" s="573">
        <v>43717</v>
      </c>
      <c r="K116" s="576" t="s">
        <v>4188</v>
      </c>
      <c r="L116" s="572"/>
      <c r="M116" s="572"/>
      <c r="N116" s="572"/>
      <c r="O116" s="572"/>
      <c r="P116" s="572"/>
      <c r="Q116" s="572"/>
      <c r="R116" s="572"/>
      <c r="S116" s="572"/>
      <c r="T116" s="572"/>
      <c r="U116" s="572"/>
      <c r="V116" s="572"/>
      <c r="W116" s="572"/>
      <c r="X116" s="572"/>
      <c r="Y116" s="572"/>
      <c r="Z116" s="572"/>
      <c r="AA116" s="572"/>
      <c r="AB116" s="572"/>
      <c r="AC116" s="572"/>
      <c r="AD116" s="572"/>
      <c r="AE116" s="572"/>
    </row>
    <row r="117" spans="1:31" ht="15.75" customHeight="1">
      <c r="A117" s="577">
        <v>44060</v>
      </c>
      <c r="B117" s="578" t="s">
        <v>6368</v>
      </c>
      <c r="C117" s="405" t="s">
        <v>2921</v>
      </c>
      <c r="D117" s="563" t="s">
        <v>6341</v>
      </c>
      <c r="E117" s="575">
        <v>6300</v>
      </c>
      <c r="F117" s="563" t="s">
        <v>3349</v>
      </c>
      <c r="G117" s="573" t="s">
        <v>2923</v>
      </c>
      <c r="H117" s="573" t="s">
        <v>20</v>
      </c>
      <c r="I117" s="573" t="s">
        <v>2924</v>
      </c>
      <c r="J117" s="573">
        <v>43564</v>
      </c>
      <c r="K117" s="576" t="s">
        <v>3809</v>
      </c>
      <c r="L117" s="572"/>
      <c r="M117" s="572"/>
      <c r="N117" s="572"/>
      <c r="O117" s="572"/>
      <c r="P117" s="572"/>
      <c r="Q117" s="572"/>
      <c r="R117" s="572"/>
      <c r="S117" s="572"/>
      <c r="T117" s="572"/>
      <c r="U117" s="572"/>
      <c r="V117" s="572"/>
      <c r="W117" s="572"/>
      <c r="X117" s="572"/>
      <c r="Y117" s="572"/>
      <c r="Z117" s="572"/>
      <c r="AA117" s="572"/>
      <c r="AB117" s="572"/>
      <c r="AC117" s="572"/>
      <c r="AD117" s="572"/>
      <c r="AE117" s="572"/>
    </row>
    <row r="118" spans="1:31" ht="15.75" customHeight="1">
      <c r="A118" s="573">
        <v>44061</v>
      </c>
      <c r="B118" s="574" t="s">
        <v>6344</v>
      </c>
      <c r="C118" s="563" t="s">
        <v>2921</v>
      </c>
      <c r="D118" s="563" t="s">
        <v>3110</v>
      </c>
      <c r="E118" s="575">
        <v>394570.05</v>
      </c>
      <c r="F118" s="563" t="s">
        <v>3424</v>
      </c>
      <c r="G118" s="573" t="s">
        <v>2923</v>
      </c>
      <c r="H118" s="573" t="s">
        <v>20</v>
      </c>
      <c r="I118" s="573" t="s">
        <v>2924</v>
      </c>
      <c r="J118" s="573">
        <v>43700</v>
      </c>
      <c r="K118" s="576" t="s">
        <v>4188</v>
      </c>
      <c r="L118" s="572"/>
      <c r="M118" s="572"/>
      <c r="N118" s="572"/>
      <c r="O118" s="572"/>
      <c r="P118" s="572"/>
      <c r="Q118" s="572"/>
      <c r="R118" s="572"/>
      <c r="S118" s="572"/>
      <c r="T118" s="572"/>
      <c r="U118" s="572"/>
      <c r="V118" s="572"/>
      <c r="W118" s="572"/>
      <c r="X118" s="572"/>
      <c r="Y118" s="572"/>
      <c r="Z118" s="572"/>
      <c r="AA118" s="572"/>
      <c r="AB118" s="572"/>
      <c r="AC118" s="572"/>
      <c r="AD118" s="572"/>
      <c r="AE118" s="572"/>
    </row>
    <row r="119" spans="1:31" ht="15.75" customHeight="1">
      <c r="A119" s="577">
        <v>44061</v>
      </c>
      <c r="B119" s="578" t="s">
        <v>6374</v>
      </c>
      <c r="C119" s="405" t="s">
        <v>2921</v>
      </c>
      <c r="D119" s="563" t="s">
        <v>6341</v>
      </c>
      <c r="E119" s="575">
        <v>7000</v>
      </c>
      <c r="F119" s="563" t="s">
        <v>3455</v>
      </c>
      <c r="G119" s="573" t="s">
        <v>2923</v>
      </c>
      <c r="H119" s="573" t="s">
        <v>20</v>
      </c>
      <c r="I119" s="573" t="s">
        <v>2924</v>
      </c>
      <c r="J119" s="573">
        <v>43840</v>
      </c>
      <c r="K119" s="576" t="s">
        <v>3805</v>
      </c>
      <c r="L119" s="572"/>
      <c r="M119" s="572"/>
      <c r="N119" s="572"/>
      <c r="O119" s="572"/>
      <c r="P119" s="572"/>
      <c r="Q119" s="572"/>
      <c r="R119" s="572"/>
      <c r="S119" s="572"/>
      <c r="T119" s="572"/>
      <c r="U119" s="572"/>
      <c r="V119" s="572"/>
      <c r="W119" s="572"/>
      <c r="X119" s="572"/>
      <c r="Y119" s="572"/>
      <c r="Z119" s="572"/>
      <c r="AA119" s="572"/>
      <c r="AB119" s="572"/>
      <c r="AC119" s="572"/>
      <c r="AD119" s="572"/>
      <c r="AE119" s="572"/>
    </row>
    <row r="120" spans="1:31" ht="15.75" customHeight="1">
      <c r="A120" s="573">
        <v>44063</v>
      </c>
      <c r="B120" s="574" t="s">
        <v>6386</v>
      </c>
      <c r="C120" s="563" t="s">
        <v>2921</v>
      </c>
      <c r="D120" s="563" t="s">
        <v>3110</v>
      </c>
      <c r="E120" s="575">
        <v>99216.1</v>
      </c>
      <c r="F120" s="563" t="s">
        <v>3123</v>
      </c>
      <c r="G120" s="573" t="s">
        <v>2923</v>
      </c>
      <c r="H120" s="573" t="s">
        <v>20</v>
      </c>
      <c r="I120" s="573" t="s">
        <v>2924</v>
      </c>
      <c r="J120" s="573">
        <v>43675</v>
      </c>
      <c r="K120" s="576" t="s">
        <v>4188</v>
      </c>
      <c r="L120" s="572"/>
      <c r="M120" s="572"/>
      <c r="N120" s="572"/>
      <c r="O120" s="572"/>
      <c r="P120" s="572"/>
      <c r="Q120" s="572"/>
      <c r="R120" s="572"/>
      <c r="S120" s="572"/>
      <c r="T120" s="572"/>
      <c r="U120" s="572"/>
      <c r="V120" s="572"/>
      <c r="W120" s="572"/>
      <c r="X120" s="572"/>
      <c r="Y120" s="572"/>
      <c r="Z120" s="572"/>
      <c r="AA120" s="572"/>
      <c r="AB120" s="572"/>
      <c r="AC120" s="572"/>
      <c r="AD120" s="572"/>
      <c r="AE120" s="572"/>
    </row>
    <row r="121" spans="1:31" ht="15.75" customHeight="1">
      <c r="A121" s="577">
        <v>44068</v>
      </c>
      <c r="B121" s="578" t="s">
        <v>6349</v>
      </c>
      <c r="C121" s="405" t="s">
        <v>2921</v>
      </c>
      <c r="D121" s="563" t="s">
        <v>6341</v>
      </c>
      <c r="E121" s="575">
        <v>130000</v>
      </c>
      <c r="F121" s="563" t="s">
        <v>3228</v>
      </c>
      <c r="G121" s="573" t="s">
        <v>2923</v>
      </c>
      <c r="H121" s="573" t="s">
        <v>20</v>
      </c>
      <c r="I121" s="573" t="s">
        <v>2924</v>
      </c>
      <c r="J121" s="573">
        <v>43605</v>
      </c>
      <c r="K121" s="576" t="s">
        <v>3805</v>
      </c>
      <c r="L121" s="572"/>
      <c r="M121" s="572"/>
      <c r="N121" s="572"/>
      <c r="O121" s="572"/>
      <c r="P121" s="572"/>
      <c r="Q121" s="572"/>
      <c r="R121" s="572"/>
      <c r="S121" s="572"/>
      <c r="T121" s="572"/>
      <c r="U121" s="572"/>
      <c r="V121" s="572"/>
      <c r="W121" s="572"/>
      <c r="X121" s="572"/>
      <c r="Y121" s="572"/>
      <c r="Z121" s="572"/>
      <c r="AA121" s="572"/>
      <c r="AB121" s="572"/>
      <c r="AC121" s="572"/>
      <c r="AD121" s="572"/>
      <c r="AE121" s="572"/>
    </row>
    <row r="122" spans="1:31" ht="15.75" customHeight="1">
      <c r="A122" s="577">
        <v>44068</v>
      </c>
      <c r="B122" s="580" t="s">
        <v>6355</v>
      </c>
      <c r="C122" s="405" t="s">
        <v>2921</v>
      </c>
      <c r="D122" s="563" t="s">
        <v>6341</v>
      </c>
      <c r="E122" s="575">
        <v>5000</v>
      </c>
      <c r="F122" s="563" t="s">
        <v>3236</v>
      </c>
      <c r="G122" s="573" t="s">
        <v>2923</v>
      </c>
      <c r="H122" s="573" t="s">
        <v>20</v>
      </c>
      <c r="I122" s="573" t="s">
        <v>2930</v>
      </c>
      <c r="J122" s="573">
        <v>43559</v>
      </c>
      <c r="K122" s="576" t="s">
        <v>4188</v>
      </c>
      <c r="L122" s="572"/>
      <c r="M122" s="572"/>
      <c r="N122" s="572"/>
      <c r="O122" s="572"/>
      <c r="P122" s="572"/>
      <c r="Q122" s="572"/>
      <c r="R122" s="572"/>
      <c r="S122" s="572"/>
      <c r="T122" s="572"/>
      <c r="U122" s="572"/>
      <c r="V122" s="572"/>
      <c r="W122" s="572"/>
      <c r="X122" s="572"/>
      <c r="Y122" s="572"/>
      <c r="Z122" s="572"/>
      <c r="AA122" s="572"/>
      <c r="AB122" s="572"/>
      <c r="AC122" s="572"/>
      <c r="AD122" s="572"/>
      <c r="AE122" s="572"/>
    </row>
    <row r="123" spans="1:31" ht="15.75" customHeight="1">
      <c r="A123" s="577">
        <v>44069</v>
      </c>
      <c r="B123" s="578" t="s">
        <v>6343</v>
      </c>
      <c r="C123" s="405" t="s">
        <v>3785</v>
      </c>
      <c r="D123" s="563" t="s">
        <v>6341</v>
      </c>
      <c r="E123" s="575">
        <v>1800</v>
      </c>
      <c r="F123" s="563" t="s">
        <v>5048</v>
      </c>
      <c r="G123" s="563" t="s">
        <v>2923</v>
      </c>
      <c r="H123" s="563" t="s">
        <v>20</v>
      </c>
      <c r="I123" s="563" t="s">
        <v>2923</v>
      </c>
      <c r="J123" s="573">
        <v>43749</v>
      </c>
      <c r="K123" s="579" t="s">
        <v>4188</v>
      </c>
      <c r="L123" s="572"/>
      <c r="M123" s="572"/>
      <c r="N123" s="572"/>
      <c r="O123" s="572"/>
      <c r="P123" s="572"/>
      <c r="Q123" s="572"/>
      <c r="R123" s="572"/>
      <c r="S123" s="572"/>
      <c r="T123" s="572"/>
      <c r="U123" s="572"/>
      <c r="V123" s="572"/>
      <c r="W123" s="572"/>
      <c r="X123" s="572"/>
      <c r="Y123" s="572"/>
      <c r="Z123" s="572"/>
      <c r="AA123" s="572"/>
      <c r="AB123" s="572"/>
      <c r="AC123" s="572"/>
      <c r="AD123" s="572"/>
      <c r="AE123" s="572"/>
    </row>
    <row r="124" spans="1:31" ht="15.75" customHeight="1">
      <c r="A124" s="577">
        <v>44069</v>
      </c>
      <c r="B124" s="578" t="s">
        <v>6347</v>
      </c>
      <c r="C124" s="405" t="s">
        <v>2921</v>
      </c>
      <c r="D124" s="563" t="s">
        <v>6341</v>
      </c>
      <c r="E124" s="575">
        <v>20000</v>
      </c>
      <c r="F124" s="563" t="s">
        <v>3191</v>
      </c>
      <c r="G124" s="573" t="s">
        <v>2923</v>
      </c>
      <c r="H124" s="573" t="s">
        <v>20</v>
      </c>
      <c r="I124" s="573" t="s">
        <v>2924</v>
      </c>
      <c r="J124" s="573">
        <v>43703</v>
      </c>
      <c r="K124" s="576" t="s">
        <v>4188</v>
      </c>
      <c r="L124" s="572"/>
      <c r="M124" s="572"/>
      <c r="N124" s="572"/>
      <c r="O124" s="572"/>
      <c r="P124" s="572"/>
      <c r="Q124" s="572"/>
      <c r="R124" s="572"/>
      <c r="S124" s="572"/>
      <c r="T124" s="572"/>
      <c r="U124" s="572"/>
      <c r="V124" s="572"/>
      <c r="W124" s="572"/>
      <c r="X124" s="572"/>
      <c r="Y124" s="572"/>
      <c r="Z124" s="572"/>
      <c r="AA124" s="572"/>
      <c r="AB124" s="572"/>
      <c r="AC124" s="572"/>
      <c r="AD124" s="572"/>
      <c r="AE124" s="572"/>
    </row>
    <row r="125" spans="1:31" ht="15.75" customHeight="1">
      <c r="A125" s="577">
        <v>44074</v>
      </c>
      <c r="B125" s="578" t="s">
        <v>6354</v>
      </c>
      <c r="C125" s="405" t="s">
        <v>2921</v>
      </c>
      <c r="D125" s="563" t="s">
        <v>6341</v>
      </c>
      <c r="E125" s="581">
        <v>150000</v>
      </c>
      <c r="F125" s="563" t="s">
        <v>3254</v>
      </c>
      <c r="G125" s="573" t="s">
        <v>2923</v>
      </c>
      <c r="H125" s="573" t="s">
        <v>20</v>
      </c>
      <c r="I125" s="573" t="s">
        <v>2930</v>
      </c>
      <c r="J125" s="573">
        <v>43664</v>
      </c>
      <c r="K125" s="576" t="s">
        <v>4188</v>
      </c>
      <c r="L125" s="572"/>
      <c r="M125" s="572"/>
      <c r="N125" s="572"/>
      <c r="O125" s="572"/>
      <c r="P125" s="572"/>
      <c r="Q125" s="572"/>
      <c r="R125" s="572"/>
      <c r="S125" s="572"/>
      <c r="T125" s="572"/>
      <c r="U125" s="572"/>
      <c r="V125" s="572"/>
      <c r="W125" s="572"/>
      <c r="X125" s="572"/>
      <c r="Y125" s="572"/>
      <c r="Z125" s="572"/>
      <c r="AA125" s="572"/>
      <c r="AB125" s="572"/>
      <c r="AC125" s="572"/>
      <c r="AD125" s="572"/>
      <c r="AE125" s="572"/>
    </row>
    <row r="126" spans="1:31" ht="15.75" customHeight="1">
      <c r="A126" s="577">
        <v>44074</v>
      </c>
      <c r="B126" s="578" t="s">
        <v>6349</v>
      </c>
      <c r="C126" s="405" t="s">
        <v>2921</v>
      </c>
      <c r="D126" s="563" t="s">
        <v>6341</v>
      </c>
      <c r="E126" s="575">
        <v>20000</v>
      </c>
      <c r="F126" s="563" t="s">
        <v>3228</v>
      </c>
      <c r="G126" s="573" t="s">
        <v>2923</v>
      </c>
      <c r="H126" s="573" t="s">
        <v>20</v>
      </c>
      <c r="I126" s="573" t="s">
        <v>2924</v>
      </c>
      <c r="J126" s="573">
        <v>43605</v>
      </c>
      <c r="K126" s="576" t="s">
        <v>3805</v>
      </c>
      <c r="L126" s="572"/>
      <c r="M126" s="572"/>
      <c r="N126" s="572"/>
      <c r="O126" s="572"/>
      <c r="P126" s="572"/>
      <c r="Q126" s="572"/>
      <c r="R126" s="572"/>
      <c r="S126" s="572"/>
      <c r="T126" s="572"/>
      <c r="U126" s="572"/>
      <c r="V126" s="572"/>
      <c r="W126" s="572"/>
      <c r="X126" s="572"/>
      <c r="Y126" s="572"/>
      <c r="Z126" s="572"/>
      <c r="AA126" s="572"/>
      <c r="AB126" s="572"/>
      <c r="AC126" s="572"/>
      <c r="AD126" s="572"/>
      <c r="AE126" s="572"/>
    </row>
    <row r="127" spans="1:31" ht="15.75" customHeight="1">
      <c r="A127" s="577">
        <v>44075</v>
      </c>
      <c r="B127" s="578" t="s">
        <v>6374</v>
      </c>
      <c r="C127" s="405" t="s">
        <v>2921</v>
      </c>
      <c r="D127" s="563" t="s">
        <v>6341</v>
      </c>
      <c r="E127" s="575">
        <v>194670.06</v>
      </c>
      <c r="F127" s="563" t="s">
        <v>3455</v>
      </c>
      <c r="G127" s="573" t="s">
        <v>2923</v>
      </c>
      <c r="H127" s="573" t="s">
        <v>20</v>
      </c>
      <c r="I127" s="573" t="s">
        <v>2924</v>
      </c>
      <c r="J127" s="573">
        <v>43840</v>
      </c>
      <c r="K127" s="576" t="s">
        <v>3805</v>
      </c>
      <c r="L127" s="572"/>
      <c r="M127" s="572"/>
      <c r="N127" s="572"/>
      <c r="O127" s="572"/>
      <c r="P127" s="572"/>
      <c r="Q127" s="572"/>
      <c r="R127" s="572"/>
      <c r="S127" s="572"/>
      <c r="T127" s="572"/>
      <c r="U127" s="572"/>
      <c r="V127" s="572"/>
      <c r="W127" s="572"/>
      <c r="X127" s="572"/>
      <c r="Y127" s="572"/>
      <c r="Z127" s="572"/>
      <c r="AA127" s="572"/>
      <c r="AB127" s="572"/>
      <c r="AC127" s="572"/>
      <c r="AD127" s="572"/>
      <c r="AE127" s="572"/>
    </row>
    <row r="128" spans="1:31" ht="15.75" customHeight="1">
      <c r="A128" s="577">
        <v>44078</v>
      </c>
      <c r="B128" s="580" t="s">
        <v>6387</v>
      </c>
      <c r="C128" s="405" t="s">
        <v>2921</v>
      </c>
      <c r="D128" s="563" t="s">
        <v>6341</v>
      </c>
      <c r="E128" s="581">
        <v>5000</v>
      </c>
      <c r="F128" s="563" t="s">
        <v>3442</v>
      </c>
      <c r="G128" s="573" t="s">
        <v>2923</v>
      </c>
      <c r="H128" s="573" t="s">
        <v>20</v>
      </c>
      <c r="I128" s="573" t="s">
        <v>2930</v>
      </c>
      <c r="J128" s="573">
        <v>43564</v>
      </c>
      <c r="K128" s="576" t="s">
        <v>3789</v>
      </c>
      <c r="L128" s="572"/>
      <c r="M128" s="572"/>
      <c r="N128" s="572"/>
      <c r="O128" s="572"/>
      <c r="P128" s="572"/>
      <c r="Q128" s="572"/>
      <c r="R128" s="572"/>
      <c r="S128" s="572"/>
      <c r="T128" s="572"/>
      <c r="U128" s="572"/>
      <c r="V128" s="572"/>
      <c r="W128" s="572"/>
      <c r="X128" s="572"/>
      <c r="Y128" s="572"/>
      <c r="Z128" s="572"/>
      <c r="AA128" s="572"/>
      <c r="AB128" s="572"/>
      <c r="AC128" s="572"/>
      <c r="AD128" s="572"/>
      <c r="AE128" s="572"/>
    </row>
    <row r="129" spans="1:31" ht="15.75" customHeight="1">
      <c r="A129" s="577">
        <v>44082</v>
      </c>
      <c r="B129" s="578" t="s">
        <v>6355</v>
      </c>
      <c r="C129" s="405" t="s">
        <v>2921</v>
      </c>
      <c r="D129" s="563" t="s">
        <v>6341</v>
      </c>
      <c r="E129" s="575">
        <v>14000</v>
      </c>
      <c r="F129" s="563" t="s">
        <v>3236</v>
      </c>
      <c r="G129" s="573" t="s">
        <v>2923</v>
      </c>
      <c r="H129" s="573" t="s">
        <v>20</v>
      </c>
      <c r="I129" s="573" t="s">
        <v>2930</v>
      </c>
      <c r="J129" s="573">
        <v>43559</v>
      </c>
      <c r="K129" s="576" t="s">
        <v>4188</v>
      </c>
      <c r="L129" s="572"/>
      <c r="M129" s="572"/>
      <c r="N129" s="572"/>
      <c r="O129" s="572"/>
      <c r="P129" s="572"/>
      <c r="Q129" s="572"/>
      <c r="R129" s="572"/>
      <c r="S129" s="572"/>
      <c r="T129" s="572"/>
      <c r="U129" s="572"/>
      <c r="V129" s="572"/>
      <c r="W129" s="572"/>
      <c r="X129" s="572"/>
      <c r="Y129" s="572"/>
      <c r="Z129" s="572"/>
      <c r="AA129" s="572"/>
      <c r="AB129" s="572"/>
      <c r="AC129" s="572"/>
      <c r="AD129" s="572"/>
      <c r="AE129" s="572"/>
    </row>
    <row r="130" spans="1:31" ht="15.75" customHeight="1">
      <c r="A130" s="577">
        <v>44082</v>
      </c>
      <c r="B130" s="578" t="s">
        <v>6352</v>
      </c>
      <c r="C130" s="405" t="s">
        <v>3785</v>
      </c>
      <c r="D130" s="563" t="s">
        <v>6341</v>
      </c>
      <c r="E130" s="575">
        <v>20000</v>
      </c>
      <c r="F130" s="563" t="s">
        <v>4665</v>
      </c>
      <c r="G130" s="563" t="s">
        <v>2923</v>
      </c>
      <c r="H130" s="563" t="s">
        <v>20</v>
      </c>
      <c r="I130" s="563" t="s">
        <v>2923</v>
      </c>
      <c r="J130" s="573">
        <v>44252</v>
      </c>
      <c r="K130" s="579" t="s">
        <v>3805</v>
      </c>
      <c r="L130" s="572"/>
      <c r="M130" s="572"/>
      <c r="N130" s="572"/>
      <c r="O130" s="572"/>
      <c r="P130" s="572"/>
      <c r="Q130" s="572"/>
      <c r="R130" s="572"/>
      <c r="S130" s="572"/>
      <c r="T130" s="572"/>
      <c r="U130" s="572"/>
      <c r="V130" s="572"/>
      <c r="W130" s="572"/>
      <c r="X130" s="572"/>
      <c r="Y130" s="572"/>
      <c r="Z130" s="572"/>
      <c r="AA130" s="572"/>
      <c r="AB130" s="572"/>
      <c r="AC130" s="572"/>
      <c r="AD130" s="572"/>
      <c r="AE130" s="572"/>
    </row>
    <row r="131" spans="1:31" ht="15.75" customHeight="1">
      <c r="A131" s="577">
        <v>44083</v>
      </c>
      <c r="B131" s="580" t="s">
        <v>6373</v>
      </c>
      <c r="C131" s="405" t="s">
        <v>2921</v>
      </c>
      <c r="D131" s="563" t="s">
        <v>6341</v>
      </c>
      <c r="E131" s="575">
        <v>85486</v>
      </c>
      <c r="F131" s="563" t="s">
        <v>3164</v>
      </c>
      <c r="G131" s="573" t="s">
        <v>2923</v>
      </c>
      <c r="H131" s="573" t="s">
        <v>20</v>
      </c>
      <c r="I131" s="573" t="s">
        <v>2924</v>
      </c>
      <c r="J131" s="573">
        <v>43888</v>
      </c>
      <c r="K131" s="576" t="s">
        <v>3795</v>
      </c>
      <c r="L131" s="572"/>
      <c r="M131" s="572"/>
      <c r="N131" s="572"/>
      <c r="O131" s="572"/>
      <c r="P131" s="572"/>
      <c r="Q131" s="572"/>
      <c r="R131" s="572"/>
      <c r="S131" s="572"/>
      <c r="T131" s="572"/>
      <c r="U131" s="572"/>
      <c r="V131" s="572"/>
      <c r="W131" s="572"/>
      <c r="X131" s="572"/>
      <c r="Y131" s="572"/>
      <c r="Z131" s="572"/>
      <c r="AA131" s="572"/>
      <c r="AB131" s="572"/>
      <c r="AC131" s="572"/>
      <c r="AD131" s="572"/>
      <c r="AE131" s="572"/>
    </row>
    <row r="132" spans="1:31" ht="15.75" customHeight="1">
      <c r="A132" s="577">
        <v>44084</v>
      </c>
      <c r="B132" s="578" t="s">
        <v>6388</v>
      </c>
      <c r="C132" s="405" t="s">
        <v>2921</v>
      </c>
      <c r="D132" s="563" t="s">
        <v>6341</v>
      </c>
      <c r="E132" s="581">
        <v>3350000</v>
      </c>
      <c r="F132" s="563" t="s">
        <v>3014</v>
      </c>
      <c r="G132" s="573" t="s">
        <v>2923</v>
      </c>
      <c r="H132" s="573" t="s">
        <v>20</v>
      </c>
      <c r="I132" s="573" t="s">
        <v>2930</v>
      </c>
      <c r="J132" s="573">
        <v>43903</v>
      </c>
      <c r="K132" s="576" t="s">
        <v>3795</v>
      </c>
      <c r="L132" s="572"/>
      <c r="M132" s="572"/>
      <c r="N132" s="572"/>
      <c r="O132" s="572"/>
      <c r="P132" s="572"/>
      <c r="Q132" s="572"/>
      <c r="R132" s="572"/>
      <c r="S132" s="572"/>
      <c r="T132" s="572"/>
      <c r="U132" s="572"/>
      <c r="V132" s="572"/>
      <c r="W132" s="572"/>
      <c r="X132" s="572"/>
      <c r="Y132" s="572"/>
      <c r="Z132" s="572"/>
      <c r="AA132" s="572"/>
      <c r="AB132" s="572"/>
      <c r="AC132" s="572"/>
      <c r="AD132" s="572"/>
      <c r="AE132" s="572"/>
    </row>
    <row r="133" spans="1:31" ht="15.75" customHeight="1">
      <c r="A133" s="573">
        <v>44085</v>
      </c>
      <c r="B133" s="582" t="s">
        <v>6389</v>
      </c>
      <c r="C133" s="563" t="s">
        <v>3785</v>
      </c>
      <c r="D133" s="563" t="s">
        <v>3110</v>
      </c>
      <c r="E133" s="575">
        <v>0</v>
      </c>
      <c r="F133" s="563" t="s">
        <v>3098</v>
      </c>
      <c r="G133" s="563" t="s">
        <v>2923</v>
      </c>
      <c r="H133" s="563" t="s">
        <v>20</v>
      </c>
      <c r="I133" s="563" t="s">
        <v>2923</v>
      </c>
      <c r="J133" s="573">
        <v>44043</v>
      </c>
      <c r="K133" s="579" t="s">
        <v>3795</v>
      </c>
      <c r="L133" s="572"/>
      <c r="M133" s="572"/>
      <c r="N133" s="572"/>
      <c r="O133" s="572"/>
      <c r="P133" s="572"/>
      <c r="Q133" s="572"/>
      <c r="R133" s="572"/>
      <c r="S133" s="572"/>
      <c r="T133" s="572"/>
      <c r="U133" s="572"/>
      <c r="V133" s="572"/>
      <c r="W133" s="572"/>
      <c r="X133" s="572"/>
      <c r="Y133" s="572"/>
      <c r="Z133" s="572"/>
      <c r="AA133" s="572"/>
      <c r="AB133" s="572"/>
      <c r="AC133" s="572"/>
      <c r="AD133" s="572"/>
      <c r="AE133" s="572"/>
    </row>
    <row r="134" spans="1:31" ht="15.75" customHeight="1">
      <c r="A134" s="577">
        <v>44085</v>
      </c>
      <c r="B134" s="578" t="s">
        <v>6390</v>
      </c>
      <c r="C134" s="405" t="s">
        <v>3785</v>
      </c>
      <c r="D134" s="563" t="s">
        <v>6341</v>
      </c>
      <c r="E134" s="575">
        <v>277581.55</v>
      </c>
      <c r="F134" s="563" t="s">
        <v>4859</v>
      </c>
      <c r="G134" s="563" t="s">
        <v>2923</v>
      </c>
      <c r="H134" s="563" t="s">
        <v>20</v>
      </c>
      <c r="I134" s="563" t="s">
        <v>2923</v>
      </c>
      <c r="J134" s="573">
        <v>44068</v>
      </c>
      <c r="K134" s="579" t="s">
        <v>3795</v>
      </c>
      <c r="L134" s="572"/>
      <c r="M134" s="572"/>
      <c r="N134" s="572"/>
      <c r="O134" s="572"/>
      <c r="P134" s="572"/>
      <c r="Q134" s="572"/>
      <c r="R134" s="572"/>
      <c r="S134" s="572"/>
      <c r="T134" s="572"/>
      <c r="U134" s="572"/>
      <c r="V134" s="572"/>
      <c r="W134" s="572"/>
      <c r="X134" s="572"/>
      <c r="Y134" s="572"/>
      <c r="Z134" s="572"/>
      <c r="AA134" s="572"/>
      <c r="AB134" s="572"/>
      <c r="AC134" s="572"/>
      <c r="AD134" s="572"/>
      <c r="AE134" s="572"/>
    </row>
    <row r="135" spans="1:31" ht="15.75" customHeight="1">
      <c r="A135" s="577">
        <v>44085</v>
      </c>
      <c r="B135" s="578" t="s">
        <v>6389</v>
      </c>
      <c r="C135" s="405" t="s">
        <v>3785</v>
      </c>
      <c r="D135" s="563" t="s">
        <v>928</v>
      </c>
      <c r="E135" s="575">
        <v>110000</v>
      </c>
      <c r="F135" s="563" t="s">
        <v>3098</v>
      </c>
      <c r="G135" s="563" t="s">
        <v>2923</v>
      </c>
      <c r="H135" s="563" t="s">
        <v>20</v>
      </c>
      <c r="I135" s="563" t="s">
        <v>2923</v>
      </c>
      <c r="J135" s="573">
        <v>44043</v>
      </c>
      <c r="K135" s="579" t="s">
        <v>3795</v>
      </c>
      <c r="L135" s="572"/>
      <c r="M135" s="572"/>
      <c r="N135" s="572"/>
      <c r="O135" s="572"/>
      <c r="P135" s="572"/>
      <c r="Q135" s="572"/>
      <c r="R135" s="572"/>
      <c r="S135" s="572"/>
      <c r="T135" s="572"/>
      <c r="U135" s="572"/>
      <c r="V135" s="572"/>
      <c r="W135" s="572"/>
      <c r="X135" s="572"/>
      <c r="Y135" s="572"/>
      <c r="Z135" s="572"/>
      <c r="AA135" s="572"/>
      <c r="AB135" s="572"/>
      <c r="AC135" s="572"/>
      <c r="AD135" s="572"/>
      <c r="AE135" s="572"/>
    </row>
    <row r="136" spans="1:31" ht="15.75" customHeight="1">
      <c r="A136" s="573">
        <v>44086</v>
      </c>
      <c r="B136" s="574" t="s">
        <v>6364</v>
      </c>
      <c r="C136" s="563" t="s">
        <v>2921</v>
      </c>
      <c r="D136" s="563" t="s">
        <v>3110</v>
      </c>
      <c r="E136" s="575">
        <v>0</v>
      </c>
      <c r="F136" s="563" t="s">
        <v>3098</v>
      </c>
      <c r="G136" s="573" t="s">
        <v>2923</v>
      </c>
      <c r="H136" s="573" t="s">
        <v>20</v>
      </c>
      <c r="I136" s="573" t="s">
        <v>2930</v>
      </c>
      <c r="J136" s="573">
        <v>43913</v>
      </c>
      <c r="K136" s="576" t="s">
        <v>3795</v>
      </c>
      <c r="L136" s="572"/>
      <c r="M136" s="572"/>
      <c r="N136" s="572"/>
      <c r="O136" s="572"/>
      <c r="P136" s="572"/>
      <c r="Q136" s="572"/>
      <c r="R136" s="572"/>
      <c r="S136" s="572"/>
      <c r="T136" s="572"/>
      <c r="U136" s="572"/>
      <c r="V136" s="572"/>
      <c r="W136" s="572"/>
      <c r="X136" s="572"/>
      <c r="Y136" s="572"/>
      <c r="Z136" s="572"/>
      <c r="AA136" s="572"/>
      <c r="AB136" s="572"/>
      <c r="AC136" s="572"/>
      <c r="AD136" s="572"/>
      <c r="AE136" s="572"/>
    </row>
    <row r="137" spans="1:31" ht="15.75" customHeight="1">
      <c r="A137" s="577">
        <v>44088</v>
      </c>
      <c r="B137" s="580" t="s">
        <v>6352</v>
      </c>
      <c r="C137" s="405" t="s">
        <v>3785</v>
      </c>
      <c r="D137" s="563" t="s">
        <v>6341</v>
      </c>
      <c r="E137" s="575">
        <v>27000</v>
      </c>
      <c r="F137" s="563" t="s">
        <v>4665</v>
      </c>
      <c r="G137" s="563" t="s">
        <v>2923</v>
      </c>
      <c r="H137" s="563" t="s">
        <v>20</v>
      </c>
      <c r="I137" s="563" t="s">
        <v>2923</v>
      </c>
      <c r="J137" s="573">
        <v>44252</v>
      </c>
      <c r="K137" s="579" t="s">
        <v>3805</v>
      </c>
      <c r="L137" s="572"/>
      <c r="M137" s="572"/>
      <c r="N137" s="572"/>
      <c r="O137" s="572"/>
      <c r="P137" s="572"/>
      <c r="Q137" s="572"/>
      <c r="R137" s="572"/>
      <c r="S137" s="572"/>
      <c r="T137" s="572"/>
      <c r="U137" s="572"/>
      <c r="V137" s="572"/>
      <c r="W137" s="572"/>
      <c r="X137" s="572"/>
      <c r="Y137" s="572"/>
      <c r="Z137" s="572"/>
      <c r="AA137" s="572"/>
      <c r="AB137" s="572"/>
      <c r="AC137" s="572"/>
      <c r="AD137" s="572"/>
      <c r="AE137" s="572"/>
    </row>
    <row r="138" spans="1:31" ht="15.75" customHeight="1">
      <c r="A138" s="577">
        <v>44088</v>
      </c>
      <c r="B138" s="578" t="s">
        <v>6348</v>
      </c>
      <c r="C138" s="405" t="s">
        <v>2921</v>
      </c>
      <c r="D138" s="563" t="s">
        <v>6341</v>
      </c>
      <c r="E138" s="575">
        <v>50000</v>
      </c>
      <c r="F138" s="563" t="s">
        <v>3557</v>
      </c>
      <c r="G138" s="573" t="s">
        <v>2923</v>
      </c>
      <c r="H138" s="573" t="s">
        <v>20</v>
      </c>
      <c r="I138" s="573" t="s">
        <v>2924</v>
      </c>
      <c r="J138" s="573">
        <v>43567</v>
      </c>
      <c r="K138" s="576" t="s">
        <v>3795</v>
      </c>
      <c r="L138" s="572"/>
      <c r="M138" s="572"/>
      <c r="N138" s="572"/>
      <c r="O138" s="572"/>
      <c r="P138" s="572"/>
      <c r="Q138" s="572"/>
      <c r="R138" s="572"/>
      <c r="S138" s="572"/>
      <c r="T138" s="572"/>
      <c r="U138" s="572"/>
      <c r="V138" s="572"/>
      <c r="W138" s="572"/>
      <c r="X138" s="572"/>
      <c r="Y138" s="572"/>
      <c r="Z138" s="572"/>
      <c r="AA138" s="572"/>
      <c r="AB138" s="572"/>
      <c r="AC138" s="572"/>
      <c r="AD138" s="572"/>
      <c r="AE138" s="572"/>
    </row>
    <row r="139" spans="1:31" ht="15.75" customHeight="1">
      <c r="A139" s="577">
        <v>44089</v>
      </c>
      <c r="B139" s="578" t="s">
        <v>6361</v>
      </c>
      <c r="C139" s="405" t="s">
        <v>2921</v>
      </c>
      <c r="D139" s="563" t="s">
        <v>6341</v>
      </c>
      <c r="E139" s="575">
        <v>7000</v>
      </c>
      <c r="F139" s="563" t="s">
        <v>3400</v>
      </c>
      <c r="G139" s="573" t="s">
        <v>2923</v>
      </c>
      <c r="H139" s="573" t="s">
        <v>20</v>
      </c>
      <c r="I139" s="573" t="s">
        <v>2924</v>
      </c>
      <c r="J139" s="573">
        <v>43699</v>
      </c>
      <c r="K139" s="576" t="s">
        <v>4188</v>
      </c>
      <c r="L139" s="572"/>
      <c r="M139" s="572"/>
      <c r="N139" s="572"/>
      <c r="O139" s="572"/>
      <c r="P139" s="572"/>
      <c r="Q139" s="572"/>
      <c r="R139" s="572"/>
      <c r="S139" s="572"/>
      <c r="T139" s="572"/>
      <c r="U139" s="572"/>
      <c r="V139" s="572"/>
      <c r="W139" s="572"/>
      <c r="X139" s="572"/>
      <c r="Y139" s="572"/>
      <c r="Z139" s="572"/>
      <c r="AA139" s="572"/>
      <c r="AB139" s="572"/>
      <c r="AC139" s="572"/>
      <c r="AD139" s="572"/>
      <c r="AE139" s="572"/>
    </row>
    <row r="140" spans="1:31" ht="15.75" customHeight="1">
      <c r="A140" s="577">
        <v>44089</v>
      </c>
      <c r="B140" s="578" t="s">
        <v>6368</v>
      </c>
      <c r="C140" s="405" t="s">
        <v>2921</v>
      </c>
      <c r="D140" s="563" t="s">
        <v>6341</v>
      </c>
      <c r="E140" s="575">
        <v>14000</v>
      </c>
      <c r="F140" s="563" t="s">
        <v>3349</v>
      </c>
      <c r="G140" s="573" t="s">
        <v>2923</v>
      </c>
      <c r="H140" s="573" t="s">
        <v>20</v>
      </c>
      <c r="I140" s="573" t="s">
        <v>2924</v>
      </c>
      <c r="J140" s="573">
        <v>43564</v>
      </c>
      <c r="K140" s="576" t="s">
        <v>3809</v>
      </c>
      <c r="L140" s="572"/>
      <c r="M140" s="572"/>
      <c r="N140" s="572"/>
      <c r="O140" s="572"/>
      <c r="P140" s="572"/>
      <c r="Q140" s="572"/>
      <c r="R140" s="572"/>
      <c r="S140" s="572"/>
      <c r="T140" s="572"/>
      <c r="U140" s="572"/>
      <c r="V140" s="572"/>
      <c r="W140" s="572"/>
      <c r="X140" s="572"/>
      <c r="Y140" s="572"/>
      <c r="Z140" s="572"/>
      <c r="AA140" s="572"/>
      <c r="AB140" s="572"/>
      <c r="AC140" s="572"/>
      <c r="AD140" s="572"/>
      <c r="AE140" s="572"/>
    </row>
    <row r="141" spans="1:31" ht="15.75" customHeight="1">
      <c r="A141" s="577">
        <v>44089</v>
      </c>
      <c r="B141" s="580" t="s">
        <v>6391</v>
      </c>
      <c r="C141" s="405" t="s">
        <v>2921</v>
      </c>
      <c r="D141" s="563" t="s">
        <v>6341</v>
      </c>
      <c r="E141" s="575">
        <v>50000</v>
      </c>
      <c r="F141" s="563" t="s">
        <v>3496</v>
      </c>
      <c r="G141" s="573" t="s">
        <v>2923</v>
      </c>
      <c r="H141" s="573" t="s">
        <v>20</v>
      </c>
      <c r="I141" s="573" t="s">
        <v>2924</v>
      </c>
      <c r="J141" s="573">
        <v>44041</v>
      </c>
      <c r="K141" s="576" t="s">
        <v>3795</v>
      </c>
      <c r="L141" s="572"/>
      <c r="M141" s="572"/>
      <c r="N141" s="572"/>
      <c r="O141" s="572"/>
      <c r="P141" s="572"/>
      <c r="Q141" s="572"/>
      <c r="R141" s="572"/>
      <c r="S141" s="572"/>
      <c r="T141" s="572"/>
      <c r="U141" s="572"/>
      <c r="V141" s="572"/>
      <c r="W141" s="572"/>
      <c r="X141" s="572"/>
      <c r="Y141" s="572"/>
      <c r="Z141" s="572"/>
      <c r="AA141" s="572"/>
      <c r="AB141" s="572"/>
      <c r="AC141" s="572"/>
      <c r="AD141" s="572"/>
      <c r="AE141" s="572"/>
    </row>
    <row r="142" spans="1:31" ht="15.75" customHeight="1">
      <c r="A142" s="573">
        <v>44091</v>
      </c>
      <c r="B142" s="574" t="s">
        <v>6392</v>
      </c>
      <c r="C142" s="563" t="s">
        <v>3785</v>
      </c>
      <c r="D142" s="563" t="s">
        <v>3110</v>
      </c>
      <c r="E142" s="575">
        <v>0</v>
      </c>
      <c r="F142" s="563" t="s">
        <v>4418</v>
      </c>
      <c r="G142" s="563" t="s">
        <v>2923</v>
      </c>
      <c r="H142" s="563" t="s">
        <v>20</v>
      </c>
      <c r="I142" s="563" t="s">
        <v>2923</v>
      </c>
      <c r="J142" s="573">
        <v>43696</v>
      </c>
      <c r="K142" s="579" t="s">
        <v>3795</v>
      </c>
      <c r="L142" s="572"/>
      <c r="M142" s="572"/>
      <c r="N142" s="572"/>
      <c r="O142" s="572"/>
      <c r="P142" s="572"/>
      <c r="Q142" s="572"/>
      <c r="R142" s="572"/>
      <c r="S142" s="572"/>
      <c r="T142" s="572"/>
      <c r="U142" s="572"/>
      <c r="V142" s="572"/>
      <c r="W142" s="572"/>
      <c r="X142" s="572"/>
      <c r="Y142" s="572"/>
      <c r="Z142" s="572"/>
      <c r="AA142" s="572"/>
      <c r="AB142" s="572"/>
      <c r="AC142" s="572"/>
      <c r="AD142" s="572"/>
      <c r="AE142" s="572"/>
    </row>
    <row r="143" spans="1:31" ht="15.75" customHeight="1">
      <c r="A143" s="577">
        <v>44091</v>
      </c>
      <c r="B143" s="578" t="s">
        <v>6392</v>
      </c>
      <c r="C143" s="405" t="s">
        <v>3785</v>
      </c>
      <c r="D143" s="563" t="s">
        <v>928</v>
      </c>
      <c r="E143" s="575">
        <v>6400</v>
      </c>
      <c r="F143" s="563" t="s">
        <v>4418</v>
      </c>
      <c r="G143" s="563" t="s">
        <v>2923</v>
      </c>
      <c r="H143" s="563" t="s">
        <v>20</v>
      </c>
      <c r="I143" s="563" t="s">
        <v>2923</v>
      </c>
      <c r="J143" s="573">
        <v>43696</v>
      </c>
      <c r="K143" s="579" t="s">
        <v>3795</v>
      </c>
      <c r="L143" s="572"/>
      <c r="M143" s="572"/>
      <c r="N143" s="572"/>
      <c r="O143" s="572"/>
      <c r="P143" s="572"/>
      <c r="Q143" s="572"/>
      <c r="R143" s="572"/>
      <c r="S143" s="572"/>
      <c r="T143" s="572"/>
      <c r="U143" s="572"/>
      <c r="V143" s="572"/>
      <c r="W143" s="572"/>
      <c r="X143" s="572"/>
      <c r="Y143" s="572"/>
      <c r="Z143" s="572"/>
      <c r="AA143" s="572"/>
      <c r="AB143" s="572"/>
      <c r="AC143" s="572"/>
      <c r="AD143" s="572"/>
      <c r="AE143" s="572"/>
    </row>
    <row r="144" spans="1:31" ht="15.75" customHeight="1">
      <c r="A144" s="577">
        <v>44096</v>
      </c>
      <c r="B144" s="580" t="s">
        <v>6390</v>
      </c>
      <c r="C144" s="405" t="s">
        <v>3785</v>
      </c>
      <c r="D144" s="563" t="s">
        <v>6341</v>
      </c>
      <c r="E144" s="575">
        <v>0</v>
      </c>
      <c r="F144" s="563" t="s">
        <v>4859</v>
      </c>
      <c r="G144" s="563" t="s">
        <v>2923</v>
      </c>
      <c r="H144" s="563" t="s">
        <v>20</v>
      </c>
      <c r="I144" s="563" t="s">
        <v>2923</v>
      </c>
      <c r="J144" s="573">
        <v>44068</v>
      </c>
      <c r="K144" s="579" t="s">
        <v>3795</v>
      </c>
      <c r="L144" s="572"/>
      <c r="M144" s="572"/>
      <c r="N144" s="572"/>
      <c r="O144" s="572"/>
      <c r="P144" s="572"/>
      <c r="Q144" s="572"/>
      <c r="R144" s="572"/>
      <c r="S144" s="572"/>
      <c r="T144" s="572"/>
      <c r="U144" s="572"/>
      <c r="V144" s="572"/>
      <c r="W144" s="572"/>
      <c r="X144" s="572"/>
      <c r="Y144" s="572"/>
      <c r="Z144" s="572"/>
      <c r="AA144" s="572"/>
      <c r="AB144" s="572"/>
      <c r="AC144" s="572"/>
      <c r="AD144" s="572"/>
      <c r="AE144" s="572"/>
    </row>
    <row r="145" spans="1:31" ht="15.75" customHeight="1">
      <c r="A145" s="577">
        <v>44096</v>
      </c>
      <c r="B145" s="578" t="s">
        <v>6393</v>
      </c>
      <c r="C145" s="405" t="s">
        <v>2921</v>
      </c>
      <c r="D145" s="563" t="s">
        <v>6341</v>
      </c>
      <c r="E145" s="575">
        <v>27000</v>
      </c>
      <c r="F145" s="563" t="s">
        <v>3266</v>
      </c>
      <c r="G145" s="573" t="s">
        <v>2923</v>
      </c>
      <c r="H145" s="573" t="s">
        <v>20</v>
      </c>
      <c r="I145" s="573" t="s">
        <v>2924</v>
      </c>
      <c r="J145" s="573">
        <v>43711</v>
      </c>
      <c r="K145" s="576" t="s">
        <v>4188</v>
      </c>
      <c r="L145" s="572"/>
      <c r="M145" s="572"/>
      <c r="N145" s="572"/>
      <c r="O145" s="572"/>
      <c r="P145" s="572"/>
      <c r="Q145" s="572"/>
      <c r="R145" s="572"/>
      <c r="S145" s="572"/>
      <c r="T145" s="572"/>
      <c r="U145" s="572"/>
      <c r="V145" s="572"/>
      <c r="W145" s="572"/>
      <c r="X145" s="572"/>
      <c r="Y145" s="572"/>
      <c r="Z145" s="572"/>
      <c r="AA145" s="572"/>
      <c r="AB145" s="572"/>
      <c r="AC145" s="572"/>
      <c r="AD145" s="572"/>
      <c r="AE145" s="572"/>
    </row>
    <row r="146" spans="1:31" ht="15.75" customHeight="1">
      <c r="A146" s="577">
        <v>44097</v>
      </c>
      <c r="B146" s="578" t="s">
        <v>6394</v>
      </c>
      <c r="C146" s="405" t="s">
        <v>3785</v>
      </c>
      <c r="D146" s="563" t="s">
        <v>6341</v>
      </c>
      <c r="E146" s="575">
        <v>9000</v>
      </c>
      <c r="F146" s="563" t="s">
        <v>5010</v>
      </c>
      <c r="G146" s="563" t="s">
        <v>2923</v>
      </c>
      <c r="H146" s="563" t="s">
        <v>20</v>
      </c>
      <c r="I146" s="563" t="s">
        <v>2923</v>
      </c>
      <c r="J146" s="573">
        <v>44043</v>
      </c>
      <c r="K146" s="579" t="s">
        <v>3795</v>
      </c>
      <c r="L146" s="572"/>
      <c r="M146" s="572"/>
      <c r="N146" s="572"/>
      <c r="O146" s="572"/>
      <c r="P146" s="572"/>
      <c r="Q146" s="572"/>
      <c r="R146" s="572"/>
      <c r="S146" s="572"/>
      <c r="T146" s="572"/>
      <c r="U146" s="572"/>
      <c r="V146" s="572"/>
      <c r="W146" s="572"/>
      <c r="X146" s="572"/>
      <c r="Y146" s="572"/>
      <c r="Z146" s="572"/>
      <c r="AA146" s="572"/>
      <c r="AB146" s="572"/>
      <c r="AC146" s="572"/>
      <c r="AD146" s="572"/>
      <c r="AE146" s="572"/>
    </row>
    <row r="147" spans="1:31" ht="15.75" customHeight="1">
      <c r="A147" s="577">
        <v>44099</v>
      </c>
      <c r="B147" s="580" t="s">
        <v>6355</v>
      </c>
      <c r="C147" s="405" t="s">
        <v>2921</v>
      </c>
      <c r="D147" s="563" t="s">
        <v>6341</v>
      </c>
      <c r="E147" s="575">
        <v>20000</v>
      </c>
      <c r="F147" s="563" t="s">
        <v>3236</v>
      </c>
      <c r="G147" s="573" t="s">
        <v>2923</v>
      </c>
      <c r="H147" s="573" t="s">
        <v>20</v>
      </c>
      <c r="I147" s="573" t="s">
        <v>2930</v>
      </c>
      <c r="J147" s="573">
        <v>43559</v>
      </c>
      <c r="K147" s="576" t="s">
        <v>4188</v>
      </c>
      <c r="L147" s="572"/>
      <c r="M147" s="572"/>
      <c r="N147" s="572"/>
      <c r="O147" s="572"/>
      <c r="P147" s="572"/>
      <c r="Q147" s="572"/>
      <c r="R147" s="572"/>
      <c r="S147" s="572"/>
      <c r="T147" s="572"/>
      <c r="U147" s="572"/>
      <c r="V147" s="572"/>
      <c r="W147" s="572"/>
      <c r="X147" s="572"/>
      <c r="Y147" s="572"/>
      <c r="Z147" s="572"/>
      <c r="AA147" s="572"/>
      <c r="AB147" s="572"/>
      <c r="AC147" s="572"/>
      <c r="AD147" s="572"/>
      <c r="AE147" s="572"/>
    </row>
    <row r="148" spans="1:31" ht="15.75" customHeight="1">
      <c r="A148" s="577">
        <v>44099</v>
      </c>
      <c r="B148" s="578" t="s">
        <v>6349</v>
      </c>
      <c r="C148" s="405" t="s">
        <v>2921</v>
      </c>
      <c r="D148" s="563" t="s">
        <v>6341</v>
      </c>
      <c r="E148" s="575">
        <v>25000</v>
      </c>
      <c r="F148" s="563" t="s">
        <v>3228</v>
      </c>
      <c r="G148" s="573" t="s">
        <v>2923</v>
      </c>
      <c r="H148" s="573" t="s">
        <v>20</v>
      </c>
      <c r="I148" s="573" t="s">
        <v>2924</v>
      </c>
      <c r="J148" s="573">
        <v>43605</v>
      </c>
      <c r="K148" s="576" t="s">
        <v>3805</v>
      </c>
      <c r="L148" s="572"/>
      <c r="M148" s="572"/>
      <c r="N148" s="572"/>
      <c r="O148" s="572"/>
      <c r="P148" s="572"/>
      <c r="Q148" s="572"/>
      <c r="R148" s="572"/>
      <c r="S148" s="572"/>
      <c r="T148" s="572"/>
      <c r="U148" s="572"/>
      <c r="V148" s="572"/>
      <c r="W148" s="572"/>
      <c r="X148" s="572"/>
      <c r="Y148" s="572"/>
      <c r="Z148" s="572"/>
      <c r="AA148" s="572"/>
      <c r="AB148" s="572"/>
      <c r="AC148" s="572"/>
      <c r="AD148" s="572"/>
      <c r="AE148" s="572"/>
    </row>
    <row r="149" spans="1:31" ht="15.75" customHeight="1">
      <c r="A149" s="577">
        <v>44102</v>
      </c>
      <c r="B149" s="580" t="s">
        <v>6343</v>
      </c>
      <c r="C149" s="405" t="s">
        <v>3785</v>
      </c>
      <c r="D149" s="563" t="s">
        <v>6341</v>
      </c>
      <c r="E149" s="575">
        <v>10000</v>
      </c>
      <c r="F149" s="563" t="s">
        <v>5048</v>
      </c>
      <c r="G149" s="563" t="s">
        <v>2923</v>
      </c>
      <c r="H149" s="563" t="s">
        <v>20</v>
      </c>
      <c r="I149" s="563" t="s">
        <v>2923</v>
      </c>
      <c r="J149" s="573">
        <v>43749</v>
      </c>
      <c r="K149" s="579" t="s">
        <v>4188</v>
      </c>
      <c r="L149" s="572"/>
      <c r="M149" s="572"/>
      <c r="N149" s="572"/>
      <c r="O149" s="572"/>
      <c r="P149" s="572"/>
      <c r="Q149" s="572"/>
      <c r="R149" s="572"/>
      <c r="S149" s="572"/>
      <c r="T149" s="572"/>
      <c r="U149" s="572"/>
      <c r="V149" s="572"/>
      <c r="W149" s="572"/>
      <c r="X149" s="572"/>
      <c r="Y149" s="572"/>
      <c r="Z149" s="572"/>
      <c r="AA149" s="572"/>
      <c r="AB149" s="572"/>
      <c r="AC149" s="572"/>
      <c r="AD149" s="572"/>
      <c r="AE149" s="572"/>
    </row>
    <row r="150" spans="1:31" ht="15.75" customHeight="1">
      <c r="A150" s="577">
        <v>44103</v>
      </c>
      <c r="B150" s="578" t="s">
        <v>6354</v>
      </c>
      <c r="C150" s="405" t="s">
        <v>2921</v>
      </c>
      <c r="D150" s="563" t="s">
        <v>6341</v>
      </c>
      <c r="E150" s="575">
        <v>10000</v>
      </c>
      <c r="F150" s="563" t="s">
        <v>3254</v>
      </c>
      <c r="G150" s="573" t="s">
        <v>2923</v>
      </c>
      <c r="H150" s="573" t="s">
        <v>20</v>
      </c>
      <c r="I150" s="573" t="s">
        <v>2930</v>
      </c>
      <c r="J150" s="573">
        <v>43664</v>
      </c>
      <c r="K150" s="576" t="s">
        <v>4188</v>
      </c>
      <c r="L150" s="572"/>
      <c r="M150" s="572"/>
      <c r="N150" s="572"/>
      <c r="O150" s="572"/>
      <c r="P150" s="572"/>
      <c r="Q150" s="572"/>
      <c r="R150" s="572"/>
      <c r="S150" s="572"/>
      <c r="T150" s="572"/>
      <c r="U150" s="572"/>
      <c r="V150" s="572"/>
      <c r="W150" s="572"/>
      <c r="X150" s="572"/>
      <c r="Y150" s="572"/>
      <c r="Z150" s="572"/>
      <c r="AA150" s="572"/>
      <c r="AB150" s="572"/>
      <c r="AC150" s="572"/>
      <c r="AD150" s="572"/>
      <c r="AE150" s="572"/>
    </row>
    <row r="151" spans="1:31" ht="15.75" customHeight="1">
      <c r="A151" s="577">
        <v>44103</v>
      </c>
      <c r="B151" s="580" t="s">
        <v>3677</v>
      </c>
      <c r="C151" s="405" t="s">
        <v>3607</v>
      </c>
      <c r="D151" s="563" t="s">
        <v>928</v>
      </c>
      <c r="E151" s="575">
        <v>7000</v>
      </c>
      <c r="F151" s="563" t="s">
        <v>6395</v>
      </c>
      <c r="G151" s="573" t="s">
        <v>19</v>
      </c>
      <c r="H151" s="573" t="s">
        <v>20</v>
      </c>
      <c r="I151" s="573" t="s">
        <v>3678</v>
      </c>
      <c r="J151" s="573">
        <v>43742</v>
      </c>
      <c r="K151" s="576" t="s">
        <v>4188</v>
      </c>
      <c r="L151" s="572"/>
      <c r="M151" s="572"/>
      <c r="N151" s="572"/>
      <c r="O151" s="572"/>
      <c r="P151" s="572"/>
      <c r="Q151" s="572"/>
      <c r="R151" s="572"/>
      <c r="S151" s="572"/>
      <c r="T151" s="572"/>
      <c r="U151" s="572"/>
      <c r="V151" s="572"/>
      <c r="W151" s="572"/>
      <c r="X151" s="572"/>
      <c r="Y151" s="572"/>
      <c r="Z151" s="572"/>
      <c r="AA151" s="572"/>
      <c r="AB151" s="572"/>
      <c r="AC151" s="572"/>
      <c r="AD151" s="572"/>
      <c r="AE151" s="572"/>
    </row>
    <row r="152" spans="1:31" ht="15.75" customHeight="1">
      <c r="A152" s="577">
        <v>44103</v>
      </c>
      <c r="B152" s="578" t="s">
        <v>6396</v>
      </c>
      <c r="C152" s="405" t="s">
        <v>2921</v>
      </c>
      <c r="D152" s="563" t="s">
        <v>6341</v>
      </c>
      <c r="E152" s="575">
        <v>10000</v>
      </c>
      <c r="F152" s="563" t="s">
        <v>3035</v>
      </c>
      <c r="G152" s="573" t="s">
        <v>2923</v>
      </c>
      <c r="H152" s="573" t="s">
        <v>20</v>
      </c>
      <c r="I152" s="573" t="s">
        <v>2924</v>
      </c>
      <c r="J152" s="573">
        <v>43707</v>
      </c>
      <c r="K152" s="576" t="s">
        <v>3809</v>
      </c>
      <c r="L152" s="572"/>
      <c r="M152" s="572"/>
      <c r="N152" s="572"/>
      <c r="O152" s="572"/>
      <c r="P152" s="572"/>
      <c r="Q152" s="572"/>
      <c r="R152" s="572"/>
      <c r="S152" s="572"/>
      <c r="T152" s="572"/>
      <c r="U152" s="572"/>
      <c r="V152" s="572"/>
      <c r="W152" s="572"/>
      <c r="X152" s="572"/>
      <c r="Y152" s="572"/>
      <c r="Z152" s="572"/>
      <c r="AA152" s="572"/>
      <c r="AB152" s="572"/>
      <c r="AC152" s="572"/>
      <c r="AD152" s="572"/>
      <c r="AE152" s="572"/>
    </row>
    <row r="153" spans="1:31" ht="15.75" customHeight="1">
      <c r="A153" s="577">
        <v>44103</v>
      </c>
      <c r="B153" s="578" t="s">
        <v>6397</v>
      </c>
      <c r="C153" s="405" t="s">
        <v>3785</v>
      </c>
      <c r="D153" s="563" t="s">
        <v>6341</v>
      </c>
      <c r="E153" s="575">
        <v>4000</v>
      </c>
      <c r="F153" s="563" t="s">
        <v>4476</v>
      </c>
      <c r="G153" s="563" t="s">
        <v>2923</v>
      </c>
      <c r="H153" s="563" t="s">
        <v>20</v>
      </c>
      <c r="I153" s="563" t="s">
        <v>2923</v>
      </c>
      <c r="J153" s="573">
        <v>43901</v>
      </c>
      <c r="K153" s="579" t="s">
        <v>3789</v>
      </c>
      <c r="L153" s="572"/>
      <c r="M153" s="572"/>
      <c r="N153" s="572"/>
      <c r="O153" s="572"/>
      <c r="P153" s="572"/>
      <c r="Q153" s="572"/>
      <c r="R153" s="572"/>
      <c r="S153" s="572"/>
      <c r="T153" s="572"/>
      <c r="U153" s="572"/>
      <c r="V153" s="572"/>
      <c r="W153" s="572"/>
      <c r="X153" s="572"/>
      <c r="Y153" s="572"/>
      <c r="Z153" s="572"/>
      <c r="AA153" s="572"/>
      <c r="AB153" s="572"/>
      <c r="AC153" s="572"/>
      <c r="AD153" s="572"/>
      <c r="AE153" s="572"/>
    </row>
    <row r="154" spans="1:31" ht="15.75" customHeight="1">
      <c r="A154" s="577">
        <v>44103</v>
      </c>
      <c r="B154" s="578" t="s">
        <v>6347</v>
      </c>
      <c r="C154" s="405" t="s">
        <v>2921</v>
      </c>
      <c r="D154" s="563" t="s">
        <v>6341</v>
      </c>
      <c r="E154" s="575">
        <v>6000</v>
      </c>
      <c r="F154" s="563" t="s">
        <v>3191</v>
      </c>
      <c r="G154" s="573" t="s">
        <v>2923</v>
      </c>
      <c r="H154" s="573" t="s">
        <v>20</v>
      </c>
      <c r="I154" s="573" t="s">
        <v>2924</v>
      </c>
      <c r="J154" s="573">
        <v>43703</v>
      </c>
      <c r="K154" s="576" t="s">
        <v>4188</v>
      </c>
      <c r="L154" s="572"/>
      <c r="M154" s="572"/>
      <c r="N154" s="572"/>
      <c r="O154" s="572"/>
      <c r="P154" s="572"/>
      <c r="Q154" s="572"/>
      <c r="R154" s="572"/>
      <c r="S154" s="572"/>
      <c r="T154" s="572"/>
      <c r="U154" s="572"/>
      <c r="V154" s="572"/>
      <c r="W154" s="572"/>
      <c r="X154" s="572"/>
      <c r="Y154" s="572"/>
      <c r="Z154" s="572"/>
      <c r="AA154" s="572"/>
      <c r="AB154" s="572"/>
      <c r="AC154" s="572"/>
      <c r="AD154" s="572"/>
      <c r="AE154" s="572"/>
    </row>
    <row r="155" spans="1:31" ht="15.75" customHeight="1">
      <c r="A155" s="577">
        <v>44103</v>
      </c>
      <c r="B155" s="580" t="s">
        <v>6340</v>
      </c>
      <c r="C155" s="405" t="s">
        <v>2921</v>
      </c>
      <c r="D155" s="563" t="s">
        <v>6341</v>
      </c>
      <c r="E155" s="575">
        <v>1500</v>
      </c>
      <c r="F155" s="563" t="s">
        <v>3468</v>
      </c>
      <c r="G155" s="573" t="s">
        <v>2923</v>
      </c>
      <c r="H155" s="573" t="s">
        <v>20</v>
      </c>
      <c r="I155" s="573" t="s">
        <v>2924</v>
      </c>
      <c r="J155" s="573">
        <v>43675</v>
      </c>
      <c r="K155" s="576" t="s">
        <v>4188</v>
      </c>
      <c r="L155" s="572"/>
      <c r="M155" s="572"/>
      <c r="N155" s="572"/>
      <c r="O155" s="572"/>
      <c r="P155" s="572"/>
      <c r="Q155" s="572"/>
      <c r="R155" s="572"/>
      <c r="S155" s="572"/>
      <c r="T155" s="572"/>
      <c r="U155" s="572"/>
      <c r="V155" s="572"/>
      <c r="W155" s="572"/>
      <c r="X155" s="572"/>
      <c r="Y155" s="572"/>
      <c r="Z155" s="572"/>
      <c r="AA155" s="572"/>
      <c r="AB155" s="572"/>
      <c r="AC155" s="572"/>
      <c r="AD155" s="572"/>
      <c r="AE155" s="572"/>
    </row>
    <row r="156" spans="1:31" ht="15.75" customHeight="1">
      <c r="A156" s="573">
        <v>44105</v>
      </c>
      <c r="B156" s="574" t="s">
        <v>6361</v>
      </c>
      <c r="C156" s="563" t="s">
        <v>2921</v>
      </c>
      <c r="D156" s="563" t="s">
        <v>3110</v>
      </c>
      <c r="E156" s="575">
        <v>17805.25</v>
      </c>
      <c r="F156" s="563" t="s">
        <v>3400</v>
      </c>
      <c r="G156" s="573" t="s">
        <v>2923</v>
      </c>
      <c r="H156" s="573" t="s">
        <v>20</v>
      </c>
      <c r="I156" s="573" t="s">
        <v>2924</v>
      </c>
      <c r="J156" s="573">
        <v>43699</v>
      </c>
      <c r="K156" s="576" t="s">
        <v>4188</v>
      </c>
      <c r="L156" s="572"/>
      <c r="M156" s="572"/>
      <c r="N156" s="572"/>
      <c r="O156" s="572"/>
      <c r="P156" s="572"/>
      <c r="Q156" s="572"/>
      <c r="R156" s="572"/>
      <c r="S156" s="572"/>
      <c r="T156" s="572"/>
      <c r="U156" s="572"/>
      <c r="V156" s="572"/>
      <c r="W156" s="572"/>
      <c r="X156" s="572"/>
      <c r="Y156" s="572"/>
      <c r="Z156" s="572"/>
      <c r="AA156" s="572"/>
      <c r="AB156" s="572"/>
      <c r="AC156" s="572"/>
      <c r="AD156" s="572"/>
      <c r="AE156" s="572"/>
    </row>
    <row r="157" spans="1:31" ht="15.75" customHeight="1">
      <c r="A157" s="573">
        <v>44105</v>
      </c>
      <c r="B157" s="582" t="s">
        <v>6380</v>
      </c>
      <c r="C157" s="563" t="s">
        <v>3785</v>
      </c>
      <c r="D157" s="563" t="s">
        <v>3110</v>
      </c>
      <c r="E157" s="575">
        <v>0</v>
      </c>
      <c r="F157" s="563" t="s">
        <v>3302</v>
      </c>
      <c r="G157" s="563" t="s">
        <v>2923</v>
      </c>
      <c r="H157" s="563" t="s">
        <v>20</v>
      </c>
      <c r="I157" s="563" t="s">
        <v>2923</v>
      </c>
      <c r="J157" s="573">
        <v>43700</v>
      </c>
      <c r="K157" s="579" t="s">
        <v>3795</v>
      </c>
      <c r="L157" s="572"/>
      <c r="M157" s="572"/>
      <c r="N157" s="572"/>
      <c r="O157" s="572"/>
      <c r="P157" s="572"/>
      <c r="Q157" s="572"/>
      <c r="R157" s="572"/>
      <c r="S157" s="572"/>
      <c r="T157" s="572"/>
      <c r="U157" s="572"/>
      <c r="V157" s="572"/>
      <c r="W157" s="572"/>
      <c r="X157" s="572"/>
      <c r="Y157" s="572"/>
      <c r="Z157" s="572"/>
      <c r="AA157" s="572"/>
      <c r="AB157" s="572"/>
      <c r="AC157" s="572"/>
      <c r="AD157" s="572"/>
      <c r="AE157" s="572"/>
    </row>
    <row r="158" spans="1:31" ht="15.75" customHeight="1">
      <c r="A158" s="573">
        <v>44105</v>
      </c>
      <c r="B158" s="574" t="s">
        <v>6398</v>
      </c>
      <c r="C158" s="563" t="s">
        <v>3785</v>
      </c>
      <c r="D158" s="563" t="s">
        <v>3110</v>
      </c>
      <c r="E158" s="575">
        <v>0</v>
      </c>
      <c r="F158" s="563" t="s">
        <v>5185</v>
      </c>
      <c r="G158" s="563" t="s">
        <v>19</v>
      </c>
      <c r="H158" s="563" t="s">
        <v>20</v>
      </c>
      <c r="I158" s="563" t="s">
        <v>5186</v>
      </c>
      <c r="J158" s="573">
        <v>43777</v>
      </c>
      <c r="K158" s="579" t="s">
        <v>4607</v>
      </c>
      <c r="L158" s="572"/>
      <c r="M158" s="572"/>
      <c r="N158" s="572"/>
      <c r="O158" s="572"/>
      <c r="P158" s="572"/>
      <c r="Q158" s="572"/>
      <c r="R158" s="572"/>
      <c r="S158" s="572"/>
      <c r="T158" s="572"/>
      <c r="U158" s="572"/>
      <c r="V158" s="572"/>
      <c r="W158" s="572"/>
      <c r="X158" s="572"/>
      <c r="Y158" s="572"/>
      <c r="Z158" s="572"/>
      <c r="AA158" s="572"/>
      <c r="AB158" s="572"/>
      <c r="AC158" s="572"/>
      <c r="AD158" s="572"/>
      <c r="AE158" s="572"/>
    </row>
    <row r="159" spans="1:31" ht="15.75" customHeight="1">
      <c r="A159" s="577">
        <v>44105</v>
      </c>
      <c r="B159" s="578" t="s">
        <v>6374</v>
      </c>
      <c r="C159" s="405" t="s">
        <v>2921</v>
      </c>
      <c r="D159" s="563" t="s">
        <v>6341</v>
      </c>
      <c r="E159" s="575">
        <v>20000</v>
      </c>
      <c r="F159" s="563" t="s">
        <v>3455</v>
      </c>
      <c r="G159" s="573" t="s">
        <v>2923</v>
      </c>
      <c r="H159" s="573" t="s">
        <v>20</v>
      </c>
      <c r="I159" s="573" t="s">
        <v>2924</v>
      </c>
      <c r="J159" s="573">
        <v>43840</v>
      </c>
      <c r="K159" s="576" t="s">
        <v>3805</v>
      </c>
      <c r="L159" s="572"/>
      <c r="M159" s="572"/>
      <c r="N159" s="572"/>
      <c r="O159" s="572"/>
      <c r="P159" s="572"/>
      <c r="Q159" s="572"/>
      <c r="R159" s="572"/>
      <c r="S159" s="572"/>
      <c r="T159" s="572"/>
      <c r="U159" s="572"/>
      <c r="V159" s="572"/>
      <c r="W159" s="572"/>
      <c r="X159" s="572"/>
      <c r="Y159" s="572"/>
      <c r="Z159" s="572"/>
      <c r="AA159" s="572"/>
      <c r="AB159" s="572"/>
      <c r="AC159" s="572"/>
      <c r="AD159" s="572"/>
      <c r="AE159" s="572"/>
    </row>
    <row r="160" spans="1:31" ht="15.75" customHeight="1">
      <c r="A160" s="573">
        <v>44109</v>
      </c>
      <c r="B160" s="582" t="s">
        <v>6399</v>
      </c>
      <c r="C160" s="563" t="s">
        <v>2921</v>
      </c>
      <c r="D160" s="563" t="s">
        <v>3110</v>
      </c>
      <c r="E160" s="575">
        <v>379116.63</v>
      </c>
      <c r="F160" s="563" t="s">
        <v>3410</v>
      </c>
      <c r="G160" s="573" t="s">
        <v>2989</v>
      </c>
      <c r="H160" s="573" t="s">
        <v>20</v>
      </c>
      <c r="I160" s="573" t="s">
        <v>2989</v>
      </c>
      <c r="J160" s="573">
        <v>43426</v>
      </c>
      <c r="K160" s="576" t="s">
        <v>3809</v>
      </c>
      <c r="L160" s="572"/>
      <c r="M160" s="572"/>
      <c r="N160" s="572"/>
      <c r="O160" s="572"/>
      <c r="P160" s="572"/>
      <c r="Q160" s="572"/>
      <c r="R160" s="572"/>
      <c r="S160" s="572"/>
      <c r="T160" s="572"/>
      <c r="U160" s="572"/>
      <c r="V160" s="572"/>
      <c r="W160" s="572"/>
      <c r="X160" s="572"/>
      <c r="Y160" s="572"/>
      <c r="Z160" s="572"/>
      <c r="AA160" s="572"/>
      <c r="AB160" s="572"/>
      <c r="AC160" s="572"/>
      <c r="AD160" s="572"/>
      <c r="AE160" s="572"/>
    </row>
    <row r="161" spans="1:31" ht="15.75" customHeight="1">
      <c r="A161" s="577">
        <v>44109</v>
      </c>
      <c r="B161" s="578" t="s">
        <v>6390</v>
      </c>
      <c r="C161" s="405" t="s">
        <v>3785</v>
      </c>
      <c r="D161" s="563" t="s">
        <v>6341</v>
      </c>
      <c r="E161" s="575">
        <v>10000</v>
      </c>
      <c r="F161" s="563" t="s">
        <v>4859</v>
      </c>
      <c r="G161" s="563" t="s">
        <v>2923</v>
      </c>
      <c r="H161" s="563" t="s">
        <v>20</v>
      </c>
      <c r="I161" s="563" t="s">
        <v>2923</v>
      </c>
      <c r="J161" s="573">
        <v>44068</v>
      </c>
      <c r="K161" s="579" t="s">
        <v>3795</v>
      </c>
      <c r="L161" s="572"/>
      <c r="M161" s="572"/>
      <c r="N161" s="572"/>
      <c r="O161" s="572"/>
      <c r="P161" s="572"/>
      <c r="Q161" s="572"/>
      <c r="R161" s="572"/>
      <c r="S161" s="572"/>
      <c r="T161" s="572"/>
      <c r="U161" s="572"/>
      <c r="V161" s="572"/>
      <c r="W161" s="572"/>
      <c r="X161" s="572"/>
      <c r="Y161" s="572"/>
      <c r="Z161" s="572"/>
      <c r="AA161" s="572"/>
      <c r="AB161" s="572"/>
      <c r="AC161" s="572"/>
      <c r="AD161" s="572"/>
      <c r="AE161" s="572"/>
    </row>
    <row r="162" spans="1:31" ht="15.75" customHeight="1">
      <c r="A162" s="577">
        <v>44109</v>
      </c>
      <c r="B162" s="578" t="s">
        <v>6349</v>
      </c>
      <c r="C162" s="405" t="s">
        <v>2921</v>
      </c>
      <c r="D162" s="563" t="s">
        <v>6341</v>
      </c>
      <c r="E162" s="575">
        <v>10000</v>
      </c>
      <c r="F162" s="563" t="s">
        <v>3228</v>
      </c>
      <c r="G162" s="573" t="s">
        <v>2923</v>
      </c>
      <c r="H162" s="573" t="s">
        <v>20</v>
      </c>
      <c r="I162" s="573" t="s">
        <v>2924</v>
      </c>
      <c r="J162" s="573">
        <v>43605</v>
      </c>
      <c r="K162" s="576" t="s">
        <v>3805</v>
      </c>
      <c r="L162" s="572"/>
      <c r="M162" s="572"/>
      <c r="N162" s="572"/>
      <c r="O162" s="572"/>
      <c r="P162" s="572"/>
      <c r="Q162" s="572"/>
      <c r="R162" s="572"/>
      <c r="S162" s="572"/>
      <c r="T162" s="572"/>
      <c r="U162" s="572"/>
      <c r="V162" s="572"/>
      <c r="W162" s="572"/>
      <c r="X162" s="572"/>
      <c r="Y162" s="572"/>
      <c r="Z162" s="572"/>
      <c r="AA162" s="572"/>
      <c r="AB162" s="572"/>
      <c r="AC162" s="572"/>
      <c r="AD162" s="572"/>
      <c r="AE162" s="572"/>
    </row>
    <row r="163" spans="1:31" ht="15.75" customHeight="1">
      <c r="A163" s="577">
        <v>44109</v>
      </c>
      <c r="B163" s="578" t="s">
        <v>6368</v>
      </c>
      <c r="C163" s="405" t="s">
        <v>2921</v>
      </c>
      <c r="D163" s="563" t="s">
        <v>6341</v>
      </c>
      <c r="E163" s="575">
        <v>14000</v>
      </c>
      <c r="F163" s="563" t="s">
        <v>3349</v>
      </c>
      <c r="G163" s="573" t="s">
        <v>2923</v>
      </c>
      <c r="H163" s="573" t="s">
        <v>20</v>
      </c>
      <c r="I163" s="573" t="s">
        <v>2924</v>
      </c>
      <c r="J163" s="573">
        <v>43564</v>
      </c>
      <c r="K163" s="576" t="s">
        <v>3809</v>
      </c>
      <c r="L163" s="572"/>
      <c r="M163" s="572"/>
      <c r="N163" s="572"/>
      <c r="O163" s="572"/>
      <c r="P163" s="572"/>
      <c r="Q163" s="572"/>
      <c r="R163" s="572"/>
      <c r="S163" s="572"/>
      <c r="T163" s="572"/>
      <c r="U163" s="572"/>
      <c r="V163" s="572"/>
      <c r="W163" s="572"/>
      <c r="X163" s="572"/>
      <c r="Y163" s="572"/>
      <c r="Z163" s="572"/>
      <c r="AA163" s="572"/>
      <c r="AB163" s="572"/>
      <c r="AC163" s="572"/>
      <c r="AD163" s="572"/>
      <c r="AE163" s="572"/>
    </row>
    <row r="164" spans="1:31" ht="15.75" customHeight="1">
      <c r="A164" s="577">
        <v>44119</v>
      </c>
      <c r="B164" s="578" t="s">
        <v>6362</v>
      </c>
      <c r="C164" s="405" t="s">
        <v>2921</v>
      </c>
      <c r="D164" s="563" t="s">
        <v>6341</v>
      </c>
      <c r="E164" s="575">
        <v>7000</v>
      </c>
      <c r="F164" s="563" t="s">
        <v>3509</v>
      </c>
      <c r="G164" s="573" t="s">
        <v>2923</v>
      </c>
      <c r="H164" s="573" t="s">
        <v>20</v>
      </c>
      <c r="I164" s="573" t="s">
        <v>2924</v>
      </c>
      <c r="J164" s="573">
        <v>43717</v>
      </c>
      <c r="K164" s="576" t="s">
        <v>4188</v>
      </c>
      <c r="L164" s="572"/>
      <c r="M164" s="572"/>
      <c r="N164" s="572"/>
      <c r="O164" s="572"/>
      <c r="P164" s="572"/>
      <c r="Q164" s="572"/>
      <c r="R164" s="572"/>
      <c r="S164" s="572"/>
      <c r="T164" s="572"/>
      <c r="U164" s="572"/>
      <c r="V164" s="572"/>
      <c r="W164" s="572"/>
      <c r="X164" s="572"/>
      <c r="Y164" s="572"/>
      <c r="Z164" s="572"/>
      <c r="AA164" s="572"/>
      <c r="AB164" s="572"/>
      <c r="AC164" s="572"/>
      <c r="AD164" s="572"/>
      <c r="AE164" s="572"/>
    </row>
    <row r="165" spans="1:31" ht="15.75" customHeight="1">
      <c r="A165" s="577">
        <v>44120</v>
      </c>
      <c r="B165" s="580" t="s">
        <v>6390</v>
      </c>
      <c r="C165" s="405" t="s">
        <v>3785</v>
      </c>
      <c r="D165" s="563" t="s">
        <v>6341</v>
      </c>
      <c r="E165" s="575">
        <v>8000</v>
      </c>
      <c r="F165" s="563" t="s">
        <v>4859</v>
      </c>
      <c r="G165" s="563" t="s">
        <v>2923</v>
      </c>
      <c r="H165" s="563" t="s">
        <v>20</v>
      </c>
      <c r="I165" s="563" t="s">
        <v>2923</v>
      </c>
      <c r="J165" s="573">
        <v>44068</v>
      </c>
      <c r="K165" s="579" t="s">
        <v>3795</v>
      </c>
      <c r="L165" s="572"/>
      <c r="M165" s="572"/>
      <c r="N165" s="572"/>
      <c r="O165" s="572"/>
      <c r="P165" s="572"/>
      <c r="Q165" s="572"/>
      <c r="R165" s="572"/>
      <c r="S165" s="572"/>
      <c r="T165" s="572"/>
      <c r="U165" s="572"/>
      <c r="V165" s="572"/>
      <c r="W165" s="572"/>
      <c r="X165" s="572"/>
      <c r="Y165" s="572"/>
      <c r="Z165" s="572"/>
      <c r="AA165" s="572"/>
      <c r="AB165" s="572"/>
      <c r="AC165" s="572"/>
      <c r="AD165" s="572"/>
      <c r="AE165" s="572"/>
    </row>
    <row r="166" spans="1:31" ht="15.75" customHeight="1">
      <c r="A166" s="577">
        <v>44124</v>
      </c>
      <c r="B166" s="578" t="s">
        <v>6363</v>
      </c>
      <c r="C166" s="405" t="s">
        <v>2921</v>
      </c>
      <c r="D166" s="563" t="s">
        <v>6341</v>
      </c>
      <c r="E166" s="575">
        <v>140000</v>
      </c>
      <c r="F166" s="563" t="s">
        <v>3445</v>
      </c>
      <c r="G166" s="573" t="s">
        <v>2923</v>
      </c>
      <c r="H166" s="573" t="s">
        <v>20</v>
      </c>
      <c r="I166" s="573" t="s">
        <v>2924</v>
      </c>
      <c r="J166" s="573">
        <v>43894</v>
      </c>
      <c r="K166" s="576" t="s">
        <v>3805</v>
      </c>
      <c r="L166" s="572"/>
      <c r="M166" s="572"/>
      <c r="N166" s="572"/>
      <c r="O166" s="572"/>
      <c r="P166" s="572"/>
      <c r="Q166" s="572"/>
      <c r="R166" s="572"/>
      <c r="S166" s="572"/>
      <c r="T166" s="572"/>
      <c r="U166" s="572"/>
      <c r="V166" s="572"/>
      <c r="W166" s="572"/>
      <c r="X166" s="572"/>
      <c r="Y166" s="572"/>
      <c r="Z166" s="572"/>
      <c r="AA166" s="572"/>
      <c r="AB166" s="572"/>
      <c r="AC166" s="572"/>
      <c r="AD166" s="572"/>
      <c r="AE166" s="572"/>
    </row>
    <row r="167" spans="1:31" ht="15.75" customHeight="1">
      <c r="A167" s="577">
        <v>44124</v>
      </c>
      <c r="B167" s="578" t="s">
        <v>6400</v>
      </c>
      <c r="C167" s="405" t="s">
        <v>2921</v>
      </c>
      <c r="D167" s="563" t="s">
        <v>6341</v>
      </c>
      <c r="E167" s="575">
        <v>10000</v>
      </c>
      <c r="F167" s="563" t="s">
        <v>3373</v>
      </c>
      <c r="G167" s="573" t="s">
        <v>2923</v>
      </c>
      <c r="H167" s="573" t="s">
        <v>20</v>
      </c>
      <c r="I167" s="573" t="s">
        <v>2930</v>
      </c>
      <c r="J167" s="573">
        <v>43622</v>
      </c>
      <c r="K167" s="576" t="s">
        <v>3805</v>
      </c>
      <c r="L167" s="572"/>
      <c r="M167" s="572"/>
      <c r="N167" s="572"/>
      <c r="O167" s="572"/>
      <c r="P167" s="572"/>
      <c r="Q167" s="572"/>
      <c r="R167" s="572"/>
      <c r="S167" s="572"/>
      <c r="T167" s="572"/>
      <c r="U167" s="572"/>
      <c r="V167" s="572"/>
      <c r="W167" s="572"/>
      <c r="X167" s="572"/>
      <c r="Y167" s="572"/>
      <c r="Z167" s="572"/>
      <c r="AA167" s="572"/>
      <c r="AB167" s="572"/>
      <c r="AC167" s="572"/>
      <c r="AD167" s="572"/>
      <c r="AE167" s="572"/>
    </row>
    <row r="168" spans="1:31" ht="15.75" customHeight="1">
      <c r="A168" s="577">
        <v>44125</v>
      </c>
      <c r="B168" s="578" t="s">
        <v>6352</v>
      </c>
      <c r="C168" s="405" t="s">
        <v>3785</v>
      </c>
      <c r="D168" s="563" t="s">
        <v>6341</v>
      </c>
      <c r="E168" s="575">
        <v>130000</v>
      </c>
      <c r="F168" s="563" t="s">
        <v>4665</v>
      </c>
      <c r="G168" s="563" t="s">
        <v>2923</v>
      </c>
      <c r="H168" s="563" t="s">
        <v>20</v>
      </c>
      <c r="I168" s="563" t="s">
        <v>2923</v>
      </c>
      <c r="J168" s="573">
        <v>44252</v>
      </c>
      <c r="K168" s="579" t="s">
        <v>3805</v>
      </c>
      <c r="L168" s="572"/>
      <c r="M168" s="572"/>
      <c r="N168" s="572"/>
      <c r="O168" s="572"/>
      <c r="P168" s="572"/>
      <c r="Q168" s="572"/>
      <c r="R168" s="572"/>
      <c r="S168" s="572"/>
      <c r="T168" s="572"/>
      <c r="U168" s="572"/>
      <c r="V168" s="572"/>
      <c r="W168" s="572"/>
      <c r="X168" s="572"/>
      <c r="Y168" s="572"/>
      <c r="Z168" s="572"/>
      <c r="AA168" s="572"/>
      <c r="AB168" s="572"/>
      <c r="AC168" s="572"/>
      <c r="AD168" s="572"/>
      <c r="AE168" s="572"/>
    </row>
    <row r="169" spans="1:31" ht="15.75" customHeight="1">
      <c r="A169" s="577">
        <v>44127</v>
      </c>
      <c r="B169" s="578" t="s">
        <v>6368</v>
      </c>
      <c r="C169" s="405" t="s">
        <v>2921</v>
      </c>
      <c r="D169" s="563" t="s">
        <v>6341</v>
      </c>
      <c r="E169" s="575">
        <v>12000</v>
      </c>
      <c r="F169" s="563" t="s">
        <v>3349</v>
      </c>
      <c r="G169" s="573" t="s">
        <v>2923</v>
      </c>
      <c r="H169" s="573" t="s">
        <v>20</v>
      </c>
      <c r="I169" s="573" t="s">
        <v>2924</v>
      </c>
      <c r="J169" s="573">
        <v>43564</v>
      </c>
      <c r="K169" s="576" t="s">
        <v>3809</v>
      </c>
      <c r="L169" s="572"/>
      <c r="M169" s="572"/>
      <c r="N169" s="572"/>
      <c r="O169" s="572"/>
      <c r="P169" s="572"/>
      <c r="Q169" s="572"/>
      <c r="R169" s="572"/>
      <c r="S169" s="572"/>
      <c r="T169" s="572"/>
      <c r="U169" s="572"/>
      <c r="V169" s="572"/>
      <c r="W169" s="572"/>
      <c r="X169" s="572"/>
      <c r="Y169" s="572"/>
      <c r="Z169" s="572"/>
      <c r="AA169" s="572"/>
      <c r="AB169" s="572"/>
      <c r="AC169" s="572"/>
      <c r="AD169" s="572"/>
      <c r="AE169" s="572"/>
    </row>
    <row r="170" spans="1:31" ht="15.75" customHeight="1">
      <c r="A170" s="577">
        <v>44130</v>
      </c>
      <c r="B170" s="578" t="s">
        <v>6349</v>
      </c>
      <c r="C170" s="405" t="s">
        <v>2921</v>
      </c>
      <c r="D170" s="563" t="s">
        <v>6341</v>
      </c>
      <c r="E170" s="575">
        <v>34182</v>
      </c>
      <c r="F170" s="563" t="s">
        <v>3228</v>
      </c>
      <c r="G170" s="573" t="s">
        <v>2923</v>
      </c>
      <c r="H170" s="573" t="s">
        <v>20</v>
      </c>
      <c r="I170" s="573" t="s">
        <v>2924</v>
      </c>
      <c r="J170" s="573">
        <v>43605</v>
      </c>
      <c r="K170" s="576" t="s">
        <v>3805</v>
      </c>
      <c r="L170" s="572"/>
      <c r="M170" s="572"/>
      <c r="N170" s="572"/>
      <c r="O170" s="572"/>
      <c r="P170" s="572"/>
      <c r="Q170" s="572"/>
      <c r="R170" s="572"/>
      <c r="S170" s="572"/>
      <c r="T170" s="572"/>
      <c r="U170" s="572"/>
      <c r="V170" s="572"/>
      <c r="W170" s="572"/>
      <c r="X170" s="572"/>
      <c r="Y170" s="572"/>
      <c r="Z170" s="572"/>
      <c r="AA170" s="572"/>
      <c r="AB170" s="572"/>
      <c r="AC170" s="572"/>
      <c r="AD170" s="572"/>
      <c r="AE170" s="572"/>
    </row>
    <row r="171" spans="1:31" ht="15.75" customHeight="1">
      <c r="A171" s="577">
        <v>44131</v>
      </c>
      <c r="B171" s="578" t="s">
        <v>6390</v>
      </c>
      <c r="C171" s="405" t="s">
        <v>3785</v>
      </c>
      <c r="D171" s="563" t="s">
        <v>6341</v>
      </c>
      <c r="E171" s="575">
        <v>20000</v>
      </c>
      <c r="F171" s="563" t="s">
        <v>4859</v>
      </c>
      <c r="G171" s="563" t="s">
        <v>2923</v>
      </c>
      <c r="H171" s="563" t="s">
        <v>20</v>
      </c>
      <c r="I171" s="563" t="s">
        <v>2923</v>
      </c>
      <c r="J171" s="573">
        <v>44068</v>
      </c>
      <c r="K171" s="579" t="s">
        <v>3795</v>
      </c>
      <c r="L171" s="572"/>
      <c r="M171" s="572"/>
      <c r="N171" s="572"/>
      <c r="O171" s="572"/>
      <c r="P171" s="572"/>
      <c r="Q171" s="572"/>
      <c r="R171" s="572"/>
      <c r="S171" s="572"/>
      <c r="T171" s="572"/>
      <c r="U171" s="572"/>
      <c r="V171" s="572"/>
      <c r="W171" s="572"/>
      <c r="X171" s="572"/>
      <c r="Y171" s="572"/>
      <c r="Z171" s="572"/>
      <c r="AA171" s="572"/>
      <c r="AB171" s="572"/>
      <c r="AC171" s="572"/>
      <c r="AD171" s="572"/>
      <c r="AE171" s="572"/>
    </row>
    <row r="172" spans="1:31" ht="15.75" customHeight="1">
      <c r="A172" s="577">
        <v>44131</v>
      </c>
      <c r="B172" s="578" t="s">
        <v>6374</v>
      </c>
      <c r="C172" s="405" t="s">
        <v>2921</v>
      </c>
      <c r="D172" s="563" t="s">
        <v>6341</v>
      </c>
      <c r="E172" s="575">
        <v>20000</v>
      </c>
      <c r="F172" s="563" t="s">
        <v>3455</v>
      </c>
      <c r="G172" s="573" t="s">
        <v>2923</v>
      </c>
      <c r="H172" s="573" t="s">
        <v>20</v>
      </c>
      <c r="I172" s="573" t="s">
        <v>2924</v>
      </c>
      <c r="J172" s="573">
        <v>43840</v>
      </c>
      <c r="K172" s="576" t="s">
        <v>3805</v>
      </c>
      <c r="L172" s="572"/>
      <c r="M172" s="572"/>
      <c r="N172" s="572"/>
      <c r="O172" s="572"/>
      <c r="P172" s="572"/>
      <c r="Q172" s="572"/>
      <c r="R172" s="572"/>
      <c r="S172" s="572"/>
      <c r="T172" s="572"/>
      <c r="U172" s="572"/>
      <c r="V172" s="572"/>
      <c r="W172" s="572"/>
      <c r="X172" s="572"/>
      <c r="Y172" s="572"/>
      <c r="Z172" s="572"/>
      <c r="AA172" s="572"/>
      <c r="AB172" s="572"/>
      <c r="AC172" s="572"/>
      <c r="AD172" s="572"/>
      <c r="AE172" s="572"/>
    </row>
    <row r="173" spans="1:31" ht="15.75" customHeight="1">
      <c r="A173" s="577">
        <v>44131</v>
      </c>
      <c r="B173" s="578" t="s">
        <v>6365</v>
      </c>
      <c r="C173" s="405" t="s">
        <v>2921</v>
      </c>
      <c r="D173" s="563" t="s">
        <v>6341</v>
      </c>
      <c r="E173" s="575">
        <v>3000</v>
      </c>
      <c r="F173" s="563" t="s">
        <v>2986</v>
      </c>
      <c r="G173" s="573" t="s">
        <v>2923</v>
      </c>
      <c r="H173" s="573" t="s">
        <v>20</v>
      </c>
      <c r="I173" s="573" t="s">
        <v>2924</v>
      </c>
      <c r="J173" s="573">
        <v>43867</v>
      </c>
      <c r="K173" s="576" t="s">
        <v>3795</v>
      </c>
      <c r="L173" s="572"/>
      <c r="M173" s="572"/>
      <c r="N173" s="572"/>
      <c r="O173" s="572"/>
      <c r="P173" s="572"/>
      <c r="Q173" s="572"/>
      <c r="R173" s="572"/>
      <c r="S173" s="572"/>
      <c r="T173" s="572"/>
      <c r="U173" s="572"/>
      <c r="V173" s="572"/>
      <c r="W173" s="572"/>
      <c r="X173" s="572"/>
      <c r="Y173" s="572"/>
      <c r="Z173" s="572"/>
      <c r="AA173" s="572"/>
      <c r="AB173" s="572"/>
      <c r="AC173" s="572"/>
      <c r="AD173" s="572"/>
      <c r="AE173" s="572"/>
    </row>
    <row r="174" spans="1:31" ht="15.75" customHeight="1">
      <c r="A174" s="577">
        <v>44131</v>
      </c>
      <c r="B174" s="578" t="s">
        <v>6347</v>
      </c>
      <c r="C174" s="405" t="s">
        <v>2921</v>
      </c>
      <c r="D174" s="563" t="s">
        <v>6341</v>
      </c>
      <c r="E174" s="575">
        <v>7000</v>
      </c>
      <c r="F174" s="563" t="s">
        <v>3191</v>
      </c>
      <c r="G174" s="573" t="s">
        <v>2923</v>
      </c>
      <c r="H174" s="573" t="s">
        <v>20</v>
      </c>
      <c r="I174" s="573" t="s">
        <v>2924</v>
      </c>
      <c r="J174" s="573">
        <v>43703</v>
      </c>
      <c r="K174" s="576" t="s">
        <v>4188</v>
      </c>
      <c r="L174" s="572"/>
      <c r="M174" s="572"/>
      <c r="N174" s="572"/>
      <c r="O174" s="572"/>
      <c r="P174" s="572"/>
      <c r="Q174" s="572"/>
      <c r="R174" s="572"/>
      <c r="S174" s="572"/>
      <c r="T174" s="572"/>
      <c r="U174" s="572"/>
      <c r="V174" s="572"/>
      <c r="W174" s="572"/>
      <c r="X174" s="572"/>
      <c r="Y174" s="572"/>
      <c r="Z174" s="572"/>
      <c r="AA174" s="572"/>
      <c r="AB174" s="572"/>
      <c r="AC174" s="572"/>
      <c r="AD174" s="572"/>
      <c r="AE174" s="572"/>
    </row>
    <row r="175" spans="1:31" ht="15.75" customHeight="1">
      <c r="A175" s="577">
        <v>44131</v>
      </c>
      <c r="B175" s="578" t="s">
        <v>6378</v>
      </c>
      <c r="C175" s="405" t="s">
        <v>2921</v>
      </c>
      <c r="D175" s="563" t="s">
        <v>6341</v>
      </c>
      <c r="E175" s="575">
        <v>10000</v>
      </c>
      <c r="F175" s="563" t="s">
        <v>3291</v>
      </c>
      <c r="G175" s="573" t="s">
        <v>2923</v>
      </c>
      <c r="H175" s="573" t="s">
        <v>20</v>
      </c>
      <c r="I175" s="573" t="s">
        <v>2924</v>
      </c>
      <c r="J175" s="573">
        <v>43732</v>
      </c>
      <c r="K175" s="576" t="s">
        <v>4188</v>
      </c>
      <c r="L175" s="572"/>
      <c r="M175" s="572"/>
      <c r="N175" s="572"/>
      <c r="O175" s="572"/>
      <c r="P175" s="572"/>
      <c r="Q175" s="572"/>
      <c r="R175" s="572"/>
      <c r="S175" s="572"/>
      <c r="T175" s="572"/>
      <c r="U175" s="572"/>
      <c r="V175" s="572"/>
      <c r="W175" s="572"/>
      <c r="X175" s="572"/>
      <c r="Y175" s="572"/>
      <c r="Z175" s="572"/>
      <c r="AA175" s="572"/>
      <c r="AB175" s="572"/>
      <c r="AC175" s="572"/>
      <c r="AD175" s="572"/>
      <c r="AE175" s="572"/>
    </row>
    <row r="176" spans="1:31" ht="15.75" customHeight="1">
      <c r="A176" s="573">
        <v>44132</v>
      </c>
      <c r="B176" s="574" t="s">
        <v>6401</v>
      </c>
      <c r="C176" s="563" t="s">
        <v>2921</v>
      </c>
      <c r="D176" s="563" t="s">
        <v>3110</v>
      </c>
      <c r="E176" s="575">
        <v>191544.71</v>
      </c>
      <c r="F176" s="563" t="s">
        <v>3529</v>
      </c>
      <c r="G176" s="573" t="s">
        <v>2989</v>
      </c>
      <c r="H176" s="573" t="s">
        <v>20</v>
      </c>
      <c r="I176" s="573" t="s">
        <v>2989</v>
      </c>
      <c r="J176" s="573">
        <v>43494</v>
      </c>
      <c r="K176" s="576" t="s">
        <v>3809</v>
      </c>
      <c r="L176" s="572"/>
      <c r="M176" s="572"/>
      <c r="N176" s="572"/>
      <c r="O176" s="572"/>
      <c r="P176" s="572"/>
      <c r="Q176" s="572"/>
      <c r="R176" s="572"/>
      <c r="S176" s="572"/>
      <c r="T176" s="572"/>
      <c r="U176" s="572"/>
      <c r="V176" s="572"/>
      <c r="W176" s="572"/>
      <c r="X176" s="572"/>
      <c r="Y176" s="572"/>
      <c r="Z176" s="572"/>
      <c r="AA176" s="572"/>
      <c r="AB176" s="572"/>
      <c r="AC176" s="572"/>
      <c r="AD176" s="572"/>
      <c r="AE176" s="572"/>
    </row>
    <row r="177" spans="1:31" ht="15.75" customHeight="1">
      <c r="A177" s="577">
        <v>44133</v>
      </c>
      <c r="B177" s="578" t="s">
        <v>6402</v>
      </c>
      <c r="C177" s="405" t="s">
        <v>2921</v>
      </c>
      <c r="D177" s="563" t="s">
        <v>6341</v>
      </c>
      <c r="E177" s="575">
        <v>9600</v>
      </c>
      <c r="F177" s="563" t="s">
        <v>3362</v>
      </c>
      <c r="G177" s="573" t="s">
        <v>2923</v>
      </c>
      <c r="H177" s="573" t="s">
        <v>20</v>
      </c>
      <c r="I177" s="573" t="s">
        <v>2924</v>
      </c>
      <c r="J177" s="573">
        <v>43873</v>
      </c>
      <c r="K177" s="576" t="s">
        <v>3795</v>
      </c>
      <c r="L177" s="572"/>
      <c r="M177" s="572"/>
      <c r="N177" s="572"/>
      <c r="O177" s="572"/>
      <c r="P177" s="572"/>
      <c r="Q177" s="572"/>
      <c r="R177" s="572"/>
      <c r="S177" s="572"/>
      <c r="T177" s="572"/>
      <c r="U177" s="572"/>
      <c r="V177" s="572"/>
      <c r="W177" s="572"/>
      <c r="X177" s="572"/>
      <c r="Y177" s="572"/>
      <c r="Z177" s="572"/>
      <c r="AA177" s="572"/>
      <c r="AB177" s="572"/>
      <c r="AC177" s="572"/>
      <c r="AD177" s="572"/>
      <c r="AE177" s="572"/>
    </row>
    <row r="178" spans="1:31" ht="15.75" customHeight="1">
      <c r="A178" s="577">
        <v>44133</v>
      </c>
      <c r="B178" s="578" t="s">
        <v>6349</v>
      </c>
      <c r="C178" s="405" t="s">
        <v>2921</v>
      </c>
      <c r="D178" s="563" t="s">
        <v>6341</v>
      </c>
      <c r="E178" s="575">
        <v>8000</v>
      </c>
      <c r="F178" s="563" t="s">
        <v>3228</v>
      </c>
      <c r="G178" s="573" t="s">
        <v>2923</v>
      </c>
      <c r="H178" s="573" t="s">
        <v>20</v>
      </c>
      <c r="I178" s="573" t="s">
        <v>2924</v>
      </c>
      <c r="J178" s="573">
        <v>43605</v>
      </c>
      <c r="K178" s="576" t="s">
        <v>3805</v>
      </c>
      <c r="L178" s="572"/>
      <c r="M178" s="572"/>
      <c r="N178" s="572"/>
      <c r="O178" s="572"/>
      <c r="P178" s="572"/>
      <c r="Q178" s="572"/>
      <c r="R178" s="572"/>
      <c r="S178" s="572"/>
      <c r="T178" s="572"/>
      <c r="U178" s="572"/>
      <c r="V178" s="572"/>
      <c r="W178" s="572"/>
      <c r="X178" s="572"/>
      <c r="Y178" s="572"/>
      <c r="Z178" s="572"/>
      <c r="AA178" s="572"/>
      <c r="AB178" s="572"/>
      <c r="AC178" s="572"/>
      <c r="AD178" s="572"/>
      <c r="AE178" s="572"/>
    </row>
    <row r="179" spans="1:31" ht="15.75" customHeight="1">
      <c r="A179" s="577">
        <v>44138</v>
      </c>
      <c r="B179" s="578" t="s">
        <v>6340</v>
      </c>
      <c r="C179" s="405" t="s">
        <v>2921</v>
      </c>
      <c r="D179" s="563" t="s">
        <v>6341</v>
      </c>
      <c r="E179" s="575">
        <v>100000</v>
      </c>
      <c r="F179" s="563" t="s">
        <v>3468</v>
      </c>
      <c r="G179" s="573" t="s">
        <v>2923</v>
      </c>
      <c r="H179" s="573" t="s">
        <v>20</v>
      </c>
      <c r="I179" s="573" t="s">
        <v>2924</v>
      </c>
      <c r="J179" s="573">
        <v>43675</v>
      </c>
      <c r="K179" s="576" t="s">
        <v>4188</v>
      </c>
      <c r="L179" s="572"/>
      <c r="M179" s="572"/>
      <c r="N179" s="572"/>
      <c r="O179" s="572"/>
      <c r="P179" s="572"/>
      <c r="Q179" s="572"/>
      <c r="R179" s="572"/>
      <c r="S179" s="572"/>
      <c r="T179" s="572"/>
      <c r="U179" s="572"/>
      <c r="V179" s="572"/>
      <c r="W179" s="572"/>
      <c r="X179" s="572"/>
      <c r="Y179" s="572"/>
      <c r="Z179" s="572"/>
      <c r="AA179" s="572"/>
      <c r="AB179" s="572"/>
      <c r="AC179" s="572"/>
      <c r="AD179" s="572"/>
      <c r="AE179" s="572"/>
    </row>
    <row r="180" spans="1:31" ht="15.75" customHeight="1">
      <c r="A180" s="577">
        <v>44138</v>
      </c>
      <c r="B180" s="580" t="s">
        <v>6373</v>
      </c>
      <c r="C180" s="405" t="s">
        <v>2921</v>
      </c>
      <c r="D180" s="563" t="s">
        <v>6341</v>
      </c>
      <c r="E180" s="575">
        <v>30000</v>
      </c>
      <c r="F180" s="563" t="s">
        <v>3164</v>
      </c>
      <c r="G180" s="573" t="s">
        <v>2923</v>
      </c>
      <c r="H180" s="573" t="s">
        <v>20</v>
      </c>
      <c r="I180" s="573" t="s">
        <v>2924</v>
      </c>
      <c r="J180" s="573">
        <v>43888</v>
      </c>
      <c r="K180" s="576" t="s">
        <v>3795</v>
      </c>
      <c r="L180" s="572"/>
      <c r="M180" s="572"/>
      <c r="N180" s="572"/>
      <c r="O180" s="572"/>
      <c r="P180" s="572"/>
      <c r="Q180" s="572"/>
      <c r="R180" s="572"/>
      <c r="S180" s="572"/>
      <c r="T180" s="572"/>
      <c r="U180" s="572"/>
      <c r="V180" s="572"/>
      <c r="W180" s="572"/>
      <c r="X180" s="572"/>
      <c r="Y180" s="572"/>
      <c r="Z180" s="572"/>
      <c r="AA180" s="572"/>
      <c r="AB180" s="572"/>
      <c r="AC180" s="572"/>
      <c r="AD180" s="572"/>
      <c r="AE180" s="572"/>
    </row>
    <row r="181" spans="1:31" ht="15.75" customHeight="1">
      <c r="A181" s="577">
        <v>44138</v>
      </c>
      <c r="B181" s="578" t="s">
        <v>6349</v>
      </c>
      <c r="C181" s="405" t="s">
        <v>2921</v>
      </c>
      <c r="D181" s="563" t="s">
        <v>6341</v>
      </c>
      <c r="E181" s="575">
        <v>6000</v>
      </c>
      <c r="F181" s="563" t="s">
        <v>3228</v>
      </c>
      <c r="G181" s="573" t="s">
        <v>2923</v>
      </c>
      <c r="H181" s="573" t="s">
        <v>20</v>
      </c>
      <c r="I181" s="573" t="s">
        <v>2924</v>
      </c>
      <c r="J181" s="573">
        <v>43605</v>
      </c>
      <c r="K181" s="576" t="s">
        <v>3805</v>
      </c>
      <c r="L181" s="572"/>
      <c r="M181" s="572"/>
      <c r="N181" s="572"/>
      <c r="O181" s="572"/>
      <c r="P181" s="572"/>
      <c r="Q181" s="572"/>
      <c r="R181" s="572"/>
      <c r="S181" s="572"/>
      <c r="T181" s="572"/>
      <c r="U181" s="572"/>
      <c r="V181" s="572"/>
      <c r="W181" s="572"/>
      <c r="X181" s="572"/>
      <c r="Y181" s="572"/>
      <c r="Z181" s="572"/>
      <c r="AA181" s="572"/>
      <c r="AB181" s="572"/>
      <c r="AC181" s="572"/>
      <c r="AD181" s="572"/>
      <c r="AE181" s="572"/>
    </row>
    <row r="182" spans="1:31" ht="15.75" customHeight="1">
      <c r="A182" s="577">
        <v>44138</v>
      </c>
      <c r="B182" s="578" t="s">
        <v>6355</v>
      </c>
      <c r="C182" s="405" t="s">
        <v>2921</v>
      </c>
      <c r="D182" s="563" t="s">
        <v>6341</v>
      </c>
      <c r="E182" s="575">
        <v>6000</v>
      </c>
      <c r="F182" s="563" t="s">
        <v>3236</v>
      </c>
      <c r="G182" s="573" t="s">
        <v>2923</v>
      </c>
      <c r="H182" s="573" t="s">
        <v>20</v>
      </c>
      <c r="I182" s="573" t="s">
        <v>2930</v>
      </c>
      <c r="J182" s="573">
        <v>43559</v>
      </c>
      <c r="K182" s="576" t="s">
        <v>4188</v>
      </c>
      <c r="L182" s="572"/>
      <c r="M182" s="572"/>
      <c r="N182" s="572"/>
      <c r="O182" s="572"/>
      <c r="P182" s="572"/>
      <c r="Q182" s="572"/>
      <c r="R182" s="572"/>
      <c r="S182" s="572"/>
      <c r="T182" s="572"/>
      <c r="U182" s="572"/>
      <c r="V182" s="572"/>
      <c r="W182" s="572"/>
      <c r="X182" s="572"/>
      <c r="Y182" s="572"/>
      <c r="Z182" s="572"/>
      <c r="AA182" s="572"/>
      <c r="AB182" s="572"/>
      <c r="AC182" s="572"/>
      <c r="AD182" s="572"/>
      <c r="AE182" s="572"/>
    </row>
    <row r="183" spans="1:31" ht="15.75" customHeight="1">
      <c r="A183" s="577">
        <v>44138</v>
      </c>
      <c r="B183" s="578" t="s">
        <v>6347</v>
      </c>
      <c r="C183" s="405" t="s">
        <v>2921</v>
      </c>
      <c r="D183" s="563" t="s">
        <v>6341</v>
      </c>
      <c r="E183" s="575">
        <v>6300</v>
      </c>
      <c r="F183" s="563" t="s">
        <v>3191</v>
      </c>
      <c r="G183" s="573" t="s">
        <v>2923</v>
      </c>
      <c r="H183" s="573" t="s">
        <v>20</v>
      </c>
      <c r="I183" s="573" t="s">
        <v>2924</v>
      </c>
      <c r="J183" s="573">
        <v>43703</v>
      </c>
      <c r="K183" s="576" t="s">
        <v>4188</v>
      </c>
      <c r="L183" s="572"/>
      <c r="M183" s="572"/>
      <c r="N183" s="572"/>
      <c r="O183" s="572"/>
      <c r="P183" s="572"/>
      <c r="Q183" s="572"/>
      <c r="R183" s="572"/>
      <c r="S183" s="572"/>
      <c r="T183" s="572"/>
      <c r="U183" s="572"/>
      <c r="V183" s="572"/>
      <c r="W183" s="572"/>
      <c r="X183" s="572"/>
      <c r="Y183" s="572"/>
      <c r="Z183" s="572"/>
      <c r="AA183" s="572"/>
      <c r="AB183" s="572"/>
      <c r="AC183" s="572"/>
      <c r="AD183" s="572"/>
      <c r="AE183" s="572"/>
    </row>
    <row r="184" spans="1:31" ht="15.75" customHeight="1">
      <c r="A184" s="577">
        <v>44138</v>
      </c>
      <c r="B184" s="578" t="s">
        <v>6347</v>
      </c>
      <c r="C184" s="405" t="s">
        <v>2921</v>
      </c>
      <c r="D184" s="563" t="s">
        <v>6341</v>
      </c>
      <c r="E184" s="575">
        <v>10000</v>
      </c>
      <c r="F184" s="563" t="s">
        <v>3191</v>
      </c>
      <c r="G184" s="573" t="s">
        <v>2923</v>
      </c>
      <c r="H184" s="573" t="s">
        <v>20</v>
      </c>
      <c r="I184" s="573" t="s">
        <v>2924</v>
      </c>
      <c r="J184" s="573">
        <v>43703</v>
      </c>
      <c r="K184" s="576" t="s">
        <v>4188</v>
      </c>
      <c r="L184" s="572"/>
      <c r="M184" s="572"/>
      <c r="N184" s="572"/>
      <c r="O184" s="572"/>
      <c r="P184" s="572"/>
      <c r="Q184" s="572"/>
      <c r="R184" s="572"/>
      <c r="S184" s="572"/>
      <c r="T184" s="572"/>
      <c r="U184" s="572"/>
      <c r="V184" s="572"/>
      <c r="W184" s="572"/>
      <c r="X184" s="572"/>
      <c r="Y184" s="572"/>
      <c r="Z184" s="572"/>
      <c r="AA184" s="572"/>
      <c r="AB184" s="572"/>
      <c r="AC184" s="572"/>
      <c r="AD184" s="572"/>
      <c r="AE184" s="572"/>
    </row>
    <row r="185" spans="1:31" ht="15.75" customHeight="1">
      <c r="A185" s="577">
        <v>44138</v>
      </c>
      <c r="B185" s="578" t="s">
        <v>6390</v>
      </c>
      <c r="C185" s="405" t="s">
        <v>3785</v>
      </c>
      <c r="D185" s="563" t="s">
        <v>6341</v>
      </c>
      <c r="E185" s="575">
        <v>5000</v>
      </c>
      <c r="F185" s="563" t="s">
        <v>4859</v>
      </c>
      <c r="G185" s="563" t="s">
        <v>2923</v>
      </c>
      <c r="H185" s="563" t="s">
        <v>20</v>
      </c>
      <c r="I185" s="563" t="s">
        <v>2923</v>
      </c>
      <c r="J185" s="573">
        <v>44068</v>
      </c>
      <c r="K185" s="579" t="s">
        <v>3795</v>
      </c>
      <c r="L185" s="572"/>
      <c r="M185" s="572"/>
      <c r="N185" s="572"/>
      <c r="O185" s="572"/>
      <c r="P185" s="572"/>
      <c r="Q185" s="572"/>
      <c r="R185" s="572"/>
      <c r="S185" s="572"/>
      <c r="T185" s="572"/>
      <c r="U185" s="572"/>
      <c r="V185" s="572"/>
      <c r="W185" s="572"/>
      <c r="X185" s="572"/>
      <c r="Y185" s="572"/>
      <c r="Z185" s="572"/>
      <c r="AA185" s="572"/>
      <c r="AB185" s="572"/>
      <c r="AC185" s="572"/>
      <c r="AD185" s="572"/>
      <c r="AE185" s="572"/>
    </row>
    <row r="186" spans="1:31" ht="15.75" customHeight="1">
      <c r="A186" s="577">
        <v>44139</v>
      </c>
      <c r="B186" s="578" t="s">
        <v>6403</v>
      </c>
      <c r="C186" s="405" t="s">
        <v>2921</v>
      </c>
      <c r="D186" s="563" t="s">
        <v>6341</v>
      </c>
      <c r="E186" s="575">
        <v>10000</v>
      </c>
      <c r="F186" s="563" t="s">
        <v>3197</v>
      </c>
      <c r="G186" s="573" t="s">
        <v>2923</v>
      </c>
      <c r="H186" s="573" t="s">
        <v>20</v>
      </c>
      <c r="I186" s="573" t="s">
        <v>2924</v>
      </c>
      <c r="J186" s="573">
        <v>43875</v>
      </c>
      <c r="K186" s="576" t="s">
        <v>3805</v>
      </c>
      <c r="L186" s="572"/>
      <c r="M186" s="572"/>
      <c r="N186" s="572"/>
      <c r="O186" s="572"/>
      <c r="P186" s="572"/>
      <c r="Q186" s="572"/>
      <c r="R186" s="572"/>
      <c r="S186" s="572"/>
      <c r="T186" s="572"/>
      <c r="U186" s="572"/>
      <c r="V186" s="572"/>
      <c r="W186" s="572"/>
      <c r="X186" s="572"/>
      <c r="Y186" s="572"/>
      <c r="Z186" s="572"/>
      <c r="AA186" s="572"/>
      <c r="AB186" s="572"/>
      <c r="AC186" s="572"/>
      <c r="AD186" s="572"/>
      <c r="AE186" s="572"/>
    </row>
    <row r="187" spans="1:31" ht="15.75" customHeight="1">
      <c r="A187" s="577">
        <v>44139</v>
      </c>
      <c r="B187" s="578" t="s">
        <v>6400</v>
      </c>
      <c r="C187" s="405" t="s">
        <v>2921</v>
      </c>
      <c r="D187" s="563" t="s">
        <v>6341</v>
      </c>
      <c r="E187" s="575">
        <v>20000</v>
      </c>
      <c r="F187" s="563" t="s">
        <v>3373</v>
      </c>
      <c r="G187" s="573" t="s">
        <v>2923</v>
      </c>
      <c r="H187" s="573" t="s">
        <v>20</v>
      </c>
      <c r="I187" s="573" t="s">
        <v>2930</v>
      </c>
      <c r="J187" s="573">
        <v>43622</v>
      </c>
      <c r="K187" s="576" t="s">
        <v>3805</v>
      </c>
      <c r="L187" s="572"/>
      <c r="M187" s="572"/>
      <c r="N187" s="572"/>
      <c r="O187" s="572"/>
      <c r="P187" s="572"/>
      <c r="Q187" s="572"/>
      <c r="R187" s="572"/>
      <c r="S187" s="572"/>
      <c r="T187" s="572"/>
      <c r="U187" s="572"/>
      <c r="V187" s="572"/>
      <c r="W187" s="572"/>
      <c r="X187" s="572"/>
      <c r="Y187" s="572"/>
      <c r="Z187" s="572"/>
      <c r="AA187" s="572"/>
      <c r="AB187" s="572"/>
      <c r="AC187" s="572"/>
      <c r="AD187" s="572"/>
      <c r="AE187" s="572"/>
    </row>
    <row r="188" spans="1:31" ht="15.75" customHeight="1">
      <c r="A188" s="577">
        <v>44139</v>
      </c>
      <c r="B188" s="578" t="s">
        <v>3630</v>
      </c>
      <c r="C188" s="405" t="s">
        <v>3607</v>
      </c>
      <c r="D188" s="563" t="s">
        <v>6341</v>
      </c>
      <c r="E188" s="575">
        <v>30000</v>
      </c>
      <c r="F188" s="563" t="s">
        <v>3629</v>
      </c>
      <c r="G188" s="573" t="s">
        <v>19</v>
      </c>
      <c r="H188" s="573" t="s">
        <v>20</v>
      </c>
      <c r="I188" s="573" t="s">
        <v>19</v>
      </c>
      <c r="J188" s="573">
        <v>44062</v>
      </c>
      <c r="K188" s="576" t="s">
        <v>3795</v>
      </c>
      <c r="L188" s="572"/>
      <c r="M188" s="572"/>
      <c r="N188" s="572"/>
      <c r="O188" s="572"/>
      <c r="P188" s="572"/>
      <c r="Q188" s="572"/>
      <c r="R188" s="572"/>
      <c r="S188" s="572"/>
      <c r="T188" s="572"/>
      <c r="U188" s="572"/>
      <c r="V188" s="572"/>
      <c r="W188" s="572"/>
      <c r="X188" s="572"/>
      <c r="Y188" s="572"/>
      <c r="Z188" s="572"/>
      <c r="AA188" s="572"/>
      <c r="AB188" s="572"/>
      <c r="AC188" s="572"/>
      <c r="AD188" s="572"/>
      <c r="AE188" s="572"/>
    </row>
    <row r="189" spans="1:31" ht="15.75" customHeight="1">
      <c r="A189" s="577">
        <v>44139</v>
      </c>
      <c r="B189" s="578" t="s">
        <v>3691</v>
      </c>
      <c r="C189" s="405" t="s">
        <v>3607</v>
      </c>
      <c r="D189" s="563" t="s">
        <v>6341</v>
      </c>
      <c r="E189" s="575">
        <v>28000</v>
      </c>
      <c r="F189" s="563" t="s">
        <v>3690</v>
      </c>
      <c r="G189" s="573" t="s">
        <v>19</v>
      </c>
      <c r="H189" s="573" t="s">
        <v>20</v>
      </c>
      <c r="I189" s="573" t="s">
        <v>3072</v>
      </c>
      <c r="J189" s="573">
        <v>43635</v>
      </c>
      <c r="K189" s="576" t="s">
        <v>4188</v>
      </c>
      <c r="L189" s="572"/>
      <c r="M189" s="572"/>
      <c r="N189" s="572"/>
      <c r="O189" s="572"/>
      <c r="P189" s="572"/>
      <c r="Q189" s="572"/>
      <c r="R189" s="572"/>
      <c r="S189" s="572"/>
      <c r="T189" s="572"/>
      <c r="U189" s="572"/>
      <c r="V189" s="572"/>
      <c r="W189" s="572"/>
      <c r="X189" s="572"/>
      <c r="Y189" s="572"/>
      <c r="Z189" s="572"/>
      <c r="AA189" s="572"/>
      <c r="AB189" s="572"/>
      <c r="AC189" s="572"/>
      <c r="AD189" s="572"/>
      <c r="AE189" s="572"/>
    </row>
    <row r="190" spans="1:31" ht="15.75" customHeight="1">
      <c r="A190" s="577">
        <v>44141</v>
      </c>
      <c r="B190" s="578" t="s">
        <v>6354</v>
      </c>
      <c r="C190" s="405" t="s">
        <v>2921</v>
      </c>
      <c r="D190" s="563" t="s">
        <v>6341</v>
      </c>
      <c r="E190" s="575">
        <v>1800000</v>
      </c>
      <c r="F190" s="563" t="s">
        <v>3254</v>
      </c>
      <c r="G190" s="573" t="s">
        <v>2923</v>
      </c>
      <c r="H190" s="573" t="s">
        <v>20</v>
      </c>
      <c r="I190" s="573" t="s">
        <v>2930</v>
      </c>
      <c r="J190" s="573">
        <v>43664</v>
      </c>
      <c r="K190" s="576" t="s">
        <v>4188</v>
      </c>
      <c r="L190" s="572"/>
      <c r="M190" s="572"/>
      <c r="N190" s="572"/>
      <c r="O190" s="572"/>
      <c r="P190" s="572"/>
      <c r="Q190" s="572"/>
      <c r="R190" s="572"/>
      <c r="S190" s="572"/>
      <c r="T190" s="572"/>
      <c r="U190" s="572"/>
      <c r="V190" s="572"/>
      <c r="W190" s="572"/>
      <c r="X190" s="572"/>
      <c r="Y190" s="572"/>
      <c r="Z190" s="572"/>
      <c r="AA190" s="572"/>
      <c r="AB190" s="572"/>
      <c r="AC190" s="572"/>
      <c r="AD190" s="572"/>
      <c r="AE190" s="572"/>
    </row>
    <row r="191" spans="1:31" ht="15.75" customHeight="1">
      <c r="A191" s="577">
        <v>44144</v>
      </c>
      <c r="B191" s="578" t="s">
        <v>6349</v>
      </c>
      <c r="C191" s="405" t="s">
        <v>2921</v>
      </c>
      <c r="D191" s="563" t="s">
        <v>6341</v>
      </c>
      <c r="E191" s="575">
        <v>15000</v>
      </c>
      <c r="F191" s="563" t="s">
        <v>3228</v>
      </c>
      <c r="G191" s="573" t="s">
        <v>2923</v>
      </c>
      <c r="H191" s="573" t="s">
        <v>20</v>
      </c>
      <c r="I191" s="573" t="s">
        <v>2924</v>
      </c>
      <c r="J191" s="573">
        <v>43605</v>
      </c>
      <c r="K191" s="576" t="s">
        <v>3805</v>
      </c>
      <c r="L191" s="572"/>
      <c r="M191" s="572"/>
      <c r="N191" s="572"/>
      <c r="O191" s="572"/>
      <c r="P191" s="572"/>
      <c r="Q191" s="572"/>
      <c r="R191" s="572"/>
      <c r="S191" s="572"/>
      <c r="T191" s="572"/>
      <c r="U191" s="572"/>
      <c r="V191" s="572"/>
      <c r="W191" s="572"/>
      <c r="X191" s="572"/>
      <c r="Y191" s="572"/>
      <c r="Z191" s="572"/>
      <c r="AA191" s="572"/>
      <c r="AB191" s="572"/>
      <c r="AC191" s="572"/>
      <c r="AD191" s="572"/>
      <c r="AE191" s="572"/>
    </row>
    <row r="192" spans="1:31" ht="15.75" customHeight="1">
      <c r="A192" s="577">
        <v>44144</v>
      </c>
      <c r="B192" s="578" t="s">
        <v>6362</v>
      </c>
      <c r="C192" s="405" t="s">
        <v>2921</v>
      </c>
      <c r="D192" s="563" t="s">
        <v>6341</v>
      </c>
      <c r="E192" s="575">
        <v>7000</v>
      </c>
      <c r="F192" s="563" t="s">
        <v>3509</v>
      </c>
      <c r="G192" s="573" t="s">
        <v>2923</v>
      </c>
      <c r="H192" s="573" t="s">
        <v>20</v>
      </c>
      <c r="I192" s="573" t="s">
        <v>2924</v>
      </c>
      <c r="J192" s="573">
        <v>43717</v>
      </c>
      <c r="K192" s="576" t="s">
        <v>4188</v>
      </c>
      <c r="L192" s="572"/>
      <c r="M192" s="572"/>
      <c r="N192" s="572"/>
      <c r="O192" s="572"/>
      <c r="P192" s="572"/>
      <c r="Q192" s="572"/>
      <c r="R192" s="572"/>
      <c r="S192" s="572"/>
      <c r="T192" s="572"/>
      <c r="U192" s="572"/>
      <c r="V192" s="572"/>
      <c r="W192" s="572"/>
      <c r="X192" s="572"/>
      <c r="Y192" s="572"/>
      <c r="Z192" s="572"/>
      <c r="AA192" s="572"/>
      <c r="AB192" s="572"/>
      <c r="AC192" s="572"/>
      <c r="AD192" s="572"/>
      <c r="AE192" s="572"/>
    </row>
    <row r="193" spans="1:31" ht="15.75" customHeight="1">
      <c r="A193" s="577">
        <v>44145</v>
      </c>
      <c r="B193" s="580" t="s">
        <v>6373</v>
      </c>
      <c r="C193" s="405" t="s">
        <v>2921</v>
      </c>
      <c r="D193" s="563" t="s">
        <v>6341</v>
      </c>
      <c r="E193" s="575">
        <v>90562.43</v>
      </c>
      <c r="F193" s="563" t="s">
        <v>3164</v>
      </c>
      <c r="G193" s="573" t="s">
        <v>2923</v>
      </c>
      <c r="H193" s="573" t="s">
        <v>20</v>
      </c>
      <c r="I193" s="573" t="s">
        <v>2924</v>
      </c>
      <c r="J193" s="573">
        <v>43888</v>
      </c>
      <c r="K193" s="576" t="s">
        <v>3795</v>
      </c>
      <c r="L193" s="572"/>
      <c r="M193" s="572"/>
      <c r="N193" s="572"/>
      <c r="O193" s="572"/>
      <c r="P193" s="572"/>
      <c r="Q193" s="572"/>
      <c r="R193" s="572"/>
      <c r="S193" s="572"/>
      <c r="T193" s="572"/>
      <c r="U193" s="572"/>
      <c r="V193" s="572"/>
      <c r="W193" s="572"/>
      <c r="X193" s="572"/>
      <c r="Y193" s="572"/>
      <c r="Z193" s="572"/>
      <c r="AA193" s="572"/>
      <c r="AB193" s="572"/>
      <c r="AC193" s="572"/>
      <c r="AD193" s="572"/>
      <c r="AE193" s="572"/>
    </row>
    <row r="194" spans="1:31" ht="15.75" customHeight="1">
      <c r="A194" s="577">
        <v>44145</v>
      </c>
      <c r="B194" s="578" t="s">
        <v>6343</v>
      </c>
      <c r="C194" s="405" t="s">
        <v>3785</v>
      </c>
      <c r="D194" s="563" t="s">
        <v>6341</v>
      </c>
      <c r="E194" s="575">
        <v>45400</v>
      </c>
      <c r="F194" s="563" t="s">
        <v>5048</v>
      </c>
      <c r="G194" s="563" t="s">
        <v>2923</v>
      </c>
      <c r="H194" s="563" t="s">
        <v>20</v>
      </c>
      <c r="I194" s="563" t="s">
        <v>2923</v>
      </c>
      <c r="J194" s="573">
        <v>43749</v>
      </c>
      <c r="K194" s="579" t="s">
        <v>4188</v>
      </c>
      <c r="L194" s="572"/>
      <c r="M194" s="572"/>
      <c r="N194" s="572"/>
      <c r="O194" s="572"/>
      <c r="P194" s="572"/>
      <c r="Q194" s="572"/>
      <c r="R194" s="572"/>
      <c r="S194" s="572"/>
      <c r="T194" s="572"/>
      <c r="U194" s="572"/>
      <c r="V194" s="572"/>
      <c r="W194" s="572"/>
      <c r="X194" s="572"/>
      <c r="Y194" s="572"/>
      <c r="Z194" s="572"/>
      <c r="AA194" s="572"/>
      <c r="AB194" s="572"/>
      <c r="AC194" s="572"/>
      <c r="AD194" s="572"/>
      <c r="AE194" s="572"/>
    </row>
    <row r="195" spans="1:31" ht="15.75" customHeight="1">
      <c r="A195" s="577">
        <v>44147</v>
      </c>
      <c r="B195" s="578" t="s">
        <v>6348</v>
      </c>
      <c r="C195" s="405" t="s">
        <v>2921</v>
      </c>
      <c r="D195" s="563" t="s">
        <v>6341</v>
      </c>
      <c r="E195" s="575">
        <v>10000</v>
      </c>
      <c r="F195" s="563" t="s">
        <v>3557</v>
      </c>
      <c r="G195" s="573" t="s">
        <v>2923</v>
      </c>
      <c r="H195" s="573" t="s">
        <v>20</v>
      </c>
      <c r="I195" s="573" t="s">
        <v>2924</v>
      </c>
      <c r="J195" s="573">
        <v>43567</v>
      </c>
      <c r="K195" s="576" t="s">
        <v>3795</v>
      </c>
      <c r="L195" s="572"/>
      <c r="M195" s="572"/>
      <c r="N195" s="572"/>
      <c r="O195" s="572"/>
      <c r="P195" s="572"/>
      <c r="Q195" s="572"/>
      <c r="R195" s="572"/>
      <c r="S195" s="572"/>
      <c r="T195" s="572"/>
      <c r="U195" s="572"/>
      <c r="V195" s="572"/>
      <c r="W195" s="572"/>
      <c r="X195" s="572"/>
      <c r="Y195" s="572"/>
      <c r="Z195" s="572"/>
      <c r="AA195" s="572"/>
      <c r="AB195" s="572"/>
      <c r="AC195" s="572"/>
      <c r="AD195" s="572"/>
      <c r="AE195" s="572"/>
    </row>
    <row r="196" spans="1:31" ht="15.75" customHeight="1">
      <c r="A196" s="577">
        <v>44147</v>
      </c>
      <c r="B196" s="578" t="s">
        <v>6404</v>
      </c>
      <c r="C196" s="405" t="s">
        <v>3785</v>
      </c>
      <c r="D196" s="563" t="s">
        <v>6341</v>
      </c>
      <c r="E196" s="575">
        <v>20000</v>
      </c>
      <c r="F196" s="563" t="s">
        <v>4614</v>
      </c>
      <c r="G196" s="563" t="s">
        <v>2923</v>
      </c>
      <c r="H196" s="563" t="s">
        <v>20</v>
      </c>
      <c r="I196" s="563" t="s">
        <v>2923</v>
      </c>
      <c r="J196" s="573">
        <v>43717</v>
      </c>
      <c r="K196" s="579" t="s">
        <v>4188</v>
      </c>
      <c r="L196" s="572"/>
      <c r="M196" s="572"/>
      <c r="N196" s="572"/>
      <c r="O196" s="572"/>
      <c r="P196" s="572"/>
      <c r="Q196" s="572"/>
      <c r="R196" s="572"/>
      <c r="S196" s="572"/>
      <c r="T196" s="572"/>
      <c r="U196" s="572"/>
      <c r="V196" s="572"/>
      <c r="W196" s="572"/>
      <c r="X196" s="572"/>
      <c r="Y196" s="572"/>
      <c r="Z196" s="572"/>
      <c r="AA196" s="572"/>
      <c r="AB196" s="572"/>
      <c r="AC196" s="572"/>
      <c r="AD196" s="572"/>
      <c r="AE196" s="572"/>
    </row>
    <row r="197" spans="1:31" ht="15.75" customHeight="1">
      <c r="A197" s="577">
        <v>44147</v>
      </c>
      <c r="B197" s="578" t="s">
        <v>6391</v>
      </c>
      <c r="C197" s="405" t="s">
        <v>2921</v>
      </c>
      <c r="D197" s="563" t="s">
        <v>6341</v>
      </c>
      <c r="E197" s="575">
        <v>50000</v>
      </c>
      <c r="F197" s="563" t="s">
        <v>3496</v>
      </c>
      <c r="G197" s="573" t="s">
        <v>2923</v>
      </c>
      <c r="H197" s="573" t="s">
        <v>20</v>
      </c>
      <c r="I197" s="573" t="s">
        <v>2924</v>
      </c>
      <c r="J197" s="573">
        <v>44041</v>
      </c>
      <c r="K197" s="576" t="s">
        <v>3795</v>
      </c>
      <c r="L197" s="572"/>
      <c r="M197" s="572"/>
      <c r="N197" s="572"/>
      <c r="O197" s="572"/>
      <c r="P197" s="572"/>
      <c r="Q197" s="572"/>
      <c r="R197" s="572"/>
      <c r="S197" s="572"/>
      <c r="T197" s="572"/>
      <c r="U197" s="572"/>
      <c r="V197" s="572"/>
      <c r="W197" s="572"/>
      <c r="X197" s="572"/>
      <c r="Y197" s="572"/>
      <c r="Z197" s="572"/>
      <c r="AA197" s="572"/>
      <c r="AB197" s="572"/>
      <c r="AC197" s="572"/>
      <c r="AD197" s="572"/>
      <c r="AE197" s="572"/>
    </row>
    <row r="198" spans="1:31" ht="15.75" customHeight="1">
      <c r="A198" s="577">
        <v>44151</v>
      </c>
      <c r="B198" s="578" t="s">
        <v>3696</v>
      </c>
      <c r="C198" s="405" t="s">
        <v>3607</v>
      </c>
      <c r="D198" s="563" t="s">
        <v>6341</v>
      </c>
      <c r="E198" s="575">
        <v>6000</v>
      </c>
      <c r="F198" s="563" t="s">
        <v>3695</v>
      </c>
      <c r="G198" s="573" t="s">
        <v>19</v>
      </c>
      <c r="H198" s="573" t="s">
        <v>20</v>
      </c>
      <c r="I198" s="573" t="s">
        <v>2512</v>
      </c>
      <c r="J198" s="573">
        <v>43797</v>
      </c>
      <c r="K198" s="576" t="s">
        <v>3805</v>
      </c>
      <c r="L198" s="572"/>
      <c r="M198" s="572"/>
      <c r="N198" s="572"/>
      <c r="O198" s="572"/>
      <c r="P198" s="572"/>
      <c r="Q198" s="572"/>
      <c r="R198" s="572"/>
      <c r="S198" s="572"/>
      <c r="T198" s="572"/>
      <c r="U198" s="572"/>
      <c r="V198" s="572"/>
      <c r="W198" s="572"/>
      <c r="X198" s="572"/>
      <c r="Y198" s="572"/>
      <c r="Z198" s="572"/>
      <c r="AA198" s="572"/>
      <c r="AB198" s="572"/>
      <c r="AC198" s="572"/>
      <c r="AD198" s="572"/>
      <c r="AE198" s="572"/>
    </row>
    <row r="199" spans="1:31" ht="15.75" customHeight="1">
      <c r="A199" s="577">
        <v>44152</v>
      </c>
      <c r="B199" s="578" t="s">
        <v>6390</v>
      </c>
      <c r="C199" s="405" t="s">
        <v>3785</v>
      </c>
      <c r="D199" s="563" t="s">
        <v>6341</v>
      </c>
      <c r="E199" s="575">
        <v>20000</v>
      </c>
      <c r="F199" s="563" t="s">
        <v>4859</v>
      </c>
      <c r="G199" s="563" t="s">
        <v>2923</v>
      </c>
      <c r="H199" s="563" t="s">
        <v>20</v>
      </c>
      <c r="I199" s="563" t="s">
        <v>2923</v>
      </c>
      <c r="J199" s="573">
        <v>44068</v>
      </c>
      <c r="K199" s="579" t="s">
        <v>3795</v>
      </c>
      <c r="L199" s="572"/>
      <c r="M199" s="572"/>
      <c r="N199" s="572"/>
      <c r="O199" s="572"/>
      <c r="P199" s="572"/>
      <c r="Q199" s="572"/>
      <c r="R199" s="572"/>
      <c r="S199" s="572"/>
      <c r="T199" s="572"/>
      <c r="U199" s="572"/>
      <c r="V199" s="572"/>
      <c r="W199" s="572"/>
      <c r="X199" s="572"/>
      <c r="Y199" s="572"/>
      <c r="Z199" s="572"/>
      <c r="AA199" s="572"/>
      <c r="AB199" s="572"/>
      <c r="AC199" s="572"/>
      <c r="AD199" s="572"/>
      <c r="AE199" s="572"/>
    </row>
    <row r="200" spans="1:31" ht="15.75" customHeight="1">
      <c r="A200" s="573">
        <v>44153</v>
      </c>
      <c r="B200" s="574" t="s">
        <v>6374</v>
      </c>
      <c r="C200" s="563" t="s">
        <v>2921</v>
      </c>
      <c r="D200" s="563" t="s">
        <v>3110</v>
      </c>
      <c r="E200" s="575">
        <v>90562.43</v>
      </c>
      <c r="F200" s="563" t="s">
        <v>3455</v>
      </c>
      <c r="G200" s="573" t="s">
        <v>2923</v>
      </c>
      <c r="H200" s="573" t="s">
        <v>20</v>
      </c>
      <c r="I200" s="573" t="s">
        <v>2924</v>
      </c>
      <c r="J200" s="573">
        <v>43840</v>
      </c>
      <c r="K200" s="576" t="s">
        <v>3805</v>
      </c>
      <c r="L200" s="572"/>
      <c r="M200" s="572"/>
      <c r="N200" s="572"/>
      <c r="O200" s="572"/>
      <c r="P200" s="572"/>
      <c r="Q200" s="572"/>
      <c r="R200" s="572"/>
      <c r="S200" s="572"/>
      <c r="T200" s="572"/>
      <c r="U200" s="572"/>
      <c r="V200" s="572"/>
      <c r="W200" s="572"/>
      <c r="X200" s="572"/>
      <c r="Y200" s="572"/>
      <c r="Z200" s="572"/>
      <c r="AA200" s="572"/>
      <c r="AB200" s="572"/>
      <c r="AC200" s="572"/>
      <c r="AD200" s="572"/>
      <c r="AE200" s="572"/>
    </row>
    <row r="201" spans="1:31" ht="15.75" customHeight="1">
      <c r="A201" s="577">
        <v>44153</v>
      </c>
      <c r="B201" s="578" t="s">
        <v>6374</v>
      </c>
      <c r="C201" s="405" t="s">
        <v>2921</v>
      </c>
      <c r="D201" s="563" t="s">
        <v>6341</v>
      </c>
      <c r="E201" s="581">
        <v>30000</v>
      </c>
      <c r="F201" s="563" t="s">
        <v>3455</v>
      </c>
      <c r="G201" s="573" t="s">
        <v>2923</v>
      </c>
      <c r="H201" s="573" t="s">
        <v>20</v>
      </c>
      <c r="I201" s="573" t="s">
        <v>2924</v>
      </c>
      <c r="J201" s="573">
        <v>43840</v>
      </c>
      <c r="K201" s="576" t="s">
        <v>3805</v>
      </c>
      <c r="L201" s="572"/>
      <c r="M201" s="572"/>
      <c r="N201" s="572"/>
      <c r="O201" s="572"/>
      <c r="P201" s="572"/>
      <c r="Q201" s="572"/>
      <c r="R201" s="572"/>
      <c r="S201" s="572"/>
      <c r="T201" s="572"/>
      <c r="U201" s="572"/>
      <c r="V201" s="572"/>
      <c r="W201" s="572"/>
      <c r="X201" s="572"/>
      <c r="Y201" s="572"/>
      <c r="Z201" s="572"/>
      <c r="AA201" s="572"/>
      <c r="AB201" s="572"/>
      <c r="AC201" s="572"/>
      <c r="AD201" s="572"/>
      <c r="AE201" s="572"/>
    </row>
    <row r="202" spans="1:31" ht="15.75" customHeight="1">
      <c r="A202" s="577">
        <v>44159</v>
      </c>
      <c r="B202" s="578" t="s">
        <v>6349</v>
      </c>
      <c r="C202" s="405" t="s">
        <v>2921</v>
      </c>
      <c r="D202" s="563" t="s">
        <v>6341</v>
      </c>
      <c r="E202" s="575">
        <v>7000</v>
      </c>
      <c r="F202" s="563" t="s">
        <v>3228</v>
      </c>
      <c r="G202" s="573" t="s">
        <v>2923</v>
      </c>
      <c r="H202" s="573" t="s">
        <v>20</v>
      </c>
      <c r="I202" s="573" t="s">
        <v>2924</v>
      </c>
      <c r="J202" s="573">
        <v>43605</v>
      </c>
      <c r="K202" s="576" t="s">
        <v>3805</v>
      </c>
      <c r="L202" s="572"/>
      <c r="M202" s="572"/>
      <c r="N202" s="572"/>
      <c r="O202" s="572"/>
      <c r="P202" s="572"/>
      <c r="Q202" s="572"/>
      <c r="R202" s="572"/>
      <c r="S202" s="572"/>
      <c r="T202" s="572"/>
      <c r="U202" s="572"/>
      <c r="V202" s="572"/>
      <c r="W202" s="572"/>
      <c r="X202" s="572"/>
      <c r="Y202" s="572"/>
      <c r="Z202" s="572"/>
      <c r="AA202" s="572"/>
      <c r="AB202" s="572"/>
      <c r="AC202" s="572"/>
      <c r="AD202" s="572"/>
      <c r="AE202" s="572"/>
    </row>
    <row r="203" spans="1:31" ht="15.75" customHeight="1">
      <c r="A203" s="577">
        <v>44160</v>
      </c>
      <c r="B203" s="578" t="s">
        <v>6347</v>
      </c>
      <c r="C203" s="405" t="s">
        <v>2921</v>
      </c>
      <c r="D203" s="563" t="s">
        <v>6341</v>
      </c>
      <c r="E203" s="575">
        <v>112433.37</v>
      </c>
      <c r="F203" s="563" t="s">
        <v>3191</v>
      </c>
      <c r="G203" s="573" t="s">
        <v>2923</v>
      </c>
      <c r="H203" s="573" t="s">
        <v>20</v>
      </c>
      <c r="I203" s="573" t="s">
        <v>2924</v>
      </c>
      <c r="J203" s="573">
        <v>43703</v>
      </c>
      <c r="K203" s="576" t="s">
        <v>4188</v>
      </c>
      <c r="L203" s="572"/>
      <c r="M203" s="572"/>
      <c r="N203" s="572"/>
      <c r="O203" s="572"/>
      <c r="P203" s="572"/>
      <c r="Q203" s="572"/>
      <c r="R203" s="572"/>
      <c r="S203" s="572"/>
      <c r="T203" s="572"/>
      <c r="U203" s="572"/>
      <c r="V203" s="572"/>
      <c r="W203" s="572"/>
      <c r="X203" s="572"/>
      <c r="Y203" s="572"/>
      <c r="Z203" s="572"/>
      <c r="AA203" s="572"/>
      <c r="AB203" s="572"/>
      <c r="AC203" s="572"/>
      <c r="AD203" s="572"/>
      <c r="AE203" s="572"/>
    </row>
    <row r="204" spans="1:31" ht="15.75" customHeight="1">
      <c r="A204" s="577">
        <v>44161</v>
      </c>
      <c r="B204" s="578" t="s">
        <v>6390</v>
      </c>
      <c r="C204" s="405" t="s">
        <v>3785</v>
      </c>
      <c r="D204" s="563" t="s">
        <v>6341</v>
      </c>
      <c r="E204" s="575">
        <v>286876.15999999997</v>
      </c>
      <c r="F204" s="563" t="s">
        <v>4859</v>
      </c>
      <c r="G204" s="563" t="s">
        <v>2923</v>
      </c>
      <c r="H204" s="563" t="s">
        <v>20</v>
      </c>
      <c r="I204" s="563" t="s">
        <v>2923</v>
      </c>
      <c r="J204" s="573">
        <v>44068</v>
      </c>
      <c r="K204" s="579" t="s">
        <v>3795</v>
      </c>
      <c r="L204" s="572"/>
      <c r="M204" s="572"/>
      <c r="N204" s="572"/>
      <c r="O204" s="572"/>
      <c r="P204" s="572"/>
      <c r="Q204" s="572"/>
      <c r="R204" s="572"/>
      <c r="S204" s="572"/>
      <c r="T204" s="572"/>
      <c r="U204" s="572"/>
      <c r="V204" s="572"/>
      <c r="W204" s="572"/>
      <c r="X204" s="572"/>
      <c r="Y204" s="572"/>
      <c r="Z204" s="572"/>
      <c r="AA204" s="572"/>
      <c r="AB204" s="572"/>
      <c r="AC204" s="572"/>
      <c r="AD204" s="572"/>
      <c r="AE204" s="572"/>
    </row>
    <row r="205" spans="1:31" ht="15.75" customHeight="1">
      <c r="A205" s="577">
        <v>44165</v>
      </c>
      <c r="B205" s="578" t="s">
        <v>6348</v>
      </c>
      <c r="C205" s="405" t="s">
        <v>2921</v>
      </c>
      <c r="D205" s="563" t="s">
        <v>6341</v>
      </c>
      <c r="E205" s="575">
        <v>34941.81</v>
      </c>
      <c r="F205" s="563" t="s">
        <v>3557</v>
      </c>
      <c r="G205" s="573" t="s">
        <v>2923</v>
      </c>
      <c r="H205" s="573" t="s">
        <v>20</v>
      </c>
      <c r="I205" s="573" t="s">
        <v>2924</v>
      </c>
      <c r="J205" s="573">
        <v>43567</v>
      </c>
      <c r="K205" s="576" t="s">
        <v>3795</v>
      </c>
      <c r="L205" s="572"/>
      <c r="M205" s="572"/>
      <c r="N205" s="572"/>
      <c r="O205" s="572"/>
      <c r="P205" s="572"/>
      <c r="Q205" s="572"/>
      <c r="R205" s="572"/>
      <c r="S205" s="572"/>
      <c r="T205" s="572"/>
      <c r="U205" s="572"/>
      <c r="V205" s="572"/>
      <c r="W205" s="572"/>
      <c r="X205" s="572"/>
      <c r="Y205" s="572"/>
      <c r="Z205" s="572"/>
      <c r="AA205" s="572"/>
      <c r="AB205" s="572"/>
      <c r="AC205" s="572"/>
      <c r="AD205" s="572"/>
      <c r="AE205" s="572"/>
    </row>
    <row r="206" spans="1:31" ht="15.75" customHeight="1">
      <c r="A206" s="577">
        <v>44166</v>
      </c>
      <c r="B206" s="578" t="s">
        <v>6340</v>
      </c>
      <c r="C206" s="405" t="s">
        <v>2921</v>
      </c>
      <c r="D206" s="563" t="s">
        <v>6341</v>
      </c>
      <c r="E206" s="575">
        <v>130950.51000000001</v>
      </c>
      <c r="F206" s="563" t="s">
        <v>3468</v>
      </c>
      <c r="G206" s="573" t="s">
        <v>2923</v>
      </c>
      <c r="H206" s="573" t="s">
        <v>20</v>
      </c>
      <c r="I206" s="573" t="s">
        <v>2924</v>
      </c>
      <c r="J206" s="573">
        <v>43675</v>
      </c>
      <c r="K206" s="576" t="s">
        <v>4188</v>
      </c>
      <c r="L206" s="572"/>
      <c r="M206" s="572"/>
      <c r="N206" s="572"/>
      <c r="O206" s="572"/>
      <c r="P206" s="572"/>
      <c r="Q206" s="572"/>
      <c r="R206" s="572"/>
      <c r="S206" s="572"/>
      <c r="T206" s="572"/>
      <c r="U206" s="572"/>
      <c r="V206" s="572"/>
      <c r="W206" s="572"/>
      <c r="X206" s="572"/>
      <c r="Y206" s="572"/>
      <c r="Z206" s="572"/>
      <c r="AA206" s="572"/>
      <c r="AB206" s="572"/>
      <c r="AC206" s="572"/>
      <c r="AD206" s="572"/>
      <c r="AE206" s="572"/>
    </row>
    <row r="207" spans="1:31" ht="15.75" customHeight="1">
      <c r="A207" s="577">
        <v>44166</v>
      </c>
      <c r="B207" s="578" t="s">
        <v>6362</v>
      </c>
      <c r="C207" s="405" t="s">
        <v>2921</v>
      </c>
      <c r="D207" s="563" t="s">
        <v>6341</v>
      </c>
      <c r="E207" s="575">
        <v>10000</v>
      </c>
      <c r="F207" s="563" t="s">
        <v>3509</v>
      </c>
      <c r="G207" s="573" t="s">
        <v>2923</v>
      </c>
      <c r="H207" s="573" t="s">
        <v>20</v>
      </c>
      <c r="I207" s="573" t="s">
        <v>2924</v>
      </c>
      <c r="J207" s="573">
        <v>43717</v>
      </c>
      <c r="K207" s="576" t="s">
        <v>4188</v>
      </c>
      <c r="L207" s="572"/>
      <c r="M207" s="572"/>
      <c r="N207" s="572"/>
      <c r="O207" s="572"/>
      <c r="P207" s="572"/>
      <c r="Q207" s="572"/>
      <c r="R207" s="572"/>
      <c r="S207" s="572"/>
      <c r="T207" s="572"/>
      <c r="U207" s="572"/>
      <c r="V207" s="572"/>
      <c r="W207" s="572"/>
      <c r="X207" s="572"/>
      <c r="Y207" s="572"/>
      <c r="Z207" s="572"/>
      <c r="AA207" s="572"/>
      <c r="AB207" s="572"/>
      <c r="AC207" s="572"/>
      <c r="AD207" s="572"/>
      <c r="AE207" s="572"/>
    </row>
    <row r="208" spans="1:31" ht="15.75" customHeight="1">
      <c r="A208" s="577">
        <v>44172</v>
      </c>
      <c r="B208" s="580" t="s">
        <v>6373</v>
      </c>
      <c r="C208" s="405" t="s">
        <v>2921</v>
      </c>
      <c r="D208" s="563" t="s">
        <v>6341</v>
      </c>
      <c r="E208" s="575">
        <v>5500</v>
      </c>
      <c r="F208" s="563" t="s">
        <v>3164</v>
      </c>
      <c r="G208" s="573" t="s">
        <v>2923</v>
      </c>
      <c r="H208" s="573" t="s">
        <v>20</v>
      </c>
      <c r="I208" s="573" t="s">
        <v>2924</v>
      </c>
      <c r="J208" s="573">
        <v>43888</v>
      </c>
      <c r="K208" s="576" t="s">
        <v>3795</v>
      </c>
      <c r="L208" s="572"/>
      <c r="M208" s="572"/>
      <c r="N208" s="572"/>
      <c r="O208" s="572"/>
      <c r="P208" s="572"/>
      <c r="Q208" s="572"/>
      <c r="R208" s="572"/>
      <c r="S208" s="572"/>
      <c r="T208" s="572"/>
      <c r="U208" s="572"/>
      <c r="V208" s="572"/>
      <c r="W208" s="572"/>
      <c r="X208" s="572"/>
      <c r="Y208" s="572"/>
      <c r="Z208" s="572"/>
      <c r="AA208" s="572"/>
      <c r="AB208" s="572"/>
      <c r="AC208" s="572"/>
      <c r="AD208" s="572"/>
      <c r="AE208" s="572"/>
    </row>
    <row r="209" spans="1:31" ht="15.75" customHeight="1">
      <c r="A209" s="577">
        <v>44172</v>
      </c>
      <c r="B209" s="578" t="s">
        <v>6355</v>
      </c>
      <c r="C209" s="405" t="s">
        <v>2921</v>
      </c>
      <c r="D209" s="563" t="s">
        <v>6341</v>
      </c>
      <c r="E209" s="575">
        <v>35000</v>
      </c>
      <c r="F209" s="563" t="s">
        <v>3236</v>
      </c>
      <c r="G209" s="573" t="s">
        <v>2923</v>
      </c>
      <c r="H209" s="573" t="s">
        <v>20</v>
      </c>
      <c r="I209" s="573" t="s">
        <v>2930</v>
      </c>
      <c r="J209" s="573">
        <v>43559</v>
      </c>
      <c r="K209" s="576" t="s">
        <v>4188</v>
      </c>
      <c r="L209" s="572"/>
      <c r="M209" s="572"/>
      <c r="N209" s="572"/>
      <c r="O209" s="572"/>
      <c r="P209" s="572"/>
      <c r="Q209" s="572"/>
      <c r="R209" s="572"/>
      <c r="S209" s="572"/>
      <c r="T209" s="572"/>
      <c r="U209" s="572"/>
      <c r="V209" s="572"/>
      <c r="W209" s="572"/>
      <c r="X209" s="572"/>
      <c r="Y209" s="572"/>
      <c r="Z209" s="572"/>
      <c r="AA209" s="572"/>
      <c r="AB209" s="572"/>
      <c r="AC209" s="572"/>
      <c r="AD209" s="572"/>
      <c r="AE209" s="572"/>
    </row>
    <row r="210" spans="1:31" ht="15.75" customHeight="1">
      <c r="A210" s="577">
        <v>44173</v>
      </c>
      <c r="B210" s="578" t="s">
        <v>6405</v>
      </c>
      <c r="C210" s="405" t="s">
        <v>2921</v>
      </c>
      <c r="D210" s="563" t="s">
        <v>6341</v>
      </c>
      <c r="E210" s="575">
        <v>100000</v>
      </c>
      <c r="F210" s="563" t="s">
        <v>3375</v>
      </c>
      <c r="G210" s="573" t="s">
        <v>2923</v>
      </c>
      <c r="H210" s="573" t="s">
        <v>20</v>
      </c>
      <c r="I210" s="573" t="s">
        <v>2924</v>
      </c>
      <c r="J210" s="573">
        <v>43922</v>
      </c>
      <c r="K210" s="576" t="s">
        <v>3805</v>
      </c>
      <c r="L210" s="572"/>
      <c r="M210" s="572"/>
      <c r="N210" s="572"/>
      <c r="O210" s="572"/>
      <c r="P210" s="572"/>
      <c r="Q210" s="572"/>
      <c r="R210" s="572"/>
      <c r="S210" s="572"/>
      <c r="T210" s="572"/>
      <c r="U210" s="572"/>
      <c r="V210" s="572"/>
      <c r="W210" s="572"/>
      <c r="X210" s="572"/>
      <c r="Y210" s="572"/>
      <c r="Z210" s="572"/>
      <c r="AA210" s="572"/>
      <c r="AB210" s="572"/>
      <c r="AC210" s="572"/>
      <c r="AD210" s="572"/>
      <c r="AE210" s="572"/>
    </row>
    <row r="211" spans="1:31" ht="15.75" customHeight="1">
      <c r="A211" s="577">
        <v>44173</v>
      </c>
      <c r="B211" s="578" t="s">
        <v>6405</v>
      </c>
      <c r="C211" s="405" t="s">
        <v>2921</v>
      </c>
      <c r="D211" s="563" t="s">
        <v>6341</v>
      </c>
      <c r="E211" s="575">
        <v>32772.800000000003</v>
      </c>
      <c r="F211" s="563" t="s">
        <v>3375</v>
      </c>
      <c r="G211" s="573" t="s">
        <v>2923</v>
      </c>
      <c r="H211" s="573" t="s">
        <v>20</v>
      </c>
      <c r="I211" s="573" t="s">
        <v>2924</v>
      </c>
      <c r="J211" s="573">
        <v>43922</v>
      </c>
      <c r="K211" s="576" t="s">
        <v>3805</v>
      </c>
      <c r="L211" s="572"/>
      <c r="M211" s="572"/>
      <c r="N211" s="572"/>
      <c r="O211" s="572"/>
      <c r="P211" s="572"/>
      <c r="Q211" s="572"/>
      <c r="R211" s="572"/>
      <c r="S211" s="572"/>
      <c r="T211" s="572"/>
      <c r="U211" s="572"/>
      <c r="V211" s="572"/>
      <c r="W211" s="572"/>
      <c r="X211" s="572"/>
      <c r="Y211" s="572"/>
      <c r="Z211" s="572"/>
      <c r="AA211" s="572"/>
      <c r="AB211" s="572"/>
      <c r="AC211" s="572"/>
      <c r="AD211" s="572"/>
      <c r="AE211" s="572"/>
    </row>
    <row r="212" spans="1:31" ht="15.75" customHeight="1">
      <c r="A212" s="577">
        <v>44173</v>
      </c>
      <c r="B212" s="578" t="s">
        <v>6405</v>
      </c>
      <c r="C212" s="405" t="s">
        <v>2921</v>
      </c>
      <c r="D212" s="563" t="s">
        <v>6341</v>
      </c>
      <c r="E212" s="575">
        <v>13100.45</v>
      </c>
      <c r="F212" s="563" t="s">
        <v>3375</v>
      </c>
      <c r="G212" s="573" t="s">
        <v>2923</v>
      </c>
      <c r="H212" s="573" t="s">
        <v>20</v>
      </c>
      <c r="I212" s="573" t="s">
        <v>2924</v>
      </c>
      <c r="J212" s="573">
        <v>43922</v>
      </c>
      <c r="K212" s="576" t="s">
        <v>3805</v>
      </c>
      <c r="L212" s="572"/>
      <c r="M212" s="572"/>
      <c r="N212" s="572"/>
      <c r="O212" s="572"/>
      <c r="P212" s="572"/>
      <c r="Q212" s="572"/>
      <c r="R212" s="572"/>
      <c r="S212" s="572"/>
      <c r="T212" s="572"/>
      <c r="U212" s="572"/>
      <c r="V212" s="572"/>
      <c r="W212" s="572"/>
      <c r="X212" s="572"/>
      <c r="Y212" s="572"/>
      <c r="Z212" s="572"/>
      <c r="AA212" s="572"/>
      <c r="AB212" s="572"/>
      <c r="AC212" s="572"/>
      <c r="AD212" s="572"/>
      <c r="AE212" s="572"/>
    </row>
    <row r="213" spans="1:31" ht="15.75" customHeight="1">
      <c r="A213" s="577">
        <v>44173</v>
      </c>
      <c r="B213" s="578" t="s">
        <v>6405</v>
      </c>
      <c r="C213" s="405" t="s">
        <v>2921</v>
      </c>
      <c r="D213" s="563" t="s">
        <v>6341</v>
      </c>
      <c r="E213" s="575">
        <v>40379.75</v>
      </c>
      <c r="F213" s="563" t="s">
        <v>3375</v>
      </c>
      <c r="G213" s="573" t="s">
        <v>2923</v>
      </c>
      <c r="H213" s="573" t="s">
        <v>20</v>
      </c>
      <c r="I213" s="573" t="s">
        <v>2924</v>
      </c>
      <c r="J213" s="573">
        <v>43922</v>
      </c>
      <c r="K213" s="576" t="s">
        <v>3805</v>
      </c>
      <c r="L213" s="572"/>
      <c r="M213" s="572"/>
      <c r="N213" s="572"/>
      <c r="O213" s="572"/>
      <c r="P213" s="572"/>
      <c r="Q213" s="572"/>
      <c r="R213" s="572"/>
      <c r="S213" s="572"/>
      <c r="T213" s="572"/>
      <c r="U213" s="572"/>
      <c r="V213" s="572"/>
      <c r="W213" s="572"/>
      <c r="X213" s="572"/>
      <c r="Y213" s="572"/>
      <c r="Z213" s="572"/>
      <c r="AA213" s="572"/>
      <c r="AB213" s="572"/>
      <c r="AC213" s="572"/>
      <c r="AD213" s="572"/>
      <c r="AE213" s="572"/>
    </row>
    <row r="214" spans="1:31" ht="15.75" customHeight="1">
      <c r="A214" s="577">
        <v>44174</v>
      </c>
      <c r="B214" s="578" t="s">
        <v>6347</v>
      </c>
      <c r="C214" s="405" t="s">
        <v>2921</v>
      </c>
      <c r="D214" s="563" t="s">
        <v>6341</v>
      </c>
      <c r="E214" s="575">
        <v>8747</v>
      </c>
      <c r="F214" s="563" t="s">
        <v>3191</v>
      </c>
      <c r="G214" s="573" t="s">
        <v>2923</v>
      </c>
      <c r="H214" s="573" t="s">
        <v>20</v>
      </c>
      <c r="I214" s="573" t="s">
        <v>2924</v>
      </c>
      <c r="J214" s="573">
        <v>43703</v>
      </c>
      <c r="K214" s="576" t="s">
        <v>4188</v>
      </c>
      <c r="L214" s="572"/>
      <c r="M214" s="572"/>
      <c r="N214" s="572"/>
      <c r="O214" s="572"/>
      <c r="P214" s="572"/>
      <c r="Q214" s="572"/>
      <c r="R214" s="572"/>
      <c r="S214" s="572"/>
      <c r="T214" s="572"/>
      <c r="U214" s="572"/>
      <c r="V214" s="572"/>
      <c r="W214" s="572"/>
      <c r="X214" s="572"/>
      <c r="Y214" s="572"/>
      <c r="Z214" s="572"/>
      <c r="AA214" s="572"/>
      <c r="AB214" s="572"/>
      <c r="AC214" s="572"/>
      <c r="AD214" s="572"/>
      <c r="AE214" s="572"/>
    </row>
    <row r="215" spans="1:31" ht="15.75" customHeight="1">
      <c r="A215" s="577">
        <v>44174</v>
      </c>
      <c r="B215" s="578" t="s">
        <v>6347</v>
      </c>
      <c r="C215" s="405" t="s">
        <v>2921</v>
      </c>
      <c r="D215" s="563" t="s">
        <v>6341</v>
      </c>
      <c r="E215" s="575">
        <v>10000</v>
      </c>
      <c r="F215" s="563" t="s">
        <v>3191</v>
      </c>
      <c r="G215" s="573" t="s">
        <v>2923</v>
      </c>
      <c r="H215" s="573" t="s">
        <v>20</v>
      </c>
      <c r="I215" s="573" t="s">
        <v>2924</v>
      </c>
      <c r="J215" s="573">
        <v>43703</v>
      </c>
      <c r="K215" s="576" t="s">
        <v>4188</v>
      </c>
      <c r="L215" s="572"/>
      <c r="M215" s="572"/>
      <c r="N215" s="572"/>
      <c r="O215" s="572"/>
      <c r="P215" s="572"/>
      <c r="Q215" s="572"/>
      <c r="R215" s="572"/>
      <c r="S215" s="572"/>
      <c r="T215" s="572"/>
      <c r="U215" s="572"/>
      <c r="V215" s="572"/>
      <c r="W215" s="572"/>
      <c r="X215" s="572"/>
      <c r="Y215" s="572"/>
      <c r="Z215" s="572"/>
      <c r="AA215" s="572"/>
      <c r="AB215" s="572"/>
      <c r="AC215" s="572"/>
      <c r="AD215" s="572"/>
      <c r="AE215" s="572"/>
    </row>
    <row r="216" spans="1:31" ht="15.75" customHeight="1">
      <c r="A216" s="577">
        <v>44174</v>
      </c>
      <c r="B216" s="578" t="s">
        <v>6406</v>
      </c>
      <c r="C216" s="405" t="s">
        <v>2921</v>
      </c>
      <c r="D216" s="563" t="s">
        <v>6341</v>
      </c>
      <c r="E216" s="575">
        <v>20000</v>
      </c>
      <c r="F216" s="563" t="s">
        <v>3168</v>
      </c>
      <c r="G216" s="573" t="s">
        <v>2923</v>
      </c>
      <c r="H216" s="573" t="s">
        <v>20</v>
      </c>
      <c r="I216" s="573" t="s">
        <v>2930</v>
      </c>
      <c r="J216" s="573">
        <v>43531</v>
      </c>
      <c r="K216" s="576" t="s">
        <v>3809</v>
      </c>
      <c r="L216" s="572"/>
      <c r="M216" s="572"/>
      <c r="N216" s="572"/>
      <c r="O216" s="572"/>
      <c r="P216" s="572"/>
      <c r="Q216" s="572"/>
      <c r="R216" s="572"/>
      <c r="S216" s="572"/>
      <c r="T216" s="572"/>
      <c r="U216" s="572"/>
      <c r="V216" s="572"/>
      <c r="W216" s="572"/>
      <c r="X216" s="572"/>
      <c r="Y216" s="572"/>
      <c r="Z216" s="572"/>
      <c r="AA216" s="572"/>
      <c r="AB216" s="572"/>
      <c r="AC216" s="572"/>
      <c r="AD216" s="572"/>
      <c r="AE216" s="572"/>
    </row>
    <row r="217" spans="1:31" ht="15.75" customHeight="1">
      <c r="A217" s="577">
        <v>44174</v>
      </c>
      <c r="B217" s="578" t="s">
        <v>6406</v>
      </c>
      <c r="C217" s="405" t="s">
        <v>2921</v>
      </c>
      <c r="D217" s="563" t="s">
        <v>6341</v>
      </c>
      <c r="E217" s="575">
        <v>20000</v>
      </c>
      <c r="F217" s="563" t="s">
        <v>3168</v>
      </c>
      <c r="G217" s="573" t="s">
        <v>2923</v>
      </c>
      <c r="H217" s="573" t="s">
        <v>20</v>
      </c>
      <c r="I217" s="573" t="s">
        <v>2930</v>
      </c>
      <c r="J217" s="573">
        <v>43531</v>
      </c>
      <c r="K217" s="576" t="s">
        <v>3809</v>
      </c>
      <c r="L217" s="572"/>
      <c r="M217" s="572"/>
      <c r="N217" s="572"/>
      <c r="O217" s="572"/>
      <c r="P217" s="572"/>
      <c r="Q217" s="572"/>
      <c r="R217" s="572"/>
      <c r="S217" s="572"/>
      <c r="T217" s="572"/>
      <c r="U217" s="572"/>
      <c r="V217" s="572"/>
      <c r="W217" s="572"/>
      <c r="X217" s="572"/>
      <c r="Y217" s="572"/>
      <c r="Z217" s="572"/>
      <c r="AA217" s="572"/>
      <c r="AB217" s="572"/>
      <c r="AC217" s="572"/>
      <c r="AD217" s="572"/>
      <c r="AE217" s="572"/>
    </row>
    <row r="218" spans="1:31" ht="15.75" customHeight="1">
      <c r="A218" s="577">
        <v>44175</v>
      </c>
      <c r="B218" s="578" t="s">
        <v>3696</v>
      </c>
      <c r="C218" s="405" t="s">
        <v>3607</v>
      </c>
      <c r="D218" s="563" t="s">
        <v>6341</v>
      </c>
      <c r="E218" s="575">
        <v>28000</v>
      </c>
      <c r="F218" s="563" t="s">
        <v>3695</v>
      </c>
      <c r="G218" s="573" t="s">
        <v>19</v>
      </c>
      <c r="H218" s="573" t="s">
        <v>20</v>
      </c>
      <c r="I218" s="573" t="s">
        <v>2512</v>
      </c>
      <c r="J218" s="573">
        <v>43797</v>
      </c>
      <c r="K218" s="576" t="s">
        <v>3805</v>
      </c>
      <c r="L218" s="572"/>
      <c r="M218" s="572"/>
      <c r="N218" s="572"/>
      <c r="O218" s="572"/>
      <c r="P218" s="572"/>
      <c r="Q218" s="572"/>
      <c r="R218" s="572"/>
      <c r="S218" s="572"/>
      <c r="T218" s="572"/>
      <c r="U218" s="572"/>
      <c r="V218" s="572"/>
      <c r="W218" s="572"/>
      <c r="X218" s="572"/>
      <c r="Y218" s="572"/>
      <c r="Z218" s="572"/>
      <c r="AA218" s="572"/>
      <c r="AB218" s="572"/>
      <c r="AC218" s="572"/>
      <c r="AD218" s="572"/>
      <c r="AE218" s="572"/>
    </row>
    <row r="219" spans="1:31" ht="15.75" customHeight="1">
      <c r="A219" s="577">
        <v>44175</v>
      </c>
      <c r="B219" s="578" t="s">
        <v>3696</v>
      </c>
      <c r="C219" s="405" t="s">
        <v>3607</v>
      </c>
      <c r="D219" s="563" t="s">
        <v>6341</v>
      </c>
      <c r="E219" s="575">
        <v>25000</v>
      </c>
      <c r="F219" s="563" t="s">
        <v>3695</v>
      </c>
      <c r="G219" s="573" t="s">
        <v>19</v>
      </c>
      <c r="H219" s="573" t="s">
        <v>20</v>
      </c>
      <c r="I219" s="573" t="s">
        <v>2512</v>
      </c>
      <c r="J219" s="573">
        <v>43797</v>
      </c>
      <c r="K219" s="576" t="s">
        <v>3805</v>
      </c>
      <c r="L219" s="572"/>
      <c r="M219" s="572"/>
      <c r="N219" s="572"/>
      <c r="O219" s="572"/>
      <c r="P219" s="572"/>
      <c r="Q219" s="572"/>
      <c r="R219" s="572"/>
      <c r="S219" s="572"/>
      <c r="T219" s="572"/>
      <c r="U219" s="572"/>
      <c r="V219" s="572"/>
      <c r="W219" s="572"/>
      <c r="X219" s="572"/>
      <c r="Y219" s="572"/>
      <c r="Z219" s="572"/>
      <c r="AA219" s="572"/>
      <c r="AB219" s="572"/>
      <c r="AC219" s="572"/>
      <c r="AD219" s="572"/>
      <c r="AE219" s="572"/>
    </row>
    <row r="220" spans="1:31" ht="15.75" customHeight="1">
      <c r="A220" s="577">
        <v>44175</v>
      </c>
      <c r="B220" s="578" t="s">
        <v>3696</v>
      </c>
      <c r="C220" s="405" t="s">
        <v>3607</v>
      </c>
      <c r="D220" s="563" t="s">
        <v>6341</v>
      </c>
      <c r="E220" s="575">
        <v>43000</v>
      </c>
      <c r="F220" s="563" t="s">
        <v>3695</v>
      </c>
      <c r="G220" s="573" t="s">
        <v>19</v>
      </c>
      <c r="H220" s="573" t="s">
        <v>20</v>
      </c>
      <c r="I220" s="573" t="s">
        <v>2512</v>
      </c>
      <c r="J220" s="573">
        <v>43797</v>
      </c>
      <c r="K220" s="576" t="s">
        <v>3805</v>
      </c>
      <c r="L220" s="572"/>
      <c r="M220" s="572"/>
      <c r="N220" s="572"/>
      <c r="O220" s="572"/>
      <c r="P220" s="572"/>
      <c r="Q220" s="572"/>
      <c r="R220" s="572"/>
      <c r="S220" s="572"/>
      <c r="T220" s="572"/>
      <c r="U220" s="572"/>
      <c r="V220" s="572"/>
      <c r="W220" s="572"/>
      <c r="X220" s="572"/>
      <c r="Y220" s="572"/>
      <c r="Z220" s="572"/>
      <c r="AA220" s="572"/>
      <c r="AB220" s="572"/>
      <c r="AC220" s="572"/>
      <c r="AD220" s="572"/>
      <c r="AE220" s="572"/>
    </row>
    <row r="221" spans="1:31" ht="15.75" customHeight="1">
      <c r="A221" s="577">
        <v>44175</v>
      </c>
      <c r="B221" s="578" t="s">
        <v>3696</v>
      </c>
      <c r="C221" s="405" t="s">
        <v>3607</v>
      </c>
      <c r="D221" s="563" t="s">
        <v>6341</v>
      </c>
      <c r="E221" s="575">
        <v>200000</v>
      </c>
      <c r="F221" s="563" t="s">
        <v>3695</v>
      </c>
      <c r="G221" s="573" t="s">
        <v>19</v>
      </c>
      <c r="H221" s="573" t="s">
        <v>20</v>
      </c>
      <c r="I221" s="573" t="s">
        <v>2512</v>
      </c>
      <c r="J221" s="573">
        <v>43797</v>
      </c>
      <c r="K221" s="576" t="s">
        <v>3805</v>
      </c>
      <c r="L221" s="572"/>
      <c r="M221" s="572"/>
      <c r="N221" s="572"/>
      <c r="O221" s="572"/>
      <c r="P221" s="572"/>
      <c r="Q221" s="572"/>
      <c r="R221" s="572"/>
      <c r="S221" s="572"/>
      <c r="T221" s="572"/>
      <c r="U221" s="572"/>
      <c r="V221" s="572"/>
      <c r="W221" s="572"/>
      <c r="X221" s="572"/>
      <c r="Y221" s="572"/>
      <c r="Z221" s="572"/>
      <c r="AA221" s="572"/>
      <c r="AB221" s="572"/>
      <c r="AC221" s="572"/>
      <c r="AD221" s="572"/>
      <c r="AE221" s="572"/>
    </row>
    <row r="222" spans="1:31" ht="15.75" customHeight="1">
      <c r="A222" s="577">
        <v>44179</v>
      </c>
      <c r="B222" s="583" t="s">
        <v>6355</v>
      </c>
      <c r="C222" s="405" t="s">
        <v>2921</v>
      </c>
      <c r="D222" s="563" t="s">
        <v>6341</v>
      </c>
      <c r="E222" s="575">
        <v>25000</v>
      </c>
      <c r="F222" s="563" t="s">
        <v>3236</v>
      </c>
      <c r="G222" s="573" t="s">
        <v>2923</v>
      </c>
      <c r="H222" s="573" t="s">
        <v>20</v>
      </c>
      <c r="I222" s="573" t="s">
        <v>2930</v>
      </c>
      <c r="J222" s="573">
        <v>43559</v>
      </c>
      <c r="K222" s="576" t="s">
        <v>4188</v>
      </c>
      <c r="L222" s="572"/>
      <c r="M222" s="572"/>
      <c r="N222" s="572"/>
      <c r="O222" s="572"/>
      <c r="P222" s="572"/>
      <c r="Q222" s="572"/>
      <c r="R222" s="572"/>
      <c r="S222" s="572"/>
      <c r="T222" s="572"/>
      <c r="U222" s="572"/>
      <c r="V222" s="572"/>
      <c r="W222" s="572"/>
      <c r="X222" s="572"/>
      <c r="Y222" s="572"/>
      <c r="Z222" s="572"/>
      <c r="AA222" s="572"/>
      <c r="AB222" s="572"/>
      <c r="AC222" s="572"/>
      <c r="AD222" s="572"/>
      <c r="AE222" s="572"/>
    </row>
    <row r="223" spans="1:31" ht="15.75" customHeight="1">
      <c r="A223" s="577">
        <v>44179</v>
      </c>
      <c r="B223" s="578" t="s">
        <v>6368</v>
      </c>
      <c r="C223" s="405" t="s">
        <v>2921</v>
      </c>
      <c r="D223" s="563" t="s">
        <v>6341</v>
      </c>
      <c r="E223" s="575">
        <v>14000</v>
      </c>
      <c r="F223" s="563" t="s">
        <v>3349</v>
      </c>
      <c r="G223" s="573" t="s">
        <v>2923</v>
      </c>
      <c r="H223" s="573" t="s">
        <v>20</v>
      </c>
      <c r="I223" s="573" t="s">
        <v>2924</v>
      </c>
      <c r="J223" s="573">
        <v>43564</v>
      </c>
      <c r="K223" s="576" t="s">
        <v>3809</v>
      </c>
      <c r="L223" s="572"/>
      <c r="M223" s="572"/>
      <c r="N223" s="572"/>
      <c r="O223" s="572"/>
      <c r="P223" s="572"/>
      <c r="Q223" s="572"/>
      <c r="R223" s="572"/>
      <c r="S223" s="572"/>
      <c r="T223" s="572"/>
      <c r="U223" s="572"/>
      <c r="V223" s="572"/>
      <c r="W223" s="572"/>
      <c r="X223" s="572"/>
      <c r="Y223" s="572"/>
      <c r="Z223" s="572"/>
      <c r="AA223" s="572"/>
      <c r="AB223" s="572"/>
      <c r="AC223" s="572"/>
      <c r="AD223" s="572"/>
      <c r="AE223" s="572"/>
    </row>
    <row r="224" spans="1:31" ht="15.75" customHeight="1">
      <c r="A224" s="577">
        <v>44180</v>
      </c>
      <c r="B224" s="578" t="s">
        <v>6343</v>
      </c>
      <c r="C224" s="405" t="s">
        <v>3785</v>
      </c>
      <c r="D224" s="563" t="s">
        <v>6341</v>
      </c>
      <c r="E224" s="575">
        <v>153000</v>
      </c>
      <c r="F224" s="563" t="s">
        <v>5048</v>
      </c>
      <c r="G224" s="563" t="s">
        <v>2923</v>
      </c>
      <c r="H224" s="563" t="s">
        <v>20</v>
      </c>
      <c r="I224" s="563" t="s">
        <v>2923</v>
      </c>
      <c r="J224" s="573">
        <v>43749</v>
      </c>
      <c r="K224" s="579" t="s">
        <v>4188</v>
      </c>
      <c r="L224" s="572"/>
      <c r="M224" s="572"/>
      <c r="N224" s="572"/>
      <c r="O224" s="572"/>
      <c r="P224" s="572"/>
      <c r="Q224" s="572"/>
      <c r="R224" s="572"/>
      <c r="S224" s="572"/>
      <c r="T224" s="572"/>
      <c r="U224" s="572"/>
      <c r="V224" s="572"/>
      <c r="W224" s="572"/>
      <c r="X224" s="572"/>
      <c r="Y224" s="572"/>
      <c r="Z224" s="572"/>
      <c r="AA224" s="572"/>
      <c r="AB224" s="572"/>
      <c r="AC224" s="572"/>
      <c r="AD224" s="572"/>
      <c r="AE224" s="572"/>
    </row>
    <row r="225" spans="1:31" ht="15.75" customHeight="1">
      <c r="A225" s="573">
        <v>44181</v>
      </c>
      <c r="B225" s="584" t="s">
        <v>6407</v>
      </c>
      <c r="C225" s="563" t="s">
        <v>2921</v>
      </c>
      <c r="D225" s="563" t="s">
        <v>3110</v>
      </c>
      <c r="E225" s="575">
        <v>268845.87</v>
      </c>
      <c r="F225" s="563" t="s">
        <v>2988</v>
      </c>
      <c r="G225" s="573" t="s">
        <v>2989</v>
      </c>
      <c r="H225" s="573" t="s">
        <v>20</v>
      </c>
      <c r="I225" s="573" t="s">
        <v>2989</v>
      </c>
      <c r="J225" s="573">
        <v>43563</v>
      </c>
      <c r="K225" s="576" t="s">
        <v>3809</v>
      </c>
      <c r="L225" s="572"/>
      <c r="M225" s="572"/>
      <c r="N225" s="572"/>
      <c r="O225" s="572"/>
      <c r="P225" s="572"/>
      <c r="Q225" s="572"/>
      <c r="R225" s="572"/>
      <c r="S225" s="572"/>
      <c r="T225" s="572"/>
      <c r="U225" s="572"/>
      <c r="V225" s="572"/>
      <c r="W225" s="572"/>
      <c r="X225" s="572"/>
      <c r="Y225" s="572"/>
      <c r="Z225" s="572"/>
      <c r="AA225" s="572"/>
      <c r="AB225" s="572"/>
      <c r="AC225" s="572"/>
      <c r="AD225" s="572"/>
      <c r="AE225" s="572"/>
    </row>
    <row r="226" spans="1:31" ht="15.75" customHeight="1">
      <c r="A226" s="577">
        <v>44182</v>
      </c>
      <c r="B226" s="578" t="s">
        <v>6393</v>
      </c>
      <c r="C226" s="405" t="s">
        <v>2921</v>
      </c>
      <c r="D226" s="563" t="s">
        <v>6341</v>
      </c>
      <c r="E226" s="575">
        <v>7000</v>
      </c>
      <c r="F226" s="563" t="s">
        <v>3266</v>
      </c>
      <c r="G226" s="573" t="s">
        <v>2923</v>
      </c>
      <c r="H226" s="573" t="s">
        <v>20</v>
      </c>
      <c r="I226" s="573" t="s">
        <v>2924</v>
      </c>
      <c r="J226" s="573">
        <v>43711</v>
      </c>
      <c r="K226" s="576" t="s">
        <v>4188</v>
      </c>
      <c r="L226" s="572"/>
      <c r="M226" s="572"/>
      <c r="N226" s="572"/>
      <c r="O226" s="572"/>
      <c r="P226" s="572"/>
      <c r="Q226" s="572"/>
      <c r="R226" s="572"/>
      <c r="S226" s="572"/>
      <c r="T226" s="572"/>
      <c r="U226" s="572"/>
      <c r="V226" s="572"/>
      <c r="W226" s="572"/>
      <c r="X226" s="572"/>
      <c r="Y226" s="572"/>
      <c r="Z226" s="572"/>
      <c r="AA226" s="572"/>
      <c r="AB226" s="572"/>
      <c r="AC226" s="572"/>
      <c r="AD226" s="572"/>
      <c r="AE226" s="572"/>
    </row>
    <row r="227" spans="1:31" ht="15.75" customHeight="1">
      <c r="A227" s="577">
        <v>44186</v>
      </c>
      <c r="B227" s="583" t="s">
        <v>6349</v>
      </c>
      <c r="C227" s="405" t="s">
        <v>2921</v>
      </c>
      <c r="D227" s="563" t="s">
        <v>6341</v>
      </c>
      <c r="E227" s="575">
        <v>25000</v>
      </c>
      <c r="F227" s="563" t="s">
        <v>3228</v>
      </c>
      <c r="G227" s="573" t="s">
        <v>2923</v>
      </c>
      <c r="H227" s="573" t="s">
        <v>20</v>
      </c>
      <c r="I227" s="573" t="s">
        <v>2924</v>
      </c>
      <c r="J227" s="573">
        <v>43605</v>
      </c>
      <c r="K227" s="576" t="s">
        <v>3805</v>
      </c>
      <c r="L227" s="572"/>
      <c r="M227" s="572"/>
      <c r="N227" s="572"/>
      <c r="O227" s="572"/>
      <c r="P227" s="572"/>
      <c r="Q227" s="572"/>
      <c r="R227" s="572"/>
      <c r="S227" s="572"/>
      <c r="T227" s="572"/>
      <c r="U227" s="572"/>
      <c r="V227" s="572"/>
      <c r="W227" s="572"/>
      <c r="X227" s="572"/>
      <c r="Y227" s="572"/>
      <c r="Z227" s="572"/>
      <c r="AA227" s="572"/>
      <c r="AB227" s="572"/>
      <c r="AC227" s="572"/>
      <c r="AD227" s="572"/>
      <c r="AE227" s="572"/>
    </row>
    <row r="228" spans="1:31" ht="15.75" customHeight="1">
      <c r="A228" s="577">
        <v>44186</v>
      </c>
      <c r="B228" s="578" t="s">
        <v>6390</v>
      </c>
      <c r="C228" s="405" t="s">
        <v>3785</v>
      </c>
      <c r="D228" s="563" t="s">
        <v>6341</v>
      </c>
      <c r="E228" s="575">
        <v>19000</v>
      </c>
      <c r="F228" s="563" t="s">
        <v>4859</v>
      </c>
      <c r="G228" s="563" t="s">
        <v>2923</v>
      </c>
      <c r="H228" s="563" t="s">
        <v>20</v>
      </c>
      <c r="I228" s="563" t="s">
        <v>2923</v>
      </c>
      <c r="J228" s="573">
        <v>44068</v>
      </c>
      <c r="K228" s="579" t="s">
        <v>3795</v>
      </c>
      <c r="L228" s="572"/>
      <c r="M228" s="572"/>
      <c r="N228" s="572"/>
      <c r="O228" s="572"/>
      <c r="P228" s="572"/>
      <c r="Q228" s="572"/>
      <c r="R228" s="572"/>
      <c r="S228" s="572"/>
      <c r="T228" s="572"/>
      <c r="U228" s="572"/>
      <c r="V228" s="572"/>
      <c r="W228" s="572"/>
      <c r="X228" s="572"/>
      <c r="Y228" s="572"/>
      <c r="Z228" s="572"/>
      <c r="AA228" s="572"/>
      <c r="AB228" s="572"/>
      <c r="AC228" s="572"/>
      <c r="AD228" s="572"/>
      <c r="AE228" s="572"/>
    </row>
    <row r="229" spans="1:31" ht="15.75" customHeight="1">
      <c r="A229" s="577">
        <v>44187</v>
      </c>
      <c r="B229" s="578" t="s">
        <v>6347</v>
      </c>
      <c r="C229" s="405" t="s">
        <v>2921</v>
      </c>
      <c r="D229" s="563" t="s">
        <v>6341</v>
      </c>
      <c r="E229" s="575">
        <v>6500</v>
      </c>
      <c r="F229" s="563" t="s">
        <v>3191</v>
      </c>
      <c r="G229" s="573" t="s">
        <v>2923</v>
      </c>
      <c r="H229" s="573" t="s">
        <v>20</v>
      </c>
      <c r="I229" s="573" t="s">
        <v>2924</v>
      </c>
      <c r="J229" s="573">
        <v>43703</v>
      </c>
      <c r="K229" s="576" t="s">
        <v>4188</v>
      </c>
      <c r="L229" s="572"/>
      <c r="M229" s="572"/>
      <c r="N229" s="572"/>
      <c r="O229" s="572"/>
      <c r="P229" s="572"/>
      <c r="Q229" s="572"/>
      <c r="R229" s="572"/>
      <c r="S229" s="572"/>
      <c r="T229" s="572"/>
      <c r="U229" s="572"/>
      <c r="V229" s="572"/>
      <c r="W229" s="572"/>
      <c r="X229" s="572"/>
      <c r="Y229" s="572"/>
      <c r="Z229" s="572"/>
      <c r="AA229" s="572"/>
      <c r="AB229" s="572"/>
      <c r="AC229" s="572"/>
      <c r="AD229" s="572"/>
      <c r="AE229" s="572"/>
    </row>
    <row r="230" spans="1:31" ht="15.75" customHeight="1">
      <c r="A230" s="577">
        <v>44193</v>
      </c>
      <c r="B230" s="578" t="s">
        <v>6368</v>
      </c>
      <c r="C230" s="405" t="s">
        <v>2921</v>
      </c>
      <c r="D230" s="563" t="s">
        <v>6341</v>
      </c>
      <c r="E230" s="575">
        <v>2000</v>
      </c>
      <c r="F230" s="563" t="s">
        <v>3349</v>
      </c>
      <c r="G230" s="573" t="s">
        <v>2923</v>
      </c>
      <c r="H230" s="573" t="s">
        <v>20</v>
      </c>
      <c r="I230" s="573" t="s">
        <v>2924</v>
      </c>
      <c r="J230" s="573">
        <v>43564</v>
      </c>
      <c r="K230" s="576" t="s">
        <v>3809</v>
      </c>
      <c r="L230" s="572"/>
      <c r="M230" s="572"/>
      <c r="N230" s="572"/>
      <c r="O230" s="572"/>
      <c r="P230" s="572"/>
      <c r="Q230" s="572"/>
      <c r="R230" s="572"/>
      <c r="S230" s="572"/>
      <c r="T230" s="572"/>
      <c r="U230" s="572"/>
      <c r="V230" s="572"/>
      <c r="W230" s="572"/>
      <c r="X230" s="572"/>
      <c r="Y230" s="572"/>
      <c r="Z230" s="572"/>
      <c r="AA230" s="572"/>
      <c r="AB230" s="572"/>
      <c r="AC230" s="572"/>
      <c r="AD230" s="572"/>
      <c r="AE230" s="572"/>
    </row>
    <row r="231" spans="1:31" ht="15.75" customHeight="1">
      <c r="A231" s="577">
        <v>44193</v>
      </c>
      <c r="B231" s="578" t="s">
        <v>6349</v>
      </c>
      <c r="C231" s="405" t="s">
        <v>2921</v>
      </c>
      <c r="D231" s="563" t="s">
        <v>6341</v>
      </c>
      <c r="E231" s="575">
        <v>40000</v>
      </c>
      <c r="F231" s="563" t="s">
        <v>3228</v>
      </c>
      <c r="G231" s="573" t="s">
        <v>2923</v>
      </c>
      <c r="H231" s="573" t="s">
        <v>20</v>
      </c>
      <c r="I231" s="573" t="s">
        <v>2924</v>
      </c>
      <c r="J231" s="573">
        <v>43605</v>
      </c>
      <c r="K231" s="576" t="s">
        <v>3805</v>
      </c>
      <c r="L231" s="572"/>
      <c r="M231" s="572"/>
      <c r="N231" s="572"/>
      <c r="O231" s="572"/>
      <c r="P231" s="572"/>
      <c r="Q231" s="572"/>
      <c r="R231" s="572"/>
      <c r="S231" s="572"/>
      <c r="T231" s="572"/>
      <c r="U231" s="572"/>
      <c r="V231" s="572"/>
      <c r="W231" s="572"/>
      <c r="X231" s="572"/>
      <c r="Y231" s="572"/>
      <c r="Z231" s="572"/>
      <c r="AA231" s="572"/>
      <c r="AB231" s="572"/>
      <c r="AC231" s="572"/>
      <c r="AD231" s="572"/>
      <c r="AE231" s="572"/>
    </row>
    <row r="232" spans="1:31" ht="15.75" customHeight="1">
      <c r="A232" s="577">
        <v>44194</v>
      </c>
      <c r="B232" s="578" t="s">
        <v>6365</v>
      </c>
      <c r="C232" s="405" t="s">
        <v>2921</v>
      </c>
      <c r="D232" s="563" t="s">
        <v>6341</v>
      </c>
      <c r="E232" s="575">
        <v>271260.25</v>
      </c>
      <c r="F232" s="563" t="s">
        <v>2986</v>
      </c>
      <c r="G232" s="573" t="s">
        <v>2923</v>
      </c>
      <c r="H232" s="573" t="s">
        <v>20</v>
      </c>
      <c r="I232" s="573" t="s">
        <v>2924</v>
      </c>
      <c r="J232" s="573">
        <v>43867</v>
      </c>
      <c r="K232" s="576" t="s">
        <v>3795</v>
      </c>
      <c r="L232" s="572"/>
      <c r="M232" s="572"/>
      <c r="N232" s="572"/>
      <c r="O232" s="572"/>
      <c r="P232" s="572"/>
      <c r="Q232" s="572"/>
      <c r="R232" s="572"/>
      <c r="S232" s="572"/>
      <c r="T232" s="572"/>
      <c r="U232" s="572"/>
      <c r="V232" s="572"/>
      <c r="W232" s="572"/>
      <c r="X232" s="572"/>
      <c r="Y232" s="572"/>
      <c r="Z232" s="572"/>
      <c r="AA232" s="572"/>
      <c r="AB232" s="572"/>
      <c r="AC232" s="572"/>
      <c r="AD232" s="572"/>
      <c r="AE232" s="572"/>
    </row>
    <row r="233" spans="1:31" ht="15.75" customHeight="1">
      <c r="A233" s="577">
        <v>44199</v>
      </c>
      <c r="B233" s="585" t="s">
        <v>6408</v>
      </c>
      <c r="C233" s="405" t="s">
        <v>2921</v>
      </c>
      <c r="D233" s="563" t="s">
        <v>6341</v>
      </c>
      <c r="E233" s="586">
        <v>40000</v>
      </c>
      <c r="F233" s="563" t="s">
        <v>859</v>
      </c>
      <c r="G233" s="573" t="s">
        <v>19</v>
      </c>
      <c r="H233" s="573" t="s">
        <v>34</v>
      </c>
      <c r="I233" s="573" t="s">
        <v>35</v>
      </c>
      <c r="J233" s="573">
        <v>44321</v>
      </c>
      <c r="K233" s="576" t="s">
        <v>3795</v>
      </c>
      <c r="L233" s="572"/>
      <c r="M233" s="572"/>
      <c r="N233" s="572"/>
      <c r="O233" s="572"/>
      <c r="P233" s="572"/>
      <c r="Q233" s="572"/>
      <c r="R233" s="572"/>
      <c r="S233" s="572"/>
      <c r="T233" s="572"/>
      <c r="U233" s="572"/>
      <c r="V233" s="572"/>
      <c r="W233" s="572"/>
      <c r="X233" s="572"/>
      <c r="Y233" s="572"/>
      <c r="Z233" s="572"/>
      <c r="AA233" s="572"/>
      <c r="AB233" s="572"/>
      <c r="AC233" s="572"/>
      <c r="AD233" s="572"/>
      <c r="AE233" s="572"/>
    </row>
    <row r="234" spans="1:31" ht="15.75" customHeight="1">
      <c r="A234" s="577">
        <v>44199</v>
      </c>
      <c r="B234" s="585" t="s">
        <v>6409</v>
      </c>
      <c r="C234" s="405" t="s">
        <v>2921</v>
      </c>
      <c r="D234" s="563" t="s">
        <v>6341</v>
      </c>
      <c r="E234" s="586">
        <v>10000</v>
      </c>
      <c r="F234" s="563" t="s">
        <v>3257</v>
      </c>
      <c r="G234" s="573" t="s">
        <v>19</v>
      </c>
      <c r="H234" s="573" t="s">
        <v>34</v>
      </c>
      <c r="I234" s="573" t="s">
        <v>35</v>
      </c>
      <c r="J234" s="573">
        <v>44295</v>
      </c>
      <c r="K234" s="576" t="s">
        <v>3802</v>
      </c>
      <c r="L234" s="572"/>
      <c r="M234" s="572"/>
      <c r="N234" s="572"/>
      <c r="O234" s="572"/>
      <c r="P234" s="572"/>
      <c r="Q234" s="572"/>
      <c r="R234" s="572"/>
      <c r="S234" s="572"/>
      <c r="T234" s="572"/>
      <c r="U234" s="572"/>
      <c r="V234" s="572"/>
      <c r="W234" s="572"/>
      <c r="X234" s="572"/>
      <c r="Y234" s="572"/>
      <c r="Z234" s="572"/>
      <c r="AA234" s="572"/>
      <c r="AB234" s="572"/>
      <c r="AC234" s="572"/>
      <c r="AD234" s="572"/>
      <c r="AE234" s="572"/>
    </row>
    <row r="235" spans="1:31" ht="15.75" customHeight="1">
      <c r="A235" s="577">
        <v>44199</v>
      </c>
      <c r="B235" s="585" t="s">
        <v>6410</v>
      </c>
      <c r="C235" s="405" t="s">
        <v>2921</v>
      </c>
      <c r="D235" s="563" t="s">
        <v>928</v>
      </c>
      <c r="E235" s="587">
        <v>459854.95</v>
      </c>
      <c r="F235" s="563" t="s">
        <v>3165</v>
      </c>
      <c r="G235" s="573" t="s">
        <v>19</v>
      </c>
      <c r="H235" s="573" t="s">
        <v>34</v>
      </c>
      <c r="I235" s="573" t="s">
        <v>35</v>
      </c>
      <c r="J235" s="573">
        <v>44272</v>
      </c>
      <c r="K235" s="576" t="s">
        <v>6411</v>
      </c>
      <c r="L235" s="572"/>
      <c r="M235" s="572"/>
      <c r="N235" s="572"/>
      <c r="O235" s="572"/>
      <c r="P235" s="572"/>
      <c r="Q235" s="572"/>
      <c r="R235" s="572"/>
      <c r="S235" s="572"/>
      <c r="T235" s="572"/>
      <c r="U235" s="572"/>
      <c r="V235" s="572"/>
      <c r="W235" s="572"/>
      <c r="X235" s="572"/>
      <c r="Y235" s="572"/>
      <c r="Z235" s="572"/>
      <c r="AA235" s="572"/>
      <c r="AB235" s="572"/>
      <c r="AC235" s="572"/>
      <c r="AD235" s="572"/>
      <c r="AE235" s="572"/>
    </row>
    <row r="236" spans="1:31" ht="15.75" customHeight="1">
      <c r="A236" s="577">
        <v>44199</v>
      </c>
      <c r="B236" s="588" t="s">
        <v>6412</v>
      </c>
      <c r="C236" s="405" t="s">
        <v>3785</v>
      </c>
      <c r="D236" s="563" t="s">
        <v>6341</v>
      </c>
      <c r="E236" s="586">
        <v>10000</v>
      </c>
      <c r="F236" s="563" t="s">
        <v>4373</v>
      </c>
      <c r="G236" s="563" t="s">
        <v>64</v>
      </c>
      <c r="H236" s="563" t="s">
        <v>20</v>
      </c>
      <c r="I236" s="563" t="s">
        <v>3862</v>
      </c>
      <c r="J236" s="573">
        <v>44263</v>
      </c>
      <c r="K236" s="579" t="s">
        <v>3795</v>
      </c>
      <c r="L236" s="572"/>
      <c r="M236" s="572"/>
      <c r="N236" s="572"/>
      <c r="O236" s="572"/>
      <c r="P236" s="572"/>
      <c r="Q236" s="572"/>
      <c r="R236" s="572"/>
      <c r="S236" s="572"/>
      <c r="T236" s="572"/>
      <c r="U236" s="572"/>
      <c r="V236" s="572"/>
      <c r="W236" s="572"/>
      <c r="X236" s="572"/>
      <c r="Y236" s="572"/>
      <c r="Z236" s="572"/>
      <c r="AA236" s="572"/>
      <c r="AB236" s="572"/>
      <c r="AC236" s="572"/>
      <c r="AD236" s="572"/>
      <c r="AE236" s="572"/>
    </row>
    <row r="237" spans="1:31" ht="15.75" customHeight="1">
      <c r="A237" s="577">
        <v>44200</v>
      </c>
      <c r="B237" s="585" t="s">
        <v>6413</v>
      </c>
      <c r="C237" s="405" t="s">
        <v>2921</v>
      </c>
      <c r="D237" s="563" t="s">
        <v>6341</v>
      </c>
      <c r="E237" s="586">
        <v>200000</v>
      </c>
      <c r="F237" s="563" t="s">
        <v>3286</v>
      </c>
      <c r="G237" s="573" t="s">
        <v>19</v>
      </c>
      <c r="H237" s="573" t="s">
        <v>34</v>
      </c>
      <c r="I237" s="573" t="s">
        <v>35</v>
      </c>
      <c r="J237" s="573">
        <v>44319</v>
      </c>
      <c r="K237" s="576" t="s">
        <v>3795</v>
      </c>
      <c r="L237" s="572"/>
      <c r="M237" s="572"/>
      <c r="N237" s="572"/>
      <c r="O237" s="572"/>
      <c r="P237" s="572"/>
      <c r="Q237" s="572"/>
      <c r="R237" s="572"/>
      <c r="S237" s="572"/>
      <c r="T237" s="572"/>
      <c r="U237" s="572"/>
      <c r="V237" s="572"/>
      <c r="W237" s="572"/>
      <c r="X237" s="572"/>
      <c r="Y237" s="572"/>
      <c r="Z237" s="572"/>
      <c r="AA237" s="572"/>
      <c r="AB237" s="572"/>
      <c r="AC237" s="572"/>
      <c r="AD237" s="572"/>
      <c r="AE237" s="572"/>
    </row>
    <row r="238" spans="1:31" ht="15.75" customHeight="1">
      <c r="A238" s="577">
        <v>44200</v>
      </c>
      <c r="B238" s="578" t="s">
        <v>6355</v>
      </c>
      <c r="C238" s="405" t="s">
        <v>2921</v>
      </c>
      <c r="D238" s="563" t="s">
        <v>6341</v>
      </c>
      <c r="E238" s="575">
        <v>1500</v>
      </c>
      <c r="F238" s="563" t="s">
        <v>3236</v>
      </c>
      <c r="G238" s="573" t="s">
        <v>2923</v>
      </c>
      <c r="H238" s="573" t="s">
        <v>20</v>
      </c>
      <c r="I238" s="573" t="s">
        <v>2930</v>
      </c>
      <c r="J238" s="573">
        <v>43559</v>
      </c>
      <c r="K238" s="576" t="s">
        <v>4188</v>
      </c>
      <c r="L238" s="572"/>
      <c r="M238" s="572"/>
      <c r="N238" s="572"/>
      <c r="O238" s="572"/>
      <c r="P238" s="572"/>
      <c r="Q238" s="572"/>
      <c r="R238" s="572"/>
      <c r="S238" s="572"/>
      <c r="T238" s="572"/>
      <c r="U238" s="572"/>
      <c r="V238" s="572"/>
      <c r="W238" s="572"/>
      <c r="X238" s="572"/>
      <c r="Y238" s="572"/>
      <c r="Z238" s="572"/>
      <c r="AA238" s="572"/>
      <c r="AB238" s="572"/>
      <c r="AC238" s="572"/>
      <c r="AD238" s="572"/>
      <c r="AE238" s="572"/>
    </row>
    <row r="239" spans="1:31" ht="15.75" customHeight="1">
      <c r="A239" s="577">
        <v>44200</v>
      </c>
      <c r="B239" s="578" t="s">
        <v>6340</v>
      </c>
      <c r="C239" s="405" t="s">
        <v>2921</v>
      </c>
      <c r="D239" s="563" t="s">
        <v>6341</v>
      </c>
      <c r="E239" s="575">
        <v>10000</v>
      </c>
      <c r="F239" s="563" t="s">
        <v>3468</v>
      </c>
      <c r="G239" s="573" t="s">
        <v>2923</v>
      </c>
      <c r="H239" s="573" t="s">
        <v>20</v>
      </c>
      <c r="I239" s="573" t="s">
        <v>2924</v>
      </c>
      <c r="J239" s="573">
        <v>43675</v>
      </c>
      <c r="K239" s="576" t="s">
        <v>4188</v>
      </c>
      <c r="L239" s="589"/>
      <c r="M239" s="572"/>
      <c r="N239" s="572"/>
      <c r="O239" s="572"/>
      <c r="P239" s="572"/>
      <c r="Q239" s="572"/>
      <c r="R239" s="572"/>
      <c r="S239" s="572"/>
      <c r="T239" s="572"/>
      <c r="U239" s="572"/>
      <c r="V239" s="572"/>
      <c r="W239" s="572"/>
      <c r="X239" s="572"/>
      <c r="Y239" s="572"/>
      <c r="Z239" s="572"/>
      <c r="AA239" s="572"/>
      <c r="AB239" s="572"/>
      <c r="AC239" s="572"/>
      <c r="AD239" s="572"/>
      <c r="AE239" s="572"/>
    </row>
    <row r="240" spans="1:31" ht="15.75" customHeight="1">
      <c r="A240" s="577">
        <v>44200</v>
      </c>
      <c r="B240" s="578" t="s">
        <v>6349</v>
      </c>
      <c r="C240" s="405" t="s">
        <v>2921</v>
      </c>
      <c r="D240" s="563" t="s">
        <v>6341</v>
      </c>
      <c r="E240" s="575">
        <v>15000</v>
      </c>
      <c r="F240" s="563" t="s">
        <v>3228</v>
      </c>
      <c r="G240" s="573" t="s">
        <v>2923</v>
      </c>
      <c r="H240" s="573" t="s">
        <v>20</v>
      </c>
      <c r="I240" s="573" t="s">
        <v>2924</v>
      </c>
      <c r="J240" s="573">
        <v>43605</v>
      </c>
      <c r="K240" s="576" t="s">
        <v>3805</v>
      </c>
      <c r="L240" s="572"/>
      <c r="M240" s="572"/>
      <c r="N240" s="572"/>
      <c r="O240" s="572"/>
      <c r="P240" s="572"/>
      <c r="Q240" s="572"/>
      <c r="R240" s="572"/>
      <c r="S240" s="572"/>
      <c r="T240" s="572"/>
      <c r="U240" s="572"/>
      <c r="V240" s="572"/>
      <c r="W240" s="572"/>
      <c r="X240" s="572"/>
      <c r="Y240" s="572"/>
      <c r="Z240" s="572"/>
      <c r="AA240" s="572"/>
      <c r="AB240" s="572"/>
      <c r="AC240" s="572"/>
      <c r="AD240" s="572"/>
      <c r="AE240" s="572"/>
    </row>
    <row r="241" spans="1:47" ht="15.75" customHeight="1">
      <c r="A241" s="577">
        <v>44201</v>
      </c>
      <c r="B241" s="578" t="s">
        <v>6347</v>
      </c>
      <c r="C241" s="405" t="s">
        <v>2921</v>
      </c>
      <c r="D241" s="563" t="s">
        <v>6341</v>
      </c>
      <c r="E241" s="581">
        <v>100638.85</v>
      </c>
      <c r="F241" s="563" t="s">
        <v>3191</v>
      </c>
      <c r="G241" s="573" t="s">
        <v>2923</v>
      </c>
      <c r="H241" s="573" t="s">
        <v>20</v>
      </c>
      <c r="I241" s="573" t="s">
        <v>2924</v>
      </c>
      <c r="J241" s="573">
        <v>43703</v>
      </c>
      <c r="K241" s="576" t="s">
        <v>4188</v>
      </c>
      <c r="L241" s="572"/>
      <c r="M241" s="572"/>
      <c r="N241" s="572"/>
      <c r="O241" s="572"/>
      <c r="P241" s="572"/>
      <c r="Q241" s="572"/>
      <c r="R241" s="572"/>
      <c r="S241" s="572"/>
      <c r="T241" s="572"/>
      <c r="U241" s="572"/>
      <c r="V241" s="572"/>
      <c r="W241" s="572"/>
      <c r="X241" s="572"/>
      <c r="Y241" s="572"/>
      <c r="Z241" s="572"/>
      <c r="AA241" s="572"/>
      <c r="AB241" s="572"/>
      <c r="AC241" s="572"/>
      <c r="AD241" s="572"/>
      <c r="AE241" s="572"/>
    </row>
    <row r="242" spans="1:47" ht="15.75" customHeight="1">
      <c r="A242" s="577">
        <v>44201</v>
      </c>
      <c r="B242" s="578" t="s">
        <v>6397</v>
      </c>
      <c r="C242" s="405" t="s">
        <v>3785</v>
      </c>
      <c r="D242" s="563" t="s">
        <v>6341</v>
      </c>
      <c r="E242" s="575">
        <v>5000</v>
      </c>
      <c r="F242" s="563" t="s">
        <v>4476</v>
      </c>
      <c r="G242" s="563" t="s">
        <v>2923</v>
      </c>
      <c r="H242" s="563" t="s">
        <v>20</v>
      </c>
      <c r="I242" s="563" t="s">
        <v>2923</v>
      </c>
      <c r="J242" s="573">
        <v>43901</v>
      </c>
      <c r="K242" s="579" t="s">
        <v>3789</v>
      </c>
      <c r="L242" s="572"/>
      <c r="M242" s="572"/>
      <c r="N242" s="572"/>
      <c r="O242" s="572"/>
      <c r="P242" s="572"/>
      <c r="Q242" s="572"/>
      <c r="R242" s="572"/>
      <c r="S242" s="572"/>
      <c r="T242" s="572"/>
      <c r="U242" s="572"/>
      <c r="V242" s="572"/>
      <c r="W242" s="572"/>
      <c r="X242" s="572"/>
      <c r="Y242" s="572"/>
      <c r="Z242" s="572"/>
      <c r="AA242" s="572"/>
      <c r="AB242" s="572"/>
      <c r="AC242" s="572"/>
      <c r="AD242" s="572"/>
      <c r="AE242" s="572"/>
    </row>
    <row r="243" spans="1:47" ht="15.75" customHeight="1">
      <c r="A243" s="577">
        <v>44201</v>
      </c>
      <c r="B243" s="578" t="s">
        <v>6414</v>
      </c>
      <c r="C243" s="405" t="s">
        <v>3785</v>
      </c>
      <c r="D243" s="563" t="s">
        <v>6341</v>
      </c>
      <c r="E243" s="575">
        <v>13400</v>
      </c>
      <c r="F243" s="563" t="s">
        <v>3990</v>
      </c>
      <c r="G243" s="563" t="s">
        <v>2923</v>
      </c>
      <c r="H243" s="563" t="s">
        <v>20</v>
      </c>
      <c r="I243" s="563" t="s">
        <v>2923</v>
      </c>
      <c r="J243" s="573">
        <v>43847</v>
      </c>
      <c r="K243" s="579" t="s">
        <v>3795</v>
      </c>
      <c r="L243" s="590"/>
      <c r="M243" s="589"/>
      <c r="N243" s="572"/>
      <c r="O243" s="572"/>
      <c r="P243" s="572"/>
      <c r="Q243" s="572"/>
      <c r="R243" s="572"/>
      <c r="S243" s="572"/>
      <c r="T243" s="572"/>
      <c r="U243" s="572"/>
      <c r="V243" s="572"/>
      <c r="W243" s="572"/>
      <c r="X243" s="572"/>
      <c r="Y243" s="572"/>
      <c r="Z243" s="572"/>
      <c r="AA243" s="572"/>
      <c r="AB243" s="572"/>
      <c r="AC243" s="572"/>
      <c r="AD243" s="572"/>
      <c r="AE243" s="572"/>
    </row>
    <row r="244" spans="1:47" ht="15.75" customHeight="1">
      <c r="A244" s="577">
        <v>44202</v>
      </c>
      <c r="B244" s="583" t="s">
        <v>6415</v>
      </c>
      <c r="C244" s="405" t="s">
        <v>2921</v>
      </c>
      <c r="D244" s="563" t="s">
        <v>928</v>
      </c>
      <c r="E244" s="575">
        <v>5000</v>
      </c>
      <c r="F244" s="563" t="s">
        <v>3379</v>
      </c>
      <c r="G244" s="573" t="s">
        <v>2923</v>
      </c>
      <c r="H244" s="573" t="s">
        <v>20</v>
      </c>
      <c r="I244" s="573" t="s">
        <v>2930</v>
      </c>
      <c r="J244" s="573">
        <v>43795</v>
      </c>
      <c r="K244" s="576" t="s">
        <v>3805</v>
      </c>
      <c r="L244" s="572"/>
      <c r="M244" s="572"/>
      <c r="N244" s="572"/>
      <c r="O244" s="572"/>
      <c r="P244" s="572"/>
      <c r="Q244" s="572"/>
      <c r="R244" s="572"/>
      <c r="S244" s="572"/>
      <c r="T244" s="572"/>
      <c r="U244" s="572"/>
      <c r="V244" s="572"/>
      <c r="W244" s="572"/>
      <c r="X244" s="572"/>
      <c r="Y244" s="572"/>
      <c r="Z244" s="572"/>
      <c r="AA244" s="572"/>
      <c r="AB244" s="572"/>
      <c r="AC244" s="572"/>
      <c r="AD244" s="572"/>
      <c r="AE244" s="572"/>
    </row>
    <row r="245" spans="1:47" ht="15.75" customHeight="1">
      <c r="A245" s="577">
        <v>44207</v>
      </c>
      <c r="B245" s="578" t="s">
        <v>6363</v>
      </c>
      <c r="C245" s="405" t="s">
        <v>2921</v>
      </c>
      <c r="D245" s="563" t="s">
        <v>6341</v>
      </c>
      <c r="E245" s="575">
        <v>14000</v>
      </c>
      <c r="F245" s="563" t="s">
        <v>3445</v>
      </c>
      <c r="G245" s="573" t="s">
        <v>2923</v>
      </c>
      <c r="H245" s="573" t="s">
        <v>20</v>
      </c>
      <c r="I245" s="573" t="s">
        <v>2924</v>
      </c>
      <c r="J245" s="573">
        <v>43894</v>
      </c>
      <c r="K245" s="576" t="s">
        <v>3805</v>
      </c>
      <c r="L245" s="589"/>
      <c r="M245" s="590"/>
      <c r="N245" s="589"/>
      <c r="O245" s="572"/>
      <c r="P245" s="572"/>
      <c r="Q245" s="572"/>
      <c r="R245" s="572"/>
      <c r="S245" s="572"/>
      <c r="T245" s="572"/>
      <c r="U245" s="572"/>
      <c r="V245" s="572"/>
      <c r="W245" s="572"/>
      <c r="X245" s="572"/>
      <c r="Y245" s="572"/>
      <c r="Z245" s="572"/>
      <c r="AA245" s="572"/>
      <c r="AB245" s="572"/>
      <c r="AC245" s="572"/>
      <c r="AD245" s="572"/>
      <c r="AE245" s="572"/>
    </row>
    <row r="246" spans="1:47" ht="15.75" customHeight="1">
      <c r="A246" s="577">
        <v>44208</v>
      </c>
      <c r="B246" s="583" t="s">
        <v>6347</v>
      </c>
      <c r="C246" s="405" t="s">
        <v>2921</v>
      </c>
      <c r="D246" s="563" t="s">
        <v>6341</v>
      </c>
      <c r="E246" s="575">
        <v>10000</v>
      </c>
      <c r="F246" s="563" t="s">
        <v>3191</v>
      </c>
      <c r="G246" s="573" t="s">
        <v>2923</v>
      </c>
      <c r="H246" s="573" t="s">
        <v>20</v>
      </c>
      <c r="I246" s="573" t="s">
        <v>2924</v>
      </c>
      <c r="J246" s="573">
        <v>43703</v>
      </c>
      <c r="K246" s="576" t="s">
        <v>4188</v>
      </c>
      <c r="L246" s="591"/>
      <c r="M246" s="589"/>
      <c r="N246" s="590"/>
      <c r="O246" s="589"/>
      <c r="P246" s="572"/>
      <c r="Q246" s="572"/>
      <c r="R246" s="572"/>
      <c r="S246" s="572"/>
      <c r="T246" s="572"/>
      <c r="U246" s="572"/>
      <c r="V246" s="572"/>
      <c r="W246" s="572"/>
      <c r="X246" s="572"/>
      <c r="Y246" s="572"/>
      <c r="Z246" s="572"/>
      <c r="AA246" s="572"/>
      <c r="AB246" s="572"/>
      <c r="AC246" s="572"/>
      <c r="AD246" s="572"/>
      <c r="AE246" s="572"/>
    </row>
    <row r="247" spans="1:47" ht="15.75" customHeight="1">
      <c r="A247" s="577">
        <v>44209</v>
      </c>
      <c r="B247" s="578" t="s">
        <v>6368</v>
      </c>
      <c r="C247" s="405" t="s">
        <v>2921</v>
      </c>
      <c r="D247" s="563" t="s">
        <v>6341</v>
      </c>
      <c r="E247" s="575">
        <v>24000</v>
      </c>
      <c r="F247" s="563" t="s">
        <v>3349</v>
      </c>
      <c r="G247" s="573" t="s">
        <v>2923</v>
      </c>
      <c r="H247" s="573" t="s">
        <v>20</v>
      </c>
      <c r="I247" s="573" t="s">
        <v>2924</v>
      </c>
      <c r="J247" s="573">
        <v>43564</v>
      </c>
      <c r="K247" s="576" t="s">
        <v>3809</v>
      </c>
      <c r="L247" s="572"/>
      <c r="M247" s="572"/>
      <c r="N247" s="572"/>
      <c r="O247" s="572"/>
      <c r="P247" s="572"/>
      <c r="Q247" s="572"/>
      <c r="R247" s="572"/>
      <c r="S247" s="572"/>
      <c r="T247" s="572"/>
      <c r="U247" s="572"/>
      <c r="V247" s="572"/>
      <c r="W247" s="572"/>
      <c r="X247" s="572"/>
      <c r="Y247" s="572"/>
      <c r="Z247" s="572"/>
      <c r="AA247" s="572"/>
      <c r="AB247" s="572"/>
      <c r="AC247" s="572"/>
      <c r="AD247" s="572"/>
      <c r="AE247" s="572"/>
    </row>
    <row r="248" spans="1:47" ht="15.75" customHeight="1">
      <c r="A248" s="577">
        <v>44211</v>
      </c>
      <c r="B248" s="578" t="s">
        <v>6416</v>
      </c>
      <c r="C248" s="405" t="s">
        <v>2921</v>
      </c>
      <c r="D248" s="563" t="s">
        <v>928</v>
      </c>
      <c r="E248" s="587">
        <v>100832.44</v>
      </c>
      <c r="F248" s="563" t="s">
        <v>3012</v>
      </c>
      <c r="G248" s="573" t="s">
        <v>2923</v>
      </c>
      <c r="H248" s="573" t="s">
        <v>20</v>
      </c>
      <c r="I248" s="573" t="s">
        <v>2924</v>
      </c>
      <c r="J248" s="573">
        <v>43725</v>
      </c>
      <c r="K248" s="576" t="s">
        <v>4188</v>
      </c>
      <c r="L248" s="589"/>
      <c r="M248" s="591"/>
      <c r="N248" s="589"/>
      <c r="O248" s="590"/>
      <c r="P248" s="589"/>
      <c r="Q248" s="572"/>
      <c r="R248" s="572"/>
      <c r="S248" s="572"/>
      <c r="T248" s="572"/>
      <c r="U248" s="572"/>
      <c r="V248" s="572"/>
      <c r="W248" s="572"/>
      <c r="X248" s="572"/>
      <c r="Y248" s="572"/>
      <c r="Z248" s="572"/>
      <c r="AA248" s="572"/>
      <c r="AB248" s="572"/>
      <c r="AC248" s="572"/>
      <c r="AD248" s="572"/>
      <c r="AE248" s="572"/>
    </row>
    <row r="249" spans="1:47" ht="15.75" customHeight="1">
      <c r="A249" s="577">
        <v>44215</v>
      </c>
      <c r="B249" s="583" t="s">
        <v>6349</v>
      </c>
      <c r="C249" s="405" t="s">
        <v>2921</v>
      </c>
      <c r="D249" s="563" t="s">
        <v>6341</v>
      </c>
      <c r="E249" s="575">
        <v>50000</v>
      </c>
      <c r="F249" s="563" t="s">
        <v>3228</v>
      </c>
      <c r="G249" s="573" t="s">
        <v>2923</v>
      </c>
      <c r="H249" s="573" t="s">
        <v>20</v>
      </c>
      <c r="I249" s="573" t="s">
        <v>2924</v>
      </c>
      <c r="J249" s="573">
        <v>43605</v>
      </c>
      <c r="K249" s="576" t="s">
        <v>3805</v>
      </c>
      <c r="L249" s="589"/>
      <c r="M249" s="589"/>
      <c r="N249" s="591"/>
      <c r="O249" s="589"/>
      <c r="P249" s="590"/>
      <c r="Q249" s="589"/>
      <c r="R249" s="572"/>
      <c r="S249" s="572"/>
      <c r="T249" s="572"/>
      <c r="U249" s="572"/>
      <c r="V249" s="572"/>
      <c r="W249" s="572"/>
      <c r="X249" s="572"/>
      <c r="Y249" s="572"/>
      <c r="Z249" s="572"/>
      <c r="AA249" s="572"/>
      <c r="AB249" s="572"/>
      <c r="AC249" s="572"/>
      <c r="AD249" s="572"/>
      <c r="AE249" s="572"/>
    </row>
    <row r="250" spans="1:47" ht="15.75" customHeight="1">
      <c r="A250" s="577">
        <v>44217</v>
      </c>
      <c r="B250" s="578" t="s">
        <v>6417</v>
      </c>
      <c r="C250" s="405" t="s">
        <v>2921</v>
      </c>
      <c r="D250" s="563" t="s">
        <v>6341</v>
      </c>
      <c r="E250" s="575">
        <v>30000</v>
      </c>
      <c r="F250" s="563" t="s">
        <v>3533</v>
      </c>
      <c r="G250" s="573" t="s">
        <v>2923</v>
      </c>
      <c r="H250" s="573" t="s">
        <v>20</v>
      </c>
      <c r="I250" s="573" t="s">
        <v>2930</v>
      </c>
      <c r="J250" s="573">
        <v>43822</v>
      </c>
      <c r="K250" s="576" t="s">
        <v>3805</v>
      </c>
      <c r="L250" s="572"/>
      <c r="M250" s="572"/>
      <c r="N250" s="572"/>
      <c r="O250" s="572"/>
      <c r="P250" s="572"/>
      <c r="Q250" s="572"/>
      <c r="R250" s="572"/>
      <c r="S250" s="572"/>
      <c r="T250" s="572"/>
      <c r="U250" s="572"/>
      <c r="V250" s="572"/>
      <c r="W250" s="572"/>
      <c r="X250" s="572"/>
      <c r="Y250" s="572"/>
      <c r="Z250" s="572"/>
      <c r="AA250" s="572"/>
      <c r="AB250" s="572"/>
      <c r="AC250" s="572"/>
      <c r="AD250" s="572"/>
      <c r="AE250" s="572"/>
    </row>
    <row r="251" spans="1:47" ht="15.75" customHeight="1">
      <c r="A251" s="577">
        <v>44218</v>
      </c>
      <c r="B251" s="578" t="s">
        <v>6368</v>
      </c>
      <c r="C251" s="405" t="s">
        <v>2921</v>
      </c>
      <c r="D251" s="563" t="s">
        <v>6341</v>
      </c>
      <c r="E251" s="575">
        <v>13000</v>
      </c>
      <c r="F251" s="563" t="s">
        <v>3349</v>
      </c>
      <c r="G251" s="573" t="s">
        <v>2923</v>
      </c>
      <c r="H251" s="573" t="s">
        <v>20</v>
      </c>
      <c r="I251" s="573" t="s">
        <v>2924</v>
      </c>
      <c r="J251" s="573">
        <v>43564</v>
      </c>
      <c r="K251" s="576" t="s">
        <v>3809</v>
      </c>
      <c r="L251" s="572"/>
      <c r="M251" s="572"/>
      <c r="N251" s="572"/>
      <c r="O251" s="572"/>
      <c r="P251" s="572"/>
      <c r="Q251" s="572"/>
      <c r="R251" s="572"/>
      <c r="S251" s="572"/>
      <c r="T251" s="572"/>
      <c r="U251" s="572"/>
      <c r="V251" s="572"/>
      <c r="W251" s="572"/>
      <c r="X251" s="572"/>
      <c r="Y251" s="572"/>
      <c r="Z251" s="572"/>
      <c r="AA251" s="572"/>
      <c r="AB251" s="572"/>
      <c r="AC251" s="572"/>
      <c r="AD251" s="572"/>
      <c r="AE251" s="572"/>
    </row>
    <row r="252" spans="1:47" ht="15.75" customHeight="1">
      <c r="A252" s="577">
        <v>44221</v>
      </c>
      <c r="B252" s="578" t="s">
        <v>6349</v>
      </c>
      <c r="C252" s="405" t="s">
        <v>2921</v>
      </c>
      <c r="D252" s="563" t="s">
        <v>6341</v>
      </c>
      <c r="E252" s="575">
        <v>5000</v>
      </c>
      <c r="F252" s="563" t="s">
        <v>3228</v>
      </c>
      <c r="G252" s="573" t="s">
        <v>2923</v>
      </c>
      <c r="H252" s="573" t="s">
        <v>20</v>
      </c>
      <c r="I252" s="573" t="s">
        <v>2924</v>
      </c>
      <c r="J252" s="573">
        <v>43605</v>
      </c>
      <c r="K252" s="576" t="s">
        <v>3805</v>
      </c>
      <c r="L252" s="589"/>
      <c r="M252" s="589"/>
      <c r="N252" s="589"/>
      <c r="O252" s="591"/>
      <c r="P252" s="589"/>
      <c r="Q252" s="590"/>
      <c r="R252" s="589"/>
      <c r="S252" s="572"/>
      <c r="T252" s="572"/>
      <c r="U252" s="572"/>
      <c r="V252" s="572"/>
      <c r="W252" s="572"/>
      <c r="X252" s="572"/>
      <c r="Y252" s="572"/>
      <c r="Z252" s="572"/>
      <c r="AA252" s="572"/>
      <c r="AB252" s="572"/>
      <c r="AC252" s="572"/>
      <c r="AD252" s="572"/>
      <c r="AE252" s="572"/>
    </row>
    <row r="253" spans="1:47" ht="15.75" customHeight="1">
      <c r="A253" s="577">
        <v>44223</v>
      </c>
      <c r="B253" s="578" t="s">
        <v>6347</v>
      </c>
      <c r="C253" s="405" t="s">
        <v>2921</v>
      </c>
      <c r="D253" s="563" t="s">
        <v>6341</v>
      </c>
      <c r="E253" s="575">
        <v>3000</v>
      </c>
      <c r="F253" s="563" t="s">
        <v>3191</v>
      </c>
      <c r="G253" s="573" t="s">
        <v>2923</v>
      </c>
      <c r="H253" s="573" t="s">
        <v>20</v>
      </c>
      <c r="I253" s="573" t="s">
        <v>2924</v>
      </c>
      <c r="J253" s="573">
        <v>43703</v>
      </c>
      <c r="K253" s="576" t="s">
        <v>4188</v>
      </c>
      <c r="L253" s="572"/>
      <c r="M253" s="572"/>
      <c r="N253" s="572"/>
      <c r="O253" s="572"/>
      <c r="P253" s="572"/>
      <c r="Q253" s="572"/>
      <c r="R253" s="572"/>
      <c r="S253" s="572"/>
      <c r="T253" s="572"/>
      <c r="U253" s="572"/>
      <c r="V253" s="572"/>
      <c r="W253" s="572"/>
      <c r="X253" s="572"/>
      <c r="Y253" s="572"/>
      <c r="Z253" s="572"/>
      <c r="AA253" s="572"/>
      <c r="AB253" s="572"/>
      <c r="AC253" s="572"/>
      <c r="AD253" s="572"/>
      <c r="AE253" s="572"/>
    </row>
    <row r="254" spans="1:47" ht="15.75" customHeight="1">
      <c r="A254" s="577">
        <v>44228</v>
      </c>
      <c r="B254" s="578" t="s">
        <v>6340</v>
      </c>
      <c r="C254" s="405" t="s">
        <v>2921</v>
      </c>
      <c r="D254" s="563" t="s">
        <v>6341</v>
      </c>
      <c r="E254" s="575">
        <v>37000</v>
      </c>
      <c r="F254" s="563" t="s">
        <v>3468</v>
      </c>
      <c r="G254" s="573" t="s">
        <v>2923</v>
      </c>
      <c r="H254" s="573" t="s">
        <v>20</v>
      </c>
      <c r="I254" s="573" t="s">
        <v>2924</v>
      </c>
      <c r="J254" s="573">
        <v>43675</v>
      </c>
      <c r="K254" s="576" t="s">
        <v>4188</v>
      </c>
      <c r="L254" s="572"/>
      <c r="M254" s="572"/>
      <c r="N254" s="572"/>
      <c r="O254" s="572"/>
      <c r="P254" s="572"/>
      <c r="Q254" s="572"/>
      <c r="R254" s="572"/>
      <c r="S254" s="572"/>
      <c r="T254" s="572"/>
      <c r="U254" s="572"/>
      <c r="V254" s="572"/>
      <c r="W254" s="572"/>
      <c r="X254" s="572"/>
      <c r="Y254" s="572"/>
      <c r="Z254" s="572"/>
      <c r="AA254" s="572"/>
      <c r="AB254" s="572"/>
      <c r="AC254" s="572"/>
      <c r="AD254" s="572"/>
      <c r="AE254" s="572"/>
    </row>
    <row r="255" spans="1:47" ht="15.75" customHeight="1">
      <c r="A255" s="573">
        <v>44229</v>
      </c>
      <c r="B255" s="574" t="s">
        <v>6418</v>
      </c>
      <c r="C255" s="563" t="s">
        <v>3785</v>
      </c>
      <c r="D255" s="563" t="s">
        <v>3110</v>
      </c>
      <c r="E255" s="575">
        <v>0</v>
      </c>
      <c r="F255" s="563" t="s">
        <v>4489</v>
      </c>
      <c r="G255" s="563" t="s">
        <v>19</v>
      </c>
      <c r="H255" s="563" t="s">
        <v>20</v>
      </c>
      <c r="I255" s="563" t="s">
        <v>3793</v>
      </c>
      <c r="J255" s="573">
        <v>44167</v>
      </c>
      <c r="K255" s="579" t="s">
        <v>3809</v>
      </c>
      <c r="L255" s="572"/>
      <c r="M255" s="572"/>
      <c r="N255" s="572"/>
      <c r="O255" s="572"/>
      <c r="P255" s="572"/>
      <c r="Q255" s="572"/>
      <c r="R255" s="572"/>
      <c r="S255" s="572"/>
      <c r="T255" s="572"/>
      <c r="U255" s="572"/>
      <c r="V255" s="572"/>
      <c r="W255" s="572"/>
      <c r="X255" s="572"/>
      <c r="Y255" s="572"/>
      <c r="Z255" s="572"/>
      <c r="AA255" s="572"/>
      <c r="AB255" s="572"/>
      <c r="AC255" s="572"/>
      <c r="AD255" s="572"/>
      <c r="AE255" s="572"/>
    </row>
    <row r="256" spans="1:47" ht="15.75" customHeight="1">
      <c r="A256" s="577">
        <v>44229</v>
      </c>
      <c r="B256" s="578" t="s">
        <v>6402</v>
      </c>
      <c r="C256" s="405" t="s">
        <v>2921</v>
      </c>
      <c r="D256" s="563" t="s">
        <v>6341</v>
      </c>
      <c r="E256" s="575">
        <v>49992.45</v>
      </c>
      <c r="F256" s="563" t="s">
        <v>3362</v>
      </c>
      <c r="G256" s="573" t="s">
        <v>2923</v>
      </c>
      <c r="H256" s="573" t="s">
        <v>20</v>
      </c>
      <c r="I256" s="573" t="s">
        <v>2924</v>
      </c>
      <c r="J256" s="573">
        <v>43873</v>
      </c>
      <c r="K256" s="576" t="s">
        <v>3795</v>
      </c>
      <c r="L256" s="589"/>
      <c r="M256" s="589"/>
      <c r="N256" s="589"/>
      <c r="O256" s="591"/>
      <c r="P256" s="589"/>
      <c r="Q256" s="590"/>
      <c r="R256" s="589"/>
      <c r="S256" s="572"/>
      <c r="T256" s="572"/>
      <c r="U256" s="572"/>
      <c r="V256" s="572"/>
      <c r="W256" s="572"/>
      <c r="X256" s="572"/>
      <c r="Y256" s="572"/>
      <c r="Z256" s="572"/>
      <c r="AA256" s="572"/>
      <c r="AB256" s="572"/>
      <c r="AC256" s="572"/>
      <c r="AD256" s="572"/>
      <c r="AE256" s="572"/>
      <c r="AF256" s="572"/>
      <c r="AG256" s="572"/>
      <c r="AH256" s="572"/>
      <c r="AI256" s="572"/>
      <c r="AJ256" s="572"/>
      <c r="AK256" s="572"/>
      <c r="AL256" s="572"/>
      <c r="AM256" s="572"/>
      <c r="AN256" s="572"/>
      <c r="AO256" s="572"/>
      <c r="AP256" s="572"/>
      <c r="AQ256" s="572"/>
      <c r="AR256" s="572"/>
      <c r="AS256" s="572"/>
      <c r="AT256" s="572"/>
      <c r="AU256" s="572"/>
    </row>
    <row r="257" spans="1:47" ht="15.75" customHeight="1">
      <c r="A257" s="577">
        <v>44230</v>
      </c>
      <c r="B257" s="578" t="s">
        <v>6343</v>
      </c>
      <c r="C257" s="405" t="s">
        <v>3785</v>
      </c>
      <c r="D257" s="563" t="s">
        <v>6341</v>
      </c>
      <c r="E257" s="575">
        <v>80000</v>
      </c>
      <c r="F257" s="563" t="s">
        <v>5048</v>
      </c>
      <c r="G257" s="563" t="s">
        <v>2923</v>
      </c>
      <c r="H257" s="563" t="s">
        <v>20</v>
      </c>
      <c r="I257" s="563" t="s">
        <v>2923</v>
      </c>
      <c r="J257" s="573">
        <v>43749</v>
      </c>
      <c r="K257" s="579" t="s">
        <v>4188</v>
      </c>
      <c r="L257" s="589"/>
      <c r="M257" s="589"/>
      <c r="N257" s="589"/>
      <c r="O257" s="589"/>
      <c r="P257" s="591"/>
      <c r="Q257" s="589"/>
      <c r="R257" s="590"/>
      <c r="S257" s="589"/>
      <c r="T257" s="572"/>
      <c r="U257" s="572"/>
      <c r="V257" s="572"/>
      <c r="W257" s="572"/>
      <c r="X257" s="572"/>
      <c r="Y257" s="572"/>
      <c r="Z257" s="572"/>
      <c r="AA257" s="572"/>
      <c r="AB257" s="572"/>
      <c r="AC257" s="572"/>
      <c r="AD257" s="572"/>
      <c r="AE257" s="572"/>
      <c r="AF257" s="572"/>
      <c r="AG257" s="572"/>
      <c r="AH257" s="572"/>
      <c r="AI257" s="572"/>
      <c r="AJ257" s="572"/>
      <c r="AK257" s="572"/>
      <c r="AL257" s="572"/>
      <c r="AM257" s="572"/>
      <c r="AN257" s="572"/>
      <c r="AO257" s="572"/>
      <c r="AP257" s="572"/>
      <c r="AQ257" s="572"/>
      <c r="AR257" s="572"/>
      <c r="AS257" s="572"/>
      <c r="AT257" s="572"/>
      <c r="AU257" s="572"/>
    </row>
    <row r="258" spans="1:47" ht="15.75" customHeight="1">
      <c r="A258" s="577">
        <v>44230</v>
      </c>
      <c r="B258" s="578" t="s">
        <v>6394</v>
      </c>
      <c r="C258" s="405" t="s">
        <v>3785</v>
      </c>
      <c r="D258" s="563" t="s">
        <v>6341</v>
      </c>
      <c r="E258" s="575">
        <v>5000</v>
      </c>
      <c r="F258" s="563" t="s">
        <v>5010</v>
      </c>
      <c r="G258" s="563" t="s">
        <v>2923</v>
      </c>
      <c r="H258" s="563" t="s">
        <v>20</v>
      </c>
      <c r="I258" s="563" t="s">
        <v>2923</v>
      </c>
      <c r="J258" s="573">
        <v>44043</v>
      </c>
      <c r="K258" s="579" t="s">
        <v>3795</v>
      </c>
      <c r="L258" s="589"/>
      <c r="M258" s="589"/>
      <c r="N258" s="589"/>
      <c r="O258" s="589"/>
      <c r="P258" s="589"/>
      <c r="Q258" s="591"/>
      <c r="R258" s="589"/>
      <c r="S258" s="590"/>
      <c r="T258" s="589"/>
      <c r="U258" s="572"/>
      <c r="V258" s="572"/>
      <c r="W258" s="572"/>
      <c r="X258" s="572"/>
      <c r="Y258" s="572"/>
      <c r="Z258" s="572"/>
      <c r="AA258" s="572"/>
      <c r="AB258" s="572"/>
      <c r="AC258" s="572"/>
      <c r="AD258" s="572"/>
      <c r="AE258" s="572"/>
      <c r="AF258" s="572"/>
      <c r="AG258" s="572"/>
      <c r="AH258" s="572"/>
      <c r="AI258" s="572"/>
      <c r="AJ258" s="572"/>
      <c r="AK258" s="572"/>
      <c r="AL258" s="572"/>
      <c r="AM258" s="572"/>
      <c r="AN258" s="572"/>
      <c r="AO258" s="572"/>
      <c r="AP258" s="572"/>
      <c r="AQ258" s="572"/>
      <c r="AR258" s="572"/>
      <c r="AS258" s="572"/>
      <c r="AT258" s="572"/>
      <c r="AU258" s="572"/>
    </row>
    <row r="259" spans="1:47" ht="15.75" customHeight="1">
      <c r="A259" s="577">
        <v>44230</v>
      </c>
      <c r="B259" s="578" t="s">
        <v>6373</v>
      </c>
      <c r="C259" s="405" t="s">
        <v>2921</v>
      </c>
      <c r="D259" s="563" t="s">
        <v>6341</v>
      </c>
      <c r="E259" s="575">
        <v>100000</v>
      </c>
      <c r="F259" s="563" t="s">
        <v>3164</v>
      </c>
      <c r="G259" s="573" t="s">
        <v>2923</v>
      </c>
      <c r="H259" s="573" t="s">
        <v>20</v>
      </c>
      <c r="I259" s="573" t="s">
        <v>2924</v>
      </c>
      <c r="J259" s="573">
        <v>43888</v>
      </c>
      <c r="K259" s="576" t="s">
        <v>3795</v>
      </c>
      <c r="L259" s="589"/>
      <c r="M259" s="589"/>
      <c r="N259" s="589"/>
      <c r="O259" s="589"/>
      <c r="P259" s="589"/>
      <c r="Q259" s="591"/>
      <c r="R259" s="589"/>
      <c r="S259" s="590"/>
      <c r="T259" s="589"/>
      <c r="U259" s="572"/>
      <c r="V259" s="572"/>
      <c r="W259" s="572"/>
      <c r="X259" s="572"/>
      <c r="Y259" s="572"/>
      <c r="Z259" s="572"/>
      <c r="AA259" s="572"/>
      <c r="AB259" s="572"/>
      <c r="AC259" s="572"/>
      <c r="AD259" s="572"/>
      <c r="AE259" s="572"/>
      <c r="AF259" s="572"/>
      <c r="AG259" s="572"/>
      <c r="AH259" s="572"/>
      <c r="AI259" s="572"/>
      <c r="AJ259" s="572"/>
      <c r="AK259" s="572"/>
      <c r="AL259" s="572"/>
      <c r="AM259" s="572"/>
      <c r="AN259" s="572"/>
      <c r="AO259" s="572"/>
      <c r="AP259" s="572"/>
      <c r="AQ259" s="572"/>
      <c r="AR259" s="572"/>
      <c r="AS259" s="572"/>
      <c r="AT259" s="572"/>
      <c r="AU259" s="572"/>
    </row>
    <row r="260" spans="1:47" ht="15.75" customHeight="1">
      <c r="A260" s="577">
        <v>44235</v>
      </c>
      <c r="B260" s="578" t="s">
        <v>3696</v>
      </c>
      <c r="C260" s="405" t="s">
        <v>3607</v>
      </c>
      <c r="D260" s="563" t="s">
        <v>6341</v>
      </c>
      <c r="E260" s="575">
        <v>75000</v>
      </c>
      <c r="F260" s="563" t="s">
        <v>3695</v>
      </c>
      <c r="G260" s="573" t="s">
        <v>19</v>
      </c>
      <c r="H260" s="573" t="s">
        <v>20</v>
      </c>
      <c r="I260" s="573" t="s">
        <v>2512</v>
      </c>
      <c r="J260" s="573">
        <v>43797</v>
      </c>
      <c r="K260" s="576" t="s">
        <v>3805</v>
      </c>
      <c r="L260" s="572"/>
      <c r="M260" s="572"/>
      <c r="N260" s="572"/>
      <c r="O260" s="572"/>
      <c r="P260" s="572"/>
      <c r="Q260" s="572"/>
      <c r="R260" s="572"/>
      <c r="S260" s="572"/>
      <c r="T260" s="572"/>
      <c r="U260" s="572"/>
      <c r="V260" s="572"/>
      <c r="W260" s="572"/>
      <c r="X260" s="572"/>
      <c r="Y260" s="572"/>
      <c r="Z260" s="572"/>
      <c r="AA260" s="572"/>
      <c r="AB260" s="572"/>
      <c r="AC260" s="572"/>
      <c r="AD260" s="572"/>
      <c r="AE260" s="572"/>
      <c r="AF260" s="572"/>
      <c r="AG260" s="572"/>
      <c r="AH260" s="572"/>
      <c r="AI260" s="572"/>
      <c r="AJ260" s="572"/>
      <c r="AK260" s="572"/>
      <c r="AL260" s="572"/>
      <c r="AM260" s="572"/>
      <c r="AN260" s="572"/>
      <c r="AO260" s="572"/>
      <c r="AP260" s="572"/>
      <c r="AQ260" s="572"/>
      <c r="AR260" s="572"/>
      <c r="AS260" s="572"/>
      <c r="AT260" s="572"/>
      <c r="AU260" s="572"/>
    </row>
    <row r="261" spans="1:47" ht="15.75" customHeight="1">
      <c r="A261" s="577">
        <v>44236</v>
      </c>
      <c r="B261" s="578" t="s">
        <v>6419</v>
      </c>
      <c r="C261" s="405" t="s">
        <v>3785</v>
      </c>
      <c r="D261" s="563" t="s">
        <v>6341</v>
      </c>
      <c r="E261" s="575">
        <v>40000</v>
      </c>
      <c r="F261" s="563" t="s">
        <v>4141</v>
      </c>
      <c r="G261" s="563" t="s">
        <v>19</v>
      </c>
      <c r="H261" s="563" t="s">
        <v>20</v>
      </c>
      <c r="I261" s="563" t="s">
        <v>4142</v>
      </c>
      <c r="J261" s="573">
        <v>44089</v>
      </c>
      <c r="K261" s="579" t="s">
        <v>3802</v>
      </c>
      <c r="L261" s="572"/>
      <c r="M261" s="572"/>
      <c r="N261" s="572"/>
      <c r="O261" s="572"/>
      <c r="P261" s="572"/>
      <c r="Q261" s="572"/>
      <c r="R261" s="572"/>
      <c r="S261" s="572"/>
      <c r="T261" s="572"/>
      <c r="U261" s="572"/>
      <c r="V261" s="572"/>
      <c r="W261" s="572"/>
      <c r="X261" s="572"/>
      <c r="Y261" s="572"/>
      <c r="Z261" s="572"/>
      <c r="AA261" s="572" t="s">
        <v>3110</v>
      </c>
      <c r="AB261" s="572"/>
      <c r="AC261" s="572"/>
      <c r="AD261" s="572"/>
      <c r="AE261" s="572"/>
      <c r="AF261" s="572"/>
      <c r="AG261" s="572"/>
      <c r="AH261" s="572"/>
      <c r="AI261" s="572"/>
      <c r="AJ261" s="572"/>
      <c r="AK261" s="572"/>
      <c r="AL261" s="572"/>
      <c r="AM261" s="572"/>
      <c r="AN261" s="572"/>
      <c r="AO261" s="572"/>
      <c r="AP261" s="572"/>
      <c r="AQ261" s="572"/>
      <c r="AR261" s="572"/>
      <c r="AS261" s="572"/>
      <c r="AT261" s="572"/>
      <c r="AU261" s="572"/>
    </row>
    <row r="262" spans="1:47" ht="15.75" customHeight="1">
      <c r="A262" s="577">
        <v>44237</v>
      </c>
      <c r="B262" s="578" t="s">
        <v>6397</v>
      </c>
      <c r="C262" s="405" t="s">
        <v>3785</v>
      </c>
      <c r="D262" s="563" t="s">
        <v>6341</v>
      </c>
      <c r="E262" s="575">
        <v>60000</v>
      </c>
      <c r="F262" s="563" t="s">
        <v>4476</v>
      </c>
      <c r="G262" s="563" t="s">
        <v>2923</v>
      </c>
      <c r="H262" s="563" t="s">
        <v>20</v>
      </c>
      <c r="I262" s="563" t="s">
        <v>2923</v>
      </c>
      <c r="J262" s="573">
        <v>43901</v>
      </c>
      <c r="K262" s="579" t="s">
        <v>3789</v>
      </c>
      <c r="L262" s="572"/>
      <c r="M262" s="572"/>
      <c r="N262" s="572"/>
      <c r="O262" s="572"/>
      <c r="P262" s="572"/>
      <c r="Q262" s="572"/>
      <c r="R262" s="572"/>
      <c r="S262" s="572"/>
      <c r="T262" s="572"/>
      <c r="U262" s="572"/>
      <c r="V262" s="572"/>
      <c r="W262" s="572"/>
      <c r="X262" s="572"/>
      <c r="Y262" s="572"/>
      <c r="Z262" s="572"/>
      <c r="AA262" s="572" t="s">
        <v>928</v>
      </c>
      <c r="AB262" s="572"/>
      <c r="AC262" s="572"/>
      <c r="AD262" s="572"/>
      <c r="AE262" s="572"/>
      <c r="AF262" s="572"/>
      <c r="AG262" s="572"/>
      <c r="AH262" s="572"/>
      <c r="AI262" s="572"/>
      <c r="AJ262" s="572"/>
      <c r="AK262" s="572"/>
      <c r="AL262" s="572"/>
      <c r="AM262" s="572"/>
      <c r="AN262" s="572"/>
      <c r="AO262" s="572"/>
      <c r="AP262" s="572"/>
      <c r="AQ262" s="572"/>
      <c r="AR262" s="572"/>
      <c r="AS262" s="572"/>
      <c r="AT262" s="572"/>
      <c r="AU262" s="572"/>
    </row>
    <row r="263" spans="1:47" ht="15.75" customHeight="1">
      <c r="A263" s="577">
        <v>44239</v>
      </c>
      <c r="B263" s="578" t="s">
        <v>6420</v>
      </c>
      <c r="C263" s="405" t="s">
        <v>2921</v>
      </c>
      <c r="D263" s="563" t="s">
        <v>6341</v>
      </c>
      <c r="E263" s="575">
        <v>0</v>
      </c>
      <c r="F263" s="563" t="s">
        <v>3109</v>
      </c>
      <c r="G263" s="573" t="s">
        <v>2923</v>
      </c>
      <c r="H263" s="573" t="s">
        <v>20</v>
      </c>
      <c r="I263" s="573" t="s">
        <v>2924</v>
      </c>
      <c r="J263" s="573">
        <v>43888</v>
      </c>
      <c r="K263" s="576" t="s">
        <v>3805</v>
      </c>
      <c r="L263" s="572"/>
      <c r="M263" s="572"/>
      <c r="N263" s="572"/>
      <c r="O263" s="572"/>
      <c r="P263" s="572"/>
      <c r="Q263" s="572"/>
      <c r="R263" s="572"/>
      <c r="S263" s="572"/>
      <c r="T263" s="572"/>
      <c r="U263" s="572"/>
      <c r="V263" s="572"/>
      <c r="W263" s="572"/>
      <c r="X263" s="572"/>
      <c r="Y263" s="572"/>
      <c r="Z263" s="572"/>
      <c r="AA263" s="572" t="s">
        <v>6341</v>
      </c>
      <c r="AB263" s="572"/>
      <c r="AC263" s="572"/>
      <c r="AD263" s="572"/>
      <c r="AE263" s="572"/>
      <c r="AF263" s="572"/>
      <c r="AG263" s="572"/>
      <c r="AH263" s="572"/>
      <c r="AI263" s="572"/>
      <c r="AJ263" s="572"/>
      <c r="AK263" s="572"/>
      <c r="AL263" s="572"/>
      <c r="AM263" s="572"/>
      <c r="AN263" s="572"/>
      <c r="AO263" s="572"/>
      <c r="AP263" s="572"/>
      <c r="AQ263" s="572"/>
      <c r="AR263" s="572"/>
      <c r="AS263" s="572"/>
      <c r="AT263" s="572"/>
      <c r="AU263" s="572"/>
    </row>
    <row r="264" spans="1:47" ht="15.75" customHeight="1">
      <c r="A264" s="577">
        <v>44246</v>
      </c>
      <c r="B264" s="578" t="s">
        <v>6421</v>
      </c>
      <c r="C264" s="405" t="s">
        <v>3785</v>
      </c>
      <c r="D264" s="563" t="s">
        <v>6341</v>
      </c>
      <c r="E264" s="575">
        <v>147535.35999999999</v>
      </c>
      <c r="F264" s="563" t="s">
        <v>3857</v>
      </c>
      <c r="G264" s="563" t="s">
        <v>2923</v>
      </c>
      <c r="H264" s="563" t="s">
        <v>20</v>
      </c>
      <c r="I264" s="563" t="s">
        <v>2923</v>
      </c>
      <c r="J264" s="573">
        <v>44180</v>
      </c>
      <c r="K264" s="579" t="s">
        <v>3795</v>
      </c>
      <c r="L264" s="572"/>
      <c r="M264" s="572"/>
      <c r="N264" s="572"/>
      <c r="O264" s="572"/>
      <c r="P264" s="572"/>
      <c r="Q264" s="572"/>
      <c r="R264" s="572"/>
      <c r="S264" s="572"/>
      <c r="T264" s="572"/>
      <c r="U264" s="572"/>
      <c r="V264" s="572"/>
      <c r="W264" s="572"/>
      <c r="X264" s="572"/>
      <c r="Y264" s="572"/>
      <c r="Z264" s="572"/>
      <c r="AA264" s="572"/>
      <c r="AB264" s="572"/>
      <c r="AC264" s="572"/>
      <c r="AD264" s="572"/>
      <c r="AE264" s="572"/>
      <c r="AF264" s="572"/>
      <c r="AG264" s="572"/>
      <c r="AH264" s="572"/>
      <c r="AI264" s="572"/>
      <c r="AJ264" s="572"/>
      <c r="AK264" s="572"/>
      <c r="AL264" s="572"/>
      <c r="AM264" s="572"/>
      <c r="AN264" s="572"/>
      <c r="AO264" s="572"/>
      <c r="AP264" s="572"/>
      <c r="AQ264" s="572"/>
      <c r="AR264" s="572"/>
      <c r="AS264" s="572"/>
      <c r="AT264" s="572"/>
      <c r="AU264" s="572"/>
    </row>
    <row r="265" spans="1:47" ht="15.75" customHeight="1">
      <c r="A265" s="577">
        <v>44246</v>
      </c>
      <c r="B265" s="578" t="s">
        <v>6362</v>
      </c>
      <c r="C265" s="405" t="s">
        <v>2921</v>
      </c>
      <c r="D265" s="563" t="s">
        <v>6341</v>
      </c>
      <c r="E265" s="575">
        <v>10000</v>
      </c>
      <c r="F265" s="563" t="s">
        <v>3509</v>
      </c>
      <c r="G265" s="573" t="s">
        <v>2923</v>
      </c>
      <c r="H265" s="573" t="s">
        <v>20</v>
      </c>
      <c r="I265" s="573" t="s">
        <v>2924</v>
      </c>
      <c r="J265" s="573">
        <v>43717</v>
      </c>
      <c r="K265" s="576" t="s">
        <v>4188</v>
      </c>
      <c r="L265" s="572"/>
      <c r="M265" s="572"/>
      <c r="N265" s="572"/>
      <c r="O265" s="572"/>
      <c r="P265" s="572"/>
      <c r="Q265" s="572"/>
      <c r="R265" s="572"/>
      <c r="S265" s="572"/>
      <c r="T265" s="572"/>
      <c r="U265" s="572"/>
      <c r="V265" s="572"/>
      <c r="W265" s="572"/>
      <c r="X265" s="572"/>
      <c r="Y265" s="572"/>
      <c r="Z265" s="572"/>
      <c r="AA265" s="572"/>
      <c r="AB265" s="572"/>
      <c r="AC265" s="572"/>
      <c r="AD265" s="572"/>
      <c r="AE265" s="572"/>
      <c r="AF265" s="572"/>
      <c r="AG265" s="572"/>
      <c r="AH265" s="572"/>
      <c r="AI265" s="572"/>
      <c r="AJ265" s="572"/>
      <c r="AK265" s="572"/>
      <c r="AL265" s="572"/>
      <c r="AM265" s="572"/>
      <c r="AN265" s="572"/>
      <c r="AO265" s="572"/>
      <c r="AP265" s="572"/>
      <c r="AQ265" s="572"/>
      <c r="AR265" s="572"/>
      <c r="AS265" s="572"/>
      <c r="AT265" s="572"/>
      <c r="AU265" s="572"/>
    </row>
    <row r="266" spans="1:47" ht="15.75" customHeight="1">
      <c r="A266" s="577">
        <v>44251</v>
      </c>
      <c r="B266" s="578" t="s">
        <v>6422</v>
      </c>
      <c r="C266" s="405" t="s">
        <v>2921</v>
      </c>
      <c r="D266" s="563" t="s">
        <v>6341</v>
      </c>
      <c r="E266" s="575">
        <v>7000</v>
      </c>
      <c r="F266" s="563" t="s">
        <v>3431</v>
      </c>
      <c r="G266" s="573" t="s">
        <v>19</v>
      </c>
      <c r="H266" s="573" t="s">
        <v>20</v>
      </c>
      <c r="I266" s="573" t="s">
        <v>3072</v>
      </c>
      <c r="J266" s="573">
        <v>43417</v>
      </c>
      <c r="K266" s="576" t="s">
        <v>5219</v>
      </c>
      <c r="L266" s="572"/>
      <c r="M266" s="572"/>
      <c r="N266" s="572"/>
      <c r="O266" s="572"/>
      <c r="P266" s="572"/>
      <c r="Q266" s="572"/>
      <c r="R266" s="572"/>
      <c r="S266" s="572"/>
      <c r="T266" s="572"/>
      <c r="U266" s="572"/>
      <c r="V266" s="572"/>
      <c r="W266" s="572"/>
      <c r="X266" s="572"/>
      <c r="Y266" s="572"/>
      <c r="Z266" s="572"/>
      <c r="AA266" s="572"/>
      <c r="AB266" s="572"/>
      <c r="AC266" s="572"/>
      <c r="AD266" s="572"/>
      <c r="AE266" s="572"/>
      <c r="AF266" s="572"/>
      <c r="AG266" s="572"/>
      <c r="AH266" s="572"/>
      <c r="AI266" s="572"/>
      <c r="AJ266" s="572"/>
      <c r="AK266" s="572"/>
      <c r="AL266" s="572"/>
      <c r="AM266" s="572"/>
      <c r="AN266" s="572"/>
      <c r="AO266" s="572"/>
      <c r="AP266" s="572"/>
      <c r="AQ266" s="572"/>
      <c r="AR266" s="572"/>
      <c r="AS266" s="572"/>
      <c r="AT266" s="572"/>
      <c r="AU266" s="572"/>
    </row>
    <row r="267" spans="1:47" ht="15.75" customHeight="1">
      <c r="A267" s="573">
        <v>44252</v>
      </c>
      <c r="B267" s="574" t="s">
        <v>6352</v>
      </c>
      <c r="C267" s="563" t="s">
        <v>3785</v>
      </c>
      <c r="D267" s="563" t="s">
        <v>3110</v>
      </c>
      <c r="E267" s="575">
        <v>0</v>
      </c>
      <c r="F267" s="563" t="s">
        <v>4665</v>
      </c>
      <c r="G267" s="563" t="s">
        <v>2923</v>
      </c>
      <c r="H267" s="563" t="s">
        <v>20</v>
      </c>
      <c r="I267" s="563" t="s">
        <v>2923</v>
      </c>
      <c r="J267" s="573">
        <v>44252</v>
      </c>
      <c r="K267" s="579" t="s">
        <v>3805</v>
      </c>
      <c r="L267" s="572"/>
      <c r="M267" s="572"/>
      <c r="N267" s="572"/>
      <c r="O267" s="572"/>
      <c r="P267" s="572"/>
      <c r="Q267" s="572"/>
      <c r="R267" s="572"/>
      <c r="S267" s="572"/>
      <c r="T267" s="572"/>
      <c r="U267" s="572"/>
      <c r="V267" s="572"/>
      <c r="W267" s="572"/>
      <c r="X267" s="572"/>
      <c r="Y267" s="572"/>
      <c r="Z267" s="572"/>
      <c r="AA267" s="572"/>
      <c r="AB267" s="572"/>
      <c r="AC267" s="572"/>
      <c r="AD267" s="572"/>
      <c r="AE267" s="572"/>
      <c r="AF267" s="572"/>
      <c r="AG267" s="572"/>
      <c r="AH267" s="572"/>
      <c r="AI267" s="572"/>
      <c r="AJ267" s="572"/>
      <c r="AK267" s="572"/>
      <c r="AL267" s="572"/>
      <c r="AM267" s="572"/>
      <c r="AN267" s="572"/>
      <c r="AO267" s="572"/>
      <c r="AP267" s="572"/>
      <c r="AQ267" s="572"/>
      <c r="AR267" s="572"/>
      <c r="AS267" s="572"/>
      <c r="AT267" s="572"/>
      <c r="AU267" s="572"/>
    </row>
    <row r="268" spans="1:47" ht="15.75" customHeight="1">
      <c r="A268" s="577">
        <v>44252</v>
      </c>
      <c r="B268" s="578" t="s">
        <v>6360</v>
      </c>
      <c r="C268" s="405" t="s">
        <v>3785</v>
      </c>
      <c r="D268" s="563" t="s">
        <v>6341</v>
      </c>
      <c r="E268" s="575">
        <v>359512.5</v>
      </c>
      <c r="F268" s="563" t="s">
        <v>5111</v>
      </c>
      <c r="G268" s="563" t="s">
        <v>2923</v>
      </c>
      <c r="H268" s="563" t="s">
        <v>20</v>
      </c>
      <c r="I268" s="563" t="s">
        <v>2923</v>
      </c>
      <c r="J268" s="573">
        <v>44225</v>
      </c>
      <c r="K268" s="579" t="s">
        <v>3795</v>
      </c>
      <c r="L268" s="572"/>
      <c r="M268" s="572"/>
      <c r="N268" s="572"/>
      <c r="O268" s="572"/>
      <c r="P268" s="572"/>
      <c r="Q268" s="572"/>
      <c r="R268" s="572"/>
      <c r="S268" s="572"/>
      <c r="T268" s="572"/>
      <c r="U268" s="572"/>
      <c r="V268" s="572"/>
      <c r="W268" s="572"/>
      <c r="X268" s="572"/>
      <c r="Y268" s="572"/>
      <c r="Z268" s="572"/>
      <c r="AA268" s="572"/>
      <c r="AB268" s="572"/>
      <c r="AC268" s="572"/>
      <c r="AD268" s="572"/>
      <c r="AE268" s="572"/>
      <c r="AF268" s="572"/>
      <c r="AG268" s="572"/>
      <c r="AH268" s="572"/>
      <c r="AI268" s="572"/>
      <c r="AJ268" s="572"/>
      <c r="AK268" s="572"/>
      <c r="AL268" s="572"/>
      <c r="AM268" s="572"/>
      <c r="AN268" s="572"/>
      <c r="AO268" s="572"/>
      <c r="AP268" s="572"/>
      <c r="AQ268" s="572"/>
      <c r="AR268" s="572"/>
      <c r="AS268" s="572"/>
      <c r="AT268" s="572"/>
      <c r="AU268" s="572"/>
    </row>
    <row r="269" spans="1:47" ht="15.75" customHeight="1">
      <c r="A269" s="577">
        <v>44252</v>
      </c>
      <c r="B269" s="578" t="s">
        <v>6343</v>
      </c>
      <c r="C269" s="405" t="s">
        <v>3785</v>
      </c>
      <c r="D269" s="563" t="s">
        <v>6341</v>
      </c>
      <c r="E269" s="575">
        <v>0</v>
      </c>
      <c r="F269" s="563" t="s">
        <v>5048</v>
      </c>
      <c r="G269" s="563" t="s">
        <v>2923</v>
      </c>
      <c r="H269" s="563" t="s">
        <v>20</v>
      </c>
      <c r="I269" s="563" t="s">
        <v>2923</v>
      </c>
      <c r="J269" s="573">
        <v>43749</v>
      </c>
      <c r="K269" s="579" t="s">
        <v>4188</v>
      </c>
      <c r="L269" s="572"/>
      <c r="M269" s="572"/>
      <c r="N269" s="572"/>
      <c r="O269" s="572"/>
      <c r="P269" s="572"/>
      <c r="Q269" s="572"/>
      <c r="R269" s="572"/>
      <c r="S269" s="572"/>
      <c r="T269" s="572"/>
      <c r="U269" s="572"/>
      <c r="V269" s="572"/>
      <c r="W269" s="572"/>
      <c r="X269" s="572"/>
      <c r="Y269" s="572"/>
      <c r="Z269" s="572"/>
      <c r="AA269" s="572"/>
      <c r="AB269" s="572"/>
      <c r="AC269" s="572"/>
      <c r="AD269" s="572"/>
      <c r="AE269" s="572"/>
      <c r="AF269" s="572"/>
      <c r="AG269" s="572"/>
      <c r="AH269" s="572"/>
      <c r="AI269" s="572"/>
      <c r="AJ269" s="572"/>
      <c r="AK269" s="572"/>
      <c r="AL269" s="572"/>
      <c r="AM269" s="572"/>
      <c r="AN269" s="572"/>
      <c r="AO269" s="572"/>
      <c r="AP269" s="572"/>
      <c r="AQ269" s="572"/>
      <c r="AR269" s="572"/>
      <c r="AS269" s="572"/>
      <c r="AT269" s="572"/>
      <c r="AU269" s="572"/>
    </row>
    <row r="270" spans="1:47" ht="15.75" customHeight="1">
      <c r="A270" s="577">
        <v>44252</v>
      </c>
      <c r="B270" s="578" t="s">
        <v>6394</v>
      </c>
      <c r="C270" s="405" t="s">
        <v>3785</v>
      </c>
      <c r="D270" s="563" t="s">
        <v>6341</v>
      </c>
      <c r="E270" s="575">
        <v>30000</v>
      </c>
      <c r="F270" s="563" t="s">
        <v>5010</v>
      </c>
      <c r="G270" s="563" t="s">
        <v>2923</v>
      </c>
      <c r="H270" s="563" t="s">
        <v>20</v>
      </c>
      <c r="I270" s="563" t="s">
        <v>2923</v>
      </c>
      <c r="J270" s="573">
        <v>44043</v>
      </c>
      <c r="K270" s="579" t="s">
        <v>3795</v>
      </c>
      <c r="L270" s="572"/>
      <c r="M270" s="572"/>
      <c r="N270" s="572"/>
      <c r="O270" s="572"/>
      <c r="P270" s="572"/>
      <c r="Q270" s="572"/>
      <c r="R270" s="572"/>
      <c r="S270" s="572"/>
      <c r="T270" s="572"/>
      <c r="U270" s="572"/>
      <c r="V270" s="572"/>
      <c r="W270" s="572"/>
      <c r="X270" s="572"/>
      <c r="Y270" s="572"/>
      <c r="Z270" s="572"/>
      <c r="AA270" s="572"/>
      <c r="AB270" s="572"/>
      <c r="AC270" s="572"/>
      <c r="AD270" s="572"/>
      <c r="AE270" s="572"/>
      <c r="AF270" s="572"/>
      <c r="AG270" s="572"/>
      <c r="AH270" s="572"/>
      <c r="AI270" s="572"/>
      <c r="AJ270" s="572"/>
      <c r="AK270" s="572"/>
      <c r="AL270" s="572"/>
      <c r="AM270" s="572"/>
      <c r="AN270" s="572"/>
      <c r="AO270" s="572"/>
      <c r="AP270" s="572"/>
      <c r="AQ270" s="572"/>
      <c r="AR270" s="572"/>
      <c r="AS270" s="572"/>
      <c r="AT270" s="572"/>
      <c r="AU270" s="572"/>
    </row>
    <row r="271" spans="1:47" ht="15.75" customHeight="1">
      <c r="A271" s="573">
        <v>44253</v>
      </c>
      <c r="B271" s="574" t="s">
        <v>6423</v>
      </c>
      <c r="C271" s="563" t="s">
        <v>3785</v>
      </c>
      <c r="D271" s="563" t="s">
        <v>3110</v>
      </c>
      <c r="E271" s="575">
        <v>0</v>
      </c>
      <c r="F271" s="563" t="s">
        <v>4138</v>
      </c>
      <c r="G271" s="563" t="s">
        <v>64</v>
      </c>
      <c r="H271" s="563" t="s">
        <v>20</v>
      </c>
      <c r="I271" s="563" t="s">
        <v>247</v>
      </c>
      <c r="J271" s="573">
        <v>44183</v>
      </c>
      <c r="K271" s="579" t="s">
        <v>3795</v>
      </c>
      <c r="L271" s="572"/>
      <c r="M271" s="572"/>
      <c r="N271" s="572"/>
      <c r="O271" s="572"/>
      <c r="P271" s="572"/>
      <c r="Q271" s="572"/>
      <c r="R271" s="572"/>
      <c r="S271" s="572"/>
      <c r="T271" s="572"/>
      <c r="U271" s="572"/>
      <c r="V271" s="572"/>
      <c r="W271" s="572"/>
      <c r="X271" s="572"/>
      <c r="Y271" s="572"/>
      <c r="Z271" s="572"/>
      <c r="AA271" s="572"/>
      <c r="AB271" s="572"/>
      <c r="AC271" s="572"/>
      <c r="AD271" s="572"/>
      <c r="AE271" s="572"/>
      <c r="AF271" s="572"/>
      <c r="AG271" s="572"/>
      <c r="AH271" s="572"/>
      <c r="AI271" s="572"/>
      <c r="AJ271" s="572"/>
      <c r="AK271" s="572"/>
      <c r="AL271" s="572"/>
      <c r="AM271" s="572"/>
      <c r="AN271" s="572"/>
      <c r="AO271" s="572"/>
      <c r="AP271" s="572"/>
      <c r="AQ271" s="572"/>
      <c r="AR271" s="572"/>
      <c r="AS271" s="572"/>
      <c r="AT271" s="572"/>
      <c r="AU271" s="572"/>
    </row>
    <row r="272" spans="1:47" ht="15.75" customHeight="1">
      <c r="A272" s="577">
        <v>44253</v>
      </c>
      <c r="B272" s="578" t="s">
        <v>6424</v>
      </c>
      <c r="C272" s="405" t="s">
        <v>3785</v>
      </c>
      <c r="D272" s="563" t="s">
        <v>6341</v>
      </c>
      <c r="E272" s="575">
        <v>600000</v>
      </c>
      <c r="F272" s="563" t="s">
        <v>4652</v>
      </c>
      <c r="G272" s="563" t="s">
        <v>64</v>
      </c>
      <c r="H272" s="563" t="s">
        <v>20</v>
      </c>
      <c r="I272" s="563" t="s">
        <v>73</v>
      </c>
      <c r="J272" s="573">
        <v>44067</v>
      </c>
      <c r="K272" s="579" t="s">
        <v>3809</v>
      </c>
      <c r="L272" s="572"/>
      <c r="M272" s="572"/>
      <c r="N272" s="572"/>
      <c r="O272" s="572"/>
      <c r="P272" s="572"/>
      <c r="Q272" s="572"/>
      <c r="R272" s="572"/>
      <c r="S272" s="572"/>
      <c r="T272" s="572"/>
      <c r="U272" s="572"/>
      <c r="V272" s="572"/>
      <c r="W272" s="572"/>
      <c r="X272" s="572"/>
      <c r="Y272" s="572"/>
      <c r="Z272" s="572"/>
      <c r="AA272" s="572"/>
      <c r="AB272" s="572"/>
      <c r="AC272" s="572"/>
      <c r="AD272" s="572"/>
      <c r="AE272" s="572"/>
      <c r="AF272" s="572"/>
      <c r="AG272" s="572"/>
      <c r="AH272" s="572"/>
      <c r="AI272" s="572"/>
      <c r="AJ272" s="572"/>
      <c r="AK272" s="572"/>
      <c r="AL272" s="572"/>
      <c r="AM272" s="572"/>
      <c r="AN272" s="572"/>
      <c r="AO272" s="572"/>
      <c r="AP272" s="572"/>
      <c r="AQ272" s="572"/>
      <c r="AR272" s="572"/>
      <c r="AS272" s="572"/>
      <c r="AT272" s="572"/>
      <c r="AU272" s="572"/>
    </row>
    <row r="273" spans="1:47" ht="15.75" customHeight="1">
      <c r="A273" s="577">
        <v>44253</v>
      </c>
      <c r="B273" s="578" t="s">
        <v>6423</v>
      </c>
      <c r="C273" s="405" t="s">
        <v>3785</v>
      </c>
      <c r="D273" s="563" t="s">
        <v>6341</v>
      </c>
      <c r="E273" s="575">
        <v>33961.75</v>
      </c>
      <c r="F273" s="563" t="s">
        <v>4138</v>
      </c>
      <c r="G273" s="563" t="s">
        <v>64</v>
      </c>
      <c r="H273" s="563" t="s">
        <v>20</v>
      </c>
      <c r="I273" s="563" t="s">
        <v>247</v>
      </c>
      <c r="J273" s="573">
        <v>44183</v>
      </c>
      <c r="K273" s="579" t="s">
        <v>3795</v>
      </c>
      <c r="L273" s="572"/>
      <c r="M273" s="572"/>
      <c r="N273" s="572"/>
      <c r="O273" s="572"/>
      <c r="P273" s="572"/>
      <c r="Q273" s="572"/>
      <c r="R273" s="572"/>
      <c r="S273" s="572"/>
      <c r="T273" s="572"/>
      <c r="U273" s="572"/>
      <c r="V273" s="572"/>
      <c r="W273" s="572"/>
      <c r="X273" s="572"/>
      <c r="Y273" s="572"/>
      <c r="Z273" s="572"/>
      <c r="AA273" s="572"/>
      <c r="AB273" s="572"/>
      <c r="AC273" s="572"/>
      <c r="AD273" s="572"/>
      <c r="AE273" s="572"/>
      <c r="AF273" s="572"/>
      <c r="AG273" s="572"/>
      <c r="AH273" s="572"/>
      <c r="AI273" s="572"/>
      <c r="AJ273" s="572"/>
      <c r="AK273" s="572"/>
      <c r="AL273" s="572"/>
      <c r="AM273" s="572"/>
      <c r="AN273" s="572"/>
      <c r="AO273" s="572"/>
      <c r="AP273" s="572"/>
      <c r="AQ273" s="572"/>
      <c r="AR273" s="572"/>
      <c r="AS273" s="572"/>
      <c r="AT273" s="572"/>
      <c r="AU273" s="572"/>
    </row>
    <row r="274" spans="1:47" ht="15.75" customHeight="1">
      <c r="A274" s="577">
        <v>44258</v>
      </c>
      <c r="B274" s="578" t="s">
        <v>6355</v>
      </c>
      <c r="C274" s="405" t="s">
        <v>2921</v>
      </c>
      <c r="D274" s="563" t="s">
        <v>6341</v>
      </c>
      <c r="E274" s="575">
        <v>47591.43</v>
      </c>
      <c r="F274" s="563" t="s">
        <v>3236</v>
      </c>
      <c r="G274" s="573" t="s">
        <v>2923</v>
      </c>
      <c r="H274" s="573" t="s">
        <v>20</v>
      </c>
      <c r="I274" s="573" t="s">
        <v>2930</v>
      </c>
      <c r="J274" s="573">
        <v>43559</v>
      </c>
      <c r="K274" s="576" t="s">
        <v>4188</v>
      </c>
      <c r="L274" s="572"/>
      <c r="M274" s="572"/>
      <c r="N274" s="572"/>
      <c r="O274" s="572"/>
      <c r="P274" s="572"/>
      <c r="Q274" s="572"/>
      <c r="R274" s="572"/>
      <c r="S274" s="572"/>
      <c r="T274" s="572"/>
      <c r="U274" s="572"/>
      <c r="V274" s="572"/>
      <c r="W274" s="572"/>
      <c r="X274" s="572"/>
      <c r="Y274" s="572"/>
      <c r="Z274" s="572"/>
      <c r="AA274" s="572"/>
      <c r="AB274" s="572"/>
      <c r="AC274" s="572"/>
      <c r="AD274" s="572"/>
      <c r="AE274" s="572"/>
      <c r="AF274" s="572"/>
      <c r="AG274" s="572"/>
      <c r="AH274" s="572"/>
      <c r="AI274" s="572"/>
      <c r="AJ274" s="572"/>
      <c r="AK274" s="572"/>
      <c r="AL274" s="572"/>
      <c r="AM274" s="572"/>
      <c r="AN274" s="572"/>
      <c r="AO274" s="572"/>
      <c r="AP274" s="572"/>
      <c r="AQ274" s="572"/>
      <c r="AR274" s="572"/>
      <c r="AS274" s="572"/>
      <c r="AT274" s="572"/>
      <c r="AU274" s="572"/>
    </row>
    <row r="275" spans="1:47" ht="15.75" customHeight="1">
      <c r="A275" s="577">
        <v>44258</v>
      </c>
      <c r="B275" s="578" t="s">
        <v>6425</v>
      </c>
      <c r="C275" s="405" t="s">
        <v>2921</v>
      </c>
      <c r="D275" s="563" t="s">
        <v>928</v>
      </c>
      <c r="E275" s="575">
        <v>5000</v>
      </c>
      <c r="F275" s="563" t="s">
        <v>3071</v>
      </c>
      <c r="G275" s="573" t="s">
        <v>19</v>
      </c>
      <c r="H275" s="573" t="s">
        <v>20</v>
      </c>
      <c r="I275" s="573" t="s">
        <v>3072</v>
      </c>
      <c r="J275" s="573">
        <v>43416</v>
      </c>
      <c r="K275" s="576" t="s">
        <v>3809</v>
      </c>
      <c r="L275" s="572"/>
      <c r="M275" s="572"/>
      <c r="N275" s="572"/>
      <c r="O275" s="572"/>
      <c r="P275" s="572"/>
      <c r="Q275" s="572"/>
      <c r="R275" s="572"/>
      <c r="S275" s="572"/>
      <c r="T275" s="572"/>
      <c r="U275" s="572"/>
      <c r="V275" s="572"/>
      <c r="W275" s="572"/>
      <c r="X275" s="572"/>
      <c r="Y275" s="572"/>
      <c r="Z275" s="572"/>
      <c r="AA275" s="572"/>
      <c r="AB275" s="572"/>
      <c r="AC275" s="572"/>
      <c r="AD275" s="572"/>
      <c r="AE275" s="572"/>
      <c r="AF275" s="572"/>
      <c r="AG275" s="572"/>
      <c r="AH275" s="572"/>
      <c r="AI275" s="572"/>
      <c r="AJ275" s="572"/>
      <c r="AK275" s="572"/>
      <c r="AL275" s="572"/>
      <c r="AM275" s="572"/>
      <c r="AN275" s="572"/>
      <c r="AO275" s="572"/>
      <c r="AP275" s="572"/>
      <c r="AQ275" s="572"/>
      <c r="AR275" s="572"/>
      <c r="AS275" s="572"/>
      <c r="AT275" s="572"/>
      <c r="AU275" s="572"/>
    </row>
    <row r="276" spans="1:47" ht="15.75" customHeight="1">
      <c r="A276" s="577">
        <v>44258</v>
      </c>
      <c r="B276" s="578" t="s">
        <v>3696</v>
      </c>
      <c r="C276" s="405" t="s">
        <v>3607</v>
      </c>
      <c r="D276" s="563" t="s">
        <v>928</v>
      </c>
      <c r="E276" s="575">
        <v>721960.02</v>
      </c>
      <c r="F276" s="563" t="s">
        <v>3695</v>
      </c>
      <c r="G276" s="573" t="s">
        <v>19</v>
      </c>
      <c r="H276" s="573" t="s">
        <v>20</v>
      </c>
      <c r="I276" s="573" t="s">
        <v>2512</v>
      </c>
      <c r="J276" s="573">
        <v>43797</v>
      </c>
      <c r="K276" s="576" t="s">
        <v>3805</v>
      </c>
      <c r="L276" s="572"/>
      <c r="M276" s="572"/>
      <c r="N276" s="572"/>
      <c r="O276" s="572"/>
      <c r="P276" s="572"/>
      <c r="Q276" s="572"/>
      <c r="R276" s="572"/>
      <c r="S276" s="572"/>
      <c r="T276" s="572"/>
      <c r="U276" s="572"/>
      <c r="V276" s="572"/>
      <c r="W276" s="572"/>
      <c r="X276" s="572"/>
      <c r="Y276" s="572"/>
      <c r="Z276" s="572"/>
      <c r="AA276" s="572"/>
      <c r="AB276" s="572"/>
      <c r="AC276" s="572"/>
      <c r="AD276" s="572"/>
      <c r="AE276" s="572"/>
      <c r="AF276" s="572"/>
      <c r="AG276" s="572"/>
      <c r="AH276" s="572"/>
      <c r="AI276" s="572"/>
      <c r="AJ276" s="572"/>
      <c r="AK276" s="572"/>
      <c r="AL276" s="572"/>
      <c r="AM276" s="572"/>
      <c r="AN276" s="572"/>
      <c r="AO276" s="572"/>
      <c r="AP276" s="572"/>
      <c r="AQ276" s="572"/>
      <c r="AR276" s="572"/>
      <c r="AS276" s="572"/>
      <c r="AT276" s="572"/>
      <c r="AU276" s="572"/>
    </row>
    <row r="277" spans="1:47" ht="15.75" customHeight="1">
      <c r="A277" s="577">
        <v>44260</v>
      </c>
      <c r="B277" s="578" t="s">
        <v>6373</v>
      </c>
      <c r="C277" s="405" t="s">
        <v>2921</v>
      </c>
      <c r="D277" s="563" t="s">
        <v>6341</v>
      </c>
      <c r="E277" s="575">
        <v>50844.88</v>
      </c>
      <c r="F277" s="563" t="s">
        <v>3164</v>
      </c>
      <c r="G277" s="573" t="s">
        <v>2923</v>
      </c>
      <c r="H277" s="573" t="s">
        <v>20</v>
      </c>
      <c r="I277" s="573" t="s">
        <v>2924</v>
      </c>
      <c r="J277" s="573">
        <v>43888</v>
      </c>
      <c r="K277" s="576" t="s">
        <v>3795</v>
      </c>
      <c r="L277" s="572"/>
      <c r="M277" s="572"/>
      <c r="N277" s="572"/>
      <c r="O277" s="572"/>
      <c r="P277" s="572"/>
      <c r="Q277" s="572"/>
      <c r="R277" s="572"/>
      <c r="S277" s="572"/>
      <c r="T277" s="572"/>
      <c r="U277" s="572"/>
      <c r="V277" s="572"/>
      <c r="W277" s="572"/>
      <c r="X277" s="572"/>
      <c r="Y277" s="572"/>
      <c r="Z277" s="572"/>
      <c r="AA277" s="572"/>
      <c r="AB277" s="572"/>
      <c r="AC277" s="572"/>
      <c r="AD277" s="572"/>
      <c r="AE277" s="572"/>
      <c r="AF277" s="572"/>
      <c r="AG277" s="572"/>
      <c r="AH277" s="572"/>
      <c r="AI277" s="572"/>
      <c r="AJ277" s="572"/>
      <c r="AK277" s="572"/>
      <c r="AL277" s="572"/>
      <c r="AM277" s="572"/>
      <c r="AN277" s="572"/>
      <c r="AO277" s="572"/>
      <c r="AP277" s="572"/>
      <c r="AQ277" s="572"/>
      <c r="AR277" s="572"/>
      <c r="AS277" s="572"/>
      <c r="AT277" s="572"/>
      <c r="AU277" s="572"/>
    </row>
    <row r="278" spans="1:47" ht="15.75" customHeight="1">
      <c r="A278" s="577">
        <v>44263</v>
      </c>
      <c r="B278" s="578" t="s">
        <v>6426</v>
      </c>
      <c r="C278" s="405" t="s">
        <v>2921</v>
      </c>
      <c r="D278" s="563" t="s">
        <v>6341</v>
      </c>
      <c r="E278" s="575">
        <v>20000</v>
      </c>
      <c r="F278" s="563" t="s">
        <v>3247</v>
      </c>
      <c r="G278" s="573" t="s">
        <v>19</v>
      </c>
      <c r="H278" s="573" t="s">
        <v>20</v>
      </c>
      <c r="I278" s="573" t="s">
        <v>3072</v>
      </c>
      <c r="J278" s="573">
        <v>43515</v>
      </c>
      <c r="K278" s="576" t="s">
        <v>3809</v>
      </c>
      <c r="L278" s="572"/>
      <c r="M278" s="572"/>
      <c r="N278" s="572"/>
      <c r="O278" s="572"/>
      <c r="P278" s="572"/>
      <c r="Q278" s="572"/>
      <c r="R278" s="572"/>
      <c r="S278" s="572"/>
      <c r="T278" s="572"/>
      <c r="U278" s="572"/>
      <c r="V278" s="572"/>
      <c r="W278" s="572"/>
      <c r="X278" s="572"/>
      <c r="Y278" s="572"/>
      <c r="Z278" s="572"/>
      <c r="AA278" s="572"/>
      <c r="AB278" s="572"/>
      <c r="AC278" s="572"/>
      <c r="AD278" s="572"/>
      <c r="AE278" s="572"/>
      <c r="AF278" s="572"/>
      <c r="AG278" s="572"/>
      <c r="AH278" s="572"/>
      <c r="AI278" s="572"/>
      <c r="AJ278" s="572"/>
      <c r="AK278" s="572"/>
      <c r="AL278" s="572"/>
      <c r="AM278" s="572"/>
      <c r="AN278" s="572"/>
      <c r="AO278" s="572"/>
      <c r="AP278" s="572"/>
      <c r="AQ278" s="572"/>
      <c r="AR278" s="572"/>
      <c r="AS278" s="572"/>
      <c r="AT278" s="572"/>
      <c r="AU278" s="572"/>
    </row>
    <row r="279" spans="1:47" ht="15.75" customHeight="1">
      <c r="A279" s="573">
        <v>44264</v>
      </c>
      <c r="B279" s="574" t="s">
        <v>6373</v>
      </c>
      <c r="C279" s="563" t="s">
        <v>2921</v>
      </c>
      <c r="D279" s="563" t="s">
        <v>3110</v>
      </c>
      <c r="E279" s="575">
        <v>111979.59</v>
      </c>
      <c r="F279" s="563" t="s">
        <v>3164</v>
      </c>
      <c r="G279" s="573" t="s">
        <v>2923</v>
      </c>
      <c r="H279" s="573" t="s">
        <v>20</v>
      </c>
      <c r="I279" s="573" t="s">
        <v>2924</v>
      </c>
      <c r="J279" s="573">
        <v>43888</v>
      </c>
      <c r="K279" s="576" t="s">
        <v>3795</v>
      </c>
      <c r="L279" s="572"/>
      <c r="M279" s="572"/>
      <c r="N279" s="572"/>
      <c r="O279" s="572"/>
      <c r="P279" s="572"/>
      <c r="Q279" s="572"/>
      <c r="R279" s="572"/>
      <c r="S279" s="572"/>
      <c r="T279" s="572"/>
      <c r="U279" s="572"/>
      <c r="V279" s="572"/>
      <c r="W279" s="572"/>
      <c r="X279" s="572"/>
      <c r="Y279" s="572"/>
      <c r="Z279" s="572"/>
      <c r="AA279" s="572"/>
      <c r="AB279" s="572"/>
      <c r="AC279" s="572"/>
      <c r="AD279" s="572"/>
      <c r="AE279" s="572"/>
      <c r="AF279" s="572"/>
      <c r="AG279" s="572"/>
      <c r="AH279" s="572"/>
      <c r="AI279" s="572"/>
      <c r="AJ279" s="572"/>
      <c r="AK279" s="572"/>
      <c r="AL279" s="572"/>
      <c r="AM279" s="572"/>
      <c r="AN279" s="572"/>
      <c r="AO279" s="572"/>
      <c r="AP279" s="572"/>
      <c r="AQ279" s="572"/>
      <c r="AR279" s="572"/>
      <c r="AS279" s="572"/>
      <c r="AT279" s="572"/>
      <c r="AU279" s="572"/>
    </row>
    <row r="280" spans="1:47" ht="15.75" customHeight="1">
      <c r="A280" s="577">
        <v>44264</v>
      </c>
      <c r="B280" s="578" t="s">
        <v>6414</v>
      </c>
      <c r="C280" s="405" t="s">
        <v>3785</v>
      </c>
      <c r="D280" s="563" t="s">
        <v>928</v>
      </c>
      <c r="E280" s="575">
        <v>100000</v>
      </c>
      <c r="F280" s="563" t="s">
        <v>3990</v>
      </c>
      <c r="G280" s="563" t="s">
        <v>2923</v>
      </c>
      <c r="H280" s="563" t="s">
        <v>20</v>
      </c>
      <c r="I280" s="563" t="s">
        <v>2923</v>
      </c>
      <c r="J280" s="573">
        <v>43847</v>
      </c>
      <c r="K280" s="579" t="s">
        <v>3795</v>
      </c>
      <c r="L280" s="572"/>
      <c r="M280" s="572"/>
      <c r="N280" s="572"/>
      <c r="O280" s="572"/>
      <c r="P280" s="572"/>
      <c r="Q280" s="572"/>
      <c r="R280" s="572"/>
      <c r="S280" s="572"/>
      <c r="T280" s="572"/>
      <c r="U280" s="572"/>
      <c r="V280" s="572"/>
      <c r="W280" s="572"/>
      <c r="X280" s="572"/>
      <c r="Y280" s="572"/>
      <c r="Z280" s="572"/>
      <c r="AA280" s="572"/>
      <c r="AB280" s="572"/>
      <c r="AC280" s="572"/>
      <c r="AD280" s="572"/>
      <c r="AE280" s="572"/>
      <c r="AF280" s="572"/>
      <c r="AG280" s="572"/>
      <c r="AH280" s="572"/>
      <c r="AI280" s="572"/>
      <c r="AJ280" s="572"/>
      <c r="AK280" s="572"/>
      <c r="AL280" s="572"/>
      <c r="AM280" s="572"/>
      <c r="AN280" s="572"/>
      <c r="AO280" s="572"/>
      <c r="AP280" s="572"/>
      <c r="AQ280" s="572"/>
      <c r="AR280" s="572"/>
      <c r="AS280" s="572"/>
      <c r="AT280" s="572"/>
      <c r="AU280" s="572"/>
    </row>
    <row r="281" spans="1:47" ht="15.75" customHeight="1">
      <c r="A281" s="577">
        <v>44264</v>
      </c>
      <c r="B281" s="578" t="s">
        <v>6394</v>
      </c>
      <c r="C281" s="405" t="s">
        <v>3785</v>
      </c>
      <c r="D281" s="563" t="s">
        <v>928</v>
      </c>
      <c r="E281" s="575">
        <v>900000</v>
      </c>
      <c r="F281" s="563" t="s">
        <v>5010</v>
      </c>
      <c r="G281" s="563" t="s">
        <v>2923</v>
      </c>
      <c r="H281" s="563" t="s">
        <v>20</v>
      </c>
      <c r="I281" s="563" t="s">
        <v>2923</v>
      </c>
      <c r="J281" s="573">
        <v>44043</v>
      </c>
      <c r="K281" s="579" t="s">
        <v>3795</v>
      </c>
      <c r="L281" s="572"/>
      <c r="M281" s="572"/>
      <c r="N281" s="572"/>
      <c r="O281" s="572"/>
      <c r="P281" s="572"/>
      <c r="Q281" s="572"/>
      <c r="R281" s="572"/>
      <c r="S281" s="572"/>
      <c r="T281" s="572"/>
      <c r="U281" s="572"/>
      <c r="V281" s="572"/>
      <c r="W281" s="572"/>
      <c r="X281" s="572"/>
      <c r="Y281" s="572"/>
      <c r="Z281" s="572"/>
      <c r="AA281" s="572"/>
      <c r="AB281" s="572"/>
      <c r="AC281" s="572"/>
      <c r="AD281" s="572"/>
      <c r="AE281" s="572"/>
      <c r="AF281" s="572"/>
      <c r="AG281" s="572"/>
      <c r="AH281" s="572"/>
      <c r="AI281" s="572"/>
      <c r="AJ281" s="572"/>
      <c r="AK281" s="572"/>
      <c r="AL281" s="572"/>
      <c r="AM281" s="572"/>
      <c r="AN281" s="572"/>
      <c r="AO281" s="572"/>
      <c r="AP281" s="572"/>
      <c r="AQ281" s="572"/>
      <c r="AR281" s="572"/>
      <c r="AS281" s="572"/>
      <c r="AT281" s="572"/>
      <c r="AU281" s="572"/>
    </row>
    <row r="282" spans="1:47" ht="15.75" customHeight="1">
      <c r="A282" s="577">
        <v>44264</v>
      </c>
      <c r="B282" s="578" t="s">
        <v>6427</v>
      </c>
      <c r="C282" s="405" t="s">
        <v>3785</v>
      </c>
      <c r="D282" s="563" t="s">
        <v>928</v>
      </c>
      <c r="E282" s="575">
        <v>13000</v>
      </c>
      <c r="F282" s="563" t="s">
        <v>4643</v>
      </c>
      <c r="G282" s="563" t="s">
        <v>2923</v>
      </c>
      <c r="H282" s="563" t="s">
        <v>20</v>
      </c>
      <c r="I282" s="563" t="s">
        <v>2923</v>
      </c>
      <c r="J282" s="573">
        <v>44070</v>
      </c>
      <c r="K282" s="579" t="s">
        <v>3789</v>
      </c>
      <c r="L282" s="572"/>
      <c r="M282" s="572"/>
      <c r="N282" s="572"/>
      <c r="O282" s="572"/>
      <c r="P282" s="572"/>
      <c r="Q282" s="572"/>
      <c r="R282" s="572"/>
      <c r="S282" s="572"/>
      <c r="T282" s="572"/>
      <c r="U282" s="572"/>
      <c r="V282" s="572"/>
      <c r="W282" s="572"/>
      <c r="X282" s="572"/>
      <c r="Y282" s="572"/>
      <c r="Z282" s="572"/>
      <c r="AA282" s="572"/>
      <c r="AB282" s="572"/>
      <c r="AC282" s="572"/>
      <c r="AD282" s="572"/>
      <c r="AE282" s="572"/>
      <c r="AF282" s="572"/>
      <c r="AG282" s="572"/>
      <c r="AH282" s="572"/>
      <c r="AI282" s="572"/>
      <c r="AJ282" s="572"/>
      <c r="AK282" s="572"/>
      <c r="AL282" s="572"/>
      <c r="AM282" s="572"/>
      <c r="AN282" s="572"/>
      <c r="AO282" s="572"/>
      <c r="AP282" s="572"/>
      <c r="AQ282" s="572"/>
      <c r="AR282" s="572"/>
      <c r="AS282" s="572"/>
      <c r="AT282" s="572"/>
      <c r="AU282" s="572"/>
    </row>
    <row r="283" spans="1:47" ht="15.75" customHeight="1">
      <c r="A283" s="573">
        <v>44270</v>
      </c>
      <c r="B283" s="574" t="s">
        <v>6428</v>
      </c>
      <c r="C283" s="563" t="s">
        <v>3785</v>
      </c>
      <c r="D283" s="563" t="s">
        <v>3110</v>
      </c>
      <c r="E283" s="575">
        <v>0</v>
      </c>
      <c r="F283" s="563" t="s">
        <v>4471</v>
      </c>
      <c r="G283" s="563" t="s">
        <v>64</v>
      </c>
      <c r="H283" s="563" t="s">
        <v>20</v>
      </c>
      <c r="I283" s="563" t="s">
        <v>6429</v>
      </c>
      <c r="J283" s="573">
        <v>44160</v>
      </c>
      <c r="K283" s="579" t="s">
        <v>3789</v>
      </c>
      <c r="L283" s="572"/>
      <c r="M283" s="572"/>
      <c r="N283" s="572"/>
      <c r="O283" s="572"/>
      <c r="P283" s="572"/>
      <c r="Q283" s="572"/>
      <c r="R283" s="572"/>
      <c r="S283" s="572"/>
      <c r="T283" s="572"/>
      <c r="U283" s="572"/>
      <c r="V283" s="572"/>
      <c r="W283" s="572"/>
      <c r="X283" s="572"/>
      <c r="Y283" s="572"/>
      <c r="Z283" s="572"/>
      <c r="AA283" s="572"/>
      <c r="AB283" s="572"/>
      <c r="AC283" s="572"/>
      <c r="AD283" s="572"/>
      <c r="AE283" s="572"/>
      <c r="AF283" s="572"/>
      <c r="AG283" s="572"/>
      <c r="AH283" s="572"/>
      <c r="AI283" s="572"/>
      <c r="AJ283" s="572"/>
      <c r="AK283" s="572"/>
      <c r="AL283" s="572"/>
      <c r="AM283" s="572"/>
      <c r="AN283" s="572"/>
      <c r="AO283" s="572"/>
      <c r="AP283" s="572"/>
      <c r="AQ283" s="572"/>
      <c r="AR283" s="572"/>
      <c r="AS283" s="572"/>
      <c r="AT283" s="572"/>
      <c r="AU283" s="572"/>
    </row>
    <row r="284" spans="1:47" ht="15.75" customHeight="1">
      <c r="A284" s="573">
        <v>44270</v>
      </c>
      <c r="B284" s="574" t="s">
        <v>6430</v>
      </c>
      <c r="C284" s="563" t="s">
        <v>3785</v>
      </c>
      <c r="D284" s="563" t="s">
        <v>3110</v>
      </c>
      <c r="E284" s="575">
        <v>0</v>
      </c>
      <c r="F284" s="563" t="s">
        <v>5079</v>
      </c>
      <c r="G284" s="563" t="s">
        <v>2923</v>
      </c>
      <c r="H284" s="563" t="s">
        <v>20</v>
      </c>
      <c r="I284" s="563" t="s">
        <v>2923</v>
      </c>
      <c r="J284" s="573">
        <v>44244</v>
      </c>
      <c r="K284" s="579" t="s">
        <v>3795</v>
      </c>
      <c r="L284" s="572"/>
      <c r="M284" s="572"/>
      <c r="N284" s="572"/>
      <c r="O284" s="572"/>
      <c r="P284" s="572"/>
      <c r="Q284" s="572"/>
      <c r="R284" s="572"/>
      <c r="S284" s="572"/>
      <c r="T284" s="572"/>
      <c r="U284" s="572"/>
      <c r="V284" s="572"/>
      <c r="W284" s="572"/>
      <c r="X284" s="572"/>
      <c r="Y284" s="572"/>
      <c r="Z284" s="572"/>
      <c r="AA284" s="572"/>
      <c r="AB284" s="572"/>
      <c r="AC284" s="572"/>
      <c r="AD284" s="572"/>
      <c r="AE284" s="572"/>
      <c r="AF284" s="572"/>
      <c r="AG284" s="572"/>
      <c r="AH284" s="572"/>
      <c r="AI284" s="572"/>
      <c r="AJ284" s="572"/>
      <c r="AK284" s="572"/>
      <c r="AL284" s="572"/>
      <c r="AM284" s="572"/>
      <c r="AN284" s="572"/>
      <c r="AO284" s="572"/>
      <c r="AP284" s="572"/>
      <c r="AQ284" s="572"/>
      <c r="AR284" s="572"/>
      <c r="AS284" s="572"/>
      <c r="AT284" s="572"/>
      <c r="AU284" s="572"/>
    </row>
    <row r="285" spans="1:47" ht="15.75" customHeight="1">
      <c r="A285" s="577">
        <v>44270</v>
      </c>
      <c r="B285" s="578" t="s">
        <v>6355</v>
      </c>
      <c r="C285" s="405" t="s">
        <v>2921</v>
      </c>
      <c r="D285" s="563" t="s">
        <v>6341</v>
      </c>
      <c r="E285" s="575">
        <v>100000</v>
      </c>
      <c r="F285" s="563" t="s">
        <v>3236</v>
      </c>
      <c r="G285" s="573" t="s">
        <v>2923</v>
      </c>
      <c r="H285" s="573" t="s">
        <v>20</v>
      </c>
      <c r="I285" s="573" t="s">
        <v>2930</v>
      </c>
      <c r="J285" s="573">
        <v>43559</v>
      </c>
      <c r="K285" s="576" t="s">
        <v>4188</v>
      </c>
      <c r="L285" s="572"/>
      <c r="M285" s="572"/>
      <c r="N285" s="572"/>
      <c r="O285" s="572"/>
      <c r="P285" s="572"/>
      <c r="Q285" s="572"/>
      <c r="R285" s="572"/>
      <c r="S285" s="572"/>
      <c r="T285" s="572"/>
      <c r="U285" s="572"/>
      <c r="V285" s="572"/>
      <c r="W285" s="572"/>
      <c r="X285" s="572"/>
      <c r="Y285" s="572"/>
      <c r="Z285" s="572"/>
      <c r="AA285" s="572"/>
      <c r="AB285" s="572"/>
      <c r="AC285" s="572"/>
      <c r="AD285" s="572"/>
      <c r="AE285" s="572"/>
      <c r="AF285" s="572"/>
      <c r="AG285" s="572"/>
      <c r="AH285" s="572"/>
      <c r="AI285" s="572"/>
      <c r="AJ285" s="572"/>
      <c r="AK285" s="572"/>
      <c r="AL285" s="572"/>
      <c r="AM285" s="572"/>
      <c r="AN285" s="572"/>
      <c r="AO285" s="572"/>
      <c r="AP285" s="572"/>
      <c r="AQ285" s="572"/>
      <c r="AR285" s="572"/>
      <c r="AS285" s="572"/>
      <c r="AT285" s="572"/>
      <c r="AU285" s="572"/>
    </row>
    <row r="286" spans="1:47" ht="15.75" customHeight="1">
      <c r="A286" s="577">
        <v>44274</v>
      </c>
      <c r="B286" s="578" t="s">
        <v>6360</v>
      </c>
      <c r="C286" s="405" t="s">
        <v>3785</v>
      </c>
      <c r="D286" s="563" t="s">
        <v>928</v>
      </c>
      <c r="E286" s="575">
        <v>12500</v>
      </c>
      <c r="F286" s="563" t="s">
        <v>5111</v>
      </c>
      <c r="G286" s="563" t="s">
        <v>2923</v>
      </c>
      <c r="H286" s="563" t="s">
        <v>20</v>
      </c>
      <c r="I286" s="563" t="s">
        <v>2923</v>
      </c>
      <c r="J286" s="573">
        <v>44225</v>
      </c>
      <c r="K286" s="579" t="s">
        <v>3795</v>
      </c>
      <c r="L286" s="572"/>
      <c r="M286" s="572"/>
      <c r="N286" s="572"/>
      <c r="O286" s="572"/>
      <c r="P286" s="572"/>
      <c r="Q286" s="572"/>
      <c r="R286" s="572"/>
      <c r="S286" s="572"/>
      <c r="T286" s="572"/>
      <c r="U286" s="572"/>
      <c r="V286" s="572"/>
      <c r="W286" s="572"/>
      <c r="X286" s="572"/>
      <c r="Y286" s="572"/>
      <c r="Z286" s="572"/>
      <c r="AA286" s="572"/>
      <c r="AB286" s="572"/>
      <c r="AC286" s="572"/>
      <c r="AD286" s="572"/>
      <c r="AE286" s="572"/>
      <c r="AF286" s="572"/>
      <c r="AG286" s="572"/>
      <c r="AH286" s="572"/>
      <c r="AI286" s="572"/>
      <c r="AJ286" s="572"/>
      <c r="AK286" s="572"/>
      <c r="AL286" s="572"/>
      <c r="AM286" s="572"/>
      <c r="AN286" s="572"/>
      <c r="AO286" s="572"/>
      <c r="AP286" s="572"/>
      <c r="AQ286" s="572"/>
      <c r="AR286" s="572"/>
      <c r="AS286" s="572"/>
      <c r="AT286" s="572"/>
      <c r="AU286" s="572"/>
    </row>
    <row r="287" spans="1:47" ht="15.75" customHeight="1">
      <c r="A287" s="577">
        <v>44277</v>
      </c>
      <c r="B287" s="578" t="s">
        <v>6431</v>
      </c>
      <c r="C287" s="405" t="s">
        <v>3785</v>
      </c>
      <c r="D287" s="563" t="s">
        <v>928</v>
      </c>
      <c r="E287" s="575">
        <v>10000</v>
      </c>
      <c r="F287" s="563" t="s">
        <v>5246</v>
      </c>
      <c r="G287" s="563" t="s">
        <v>2923</v>
      </c>
      <c r="H287" s="563" t="s">
        <v>20</v>
      </c>
      <c r="I287" s="563" t="s">
        <v>2923</v>
      </c>
      <c r="J287" s="573">
        <v>44075</v>
      </c>
      <c r="K287" s="592" t="s">
        <v>3795</v>
      </c>
      <c r="L287" s="572"/>
      <c r="M287" s="572"/>
      <c r="N287" s="572"/>
      <c r="O287" s="572"/>
      <c r="P287" s="572"/>
      <c r="Q287" s="572"/>
      <c r="R287" s="572"/>
      <c r="S287" s="572"/>
      <c r="T287" s="572"/>
      <c r="U287" s="572"/>
      <c r="V287" s="572"/>
      <c r="W287" s="572"/>
      <c r="X287" s="572"/>
      <c r="Y287" s="572"/>
      <c r="Z287" s="572"/>
      <c r="AA287" s="572"/>
      <c r="AB287" s="572"/>
      <c r="AC287" s="572"/>
      <c r="AD287" s="572"/>
      <c r="AE287" s="572"/>
      <c r="AF287" s="572"/>
      <c r="AG287" s="572"/>
      <c r="AH287" s="572"/>
      <c r="AI287" s="572"/>
      <c r="AJ287" s="572"/>
      <c r="AK287" s="572"/>
      <c r="AL287" s="572"/>
      <c r="AM287" s="572"/>
      <c r="AN287" s="572"/>
      <c r="AO287" s="572"/>
      <c r="AP287" s="572"/>
      <c r="AQ287" s="572"/>
      <c r="AR287" s="572"/>
      <c r="AS287" s="572"/>
      <c r="AT287" s="572"/>
      <c r="AU287" s="572"/>
    </row>
    <row r="288" spans="1:47" ht="15.75" customHeight="1">
      <c r="A288" s="577">
        <v>44277</v>
      </c>
      <c r="B288" s="578" t="s">
        <v>6351</v>
      </c>
      <c r="C288" s="405" t="s">
        <v>2921</v>
      </c>
      <c r="D288" s="563" t="s">
        <v>6341</v>
      </c>
      <c r="E288" s="575">
        <v>96557.66</v>
      </c>
      <c r="F288" s="563" t="s">
        <v>3067</v>
      </c>
      <c r="G288" s="573" t="s">
        <v>2923</v>
      </c>
      <c r="H288" s="573" t="s">
        <v>20</v>
      </c>
      <c r="I288" s="573" t="s">
        <v>2924</v>
      </c>
      <c r="J288" s="573">
        <v>43822</v>
      </c>
      <c r="K288" s="573" t="s">
        <v>3805</v>
      </c>
      <c r="L288" s="572"/>
      <c r="M288" s="572"/>
      <c r="N288" s="572"/>
      <c r="O288" s="572"/>
      <c r="P288" s="572"/>
      <c r="Q288" s="572"/>
      <c r="R288" s="572"/>
      <c r="S288" s="572"/>
      <c r="T288" s="572"/>
      <c r="U288" s="572"/>
      <c r="V288" s="572"/>
      <c r="W288" s="572"/>
      <c r="X288" s="572"/>
      <c r="Y288" s="572"/>
      <c r="Z288" s="572"/>
      <c r="AA288" s="572"/>
      <c r="AB288" s="572"/>
      <c r="AC288" s="572"/>
      <c r="AD288" s="572"/>
      <c r="AE288" s="572"/>
      <c r="AF288" s="572"/>
      <c r="AG288" s="572"/>
      <c r="AH288" s="572"/>
      <c r="AI288" s="572"/>
      <c r="AJ288" s="572"/>
      <c r="AK288" s="572"/>
      <c r="AL288" s="572"/>
      <c r="AM288" s="572"/>
      <c r="AN288" s="572"/>
      <c r="AO288" s="572"/>
      <c r="AP288" s="572"/>
      <c r="AQ288" s="572"/>
      <c r="AR288" s="572"/>
      <c r="AS288" s="572"/>
      <c r="AT288" s="572"/>
      <c r="AU288" s="572"/>
    </row>
    <row r="289" spans="1:47" ht="15.75" customHeight="1">
      <c r="A289" s="577">
        <v>44278</v>
      </c>
      <c r="B289" s="578" t="s">
        <v>6432</v>
      </c>
      <c r="C289" s="405" t="s">
        <v>2921</v>
      </c>
      <c r="D289" s="563" t="s">
        <v>6341</v>
      </c>
      <c r="E289" s="575">
        <v>120000</v>
      </c>
      <c r="F289" s="563" t="s">
        <v>3404</v>
      </c>
      <c r="G289" s="573" t="s">
        <v>2923</v>
      </c>
      <c r="H289" s="573" t="s">
        <v>20</v>
      </c>
      <c r="I289" s="573" t="s">
        <v>2930</v>
      </c>
      <c r="J289" s="573">
        <v>43531</v>
      </c>
      <c r="K289" s="576" t="s">
        <v>4188</v>
      </c>
      <c r="L289" s="572"/>
      <c r="M289" s="572"/>
      <c r="N289" s="572"/>
      <c r="O289" s="572"/>
      <c r="P289" s="572"/>
      <c r="Q289" s="572"/>
      <c r="R289" s="572"/>
      <c r="S289" s="572"/>
      <c r="T289" s="572"/>
      <c r="U289" s="572"/>
      <c r="V289" s="572"/>
      <c r="W289" s="572"/>
      <c r="X289" s="572"/>
      <c r="Y289" s="572"/>
      <c r="Z289" s="572"/>
      <c r="AA289" s="572"/>
      <c r="AB289" s="572"/>
      <c r="AC289" s="572"/>
      <c r="AD289" s="572"/>
      <c r="AE289" s="572"/>
      <c r="AF289" s="572"/>
      <c r="AG289" s="572"/>
      <c r="AH289" s="572"/>
      <c r="AI289" s="572"/>
      <c r="AJ289" s="572"/>
      <c r="AK289" s="572"/>
      <c r="AL289" s="572"/>
      <c r="AM289" s="572"/>
      <c r="AN289" s="572"/>
      <c r="AO289" s="572"/>
      <c r="AP289" s="572"/>
      <c r="AQ289" s="572"/>
      <c r="AR289" s="572"/>
      <c r="AS289" s="572"/>
      <c r="AT289" s="572"/>
      <c r="AU289" s="572"/>
    </row>
    <row r="290" spans="1:47" ht="15.75" customHeight="1">
      <c r="A290" s="577">
        <v>44279</v>
      </c>
      <c r="B290" s="578" t="s">
        <v>6433</v>
      </c>
      <c r="C290" s="405" t="s">
        <v>2921</v>
      </c>
      <c r="D290" s="563" t="s">
        <v>6341</v>
      </c>
      <c r="E290" s="575">
        <v>5000</v>
      </c>
      <c r="F290" s="563" t="s">
        <v>6434</v>
      </c>
      <c r="G290" s="573" t="s">
        <v>19</v>
      </c>
      <c r="H290" s="573" t="s">
        <v>34</v>
      </c>
      <c r="I290" s="573" t="s">
        <v>35</v>
      </c>
      <c r="J290" s="573">
        <v>44278</v>
      </c>
      <c r="K290" s="576" t="s">
        <v>3795</v>
      </c>
      <c r="L290" s="572"/>
      <c r="M290" s="572"/>
      <c r="N290" s="572"/>
      <c r="O290" s="572"/>
      <c r="P290" s="572"/>
      <c r="Q290" s="572"/>
      <c r="R290" s="572"/>
      <c r="S290" s="572"/>
      <c r="T290" s="572"/>
      <c r="U290" s="572"/>
      <c r="V290" s="572"/>
      <c r="W290" s="572"/>
      <c r="X290" s="572"/>
      <c r="Y290" s="572"/>
      <c r="Z290" s="572"/>
      <c r="AA290" s="572"/>
      <c r="AB290" s="572"/>
      <c r="AC290" s="572"/>
      <c r="AD290" s="572"/>
      <c r="AE290" s="572"/>
      <c r="AF290" s="572"/>
      <c r="AG290" s="572"/>
      <c r="AH290" s="572"/>
      <c r="AI290" s="572"/>
      <c r="AJ290" s="572"/>
      <c r="AK290" s="572"/>
      <c r="AL290" s="572"/>
      <c r="AM290" s="572"/>
      <c r="AN290" s="572"/>
      <c r="AO290" s="572"/>
      <c r="AP290" s="572"/>
      <c r="AQ290" s="572"/>
      <c r="AR290" s="572"/>
      <c r="AS290" s="572"/>
      <c r="AT290" s="572"/>
      <c r="AU290" s="572"/>
    </row>
    <row r="291" spans="1:47" ht="15.75" customHeight="1">
      <c r="A291" s="577">
        <v>44279</v>
      </c>
      <c r="B291" s="578" t="s">
        <v>6435</v>
      </c>
      <c r="C291" s="405" t="s">
        <v>3785</v>
      </c>
      <c r="D291" s="563" t="s">
        <v>6341</v>
      </c>
      <c r="E291" s="575">
        <v>7000</v>
      </c>
      <c r="F291" s="563" t="s">
        <v>5237</v>
      </c>
      <c r="G291" s="563" t="s">
        <v>64</v>
      </c>
      <c r="H291" s="563" t="s">
        <v>20</v>
      </c>
      <c r="I291" s="563" t="s">
        <v>5238</v>
      </c>
      <c r="J291" s="573">
        <v>44105</v>
      </c>
      <c r="K291" s="579" t="s">
        <v>3809</v>
      </c>
      <c r="L291" s="572"/>
      <c r="M291" s="572"/>
      <c r="N291" s="572"/>
      <c r="O291" s="572"/>
      <c r="P291" s="572"/>
      <c r="Q291" s="572"/>
      <c r="R291" s="572"/>
      <c r="S291" s="572"/>
      <c r="T291" s="572"/>
      <c r="U291" s="572"/>
      <c r="V291" s="572"/>
      <c r="W291" s="572"/>
      <c r="X291" s="572"/>
      <c r="Y291" s="572"/>
      <c r="Z291" s="572"/>
      <c r="AA291" s="572"/>
      <c r="AB291" s="572"/>
      <c r="AC291" s="572"/>
      <c r="AD291" s="572"/>
      <c r="AE291" s="572"/>
      <c r="AF291" s="572"/>
      <c r="AG291" s="572"/>
      <c r="AH291" s="572"/>
      <c r="AI291" s="572"/>
      <c r="AJ291" s="572"/>
      <c r="AK291" s="572"/>
      <c r="AL291" s="572"/>
      <c r="AM291" s="572"/>
      <c r="AN291" s="572"/>
      <c r="AO291" s="572"/>
      <c r="AP291" s="572"/>
      <c r="AQ291" s="572"/>
      <c r="AR291" s="572"/>
      <c r="AS291" s="572"/>
      <c r="AT291" s="572"/>
      <c r="AU291" s="572"/>
    </row>
    <row r="292" spans="1:47" ht="15.75" customHeight="1">
      <c r="A292" s="577">
        <v>44280</v>
      </c>
      <c r="B292" s="578" t="s">
        <v>6436</v>
      </c>
      <c r="C292" s="405" t="s">
        <v>2921</v>
      </c>
      <c r="D292" s="563" t="s">
        <v>6341</v>
      </c>
      <c r="E292" s="575">
        <v>153417.37</v>
      </c>
      <c r="F292" s="563" t="s">
        <v>3038</v>
      </c>
      <c r="G292" s="573" t="s">
        <v>19</v>
      </c>
      <c r="H292" s="573" t="s">
        <v>34</v>
      </c>
      <c r="I292" s="573" t="s">
        <v>2971</v>
      </c>
      <c r="J292" s="573">
        <v>44273</v>
      </c>
      <c r="K292" s="576" t="s">
        <v>3795</v>
      </c>
      <c r="L292" s="572"/>
      <c r="M292" s="572"/>
      <c r="N292" s="572"/>
      <c r="O292" s="572"/>
      <c r="P292" s="572"/>
      <c r="Q292" s="572"/>
      <c r="R292" s="572"/>
      <c r="S292" s="572"/>
      <c r="T292" s="572"/>
      <c r="U292" s="572"/>
      <c r="V292" s="572"/>
      <c r="W292" s="572"/>
      <c r="X292" s="572"/>
      <c r="Y292" s="572"/>
      <c r="Z292" s="572"/>
      <c r="AA292" s="572"/>
      <c r="AB292" s="572"/>
      <c r="AC292" s="572"/>
      <c r="AD292" s="572"/>
      <c r="AE292" s="572"/>
      <c r="AF292" s="572"/>
      <c r="AG292" s="572"/>
      <c r="AH292" s="572"/>
      <c r="AI292" s="572"/>
      <c r="AJ292" s="572"/>
      <c r="AK292" s="572"/>
      <c r="AL292" s="572"/>
      <c r="AM292" s="572"/>
      <c r="AN292" s="572"/>
      <c r="AO292" s="572"/>
      <c r="AP292" s="572"/>
      <c r="AQ292" s="572"/>
      <c r="AR292" s="572"/>
      <c r="AS292" s="572"/>
      <c r="AT292" s="572"/>
      <c r="AU292" s="572"/>
    </row>
    <row r="293" spans="1:47" ht="15.75" customHeight="1">
      <c r="A293" s="577">
        <v>44280</v>
      </c>
      <c r="B293" s="578" t="s">
        <v>6349</v>
      </c>
      <c r="C293" s="405" t="s">
        <v>2921</v>
      </c>
      <c r="D293" s="563" t="s">
        <v>6341</v>
      </c>
      <c r="E293" s="575">
        <v>15000</v>
      </c>
      <c r="F293" s="563" t="s">
        <v>3228</v>
      </c>
      <c r="G293" s="573" t="s">
        <v>2923</v>
      </c>
      <c r="H293" s="573" t="s">
        <v>20</v>
      </c>
      <c r="I293" s="573" t="s">
        <v>2924</v>
      </c>
      <c r="J293" s="573">
        <v>43605</v>
      </c>
      <c r="K293" s="576" t="s">
        <v>3805</v>
      </c>
      <c r="L293" s="572"/>
      <c r="M293" s="572"/>
      <c r="N293" s="572"/>
      <c r="O293" s="572"/>
      <c r="P293" s="572"/>
      <c r="Q293" s="572"/>
      <c r="R293" s="572"/>
      <c r="S293" s="572"/>
      <c r="T293" s="572"/>
      <c r="U293" s="572"/>
      <c r="V293" s="572"/>
      <c r="W293" s="572"/>
      <c r="X293" s="572"/>
      <c r="Y293" s="572"/>
      <c r="Z293" s="572"/>
      <c r="AA293" s="572"/>
      <c r="AB293" s="572"/>
      <c r="AC293" s="572"/>
      <c r="AD293" s="572"/>
      <c r="AE293" s="572"/>
      <c r="AF293" s="572"/>
      <c r="AG293" s="572"/>
      <c r="AH293" s="572"/>
      <c r="AI293" s="572"/>
      <c r="AJ293" s="572"/>
      <c r="AK293" s="572"/>
      <c r="AL293" s="572"/>
      <c r="AM293" s="572"/>
      <c r="AN293" s="572"/>
      <c r="AO293" s="572"/>
      <c r="AP293" s="572"/>
      <c r="AQ293" s="572"/>
      <c r="AR293" s="572"/>
      <c r="AS293" s="572"/>
      <c r="AT293" s="572"/>
      <c r="AU293" s="572"/>
    </row>
    <row r="294" spans="1:47" ht="15.75" customHeight="1">
      <c r="A294" s="577">
        <v>44280</v>
      </c>
      <c r="B294" s="578" t="s">
        <v>6347</v>
      </c>
      <c r="C294" s="405" t="s">
        <v>2921</v>
      </c>
      <c r="D294" s="563" t="s">
        <v>6341</v>
      </c>
      <c r="E294" s="575">
        <v>20000</v>
      </c>
      <c r="F294" s="563" t="s">
        <v>3191</v>
      </c>
      <c r="G294" s="573" t="s">
        <v>2923</v>
      </c>
      <c r="H294" s="573" t="s">
        <v>20</v>
      </c>
      <c r="I294" s="573" t="s">
        <v>2924</v>
      </c>
      <c r="J294" s="573">
        <v>43703</v>
      </c>
      <c r="K294" s="576" t="s">
        <v>4188</v>
      </c>
      <c r="L294" s="572"/>
      <c r="M294" s="572"/>
      <c r="N294" s="572"/>
      <c r="O294" s="572"/>
      <c r="P294" s="572"/>
      <c r="Q294" s="572"/>
      <c r="R294" s="572"/>
      <c r="S294" s="572"/>
      <c r="T294" s="572"/>
      <c r="U294" s="572"/>
      <c r="V294" s="572"/>
      <c r="W294" s="572"/>
      <c r="X294" s="572"/>
      <c r="Y294" s="572"/>
      <c r="Z294" s="572"/>
      <c r="AA294" s="572"/>
      <c r="AB294" s="572"/>
      <c r="AC294" s="572"/>
      <c r="AD294" s="572"/>
      <c r="AE294" s="572"/>
      <c r="AF294" s="572"/>
      <c r="AG294" s="572"/>
      <c r="AH294" s="572"/>
      <c r="AI294" s="572"/>
      <c r="AJ294" s="572"/>
      <c r="AK294" s="572"/>
      <c r="AL294" s="572"/>
      <c r="AM294" s="572"/>
      <c r="AN294" s="572"/>
      <c r="AO294" s="572"/>
      <c r="AP294" s="572"/>
      <c r="AQ294" s="572"/>
      <c r="AR294" s="572"/>
      <c r="AS294" s="572"/>
      <c r="AT294" s="572"/>
      <c r="AU294" s="572"/>
    </row>
    <row r="295" spans="1:47" ht="15.75" customHeight="1">
      <c r="A295" s="573">
        <v>44281</v>
      </c>
      <c r="B295" s="574" t="s">
        <v>6437</v>
      </c>
      <c r="C295" s="563" t="s">
        <v>3785</v>
      </c>
      <c r="D295" s="563" t="s">
        <v>3110</v>
      </c>
      <c r="E295" s="575">
        <v>0</v>
      </c>
      <c r="F295" s="563" t="s">
        <v>4328</v>
      </c>
      <c r="G295" s="563" t="s">
        <v>64</v>
      </c>
      <c r="H295" s="563" t="s">
        <v>20</v>
      </c>
      <c r="I295" s="563" t="s">
        <v>3634</v>
      </c>
      <c r="J295" s="573">
        <v>44126</v>
      </c>
      <c r="K295" s="579" t="s">
        <v>3795</v>
      </c>
      <c r="L295" s="572"/>
      <c r="M295" s="572"/>
      <c r="N295" s="572"/>
      <c r="O295" s="572"/>
      <c r="P295" s="572"/>
      <c r="Q295" s="572"/>
      <c r="R295" s="572"/>
      <c r="S295" s="572"/>
      <c r="T295" s="572"/>
      <c r="U295" s="572"/>
      <c r="V295" s="572"/>
      <c r="W295" s="572"/>
      <c r="X295" s="572"/>
      <c r="Y295" s="572"/>
      <c r="Z295" s="572"/>
      <c r="AA295" s="572"/>
      <c r="AB295" s="572"/>
      <c r="AC295" s="572"/>
      <c r="AD295" s="572"/>
      <c r="AE295" s="572"/>
      <c r="AF295" s="572"/>
      <c r="AG295" s="572"/>
      <c r="AH295" s="572"/>
      <c r="AI295" s="572"/>
      <c r="AJ295" s="572"/>
      <c r="AK295" s="572"/>
      <c r="AL295" s="572"/>
      <c r="AM295" s="572"/>
      <c r="AN295" s="572"/>
      <c r="AO295" s="572"/>
      <c r="AP295" s="572"/>
      <c r="AQ295" s="572"/>
      <c r="AR295" s="572"/>
      <c r="AS295" s="572"/>
      <c r="AT295" s="572"/>
      <c r="AU295" s="572"/>
    </row>
    <row r="296" spans="1:47" ht="15.75" customHeight="1">
      <c r="A296" s="573">
        <v>44281</v>
      </c>
      <c r="B296" s="574" t="s">
        <v>6438</v>
      </c>
      <c r="C296" s="563" t="s">
        <v>2921</v>
      </c>
      <c r="D296" s="563" t="s">
        <v>3110</v>
      </c>
      <c r="E296" s="575"/>
      <c r="F296" s="563" t="s">
        <v>3377</v>
      </c>
      <c r="G296" s="573" t="s">
        <v>19</v>
      </c>
      <c r="H296" s="573" t="s">
        <v>34</v>
      </c>
      <c r="I296" s="573" t="s">
        <v>2971</v>
      </c>
      <c r="J296" s="573">
        <v>44280</v>
      </c>
      <c r="K296" s="576" t="s">
        <v>3805</v>
      </c>
      <c r="L296" s="572"/>
      <c r="M296" s="572"/>
      <c r="N296" s="572"/>
      <c r="O296" s="572"/>
      <c r="P296" s="572"/>
      <c r="Q296" s="572"/>
      <c r="R296" s="572"/>
      <c r="S296" s="572"/>
      <c r="T296" s="572"/>
      <c r="U296" s="572"/>
      <c r="V296" s="572"/>
      <c r="W296" s="572"/>
      <c r="X296" s="572"/>
      <c r="Y296" s="572"/>
      <c r="Z296" s="572"/>
      <c r="AA296" s="572"/>
      <c r="AB296" s="572"/>
      <c r="AC296" s="572"/>
      <c r="AD296" s="572"/>
      <c r="AE296" s="572"/>
      <c r="AF296" s="572"/>
      <c r="AG296" s="572"/>
      <c r="AH296" s="572"/>
      <c r="AI296" s="572"/>
      <c r="AJ296" s="572"/>
      <c r="AK296" s="572"/>
      <c r="AL296" s="572"/>
      <c r="AM296" s="572"/>
      <c r="AN296" s="572"/>
      <c r="AO296" s="572"/>
      <c r="AP296" s="572"/>
      <c r="AQ296" s="572"/>
      <c r="AR296" s="572"/>
      <c r="AS296" s="572"/>
      <c r="AT296" s="572"/>
      <c r="AU296" s="572"/>
    </row>
    <row r="297" spans="1:47" ht="15.75" customHeight="1">
      <c r="A297" s="577">
        <v>44285</v>
      </c>
      <c r="B297" s="578" t="s">
        <v>6439</v>
      </c>
      <c r="C297" s="405" t="s">
        <v>2921</v>
      </c>
      <c r="D297" s="563" t="s">
        <v>928</v>
      </c>
      <c r="E297" s="575">
        <v>200000</v>
      </c>
      <c r="F297" s="563" t="s">
        <v>3461</v>
      </c>
      <c r="G297" s="573" t="s">
        <v>2923</v>
      </c>
      <c r="H297" s="573" t="s">
        <v>20</v>
      </c>
      <c r="I297" s="573" t="s">
        <v>2930</v>
      </c>
      <c r="J297" s="573">
        <v>43861</v>
      </c>
      <c r="K297" s="576" t="s">
        <v>3805</v>
      </c>
      <c r="L297" s="572"/>
      <c r="M297" s="572"/>
      <c r="N297" s="572"/>
      <c r="O297" s="572"/>
      <c r="P297" s="572"/>
      <c r="Q297" s="572"/>
      <c r="R297" s="572"/>
      <c r="S297" s="572"/>
      <c r="T297" s="572"/>
      <c r="U297" s="572"/>
      <c r="V297" s="572"/>
      <c r="W297" s="572"/>
      <c r="X297" s="572"/>
      <c r="Y297" s="572"/>
      <c r="Z297" s="572"/>
      <c r="AA297" s="572"/>
      <c r="AB297" s="572"/>
      <c r="AC297" s="572"/>
      <c r="AD297" s="572"/>
      <c r="AE297" s="572"/>
      <c r="AF297" s="572"/>
      <c r="AG297" s="572"/>
      <c r="AH297" s="572"/>
      <c r="AI297" s="572"/>
      <c r="AJ297" s="572"/>
      <c r="AK297" s="572"/>
      <c r="AL297" s="572"/>
      <c r="AM297" s="572"/>
      <c r="AN297" s="572"/>
      <c r="AO297" s="572"/>
      <c r="AP297" s="572"/>
      <c r="AQ297" s="572"/>
      <c r="AR297" s="572"/>
      <c r="AS297" s="572"/>
      <c r="AT297" s="572"/>
      <c r="AU297" s="572"/>
    </row>
    <row r="298" spans="1:47" ht="15.75" customHeight="1">
      <c r="A298" s="577">
        <v>44286</v>
      </c>
      <c r="B298" s="578" t="s">
        <v>6440</v>
      </c>
      <c r="C298" s="405" t="s">
        <v>3785</v>
      </c>
      <c r="D298" s="563" t="s">
        <v>6341</v>
      </c>
      <c r="E298" s="575">
        <v>328583.39</v>
      </c>
      <c r="F298" s="563" t="s">
        <v>5390</v>
      </c>
      <c r="G298" s="563" t="s">
        <v>64</v>
      </c>
      <c r="H298" s="563" t="s">
        <v>20</v>
      </c>
      <c r="I298" s="563" t="s">
        <v>73</v>
      </c>
      <c r="J298" s="593">
        <v>44134</v>
      </c>
      <c r="K298" s="579" t="s">
        <v>3789</v>
      </c>
      <c r="L298" s="572"/>
      <c r="M298" s="572"/>
      <c r="N298" s="572"/>
      <c r="O298" s="572"/>
      <c r="P298" s="572"/>
      <c r="Q298" s="572"/>
      <c r="R298" s="572"/>
      <c r="S298" s="572"/>
      <c r="T298" s="572"/>
      <c r="U298" s="572"/>
      <c r="V298" s="572"/>
      <c r="W298" s="572"/>
      <c r="X298" s="572"/>
      <c r="Y298" s="572"/>
      <c r="Z298" s="572"/>
      <c r="AA298" s="572"/>
      <c r="AB298" s="572"/>
      <c r="AC298" s="572"/>
      <c r="AD298" s="572"/>
      <c r="AE298" s="572"/>
      <c r="AF298" s="572"/>
      <c r="AG298" s="572"/>
      <c r="AH298" s="572"/>
      <c r="AI298" s="572"/>
      <c r="AJ298" s="572"/>
      <c r="AK298" s="572"/>
      <c r="AL298" s="572"/>
      <c r="AM298" s="572"/>
      <c r="AN298" s="572"/>
      <c r="AO298" s="572"/>
      <c r="AP298" s="572"/>
      <c r="AQ298" s="572"/>
      <c r="AR298" s="572"/>
      <c r="AS298" s="572"/>
      <c r="AT298" s="572"/>
      <c r="AU298" s="572"/>
    </row>
    <row r="299" spans="1:47" ht="15.75" customHeight="1">
      <c r="A299" s="573">
        <v>44287</v>
      </c>
      <c r="B299" s="574" t="s">
        <v>6432</v>
      </c>
      <c r="C299" s="563" t="s">
        <v>2921</v>
      </c>
      <c r="D299" s="563" t="s">
        <v>3110</v>
      </c>
      <c r="E299" s="575">
        <v>222801.29</v>
      </c>
      <c r="F299" s="563" t="s">
        <v>3404</v>
      </c>
      <c r="G299" s="573" t="s">
        <v>2923</v>
      </c>
      <c r="H299" s="573" t="s">
        <v>20</v>
      </c>
      <c r="I299" s="573" t="s">
        <v>2930</v>
      </c>
      <c r="J299" s="573">
        <v>43531</v>
      </c>
      <c r="K299" s="576" t="s">
        <v>4188</v>
      </c>
      <c r="L299" s="572"/>
      <c r="M299" s="572"/>
      <c r="N299" s="572"/>
      <c r="O299" s="572"/>
      <c r="P299" s="572"/>
      <c r="Q299" s="572"/>
      <c r="R299" s="572"/>
      <c r="S299" s="572"/>
      <c r="T299" s="572"/>
      <c r="U299" s="572"/>
      <c r="V299" s="572"/>
      <c r="W299" s="572"/>
      <c r="X299" s="572"/>
      <c r="Y299" s="572"/>
      <c r="Z299" s="572"/>
      <c r="AA299" s="572"/>
      <c r="AB299" s="572"/>
      <c r="AC299" s="572"/>
      <c r="AD299" s="572"/>
      <c r="AE299" s="572"/>
      <c r="AF299" s="572"/>
      <c r="AG299" s="572"/>
      <c r="AH299" s="572"/>
      <c r="AI299" s="572"/>
      <c r="AJ299" s="572"/>
      <c r="AK299" s="572"/>
      <c r="AL299" s="572"/>
      <c r="AM299" s="572"/>
      <c r="AN299" s="572"/>
      <c r="AO299" s="572"/>
      <c r="AP299" s="572"/>
      <c r="AQ299" s="572"/>
      <c r="AR299" s="572"/>
      <c r="AS299" s="572"/>
      <c r="AT299" s="572"/>
      <c r="AU299" s="572"/>
    </row>
    <row r="300" spans="1:47" ht="15.75" customHeight="1">
      <c r="A300" s="573">
        <v>44287</v>
      </c>
      <c r="B300" s="574" t="s">
        <v>6441</v>
      </c>
      <c r="C300" s="563" t="s">
        <v>2921</v>
      </c>
      <c r="D300" s="563" t="s">
        <v>3110</v>
      </c>
      <c r="E300" s="575"/>
      <c r="F300" s="563" t="s">
        <v>3404</v>
      </c>
      <c r="G300" s="573" t="s">
        <v>2923</v>
      </c>
      <c r="H300" s="573" t="s">
        <v>20</v>
      </c>
      <c r="I300" s="573" t="s">
        <v>2930</v>
      </c>
      <c r="J300" s="573">
        <v>43566</v>
      </c>
      <c r="K300" s="576" t="s">
        <v>3805</v>
      </c>
      <c r="L300" s="572"/>
      <c r="M300" s="572"/>
      <c r="N300" s="572"/>
      <c r="O300" s="572"/>
      <c r="P300" s="572"/>
      <c r="Q300" s="572"/>
      <c r="R300" s="572"/>
      <c r="S300" s="572"/>
      <c r="T300" s="572"/>
      <c r="U300" s="572"/>
      <c r="V300" s="572"/>
      <c r="W300" s="572"/>
      <c r="X300" s="572"/>
      <c r="Y300" s="572"/>
      <c r="Z300" s="572"/>
      <c r="AA300" s="572"/>
      <c r="AB300" s="572"/>
      <c r="AC300" s="572"/>
      <c r="AD300" s="572"/>
      <c r="AE300" s="572"/>
      <c r="AF300" s="572"/>
      <c r="AG300" s="572"/>
      <c r="AH300" s="572"/>
      <c r="AI300" s="572"/>
      <c r="AJ300" s="572"/>
      <c r="AK300" s="572"/>
      <c r="AL300" s="572"/>
      <c r="AM300" s="572"/>
      <c r="AN300" s="572"/>
      <c r="AO300" s="572"/>
      <c r="AP300" s="572"/>
      <c r="AQ300" s="572"/>
      <c r="AR300" s="572"/>
      <c r="AS300" s="572"/>
      <c r="AT300" s="572"/>
      <c r="AU300" s="572"/>
    </row>
    <row r="301" spans="1:47" ht="15.75" customHeight="1">
      <c r="A301" s="577">
        <v>44287</v>
      </c>
      <c r="B301" s="578" t="s">
        <v>6442</v>
      </c>
      <c r="C301" s="405" t="s">
        <v>3785</v>
      </c>
      <c r="D301" s="563" t="s">
        <v>6341</v>
      </c>
      <c r="E301" s="575">
        <v>95592.52</v>
      </c>
      <c r="F301" s="563" t="s">
        <v>5087</v>
      </c>
      <c r="G301" s="563" t="s">
        <v>64</v>
      </c>
      <c r="H301" s="563" t="s">
        <v>20</v>
      </c>
      <c r="I301" s="563" t="s">
        <v>6429</v>
      </c>
      <c r="J301" s="593">
        <v>44180</v>
      </c>
      <c r="K301" s="579" t="s">
        <v>3795</v>
      </c>
      <c r="L301" s="572"/>
      <c r="M301" s="572"/>
      <c r="N301" s="572"/>
      <c r="O301" s="572"/>
      <c r="P301" s="572"/>
      <c r="Q301" s="572"/>
      <c r="R301" s="572"/>
      <c r="S301" s="572"/>
      <c r="T301" s="572"/>
      <c r="U301" s="572"/>
      <c r="V301" s="572"/>
      <c r="W301" s="572"/>
      <c r="X301" s="572"/>
      <c r="Y301" s="572"/>
      <c r="Z301" s="572"/>
      <c r="AA301" s="572"/>
      <c r="AB301" s="572"/>
      <c r="AC301" s="572"/>
      <c r="AD301" s="572"/>
      <c r="AE301" s="572"/>
      <c r="AF301" s="572"/>
      <c r="AG301" s="572"/>
      <c r="AH301" s="572"/>
      <c r="AI301" s="572"/>
      <c r="AJ301" s="572"/>
      <c r="AK301" s="572"/>
      <c r="AL301" s="572"/>
      <c r="AM301" s="572"/>
      <c r="AN301" s="572"/>
      <c r="AO301" s="572"/>
      <c r="AP301" s="572"/>
      <c r="AQ301" s="572"/>
      <c r="AR301" s="572"/>
      <c r="AS301" s="572"/>
      <c r="AT301" s="572"/>
      <c r="AU301" s="572"/>
    </row>
    <row r="302" spans="1:47" ht="15.75" customHeight="1">
      <c r="A302" s="573">
        <v>44291</v>
      </c>
      <c r="B302" s="574" t="s">
        <v>6443</v>
      </c>
      <c r="C302" s="563" t="s">
        <v>3785</v>
      </c>
      <c r="D302" s="563" t="s">
        <v>3110</v>
      </c>
      <c r="E302" s="575">
        <v>0</v>
      </c>
      <c r="F302" s="563" t="s">
        <v>5324</v>
      </c>
      <c r="G302" s="563" t="s">
        <v>64</v>
      </c>
      <c r="H302" s="563" t="s">
        <v>20</v>
      </c>
      <c r="I302" s="563" t="s">
        <v>3853</v>
      </c>
      <c r="J302" s="573">
        <v>44215</v>
      </c>
      <c r="K302" s="579" t="s">
        <v>3789</v>
      </c>
      <c r="L302" s="572"/>
      <c r="M302" s="572"/>
      <c r="N302" s="572"/>
      <c r="O302" s="572"/>
      <c r="P302" s="572"/>
      <c r="Q302" s="572"/>
      <c r="R302" s="572"/>
      <c r="S302" s="572"/>
      <c r="T302" s="572"/>
      <c r="U302" s="572"/>
      <c r="V302" s="572"/>
      <c r="W302" s="572"/>
      <c r="X302" s="572"/>
      <c r="Y302" s="572"/>
      <c r="Z302" s="572"/>
      <c r="AA302" s="572"/>
      <c r="AB302" s="572"/>
      <c r="AC302" s="572"/>
      <c r="AD302" s="572"/>
      <c r="AE302" s="572"/>
      <c r="AF302" s="572"/>
      <c r="AG302" s="572"/>
      <c r="AH302" s="572"/>
      <c r="AI302" s="572"/>
      <c r="AJ302" s="572"/>
      <c r="AK302" s="572"/>
      <c r="AL302" s="572"/>
      <c r="AM302" s="572"/>
      <c r="AN302" s="572"/>
      <c r="AO302" s="572"/>
      <c r="AP302" s="572"/>
      <c r="AQ302" s="572"/>
      <c r="AR302" s="572"/>
      <c r="AS302" s="572"/>
      <c r="AT302" s="572"/>
      <c r="AU302" s="572"/>
    </row>
    <row r="303" spans="1:47" ht="15.75" customHeight="1">
      <c r="A303" s="577">
        <v>44291</v>
      </c>
      <c r="B303" s="578" t="s">
        <v>6355</v>
      </c>
      <c r="C303" s="405" t="s">
        <v>2921</v>
      </c>
      <c r="D303" s="563" t="s">
        <v>6341</v>
      </c>
      <c r="E303" s="575">
        <v>3500</v>
      </c>
      <c r="F303" s="563" t="s">
        <v>3236</v>
      </c>
      <c r="G303" s="573" t="s">
        <v>2923</v>
      </c>
      <c r="H303" s="573" t="s">
        <v>20</v>
      </c>
      <c r="I303" s="573" t="s">
        <v>2930</v>
      </c>
      <c r="J303" s="573">
        <v>43559</v>
      </c>
      <c r="K303" s="576" t="s">
        <v>4188</v>
      </c>
      <c r="L303" s="572"/>
      <c r="M303" s="572"/>
      <c r="N303" s="572"/>
      <c r="O303" s="572"/>
      <c r="P303" s="572"/>
      <c r="Q303" s="572"/>
      <c r="R303" s="572"/>
      <c r="S303" s="572"/>
      <c r="T303" s="572"/>
      <c r="U303" s="572"/>
      <c r="V303" s="572"/>
      <c r="W303" s="572"/>
      <c r="X303" s="572"/>
      <c r="Y303" s="572"/>
      <c r="Z303" s="572"/>
      <c r="AA303" s="572"/>
      <c r="AB303" s="572"/>
      <c r="AC303" s="572"/>
      <c r="AD303" s="572"/>
      <c r="AE303" s="572"/>
      <c r="AF303" s="572"/>
      <c r="AG303" s="572"/>
      <c r="AH303" s="572"/>
      <c r="AI303" s="572"/>
      <c r="AJ303" s="572"/>
      <c r="AK303" s="572"/>
      <c r="AL303" s="572"/>
      <c r="AM303" s="572"/>
      <c r="AN303" s="572"/>
      <c r="AO303" s="572"/>
      <c r="AP303" s="572"/>
      <c r="AQ303" s="572"/>
      <c r="AR303" s="572"/>
      <c r="AS303" s="572"/>
      <c r="AT303" s="572"/>
      <c r="AU303" s="572"/>
    </row>
    <row r="304" spans="1:47" ht="15.75" customHeight="1">
      <c r="A304" s="577">
        <v>44291</v>
      </c>
      <c r="B304" s="578" t="s">
        <v>6443</v>
      </c>
      <c r="C304" s="405" t="s">
        <v>3785</v>
      </c>
      <c r="D304" s="563" t="s">
        <v>928</v>
      </c>
      <c r="E304" s="575">
        <v>6000</v>
      </c>
      <c r="F304" s="563" t="s">
        <v>5324</v>
      </c>
      <c r="G304" s="563" t="s">
        <v>64</v>
      </c>
      <c r="H304" s="563" t="s">
        <v>20</v>
      </c>
      <c r="I304" s="563" t="s">
        <v>3853</v>
      </c>
      <c r="J304" s="573">
        <v>44215</v>
      </c>
      <c r="K304" s="579" t="s">
        <v>3789</v>
      </c>
      <c r="L304" s="572"/>
      <c r="M304" s="572"/>
      <c r="N304" s="572"/>
      <c r="O304" s="572"/>
      <c r="P304" s="572"/>
      <c r="Q304" s="572"/>
      <c r="R304" s="572"/>
      <c r="S304" s="572"/>
      <c r="T304" s="572"/>
      <c r="U304" s="572"/>
      <c r="V304" s="572"/>
      <c r="W304" s="572"/>
      <c r="X304" s="572"/>
      <c r="Y304" s="572"/>
      <c r="Z304" s="572"/>
      <c r="AA304" s="572"/>
      <c r="AB304" s="572"/>
      <c r="AC304" s="572"/>
      <c r="AD304" s="572"/>
      <c r="AE304" s="572"/>
      <c r="AF304" s="572"/>
      <c r="AG304" s="572"/>
      <c r="AH304" s="572"/>
      <c r="AI304" s="572"/>
      <c r="AJ304" s="572"/>
      <c r="AK304" s="572"/>
      <c r="AL304" s="572"/>
      <c r="AM304" s="572"/>
      <c r="AN304" s="572"/>
      <c r="AO304" s="572"/>
      <c r="AP304" s="572"/>
      <c r="AQ304" s="572"/>
      <c r="AR304" s="572"/>
      <c r="AS304" s="572"/>
      <c r="AT304" s="572"/>
      <c r="AU304" s="572"/>
    </row>
    <row r="305" spans="1:47" ht="15.75" customHeight="1">
      <c r="A305" s="577">
        <v>44292</v>
      </c>
      <c r="B305" s="578" t="s">
        <v>6347</v>
      </c>
      <c r="C305" s="405" t="s">
        <v>2921</v>
      </c>
      <c r="D305" s="563" t="s">
        <v>6341</v>
      </c>
      <c r="E305" s="575">
        <v>50000</v>
      </c>
      <c r="F305" s="563" t="s">
        <v>3191</v>
      </c>
      <c r="G305" s="573" t="s">
        <v>2923</v>
      </c>
      <c r="H305" s="573" t="s">
        <v>20</v>
      </c>
      <c r="I305" s="573" t="s">
        <v>2924</v>
      </c>
      <c r="J305" s="573">
        <v>43703</v>
      </c>
      <c r="K305" s="576" t="s">
        <v>4188</v>
      </c>
      <c r="L305" s="572"/>
      <c r="M305" s="572"/>
      <c r="N305" s="572"/>
      <c r="O305" s="572"/>
      <c r="P305" s="572"/>
      <c r="Q305" s="572"/>
      <c r="R305" s="572"/>
      <c r="S305" s="572"/>
      <c r="T305" s="572"/>
      <c r="U305" s="572"/>
      <c r="V305" s="572"/>
      <c r="W305" s="572"/>
      <c r="X305" s="572"/>
      <c r="Y305" s="572"/>
      <c r="Z305" s="572"/>
      <c r="AA305" s="572"/>
      <c r="AB305" s="572"/>
      <c r="AC305" s="572"/>
      <c r="AD305" s="572"/>
      <c r="AE305" s="572"/>
      <c r="AF305" s="572"/>
      <c r="AG305" s="572"/>
      <c r="AH305" s="572"/>
      <c r="AI305" s="572"/>
      <c r="AJ305" s="572"/>
      <c r="AK305" s="572"/>
      <c r="AL305" s="572"/>
      <c r="AM305" s="572"/>
      <c r="AN305" s="572"/>
      <c r="AO305" s="572"/>
      <c r="AP305" s="572"/>
      <c r="AQ305" s="572"/>
      <c r="AR305" s="572"/>
      <c r="AS305" s="572"/>
      <c r="AT305" s="572"/>
      <c r="AU305" s="572"/>
    </row>
    <row r="306" spans="1:47" ht="15.75" customHeight="1">
      <c r="A306" s="577">
        <v>44293</v>
      </c>
      <c r="B306" s="578" t="s">
        <v>6444</v>
      </c>
      <c r="C306" s="405" t="s">
        <v>3785</v>
      </c>
      <c r="D306" s="563" t="s">
        <v>6341</v>
      </c>
      <c r="E306" s="575">
        <v>200000</v>
      </c>
      <c r="F306" s="563" t="s">
        <v>5333</v>
      </c>
      <c r="G306" s="563" t="s">
        <v>64</v>
      </c>
      <c r="H306" s="563" t="s">
        <v>20</v>
      </c>
      <c r="I306" s="555" t="s">
        <v>4058</v>
      </c>
      <c r="J306" s="573">
        <v>44203</v>
      </c>
      <c r="K306" s="579" t="s">
        <v>3795</v>
      </c>
      <c r="L306" s="572"/>
      <c r="M306" s="572"/>
      <c r="N306" s="572"/>
      <c r="O306" s="572"/>
      <c r="P306" s="572"/>
      <c r="Q306" s="572"/>
      <c r="R306" s="572"/>
      <c r="S306" s="572"/>
      <c r="T306" s="572"/>
      <c r="U306" s="572"/>
      <c r="V306" s="572"/>
      <c r="W306" s="572"/>
      <c r="X306" s="572"/>
      <c r="Y306" s="572"/>
      <c r="Z306" s="572"/>
      <c r="AA306" s="572"/>
      <c r="AB306" s="572"/>
      <c r="AC306" s="572"/>
      <c r="AD306" s="572"/>
      <c r="AE306" s="572"/>
      <c r="AF306" s="572"/>
      <c r="AG306" s="572"/>
      <c r="AH306" s="572"/>
      <c r="AI306" s="572"/>
      <c r="AJ306" s="572"/>
      <c r="AK306" s="572"/>
      <c r="AL306" s="572"/>
      <c r="AM306" s="572"/>
      <c r="AN306" s="572"/>
      <c r="AO306" s="572"/>
      <c r="AP306" s="572"/>
      <c r="AQ306" s="572"/>
      <c r="AR306" s="572"/>
      <c r="AS306" s="572"/>
      <c r="AT306" s="572"/>
      <c r="AU306" s="572"/>
    </row>
    <row r="307" spans="1:47" ht="15.75" customHeight="1">
      <c r="A307" s="577">
        <v>44293</v>
      </c>
      <c r="B307" s="578" t="s">
        <v>6445</v>
      </c>
      <c r="C307" s="405" t="s">
        <v>3785</v>
      </c>
      <c r="D307" s="563" t="s">
        <v>6341</v>
      </c>
      <c r="E307" s="575">
        <v>7000</v>
      </c>
      <c r="F307" s="563" t="s">
        <v>1356</v>
      </c>
      <c r="G307" s="563" t="s">
        <v>19</v>
      </c>
      <c r="H307" s="563" t="s">
        <v>20</v>
      </c>
      <c r="I307" s="563" t="s">
        <v>21</v>
      </c>
      <c r="J307" s="573">
        <v>44218</v>
      </c>
      <c r="K307" s="579" t="s">
        <v>3795</v>
      </c>
      <c r="L307" s="572"/>
      <c r="M307" s="572"/>
      <c r="N307" s="572"/>
      <c r="O307" s="572"/>
      <c r="P307" s="572"/>
      <c r="Q307" s="572"/>
      <c r="R307" s="572"/>
      <c r="S307" s="572"/>
      <c r="T307" s="572"/>
      <c r="U307" s="572"/>
      <c r="V307" s="572"/>
      <c r="W307" s="572"/>
      <c r="X307" s="572"/>
      <c r="Y307" s="572"/>
      <c r="Z307" s="572"/>
      <c r="AA307" s="572"/>
      <c r="AB307" s="572"/>
      <c r="AC307" s="572"/>
      <c r="AD307" s="572"/>
      <c r="AE307" s="572"/>
      <c r="AF307" s="572"/>
      <c r="AG307" s="572"/>
      <c r="AH307" s="572"/>
      <c r="AI307" s="572"/>
      <c r="AJ307" s="572"/>
      <c r="AK307" s="572"/>
      <c r="AL307" s="572"/>
      <c r="AM307" s="572"/>
      <c r="AN307" s="572"/>
      <c r="AO307" s="572"/>
      <c r="AP307" s="572"/>
      <c r="AQ307" s="572"/>
      <c r="AR307" s="572"/>
      <c r="AS307" s="572"/>
      <c r="AT307" s="572"/>
      <c r="AU307" s="572"/>
    </row>
    <row r="308" spans="1:47" ht="15.75" customHeight="1">
      <c r="A308" s="573">
        <v>44295</v>
      </c>
      <c r="B308" s="574" t="s">
        <v>6446</v>
      </c>
      <c r="C308" s="563" t="s">
        <v>3785</v>
      </c>
      <c r="D308" s="563" t="s">
        <v>3110</v>
      </c>
      <c r="E308" s="575">
        <v>0</v>
      </c>
      <c r="F308" s="563" t="s">
        <v>4044</v>
      </c>
      <c r="G308" s="563" t="s">
        <v>64</v>
      </c>
      <c r="H308" s="563" t="s">
        <v>20</v>
      </c>
      <c r="I308" s="563" t="s">
        <v>3634</v>
      </c>
      <c r="J308" s="573">
        <v>44165</v>
      </c>
      <c r="K308" s="579" t="s">
        <v>3795</v>
      </c>
      <c r="L308" s="572"/>
      <c r="M308" s="572"/>
      <c r="N308" s="572"/>
      <c r="O308" s="572"/>
      <c r="P308" s="572"/>
      <c r="Q308" s="572"/>
      <c r="R308" s="572"/>
      <c r="S308" s="572"/>
      <c r="T308" s="572"/>
      <c r="U308" s="572"/>
      <c r="V308" s="572"/>
      <c r="W308" s="572"/>
      <c r="X308" s="572"/>
      <c r="Y308" s="572"/>
      <c r="Z308" s="572"/>
      <c r="AA308" s="572"/>
      <c r="AB308" s="572"/>
      <c r="AC308" s="572"/>
      <c r="AD308" s="572"/>
      <c r="AE308" s="572"/>
      <c r="AF308" s="572"/>
      <c r="AG308" s="572"/>
      <c r="AH308" s="572"/>
      <c r="AI308" s="572"/>
      <c r="AJ308" s="572"/>
      <c r="AK308" s="572"/>
      <c r="AL308" s="572"/>
      <c r="AM308" s="572"/>
      <c r="AN308" s="572"/>
      <c r="AO308" s="572"/>
      <c r="AP308" s="572"/>
      <c r="AQ308" s="572"/>
      <c r="AR308" s="572"/>
      <c r="AS308" s="572"/>
      <c r="AT308" s="572"/>
      <c r="AU308" s="572"/>
    </row>
    <row r="309" spans="1:47" ht="15.75" customHeight="1">
      <c r="A309" s="577">
        <v>44299</v>
      </c>
      <c r="B309" s="578" t="s">
        <v>6447</v>
      </c>
      <c r="C309" s="405" t="s">
        <v>3785</v>
      </c>
      <c r="D309" s="563" t="s">
        <v>928</v>
      </c>
      <c r="E309" s="575">
        <v>299695.62</v>
      </c>
      <c r="F309" s="563" t="s">
        <v>4357</v>
      </c>
      <c r="G309" s="563" t="s">
        <v>64</v>
      </c>
      <c r="H309" s="563" t="s">
        <v>20</v>
      </c>
      <c r="I309" s="563" t="s">
        <v>73</v>
      </c>
      <c r="J309" s="573">
        <v>44195</v>
      </c>
      <c r="K309" s="579" t="s">
        <v>3805</v>
      </c>
      <c r="L309" s="572"/>
      <c r="M309" s="572"/>
      <c r="N309" s="572"/>
      <c r="O309" s="572"/>
      <c r="P309" s="572"/>
      <c r="Q309" s="572"/>
      <c r="R309" s="572"/>
      <c r="S309" s="572"/>
      <c r="T309" s="572"/>
      <c r="U309" s="572"/>
      <c r="V309" s="572"/>
      <c r="W309" s="572"/>
      <c r="X309" s="572"/>
      <c r="Y309" s="572"/>
      <c r="Z309" s="572"/>
      <c r="AA309" s="572"/>
      <c r="AB309" s="572"/>
      <c r="AC309" s="572"/>
      <c r="AD309" s="572"/>
      <c r="AE309" s="572"/>
      <c r="AF309" s="572"/>
      <c r="AG309" s="572"/>
      <c r="AH309" s="572"/>
      <c r="AI309" s="572"/>
      <c r="AJ309" s="572"/>
      <c r="AK309" s="572"/>
      <c r="AL309" s="572"/>
      <c r="AM309" s="572"/>
      <c r="AN309" s="572"/>
      <c r="AO309" s="572"/>
      <c r="AP309" s="572"/>
      <c r="AQ309" s="572"/>
      <c r="AR309" s="572"/>
      <c r="AS309" s="572"/>
      <c r="AT309" s="572"/>
      <c r="AU309" s="572"/>
    </row>
    <row r="310" spans="1:47" ht="15.75" customHeight="1">
      <c r="A310" s="577">
        <v>44299</v>
      </c>
      <c r="B310" s="578" t="s">
        <v>6343</v>
      </c>
      <c r="C310" s="405" t="s">
        <v>3785</v>
      </c>
      <c r="D310" s="563" t="s">
        <v>928</v>
      </c>
      <c r="E310" s="575">
        <v>203869.45</v>
      </c>
      <c r="F310" s="563" t="s">
        <v>5048</v>
      </c>
      <c r="G310" s="563" t="s">
        <v>2923</v>
      </c>
      <c r="H310" s="563" t="s">
        <v>20</v>
      </c>
      <c r="I310" s="563" t="s">
        <v>2923</v>
      </c>
      <c r="J310" s="573">
        <v>43749</v>
      </c>
      <c r="K310" s="579" t="s">
        <v>4188</v>
      </c>
      <c r="L310" s="572"/>
      <c r="M310" s="572"/>
      <c r="N310" s="572"/>
      <c r="O310" s="572"/>
      <c r="P310" s="572"/>
      <c r="Q310" s="572"/>
      <c r="R310" s="572"/>
      <c r="S310" s="572"/>
      <c r="T310" s="572"/>
      <c r="U310" s="572"/>
      <c r="V310" s="572"/>
      <c r="W310" s="572"/>
      <c r="X310" s="572"/>
      <c r="Y310" s="572"/>
      <c r="Z310" s="572"/>
      <c r="AA310" s="572"/>
      <c r="AB310" s="572"/>
      <c r="AC310" s="572"/>
      <c r="AD310" s="572"/>
      <c r="AE310" s="572"/>
      <c r="AF310" s="572"/>
      <c r="AG310" s="572"/>
      <c r="AH310" s="572"/>
      <c r="AI310" s="572"/>
      <c r="AJ310" s="572"/>
      <c r="AK310" s="572"/>
      <c r="AL310" s="572"/>
      <c r="AM310" s="572"/>
      <c r="AN310" s="572"/>
      <c r="AO310" s="572"/>
      <c r="AP310" s="572"/>
      <c r="AQ310" s="572"/>
      <c r="AR310" s="572"/>
      <c r="AS310" s="572"/>
      <c r="AT310" s="572"/>
      <c r="AU310" s="572"/>
    </row>
    <row r="311" spans="1:47" ht="15.75" customHeight="1">
      <c r="A311" s="577">
        <v>44302</v>
      </c>
      <c r="B311" s="578" t="s">
        <v>6347</v>
      </c>
      <c r="C311" s="405" t="s">
        <v>2921</v>
      </c>
      <c r="D311" s="563" t="s">
        <v>6341</v>
      </c>
      <c r="E311" s="575">
        <v>1000</v>
      </c>
      <c r="F311" s="563" t="s">
        <v>3191</v>
      </c>
      <c r="G311" s="573" t="s">
        <v>2923</v>
      </c>
      <c r="H311" s="573" t="s">
        <v>20</v>
      </c>
      <c r="I311" s="573" t="s">
        <v>2924</v>
      </c>
      <c r="J311" s="573">
        <v>43703</v>
      </c>
      <c r="K311" s="576" t="s">
        <v>4188</v>
      </c>
      <c r="L311" s="572"/>
      <c r="M311" s="572"/>
      <c r="N311" s="572"/>
      <c r="O311" s="572"/>
      <c r="P311" s="572"/>
      <c r="Q311" s="572"/>
      <c r="R311" s="572"/>
      <c r="S311" s="572"/>
      <c r="T311" s="572"/>
      <c r="U311" s="572"/>
      <c r="V311" s="572"/>
      <c r="W311" s="572"/>
      <c r="X311" s="572"/>
      <c r="Y311" s="572"/>
      <c r="Z311" s="572"/>
      <c r="AA311" s="572"/>
      <c r="AB311" s="572"/>
      <c r="AC311" s="572"/>
      <c r="AD311" s="572"/>
      <c r="AE311" s="572"/>
      <c r="AF311" s="572"/>
      <c r="AG311" s="572"/>
      <c r="AH311" s="572"/>
      <c r="AI311" s="572"/>
      <c r="AJ311" s="572"/>
      <c r="AK311" s="572"/>
      <c r="AL311" s="572"/>
      <c r="AM311" s="572"/>
      <c r="AN311" s="572"/>
      <c r="AO311" s="572"/>
      <c r="AP311" s="572"/>
      <c r="AQ311" s="572"/>
      <c r="AR311" s="572"/>
      <c r="AS311" s="572"/>
      <c r="AT311" s="572"/>
      <c r="AU311" s="572"/>
    </row>
    <row r="312" spans="1:47" ht="15.75" customHeight="1">
      <c r="A312" s="577">
        <v>44302</v>
      </c>
      <c r="B312" s="578" t="s">
        <v>6362</v>
      </c>
      <c r="C312" s="405" t="s">
        <v>2921</v>
      </c>
      <c r="D312" s="563" t="s">
        <v>6341</v>
      </c>
      <c r="E312" s="575">
        <v>10000</v>
      </c>
      <c r="F312" s="563" t="s">
        <v>3509</v>
      </c>
      <c r="G312" s="573" t="s">
        <v>2923</v>
      </c>
      <c r="H312" s="573" t="s">
        <v>20</v>
      </c>
      <c r="I312" s="573" t="s">
        <v>2924</v>
      </c>
      <c r="J312" s="573">
        <v>43717</v>
      </c>
      <c r="K312" s="576" t="s">
        <v>4188</v>
      </c>
      <c r="L312" s="572"/>
      <c r="M312" s="572"/>
      <c r="N312" s="572"/>
      <c r="O312" s="572"/>
      <c r="P312" s="572"/>
      <c r="Q312" s="572"/>
      <c r="R312" s="572"/>
      <c r="S312" s="572"/>
      <c r="T312" s="572"/>
      <c r="U312" s="572"/>
      <c r="V312" s="572"/>
      <c r="W312" s="572"/>
      <c r="X312" s="572"/>
      <c r="Y312" s="572"/>
      <c r="Z312" s="572"/>
      <c r="AA312" s="572"/>
      <c r="AB312" s="572"/>
      <c r="AC312" s="572"/>
      <c r="AD312" s="572"/>
      <c r="AE312" s="572"/>
      <c r="AF312" s="572"/>
      <c r="AG312" s="572"/>
      <c r="AH312" s="572"/>
      <c r="AI312" s="572"/>
      <c r="AJ312" s="572"/>
      <c r="AK312" s="572"/>
      <c r="AL312" s="572"/>
      <c r="AM312" s="572"/>
      <c r="AN312" s="572"/>
      <c r="AO312" s="572"/>
      <c r="AP312" s="572"/>
      <c r="AQ312" s="572"/>
      <c r="AR312" s="572"/>
      <c r="AS312" s="572"/>
      <c r="AT312" s="572"/>
      <c r="AU312" s="572"/>
    </row>
    <row r="313" spans="1:47" ht="15.75" customHeight="1">
      <c r="A313" s="573">
        <v>44305</v>
      </c>
      <c r="B313" s="574" t="s">
        <v>6343</v>
      </c>
      <c r="C313" s="563" t="s">
        <v>3785</v>
      </c>
      <c r="D313" s="563" t="s">
        <v>3110</v>
      </c>
      <c r="E313" s="575">
        <v>0</v>
      </c>
      <c r="F313" s="563" t="s">
        <v>5048</v>
      </c>
      <c r="G313" s="563" t="s">
        <v>2923</v>
      </c>
      <c r="H313" s="563" t="s">
        <v>20</v>
      </c>
      <c r="I313" s="563" t="s">
        <v>2923</v>
      </c>
      <c r="J313" s="573">
        <v>43749</v>
      </c>
      <c r="K313" s="579" t="s">
        <v>4188</v>
      </c>
      <c r="L313" s="572"/>
      <c r="M313" s="572"/>
      <c r="N313" s="572"/>
      <c r="O313" s="572"/>
      <c r="P313" s="572"/>
      <c r="Q313" s="572"/>
      <c r="R313" s="572"/>
      <c r="S313" s="572"/>
      <c r="T313" s="572"/>
      <c r="U313" s="572"/>
      <c r="V313" s="572"/>
      <c r="W313" s="572"/>
      <c r="X313" s="572"/>
      <c r="Y313" s="572"/>
      <c r="Z313" s="572"/>
      <c r="AA313" s="572"/>
      <c r="AB313" s="572"/>
      <c r="AC313" s="572"/>
      <c r="AD313" s="572"/>
      <c r="AE313" s="572"/>
      <c r="AF313" s="572"/>
      <c r="AG313" s="572"/>
      <c r="AH313" s="572"/>
      <c r="AI313" s="572"/>
      <c r="AJ313" s="572"/>
      <c r="AK313" s="572"/>
      <c r="AL313" s="572"/>
      <c r="AM313" s="572"/>
      <c r="AN313" s="572"/>
      <c r="AO313" s="572"/>
      <c r="AP313" s="572"/>
      <c r="AQ313" s="572"/>
      <c r="AR313" s="572"/>
      <c r="AS313" s="572"/>
      <c r="AT313" s="572"/>
      <c r="AU313" s="572"/>
    </row>
    <row r="314" spans="1:47" ht="15.75" customHeight="1">
      <c r="A314" s="573">
        <v>44305</v>
      </c>
      <c r="B314" s="574" t="s">
        <v>6360</v>
      </c>
      <c r="C314" s="563" t="s">
        <v>3785</v>
      </c>
      <c r="D314" s="563" t="s">
        <v>3110</v>
      </c>
      <c r="E314" s="575">
        <v>0</v>
      </c>
      <c r="F314" s="563" t="s">
        <v>5111</v>
      </c>
      <c r="G314" s="563" t="s">
        <v>2923</v>
      </c>
      <c r="H314" s="563" t="s">
        <v>20</v>
      </c>
      <c r="I314" s="563" t="s">
        <v>2923</v>
      </c>
      <c r="J314" s="573">
        <v>44225</v>
      </c>
      <c r="K314" s="579" t="s">
        <v>3795</v>
      </c>
      <c r="L314" s="572"/>
      <c r="M314" s="572"/>
      <c r="N314" s="572"/>
      <c r="O314" s="572"/>
      <c r="P314" s="572"/>
      <c r="Q314" s="572"/>
      <c r="R314" s="572"/>
      <c r="S314" s="572"/>
      <c r="T314" s="572"/>
      <c r="U314" s="572"/>
      <c r="V314" s="572"/>
      <c r="W314" s="572"/>
      <c r="X314" s="572"/>
      <c r="Y314" s="572"/>
      <c r="Z314" s="572"/>
      <c r="AA314" s="572"/>
      <c r="AB314" s="572"/>
      <c r="AC314" s="572"/>
      <c r="AD314" s="572"/>
      <c r="AE314" s="572"/>
      <c r="AF314" s="572"/>
      <c r="AG314" s="572"/>
      <c r="AH314" s="572"/>
      <c r="AI314" s="572"/>
      <c r="AJ314" s="572"/>
      <c r="AK314" s="572"/>
      <c r="AL314" s="572"/>
      <c r="AM314" s="572"/>
      <c r="AN314" s="572"/>
      <c r="AO314" s="572"/>
      <c r="AP314" s="572"/>
      <c r="AQ314" s="572"/>
      <c r="AR314" s="572"/>
      <c r="AS314" s="572"/>
      <c r="AT314" s="572"/>
      <c r="AU314" s="572"/>
    </row>
    <row r="315" spans="1:47" ht="15.75" customHeight="1">
      <c r="A315" s="577">
        <v>44305</v>
      </c>
      <c r="B315" s="578" t="s">
        <v>6417</v>
      </c>
      <c r="C315" s="405" t="s">
        <v>2921</v>
      </c>
      <c r="D315" s="563" t="s">
        <v>6341</v>
      </c>
      <c r="E315" s="575">
        <v>29853.439999999999</v>
      </c>
      <c r="F315" s="563" t="s">
        <v>3533</v>
      </c>
      <c r="G315" s="573" t="s">
        <v>2923</v>
      </c>
      <c r="H315" s="573" t="s">
        <v>20</v>
      </c>
      <c r="I315" s="573" t="s">
        <v>2930</v>
      </c>
      <c r="J315" s="573">
        <v>43822</v>
      </c>
      <c r="K315" s="576" t="s">
        <v>3805</v>
      </c>
      <c r="L315" s="572"/>
      <c r="M315" s="572"/>
      <c r="N315" s="572"/>
      <c r="O315" s="572"/>
      <c r="P315" s="572"/>
      <c r="Q315" s="572"/>
      <c r="R315" s="572"/>
      <c r="S315" s="572"/>
      <c r="T315" s="572"/>
      <c r="U315" s="572"/>
      <c r="V315" s="572"/>
      <c r="W315" s="572"/>
      <c r="X315" s="572"/>
      <c r="Y315" s="572"/>
      <c r="Z315" s="572"/>
      <c r="AA315" s="572"/>
      <c r="AB315" s="572"/>
      <c r="AC315" s="572"/>
      <c r="AD315" s="572"/>
      <c r="AE315" s="572"/>
      <c r="AF315" s="572"/>
      <c r="AG315" s="572"/>
      <c r="AH315" s="572"/>
      <c r="AI315" s="572"/>
      <c r="AJ315" s="572"/>
      <c r="AK315" s="572"/>
      <c r="AL315" s="572"/>
      <c r="AM315" s="572"/>
      <c r="AN315" s="572"/>
      <c r="AO315" s="572"/>
      <c r="AP315" s="572"/>
      <c r="AQ315" s="572"/>
      <c r="AR315" s="572"/>
      <c r="AS315" s="572"/>
      <c r="AT315" s="572"/>
      <c r="AU315" s="572"/>
    </row>
    <row r="316" spans="1:47" ht="15.75" customHeight="1">
      <c r="A316" s="577">
        <v>44305</v>
      </c>
      <c r="B316" s="578" t="s">
        <v>6448</v>
      </c>
      <c r="C316" s="405" t="s">
        <v>2921</v>
      </c>
      <c r="D316" s="563" t="s">
        <v>6341</v>
      </c>
      <c r="E316" s="575">
        <v>3500</v>
      </c>
      <c r="F316" s="563" t="s">
        <v>3552</v>
      </c>
      <c r="G316" s="573" t="s">
        <v>19</v>
      </c>
      <c r="H316" s="573" t="s">
        <v>34</v>
      </c>
      <c r="I316" s="573" t="s">
        <v>262</v>
      </c>
      <c r="J316" s="573">
        <v>44273</v>
      </c>
      <c r="K316" s="576" t="s">
        <v>3795</v>
      </c>
      <c r="L316" s="572"/>
      <c r="M316" s="572"/>
      <c r="N316" s="572"/>
      <c r="O316" s="572"/>
      <c r="P316" s="572"/>
      <c r="Q316" s="572"/>
      <c r="R316" s="572"/>
      <c r="S316" s="572"/>
      <c r="T316" s="572"/>
      <c r="U316" s="572"/>
      <c r="V316" s="572"/>
      <c r="W316" s="572"/>
      <c r="X316" s="572"/>
      <c r="Y316" s="572"/>
      <c r="Z316" s="572"/>
      <c r="AA316" s="572"/>
      <c r="AB316" s="572"/>
      <c r="AC316" s="572"/>
      <c r="AD316" s="572"/>
      <c r="AE316" s="572"/>
      <c r="AF316" s="572"/>
      <c r="AG316" s="572"/>
      <c r="AH316" s="572"/>
      <c r="AI316" s="572"/>
      <c r="AJ316" s="572"/>
      <c r="AK316" s="572"/>
      <c r="AL316" s="572"/>
      <c r="AM316" s="572"/>
      <c r="AN316" s="572"/>
      <c r="AO316" s="572"/>
      <c r="AP316" s="572"/>
      <c r="AQ316" s="572"/>
      <c r="AR316" s="572"/>
      <c r="AS316" s="572"/>
      <c r="AT316" s="572"/>
      <c r="AU316" s="572"/>
    </row>
    <row r="317" spans="1:47" ht="15.75" customHeight="1">
      <c r="A317" s="577">
        <v>44308</v>
      </c>
      <c r="B317" s="578" t="s">
        <v>6355</v>
      </c>
      <c r="C317" s="405" t="s">
        <v>2921</v>
      </c>
      <c r="D317" s="563" t="s">
        <v>6341</v>
      </c>
      <c r="E317" s="575">
        <v>193917.59</v>
      </c>
      <c r="F317" s="563" t="s">
        <v>3236</v>
      </c>
      <c r="G317" s="573" t="s">
        <v>2923</v>
      </c>
      <c r="H317" s="573" t="s">
        <v>20</v>
      </c>
      <c r="I317" s="573" t="s">
        <v>2930</v>
      </c>
      <c r="J317" s="573">
        <v>43559</v>
      </c>
      <c r="K317" s="576" t="s">
        <v>4188</v>
      </c>
      <c r="L317" s="572"/>
      <c r="M317" s="572"/>
      <c r="N317" s="572"/>
      <c r="O317" s="572"/>
      <c r="P317" s="572"/>
      <c r="Q317" s="572"/>
      <c r="R317" s="572"/>
      <c r="S317" s="572"/>
      <c r="T317" s="572"/>
      <c r="U317" s="572"/>
      <c r="V317" s="572"/>
      <c r="W317" s="572"/>
      <c r="X317" s="572"/>
      <c r="Y317" s="572"/>
      <c r="Z317" s="572"/>
      <c r="AA317" s="572"/>
      <c r="AB317" s="572"/>
      <c r="AC317" s="572"/>
      <c r="AD317" s="572"/>
      <c r="AE317" s="572"/>
      <c r="AF317" s="572"/>
      <c r="AG317" s="572"/>
      <c r="AH317" s="572"/>
      <c r="AI317" s="572"/>
      <c r="AJ317" s="572"/>
      <c r="AK317" s="572"/>
      <c r="AL317" s="572"/>
      <c r="AM317" s="572"/>
      <c r="AN317" s="572"/>
      <c r="AO317" s="572"/>
      <c r="AP317" s="572"/>
      <c r="AQ317" s="572"/>
      <c r="AR317" s="572"/>
      <c r="AS317" s="572"/>
      <c r="AT317" s="572"/>
      <c r="AU317" s="572"/>
    </row>
    <row r="318" spans="1:47" ht="15.75" customHeight="1">
      <c r="A318" s="577">
        <v>44308</v>
      </c>
      <c r="B318" s="578" t="s">
        <v>6449</v>
      </c>
      <c r="C318" s="405" t="s">
        <v>2921</v>
      </c>
      <c r="D318" s="563" t="s">
        <v>6341</v>
      </c>
      <c r="E318" s="575">
        <v>10000</v>
      </c>
      <c r="F318" s="563" t="s">
        <v>2929</v>
      </c>
      <c r="G318" s="573" t="s">
        <v>2923</v>
      </c>
      <c r="H318" s="573" t="s">
        <v>20</v>
      </c>
      <c r="I318" s="573" t="s">
        <v>2930</v>
      </c>
      <c r="J318" s="573">
        <v>43874</v>
      </c>
      <c r="K318" s="576" t="s">
        <v>3795</v>
      </c>
      <c r="L318" s="572"/>
      <c r="M318" s="572"/>
      <c r="N318" s="572"/>
      <c r="O318" s="572"/>
      <c r="P318" s="572"/>
      <c r="Q318" s="572"/>
      <c r="R318" s="572"/>
      <c r="S318" s="572"/>
      <c r="T318" s="572"/>
      <c r="U318" s="572"/>
      <c r="V318" s="572"/>
      <c r="W318" s="572"/>
      <c r="X318" s="572"/>
      <c r="Y318" s="572"/>
      <c r="Z318" s="572"/>
      <c r="AA318" s="572"/>
      <c r="AB318" s="572"/>
      <c r="AC318" s="572"/>
      <c r="AD318" s="572"/>
      <c r="AE318" s="572"/>
      <c r="AF318" s="572"/>
      <c r="AG318" s="572"/>
      <c r="AH318" s="572"/>
      <c r="AI318" s="572"/>
      <c r="AJ318" s="572"/>
      <c r="AK318" s="572"/>
      <c r="AL318" s="572"/>
      <c r="AM318" s="572"/>
      <c r="AN318" s="572"/>
      <c r="AO318" s="572"/>
      <c r="AP318" s="572"/>
      <c r="AQ318" s="572"/>
      <c r="AR318" s="572"/>
      <c r="AS318" s="572"/>
      <c r="AT318" s="572"/>
      <c r="AU318" s="572"/>
    </row>
    <row r="319" spans="1:47" ht="15.75" customHeight="1">
      <c r="A319" s="573">
        <v>44309</v>
      </c>
      <c r="B319" s="574" t="s">
        <v>6450</v>
      </c>
      <c r="C319" s="563" t="s">
        <v>2921</v>
      </c>
      <c r="D319" s="563" t="s">
        <v>3110</v>
      </c>
      <c r="E319" s="575">
        <v>72.06</v>
      </c>
      <c r="F319" s="563" t="s">
        <v>2981</v>
      </c>
      <c r="G319" s="573" t="s">
        <v>2923</v>
      </c>
      <c r="H319" s="573" t="s">
        <v>20</v>
      </c>
      <c r="I319" s="573" t="s">
        <v>2930</v>
      </c>
      <c r="J319" s="573">
        <v>43685</v>
      </c>
      <c r="K319" s="576" t="s">
        <v>4188</v>
      </c>
      <c r="L319" s="572"/>
      <c r="M319" s="572"/>
      <c r="N319" s="572"/>
      <c r="O319" s="572"/>
      <c r="P319" s="572"/>
      <c r="Q319" s="572"/>
      <c r="R319" s="572"/>
      <c r="S319" s="572"/>
      <c r="T319" s="572"/>
      <c r="U319" s="572"/>
      <c r="V319" s="572"/>
      <c r="W319" s="572"/>
      <c r="X319" s="572"/>
      <c r="Y319" s="572"/>
      <c r="Z319" s="572"/>
      <c r="AA319" s="572"/>
      <c r="AB319" s="572"/>
      <c r="AC319" s="572"/>
      <c r="AD319" s="572"/>
      <c r="AE319" s="572"/>
      <c r="AF319" s="572"/>
      <c r="AG319" s="572"/>
      <c r="AH319" s="572"/>
      <c r="AI319" s="572"/>
      <c r="AJ319" s="572"/>
      <c r="AK319" s="572"/>
      <c r="AL319" s="572"/>
      <c r="AM319" s="572"/>
      <c r="AN319" s="572"/>
      <c r="AO319" s="572"/>
      <c r="AP319" s="572"/>
      <c r="AQ319" s="572"/>
      <c r="AR319" s="572"/>
      <c r="AS319" s="572"/>
      <c r="AT319" s="572"/>
      <c r="AU319" s="572"/>
    </row>
    <row r="320" spans="1:47" ht="15.75" customHeight="1">
      <c r="A320" s="573">
        <v>44309</v>
      </c>
      <c r="B320" s="574" t="s">
        <v>6451</v>
      </c>
      <c r="C320" s="563" t="s">
        <v>2921</v>
      </c>
      <c r="D320" s="563" t="s">
        <v>3110</v>
      </c>
      <c r="E320" s="575">
        <v>295.22000000000003</v>
      </c>
      <c r="F320" s="563" t="s">
        <v>2991</v>
      </c>
      <c r="G320" s="573" t="s">
        <v>19</v>
      </c>
      <c r="H320" s="573" t="s">
        <v>20</v>
      </c>
      <c r="I320" s="573" t="s">
        <v>449</v>
      </c>
      <c r="J320" s="573">
        <v>43382</v>
      </c>
      <c r="K320" s="576" t="s">
        <v>3809</v>
      </c>
      <c r="L320" s="572"/>
      <c r="M320" s="572"/>
      <c r="N320" s="572"/>
      <c r="O320" s="572"/>
      <c r="P320" s="572"/>
      <c r="Q320" s="572"/>
      <c r="R320" s="572"/>
      <c r="S320" s="572"/>
      <c r="T320" s="572"/>
      <c r="U320" s="572"/>
      <c r="V320" s="572"/>
      <c r="W320" s="572"/>
      <c r="X320" s="572"/>
      <c r="Y320" s="572"/>
      <c r="Z320" s="572"/>
      <c r="AA320" s="572"/>
      <c r="AB320" s="572"/>
      <c r="AC320" s="572"/>
      <c r="AD320" s="572"/>
      <c r="AE320" s="572"/>
      <c r="AF320" s="572"/>
      <c r="AG320" s="572"/>
      <c r="AH320" s="572"/>
      <c r="AI320" s="572"/>
      <c r="AJ320" s="572"/>
      <c r="AK320" s="572"/>
      <c r="AL320" s="572"/>
      <c r="AM320" s="572"/>
      <c r="AN320" s="572"/>
      <c r="AO320" s="572"/>
      <c r="AP320" s="572"/>
      <c r="AQ320" s="572"/>
      <c r="AR320" s="572"/>
      <c r="AS320" s="572"/>
      <c r="AT320" s="572"/>
      <c r="AU320" s="572"/>
    </row>
    <row r="321" spans="1:47" ht="15.75" customHeight="1">
      <c r="A321" s="573">
        <v>44309</v>
      </c>
      <c r="B321" s="574" t="s">
        <v>6452</v>
      </c>
      <c r="C321" s="563" t="s">
        <v>2921</v>
      </c>
      <c r="D321" s="563" t="s">
        <v>3110</v>
      </c>
      <c r="E321" s="575">
        <v>47.86</v>
      </c>
      <c r="F321" s="563" t="s">
        <v>3022</v>
      </c>
      <c r="G321" s="573" t="s">
        <v>2923</v>
      </c>
      <c r="H321" s="573" t="s">
        <v>20</v>
      </c>
      <c r="I321" s="573" t="s">
        <v>2924</v>
      </c>
      <c r="J321" s="573">
        <v>43665</v>
      </c>
      <c r="K321" s="576" t="s">
        <v>4188</v>
      </c>
      <c r="L321" s="572"/>
      <c r="M321" s="572"/>
      <c r="N321" s="572"/>
      <c r="O321" s="572"/>
      <c r="P321" s="572"/>
      <c r="Q321" s="572"/>
      <c r="R321" s="572"/>
      <c r="S321" s="572"/>
      <c r="T321" s="572"/>
      <c r="U321" s="572"/>
      <c r="V321" s="572"/>
      <c r="W321" s="572"/>
      <c r="X321" s="572"/>
      <c r="Y321" s="572"/>
      <c r="Z321" s="572"/>
      <c r="AA321" s="572"/>
      <c r="AB321" s="572"/>
      <c r="AC321" s="572"/>
      <c r="AD321" s="572"/>
      <c r="AE321" s="572"/>
      <c r="AF321" s="572"/>
      <c r="AG321" s="572"/>
      <c r="AH321" s="572"/>
      <c r="AI321" s="572"/>
      <c r="AJ321" s="572"/>
      <c r="AK321" s="572"/>
      <c r="AL321" s="572"/>
      <c r="AM321" s="572"/>
      <c r="AN321" s="572"/>
      <c r="AO321" s="572"/>
      <c r="AP321" s="572"/>
      <c r="AQ321" s="572"/>
      <c r="AR321" s="572"/>
      <c r="AS321" s="572"/>
      <c r="AT321" s="572"/>
      <c r="AU321" s="572"/>
    </row>
    <row r="322" spans="1:47" ht="15.75" customHeight="1">
      <c r="A322" s="573">
        <v>44309</v>
      </c>
      <c r="B322" s="574" t="s">
        <v>6426</v>
      </c>
      <c r="C322" s="563" t="s">
        <v>2921</v>
      </c>
      <c r="D322" s="563" t="s">
        <v>3110</v>
      </c>
      <c r="E322" s="575"/>
      <c r="F322" s="563" t="s">
        <v>3247</v>
      </c>
      <c r="G322" s="573" t="s">
        <v>19</v>
      </c>
      <c r="H322" s="573" t="s">
        <v>20</v>
      </c>
      <c r="I322" s="573" t="s">
        <v>3072</v>
      </c>
      <c r="J322" s="573">
        <v>43515</v>
      </c>
      <c r="K322" s="576" t="s">
        <v>3809</v>
      </c>
      <c r="L322" s="572"/>
      <c r="M322" s="572"/>
      <c r="N322" s="572"/>
      <c r="O322" s="572"/>
      <c r="P322" s="572"/>
      <c r="Q322" s="572"/>
      <c r="R322" s="572"/>
      <c r="S322" s="572"/>
      <c r="T322" s="572"/>
      <c r="U322" s="572"/>
      <c r="V322" s="572"/>
      <c r="W322" s="572"/>
      <c r="X322" s="572"/>
      <c r="Y322" s="572"/>
      <c r="Z322" s="572"/>
      <c r="AA322" s="572"/>
      <c r="AB322" s="572"/>
      <c r="AC322" s="572"/>
      <c r="AD322" s="572"/>
      <c r="AE322" s="572"/>
      <c r="AF322" s="572"/>
      <c r="AG322" s="572"/>
      <c r="AH322" s="572"/>
      <c r="AI322" s="572"/>
      <c r="AJ322" s="572"/>
      <c r="AK322" s="572"/>
      <c r="AL322" s="572"/>
      <c r="AM322" s="572"/>
      <c r="AN322" s="572"/>
      <c r="AO322" s="572"/>
      <c r="AP322" s="572"/>
      <c r="AQ322" s="572"/>
      <c r="AR322" s="572"/>
      <c r="AS322" s="572"/>
      <c r="AT322" s="572"/>
      <c r="AU322" s="572"/>
    </row>
    <row r="323" spans="1:47" ht="15.75" customHeight="1">
      <c r="A323" s="573">
        <v>44309</v>
      </c>
      <c r="B323" s="574" t="s">
        <v>6354</v>
      </c>
      <c r="C323" s="563" t="s">
        <v>2921</v>
      </c>
      <c r="D323" s="563" t="s">
        <v>3110</v>
      </c>
      <c r="E323" s="575">
        <v>4170.42</v>
      </c>
      <c r="F323" s="563" t="s">
        <v>3254</v>
      </c>
      <c r="G323" s="573" t="s">
        <v>2923</v>
      </c>
      <c r="H323" s="573" t="s">
        <v>20</v>
      </c>
      <c r="I323" s="573" t="s">
        <v>2930</v>
      </c>
      <c r="J323" s="573">
        <v>43664</v>
      </c>
      <c r="K323" s="576" t="s">
        <v>4188</v>
      </c>
      <c r="L323" s="572"/>
      <c r="M323" s="572"/>
      <c r="N323" s="572"/>
      <c r="O323" s="572"/>
      <c r="P323" s="572"/>
      <c r="Q323" s="572"/>
      <c r="R323" s="572"/>
      <c r="S323" s="572"/>
      <c r="T323" s="572"/>
      <c r="U323" s="572"/>
      <c r="V323" s="572"/>
      <c r="W323" s="572"/>
      <c r="X323" s="572"/>
      <c r="Y323" s="572"/>
      <c r="Z323" s="572"/>
      <c r="AA323" s="572"/>
      <c r="AB323" s="572"/>
      <c r="AC323" s="572"/>
      <c r="AD323" s="572"/>
      <c r="AE323" s="572"/>
      <c r="AF323" s="572"/>
      <c r="AG323" s="572"/>
      <c r="AH323" s="572"/>
      <c r="AI323" s="572"/>
      <c r="AJ323" s="572"/>
      <c r="AK323" s="572"/>
      <c r="AL323" s="572"/>
      <c r="AM323" s="572"/>
      <c r="AN323" s="572"/>
      <c r="AO323" s="572"/>
      <c r="AP323" s="572"/>
      <c r="AQ323" s="572"/>
      <c r="AR323" s="572"/>
      <c r="AS323" s="572"/>
      <c r="AT323" s="572"/>
      <c r="AU323" s="572"/>
    </row>
    <row r="324" spans="1:47" ht="15.75" customHeight="1">
      <c r="A324" s="573">
        <v>44312</v>
      </c>
      <c r="B324" s="574" t="s">
        <v>6453</v>
      </c>
      <c r="C324" s="563" t="s">
        <v>2921</v>
      </c>
      <c r="D324" s="563" t="s">
        <v>3110</v>
      </c>
      <c r="E324" s="575">
        <v>6.32</v>
      </c>
      <c r="F324" s="563" t="s">
        <v>3065</v>
      </c>
      <c r="G324" s="573" t="s">
        <v>2923</v>
      </c>
      <c r="H324" s="573" t="s">
        <v>20</v>
      </c>
      <c r="I324" s="573" t="s">
        <v>2924</v>
      </c>
      <c r="J324" s="573" t="s">
        <v>3638</v>
      </c>
      <c r="K324" s="576" t="s">
        <v>3795</v>
      </c>
      <c r="L324" s="572"/>
      <c r="M324" s="572"/>
      <c r="N324" s="572"/>
      <c r="O324" s="572"/>
      <c r="P324" s="572"/>
      <c r="Q324" s="572"/>
      <c r="R324" s="572"/>
      <c r="S324" s="572"/>
      <c r="T324" s="572"/>
      <c r="U324" s="572"/>
      <c r="V324" s="572"/>
      <c r="W324" s="572"/>
      <c r="X324" s="572"/>
      <c r="Y324" s="572"/>
      <c r="Z324" s="572"/>
      <c r="AA324" s="572"/>
      <c r="AB324" s="572"/>
      <c r="AC324" s="572"/>
      <c r="AD324" s="572"/>
      <c r="AE324" s="572"/>
      <c r="AF324" s="572"/>
      <c r="AG324" s="572"/>
      <c r="AH324" s="572"/>
      <c r="AI324" s="572"/>
      <c r="AJ324" s="572"/>
      <c r="AK324" s="572"/>
      <c r="AL324" s="572"/>
      <c r="AM324" s="572"/>
      <c r="AN324" s="572"/>
      <c r="AO324" s="572"/>
      <c r="AP324" s="572"/>
      <c r="AQ324" s="572"/>
      <c r="AR324" s="572"/>
      <c r="AS324" s="572"/>
      <c r="AT324" s="572"/>
      <c r="AU324" s="572"/>
    </row>
    <row r="325" spans="1:47" ht="15.75" customHeight="1">
      <c r="A325" s="573">
        <v>44312</v>
      </c>
      <c r="B325" s="574" t="s">
        <v>6340</v>
      </c>
      <c r="C325" s="563" t="s">
        <v>2921</v>
      </c>
      <c r="D325" s="563" t="s">
        <v>3110</v>
      </c>
      <c r="E325" s="575">
        <v>242.83</v>
      </c>
      <c r="F325" s="563" t="s">
        <v>3468</v>
      </c>
      <c r="G325" s="573" t="s">
        <v>2923</v>
      </c>
      <c r="H325" s="573" t="s">
        <v>20</v>
      </c>
      <c r="I325" s="573" t="s">
        <v>2924</v>
      </c>
      <c r="J325" s="573">
        <v>43675</v>
      </c>
      <c r="K325" s="576" t="s">
        <v>4188</v>
      </c>
      <c r="L325" s="572"/>
      <c r="M325" s="572"/>
      <c r="N325" s="572"/>
      <c r="O325" s="572"/>
      <c r="P325" s="572"/>
      <c r="Q325" s="572"/>
      <c r="R325" s="572"/>
      <c r="S325" s="572"/>
      <c r="T325" s="572"/>
      <c r="U325" s="572"/>
      <c r="V325" s="572"/>
      <c r="W325" s="572"/>
      <c r="X325" s="572"/>
      <c r="Y325" s="572"/>
      <c r="Z325" s="572"/>
      <c r="AA325" s="572"/>
      <c r="AB325" s="572"/>
      <c r="AC325" s="572"/>
      <c r="AD325" s="572"/>
      <c r="AE325" s="572"/>
      <c r="AF325" s="572"/>
      <c r="AG325" s="572"/>
      <c r="AH325" s="572"/>
      <c r="AI325" s="572"/>
      <c r="AJ325" s="572"/>
      <c r="AK325" s="572"/>
      <c r="AL325" s="572"/>
      <c r="AM325" s="572"/>
      <c r="AN325" s="572"/>
      <c r="AO325" s="572"/>
      <c r="AP325" s="572"/>
      <c r="AQ325" s="572"/>
      <c r="AR325" s="572"/>
      <c r="AS325" s="572"/>
      <c r="AT325" s="572"/>
      <c r="AU325" s="572"/>
    </row>
    <row r="326" spans="1:47" ht="15.75" customHeight="1">
      <c r="A326" s="577">
        <v>44312</v>
      </c>
      <c r="B326" s="578" t="s">
        <v>6400</v>
      </c>
      <c r="C326" s="405" t="s">
        <v>2921</v>
      </c>
      <c r="D326" s="563" t="s">
        <v>928</v>
      </c>
      <c r="E326" s="575">
        <v>57000</v>
      </c>
      <c r="F326" s="563" t="s">
        <v>3373</v>
      </c>
      <c r="G326" s="573" t="s">
        <v>2923</v>
      </c>
      <c r="H326" s="573" t="s">
        <v>20</v>
      </c>
      <c r="I326" s="573" t="s">
        <v>2930</v>
      </c>
      <c r="J326" s="573">
        <v>43622</v>
      </c>
      <c r="K326" s="576" t="s">
        <v>3805</v>
      </c>
      <c r="L326" s="572"/>
      <c r="M326" s="572"/>
      <c r="N326" s="572"/>
      <c r="O326" s="572"/>
      <c r="P326" s="572"/>
      <c r="Q326" s="572"/>
      <c r="R326" s="572"/>
      <c r="S326" s="572"/>
      <c r="T326" s="572"/>
      <c r="U326" s="572"/>
      <c r="V326" s="572"/>
      <c r="W326" s="572"/>
      <c r="X326" s="572"/>
      <c r="Y326" s="572"/>
      <c r="Z326" s="572"/>
      <c r="AA326" s="572"/>
      <c r="AB326" s="572"/>
      <c r="AC326" s="572"/>
      <c r="AD326" s="572"/>
      <c r="AE326" s="572"/>
      <c r="AF326" s="572"/>
      <c r="AG326" s="572"/>
      <c r="AH326" s="572"/>
      <c r="AI326" s="572"/>
      <c r="AJ326" s="572"/>
      <c r="AK326" s="572"/>
      <c r="AL326" s="572"/>
      <c r="AM326" s="572"/>
      <c r="AN326" s="572"/>
      <c r="AO326" s="572"/>
      <c r="AP326" s="572"/>
      <c r="AQ326" s="572"/>
      <c r="AR326" s="572"/>
      <c r="AS326" s="572"/>
      <c r="AT326" s="572"/>
      <c r="AU326" s="572"/>
    </row>
    <row r="327" spans="1:47" ht="15.75" customHeight="1">
      <c r="A327" s="573">
        <v>44314</v>
      </c>
      <c r="B327" s="574" t="s">
        <v>6449</v>
      </c>
      <c r="C327" s="563" t="s">
        <v>2921</v>
      </c>
      <c r="D327" s="563" t="s">
        <v>3110</v>
      </c>
      <c r="E327" s="575">
        <v>299695.62</v>
      </c>
      <c r="F327" s="563" t="s">
        <v>2929</v>
      </c>
      <c r="G327" s="573" t="s">
        <v>2923</v>
      </c>
      <c r="H327" s="573" t="s">
        <v>20</v>
      </c>
      <c r="I327" s="573" t="s">
        <v>2930</v>
      </c>
      <c r="J327" s="573">
        <v>43874</v>
      </c>
      <c r="K327" s="576" t="s">
        <v>3795</v>
      </c>
      <c r="L327" s="572"/>
      <c r="M327" s="572"/>
      <c r="N327" s="572"/>
      <c r="O327" s="572"/>
      <c r="P327" s="572"/>
      <c r="Q327" s="572"/>
      <c r="R327" s="572"/>
      <c r="S327" s="572"/>
      <c r="T327" s="572"/>
      <c r="U327" s="572"/>
      <c r="V327" s="572"/>
      <c r="W327" s="572"/>
      <c r="X327" s="572"/>
      <c r="Y327" s="572"/>
      <c r="Z327" s="572"/>
      <c r="AA327" s="572"/>
      <c r="AB327" s="572"/>
      <c r="AC327" s="572"/>
      <c r="AD327" s="572"/>
      <c r="AE327" s="572"/>
      <c r="AF327" s="572"/>
      <c r="AG327" s="572"/>
      <c r="AH327" s="572"/>
      <c r="AI327" s="572"/>
      <c r="AJ327" s="572"/>
      <c r="AK327" s="572"/>
      <c r="AL327" s="572"/>
      <c r="AM327" s="572"/>
      <c r="AN327" s="572"/>
      <c r="AO327" s="572"/>
      <c r="AP327" s="572"/>
      <c r="AQ327" s="572"/>
      <c r="AR327" s="572"/>
      <c r="AS327" s="572"/>
      <c r="AT327" s="572"/>
      <c r="AU327" s="572"/>
    </row>
    <row r="328" spans="1:47" ht="15.75" customHeight="1">
      <c r="A328" s="573">
        <v>44314</v>
      </c>
      <c r="B328" s="574" t="s">
        <v>6454</v>
      </c>
      <c r="C328" s="563" t="s">
        <v>2921</v>
      </c>
      <c r="D328" s="563" t="s">
        <v>3110</v>
      </c>
      <c r="E328" s="575">
        <v>29853.439999999999</v>
      </c>
      <c r="F328" s="563" t="s">
        <v>2996</v>
      </c>
      <c r="G328" s="573" t="s">
        <v>2923</v>
      </c>
      <c r="H328" s="573" t="s">
        <v>20</v>
      </c>
      <c r="I328" s="573" t="s">
        <v>2924</v>
      </c>
      <c r="J328" s="573">
        <v>43620</v>
      </c>
      <c r="K328" s="576" t="s">
        <v>3805</v>
      </c>
      <c r="L328" s="572"/>
      <c r="M328" s="572"/>
      <c r="N328" s="572"/>
      <c r="O328" s="572"/>
      <c r="P328" s="572"/>
      <c r="Q328" s="572"/>
      <c r="R328" s="572"/>
      <c r="S328" s="572"/>
      <c r="T328" s="572"/>
      <c r="U328" s="572"/>
      <c r="V328" s="572"/>
      <c r="W328" s="572"/>
      <c r="X328" s="572"/>
      <c r="Y328" s="572"/>
      <c r="Z328" s="572"/>
      <c r="AA328" s="572"/>
      <c r="AB328" s="572"/>
      <c r="AC328" s="572"/>
      <c r="AD328" s="572"/>
      <c r="AE328" s="572"/>
      <c r="AF328" s="572"/>
      <c r="AG328" s="572"/>
      <c r="AH328" s="572"/>
      <c r="AI328" s="572"/>
      <c r="AJ328" s="572"/>
      <c r="AK328" s="572"/>
      <c r="AL328" s="572"/>
      <c r="AM328" s="572"/>
      <c r="AN328" s="572"/>
      <c r="AO328" s="572"/>
      <c r="AP328" s="572"/>
      <c r="AQ328" s="572"/>
      <c r="AR328" s="572"/>
      <c r="AS328" s="572"/>
      <c r="AT328" s="572"/>
      <c r="AU328" s="572"/>
    </row>
    <row r="329" spans="1:47" ht="15.75" customHeight="1">
      <c r="A329" s="577">
        <v>44314</v>
      </c>
      <c r="B329" s="578" t="s">
        <v>6455</v>
      </c>
      <c r="C329" s="405" t="s">
        <v>2921</v>
      </c>
      <c r="D329" s="563" t="s">
        <v>6341</v>
      </c>
      <c r="E329" s="575">
        <v>11000</v>
      </c>
      <c r="F329" s="563" t="s">
        <v>3141</v>
      </c>
      <c r="G329" s="573" t="s">
        <v>19</v>
      </c>
      <c r="H329" s="573" t="s">
        <v>34</v>
      </c>
      <c r="I329" s="573" t="s">
        <v>262</v>
      </c>
      <c r="J329" s="573">
        <v>44298</v>
      </c>
      <c r="K329" s="576" t="s">
        <v>3795</v>
      </c>
      <c r="L329" s="572"/>
      <c r="M329" s="572"/>
      <c r="N329" s="572"/>
      <c r="O329" s="572"/>
      <c r="P329" s="572"/>
      <c r="Q329" s="572"/>
      <c r="R329" s="572"/>
      <c r="S329" s="572"/>
      <c r="T329" s="572"/>
      <c r="U329" s="572"/>
      <c r="V329" s="572"/>
      <c r="W329" s="572"/>
      <c r="X329" s="572"/>
      <c r="Y329" s="572"/>
      <c r="Z329" s="572"/>
      <c r="AA329" s="572"/>
      <c r="AB329" s="572"/>
      <c r="AC329" s="572"/>
      <c r="AD329" s="572"/>
      <c r="AE329" s="572"/>
      <c r="AF329" s="572"/>
      <c r="AG329" s="572"/>
      <c r="AH329" s="572"/>
      <c r="AI329" s="572"/>
      <c r="AJ329" s="572"/>
      <c r="AK329" s="572"/>
      <c r="AL329" s="572"/>
      <c r="AM329" s="572"/>
      <c r="AN329" s="572"/>
      <c r="AO329" s="572"/>
      <c r="AP329" s="572"/>
      <c r="AQ329" s="572"/>
      <c r="AR329" s="572"/>
      <c r="AS329" s="572"/>
      <c r="AT329" s="572"/>
      <c r="AU329" s="572"/>
    </row>
    <row r="330" spans="1:47" ht="15.75" customHeight="1">
      <c r="A330" s="577">
        <v>44314</v>
      </c>
      <c r="B330" s="578" t="s">
        <v>6347</v>
      </c>
      <c r="C330" s="405" t="s">
        <v>2921</v>
      </c>
      <c r="D330" s="563" t="s">
        <v>6341</v>
      </c>
      <c r="E330" s="575">
        <v>12000</v>
      </c>
      <c r="F330" s="563" t="s">
        <v>3191</v>
      </c>
      <c r="G330" s="573" t="s">
        <v>2923</v>
      </c>
      <c r="H330" s="573" t="s">
        <v>20</v>
      </c>
      <c r="I330" s="573" t="s">
        <v>2924</v>
      </c>
      <c r="J330" s="573">
        <v>43703</v>
      </c>
      <c r="K330" s="576" t="s">
        <v>4188</v>
      </c>
      <c r="L330" s="572"/>
      <c r="M330" s="572"/>
      <c r="N330" s="572"/>
      <c r="O330" s="572"/>
      <c r="P330" s="572"/>
      <c r="Q330" s="572"/>
      <c r="R330" s="572"/>
      <c r="S330" s="572"/>
      <c r="T330" s="572"/>
      <c r="U330" s="572"/>
      <c r="V330" s="572"/>
      <c r="W330" s="572"/>
      <c r="X330" s="572"/>
      <c r="Y330" s="572"/>
      <c r="Z330" s="572"/>
      <c r="AA330" s="572"/>
      <c r="AB330" s="572"/>
      <c r="AC330" s="572"/>
      <c r="AD330" s="572"/>
      <c r="AE330" s="572"/>
      <c r="AF330" s="572"/>
      <c r="AG330" s="572"/>
      <c r="AH330" s="572"/>
      <c r="AI330" s="572"/>
      <c r="AJ330" s="572"/>
      <c r="AK330" s="572"/>
      <c r="AL330" s="572"/>
      <c r="AM330" s="572"/>
      <c r="AN330" s="572"/>
      <c r="AO330" s="572"/>
      <c r="AP330" s="572"/>
      <c r="AQ330" s="572"/>
      <c r="AR330" s="572"/>
      <c r="AS330" s="572"/>
      <c r="AT330" s="572"/>
      <c r="AU330" s="572"/>
    </row>
    <row r="331" spans="1:47" ht="15.75" customHeight="1">
      <c r="A331" s="577">
        <v>44314</v>
      </c>
      <c r="B331" s="578" t="s">
        <v>6454</v>
      </c>
      <c r="C331" s="405" t="s">
        <v>2921</v>
      </c>
      <c r="D331" s="563" t="s">
        <v>928</v>
      </c>
      <c r="E331" s="575">
        <v>162050.69</v>
      </c>
      <c r="F331" s="563" t="s">
        <v>2996</v>
      </c>
      <c r="G331" s="573" t="s">
        <v>2923</v>
      </c>
      <c r="H331" s="573" t="s">
        <v>20</v>
      </c>
      <c r="I331" s="573" t="s">
        <v>2924</v>
      </c>
      <c r="J331" s="573">
        <v>43620</v>
      </c>
      <c r="K331" s="576" t="s">
        <v>3805</v>
      </c>
      <c r="L331" s="572"/>
      <c r="M331" s="572"/>
      <c r="N331" s="572"/>
      <c r="O331" s="572"/>
      <c r="P331" s="572"/>
      <c r="Q331" s="572"/>
      <c r="R331" s="572"/>
      <c r="S331" s="572"/>
      <c r="T331" s="572"/>
      <c r="U331" s="572"/>
      <c r="V331" s="572"/>
      <c r="W331" s="572"/>
      <c r="X331" s="572"/>
      <c r="Y331" s="572"/>
      <c r="Z331" s="572"/>
      <c r="AA331" s="572"/>
      <c r="AB331" s="572"/>
      <c r="AC331" s="572"/>
      <c r="AD331" s="572"/>
      <c r="AE331" s="572"/>
      <c r="AF331" s="572"/>
      <c r="AG331" s="572"/>
      <c r="AH331" s="572"/>
      <c r="AI331" s="572"/>
      <c r="AJ331" s="572"/>
      <c r="AK331" s="572"/>
      <c r="AL331" s="572"/>
      <c r="AM331" s="572"/>
      <c r="AN331" s="572"/>
      <c r="AO331" s="572"/>
      <c r="AP331" s="572"/>
      <c r="AQ331" s="572"/>
      <c r="AR331" s="572"/>
      <c r="AS331" s="572"/>
      <c r="AT331" s="572"/>
      <c r="AU331" s="572"/>
    </row>
    <row r="332" spans="1:47" ht="15.75" customHeight="1">
      <c r="A332" s="577">
        <v>44314</v>
      </c>
      <c r="B332" s="578" t="s">
        <v>6397</v>
      </c>
      <c r="C332" s="405" t="s">
        <v>3785</v>
      </c>
      <c r="D332" s="563" t="s">
        <v>6341</v>
      </c>
      <c r="E332" s="575">
        <v>5000</v>
      </c>
      <c r="F332" s="563" t="s">
        <v>4476</v>
      </c>
      <c r="G332" s="563" t="s">
        <v>2923</v>
      </c>
      <c r="H332" s="563" t="s">
        <v>20</v>
      </c>
      <c r="I332" s="563" t="s">
        <v>2923</v>
      </c>
      <c r="J332" s="573">
        <v>43901</v>
      </c>
      <c r="K332" s="579" t="s">
        <v>3789</v>
      </c>
      <c r="L332" s="572"/>
      <c r="M332" s="572"/>
      <c r="N332" s="572"/>
      <c r="O332" s="572"/>
      <c r="P332" s="572"/>
      <c r="Q332" s="572"/>
      <c r="R332" s="572"/>
      <c r="S332" s="572"/>
      <c r="T332" s="572"/>
      <c r="U332" s="572"/>
      <c r="V332" s="572"/>
      <c r="W332" s="572"/>
      <c r="X332" s="572"/>
      <c r="Y332" s="572"/>
      <c r="Z332" s="572"/>
      <c r="AA332" s="572"/>
      <c r="AB332" s="572"/>
      <c r="AC332" s="572"/>
      <c r="AD332" s="572"/>
      <c r="AE332" s="572"/>
      <c r="AF332" s="572"/>
      <c r="AG332" s="572"/>
      <c r="AH332" s="572"/>
      <c r="AI332" s="572"/>
      <c r="AJ332" s="572"/>
      <c r="AK332" s="572"/>
      <c r="AL332" s="572"/>
      <c r="AM332" s="572"/>
      <c r="AN332" s="572"/>
      <c r="AO332" s="572"/>
      <c r="AP332" s="572"/>
      <c r="AQ332" s="572"/>
      <c r="AR332" s="572"/>
      <c r="AS332" s="572"/>
      <c r="AT332" s="572"/>
      <c r="AU332" s="572"/>
    </row>
    <row r="333" spans="1:47" ht="15.75" customHeight="1">
      <c r="A333" s="573">
        <v>44315</v>
      </c>
      <c r="B333" s="574" t="s">
        <v>6456</v>
      </c>
      <c r="C333" s="563" t="s">
        <v>3785</v>
      </c>
      <c r="D333" s="563" t="s">
        <v>3110</v>
      </c>
      <c r="E333" s="575">
        <v>0</v>
      </c>
      <c r="F333" s="563" t="s">
        <v>5005</v>
      </c>
      <c r="G333" s="563" t="s">
        <v>64</v>
      </c>
      <c r="H333" s="563" t="s">
        <v>20</v>
      </c>
      <c r="I333" s="563" t="s">
        <v>337</v>
      </c>
      <c r="J333" s="573">
        <v>44183</v>
      </c>
      <c r="K333" s="579" t="s">
        <v>3789</v>
      </c>
      <c r="L333" s="572"/>
      <c r="M333" s="572"/>
      <c r="N333" s="572"/>
      <c r="O333" s="572"/>
      <c r="P333" s="572"/>
      <c r="Q333" s="572"/>
      <c r="R333" s="572"/>
      <c r="S333" s="572"/>
      <c r="T333" s="572"/>
      <c r="U333" s="572"/>
      <c r="V333" s="572"/>
      <c r="W333" s="572"/>
      <c r="X333" s="572"/>
      <c r="Y333" s="572"/>
      <c r="Z333" s="572"/>
      <c r="AA333" s="572"/>
      <c r="AB333" s="572"/>
      <c r="AC333" s="572"/>
      <c r="AD333" s="572"/>
      <c r="AE333" s="572"/>
      <c r="AF333" s="572"/>
      <c r="AG333" s="572"/>
      <c r="AH333" s="572"/>
      <c r="AI333" s="572"/>
      <c r="AJ333" s="572"/>
      <c r="AK333" s="572"/>
      <c r="AL333" s="572"/>
      <c r="AM333" s="572"/>
      <c r="AN333" s="572"/>
      <c r="AO333" s="572"/>
      <c r="AP333" s="572"/>
      <c r="AQ333" s="572"/>
      <c r="AR333" s="572"/>
      <c r="AS333" s="572"/>
      <c r="AT333" s="572"/>
      <c r="AU333" s="572"/>
    </row>
    <row r="334" spans="1:47" ht="15.75" customHeight="1">
      <c r="A334" s="577">
        <v>44315</v>
      </c>
      <c r="B334" s="578" t="s">
        <v>6456</v>
      </c>
      <c r="C334" s="405" t="s">
        <v>3785</v>
      </c>
      <c r="D334" s="563" t="s">
        <v>928</v>
      </c>
      <c r="E334" s="575">
        <v>103154.55</v>
      </c>
      <c r="F334" s="563" t="s">
        <v>5005</v>
      </c>
      <c r="G334" s="563" t="s">
        <v>64</v>
      </c>
      <c r="H334" s="563" t="s">
        <v>20</v>
      </c>
      <c r="I334" s="563" t="s">
        <v>337</v>
      </c>
      <c r="J334" s="573">
        <v>44183</v>
      </c>
      <c r="K334" s="579" t="s">
        <v>3789</v>
      </c>
      <c r="L334" s="572"/>
      <c r="M334" s="572"/>
      <c r="N334" s="572"/>
      <c r="O334" s="572"/>
      <c r="P334" s="572"/>
      <c r="Q334" s="572"/>
      <c r="R334" s="572"/>
      <c r="S334" s="572"/>
      <c r="T334" s="572"/>
      <c r="U334" s="572"/>
      <c r="V334" s="572"/>
      <c r="W334" s="572"/>
      <c r="X334" s="572"/>
      <c r="Y334" s="572"/>
      <c r="Z334" s="572"/>
      <c r="AA334" s="572"/>
      <c r="AB334" s="572"/>
      <c r="AC334" s="572"/>
      <c r="AD334" s="572"/>
      <c r="AE334" s="572"/>
      <c r="AF334" s="572"/>
      <c r="AG334" s="572"/>
      <c r="AH334" s="572"/>
      <c r="AI334" s="572"/>
      <c r="AJ334" s="572"/>
      <c r="AK334" s="572"/>
      <c r="AL334" s="572"/>
      <c r="AM334" s="572"/>
      <c r="AN334" s="572"/>
      <c r="AO334" s="572"/>
      <c r="AP334" s="572"/>
      <c r="AQ334" s="572"/>
      <c r="AR334" s="572"/>
      <c r="AS334" s="572"/>
      <c r="AT334" s="572"/>
      <c r="AU334" s="572"/>
    </row>
    <row r="335" spans="1:47" ht="15.75" customHeight="1">
      <c r="A335" s="577">
        <v>44316</v>
      </c>
      <c r="B335" s="578" t="s">
        <v>6455</v>
      </c>
      <c r="C335" s="405" t="s">
        <v>2921</v>
      </c>
      <c r="D335" s="563" t="s">
        <v>6341</v>
      </c>
      <c r="E335" s="575">
        <v>100000</v>
      </c>
      <c r="F335" s="563" t="s">
        <v>3141</v>
      </c>
      <c r="G335" s="573" t="s">
        <v>19</v>
      </c>
      <c r="H335" s="573" t="s">
        <v>34</v>
      </c>
      <c r="I335" s="573" t="s">
        <v>262</v>
      </c>
      <c r="J335" s="573">
        <v>44298</v>
      </c>
      <c r="K335" s="576" t="s">
        <v>3795</v>
      </c>
      <c r="L335" s="572"/>
      <c r="M335" s="572"/>
      <c r="N335" s="572"/>
      <c r="O335" s="572"/>
      <c r="P335" s="572"/>
      <c r="Q335" s="572"/>
      <c r="R335" s="572"/>
      <c r="S335" s="572"/>
      <c r="T335" s="572"/>
      <c r="U335" s="572"/>
      <c r="V335" s="572"/>
      <c r="W335" s="572"/>
      <c r="X335" s="572"/>
      <c r="Y335" s="572"/>
      <c r="Z335" s="572"/>
      <c r="AA335" s="572"/>
      <c r="AB335" s="572"/>
      <c r="AC335" s="572"/>
      <c r="AD335" s="572"/>
      <c r="AE335" s="572"/>
      <c r="AF335" s="572"/>
      <c r="AG335" s="572"/>
      <c r="AH335" s="572"/>
      <c r="AI335" s="572"/>
      <c r="AJ335" s="572"/>
      <c r="AK335" s="572"/>
      <c r="AL335" s="572"/>
      <c r="AM335" s="572"/>
      <c r="AN335" s="572"/>
      <c r="AO335" s="572"/>
      <c r="AP335" s="572"/>
      <c r="AQ335" s="572"/>
      <c r="AR335" s="572"/>
      <c r="AS335" s="572"/>
      <c r="AT335" s="572"/>
      <c r="AU335" s="572"/>
    </row>
    <row r="336" spans="1:47" ht="15.75" customHeight="1">
      <c r="A336" s="577">
        <v>44316</v>
      </c>
      <c r="B336" s="578" t="s">
        <v>6347</v>
      </c>
      <c r="C336" s="405" t="s">
        <v>2921</v>
      </c>
      <c r="D336" s="563" t="s">
        <v>6341</v>
      </c>
      <c r="E336" s="575">
        <v>9000</v>
      </c>
      <c r="F336" s="563" t="s">
        <v>3191</v>
      </c>
      <c r="G336" s="573" t="s">
        <v>2923</v>
      </c>
      <c r="H336" s="573" t="s">
        <v>20</v>
      </c>
      <c r="I336" s="573" t="s">
        <v>2924</v>
      </c>
      <c r="J336" s="573">
        <v>43703</v>
      </c>
      <c r="K336" s="576" t="s">
        <v>4188</v>
      </c>
      <c r="L336" s="572"/>
      <c r="M336" s="572"/>
      <c r="N336" s="572"/>
      <c r="O336" s="572"/>
      <c r="P336" s="572"/>
      <c r="Q336" s="572"/>
      <c r="R336" s="572"/>
      <c r="S336" s="572"/>
      <c r="T336" s="572"/>
      <c r="U336" s="572"/>
      <c r="V336" s="572"/>
      <c r="W336" s="572"/>
      <c r="X336" s="572"/>
      <c r="Y336" s="572"/>
      <c r="Z336" s="572"/>
      <c r="AA336" s="572"/>
      <c r="AB336" s="572"/>
      <c r="AC336" s="572"/>
      <c r="AD336" s="572"/>
      <c r="AE336" s="572"/>
      <c r="AF336" s="572"/>
      <c r="AG336" s="572"/>
      <c r="AH336" s="572"/>
      <c r="AI336" s="572"/>
      <c r="AJ336" s="572"/>
      <c r="AK336" s="572"/>
      <c r="AL336" s="572"/>
      <c r="AM336" s="572"/>
      <c r="AN336" s="572"/>
      <c r="AO336" s="572"/>
      <c r="AP336" s="572"/>
      <c r="AQ336" s="572"/>
      <c r="AR336" s="572"/>
      <c r="AS336" s="572"/>
      <c r="AT336" s="572"/>
      <c r="AU336" s="572"/>
    </row>
    <row r="337" spans="1:47" ht="15.75" customHeight="1">
      <c r="A337" s="577">
        <v>44316</v>
      </c>
      <c r="B337" s="578" t="s">
        <v>6442</v>
      </c>
      <c r="C337" s="405" t="s">
        <v>3785</v>
      </c>
      <c r="D337" s="563" t="s">
        <v>6341</v>
      </c>
      <c r="E337" s="575">
        <v>5000</v>
      </c>
      <c r="F337" s="563" t="s">
        <v>5087</v>
      </c>
      <c r="G337" s="563" t="s">
        <v>64</v>
      </c>
      <c r="H337" s="563" t="s">
        <v>20</v>
      </c>
      <c r="I337" s="563" t="s">
        <v>4472</v>
      </c>
      <c r="J337" s="573">
        <v>44180</v>
      </c>
      <c r="K337" s="579" t="s">
        <v>3795</v>
      </c>
      <c r="L337" s="572"/>
      <c r="M337" s="572"/>
      <c r="N337" s="572"/>
      <c r="O337" s="572"/>
      <c r="P337" s="572"/>
      <c r="Q337" s="572"/>
      <c r="R337" s="572"/>
      <c r="S337" s="572"/>
      <c r="T337" s="572"/>
      <c r="U337" s="572"/>
      <c r="V337" s="572"/>
      <c r="W337" s="572"/>
      <c r="X337" s="572"/>
      <c r="Y337" s="572"/>
      <c r="Z337" s="572"/>
      <c r="AA337" s="572"/>
      <c r="AB337" s="572"/>
      <c r="AC337" s="572"/>
      <c r="AD337" s="572"/>
      <c r="AE337" s="572"/>
      <c r="AF337" s="572"/>
      <c r="AG337" s="572"/>
      <c r="AH337" s="572"/>
      <c r="AI337" s="572"/>
      <c r="AJ337" s="572"/>
      <c r="AK337" s="572"/>
      <c r="AL337" s="572"/>
      <c r="AM337" s="572"/>
      <c r="AN337" s="572"/>
      <c r="AO337" s="572"/>
      <c r="AP337" s="572"/>
      <c r="AQ337" s="572"/>
      <c r="AR337" s="572"/>
      <c r="AS337" s="572"/>
      <c r="AT337" s="572"/>
      <c r="AU337" s="572"/>
    </row>
    <row r="338" spans="1:47" ht="15.75" customHeight="1">
      <c r="A338" s="573">
        <v>44319</v>
      </c>
      <c r="B338" s="574" t="s">
        <v>6457</v>
      </c>
      <c r="C338" s="563" t="s">
        <v>3785</v>
      </c>
      <c r="D338" s="563" t="s">
        <v>3110</v>
      </c>
      <c r="E338" s="575">
        <v>0</v>
      </c>
      <c r="F338" s="563" t="s">
        <v>4752</v>
      </c>
      <c r="G338" s="563" t="s">
        <v>64</v>
      </c>
      <c r="H338" s="563" t="s">
        <v>2051</v>
      </c>
      <c r="I338" s="563" t="s">
        <v>6251</v>
      </c>
      <c r="J338" s="573">
        <v>44246</v>
      </c>
      <c r="K338" s="579" t="s">
        <v>3789</v>
      </c>
      <c r="L338" s="572"/>
      <c r="M338" s="572"/>
      <c r="N338" s="572"/>
      <c r="O338" s="572"/>
      <c r="P338" s="572"/>
      <c r="Q338" s="572"/>
      <c r="R338" s="572"/>
      <c r="S338" s="572"/>
      <c r="T338" s="572"/>
      <c r="U338" s="572"/>
      <c r="V338" s="572"/>
      <c r="W338" s="572"/>
      <c r="X338" s="572"/>
      <c r="Y338" s="572"/>
      <c r="Z338" s="572"/>
      <c r="AA338" s="572"/>
      <c r="AB338" s="572"/>
      <c r="AC338" s="572"/>
      <c r="AD338" s="572"/>
      <c r="AE338" s="572"/>
      <c r="AF338" s="572"/>
      <c r="AG338" s="572"/>
      <c r="AH338" s="572"/>
      <c r="AI338" s="572"/>
      <c r="AJ338" s="572"/>
      <c r="AK338" s="572"/>
      <c r="AL338" s="572"/>
      <c r="AM338" s="572"/>
      <c r="AN338" s="572"/>
      <c r="AO338" s="572"/>
      <c r="AP338" s="572"/>
      <c r="AQ338" s="572"/>
      <c r="AR338" s="572"/>
      <c r="AS338" s="572"/>
      <c r="AT338" s="572"/>
      <c r="AU338" s="572"/>
    </row>
    <row r="339" spans="1:47" ht="15.75" customHeight="1">
      <c r="A339" s="577">
        <v>44319</v>
      </c>
      <c r="B339" s="578" t="s">
        <v>6349</v>
      </c>
      <c r="C339" s="405" t="s">
        <v>2921</v>
      </c>
      <c r="D339" s="563" t="s">
        <v>6341</v>
      </c>
      <c r="E339" s="575">
        <v>150895.04999999999</v>
      </c>
      <c r="F339" s="563" t="s">
        <v>3228</v>
      </c>
      <c r="G339" s="573" t="s">
        <v>2923</v>
      </c>
      <c r="H339" s="573" t="s">
        <v>20</v>
      </c>
      <c r="I339" s="573" t="s">
        <v>2924</v>
      </c>
      <c r="J339" s="573">
        <v>43605</v>
      </c>
      <c r="K339" s="576" t="s">
        <v>3805</v>
      </c>
      <c r="L339" s="572"/>
      <c r="M339" s="572"/>
      <c r="N339" s="572"/>
      <c r="O339" s="572"/>
      <c r="P339" s="572"/>
      <c r="Q339" s="572"/>
      <c r="R339" s="572"/>
      <c r="S339" s="572"/>
      <c r="T339" s="572"/>
      <c r="U339" s="572"/>
      <c r="V339" s="572"/>
      <c r="W339" s="572"/>
      <c r="X339" s="572"/>
      <c r="Y339" s="572"/>
      <c r="Z339" s="572"/>
      <c r="AA339" s="572"/>
      <c r="AB339" s="572"/>
      <c r="AC339" s="572"/>
      <c r="AD339" s="572"/>
      <c r="AE339" s="572"/>
      <c r="AF339" s="572"/>
      <c r="AG339" s="572"/>
      <c r="AH339" s="572"/>
      <c r="AI339" s="572"/>
      <c r="AJ339" s="572"/>
      <c r="AK339" s="572"/>
      <c r="AL339" s="572"/>
      <c r="AM339" s="572"/>
      <c r="AN339" s="572"/>
      <c r="AO339" s="572"/>
      <c r="AP339" s="572"/>
      <c r="AQ339" s="572"/>
      <c r="AR339" s="572"/>
      <c r="AS339" s="572"/>
      <c r="AT339" s="572"/>
      <c r="AU339" s="572"/>
    </row>
    <row r="340" spans="1:47" ht="15.75" customHeight="1">
      <c r="A340" s="577">
        <v>44319</v>
      </c>
      <c r="B340" s="578" t="s">
        <v>6457</v>
      </c>
      <c r="C340" s="405" t="s">
        <v>3785</v>
      </c>
      <c r="D340" s="563" t="s">
        <v>928</v>
      </c>
      <c r="E340" s="575">
        <v>263682.77</v>
      </c>
      <c r="F340" s="563" t="s">
        <v>4752</v>
      </c>
      <c r="G340" s="563" t="s">
        <v>64</v>
      </c>
      <c r="H340" s="563" t="s">
        <v>2051</v>
      </c>
      <c r="I340" s="563" t="s">
        <v>6251</v>
      </c>
      <c r="J340" s="573">
        <v>44246</v>
      </c>
      <c r="K340" s="579" t="s">
        <v>3789</v>
      </c>
      <c r="L340" s="572"/>
      <c r="M340" s="572"/>
      <c r="N340" s="572"/>
      <c r="O340" s="572"/>
      <c r="P340" s="572"/>
      <c r="Q340" s="572"/>
      <c r="R340" s="572"/>
      <c r="S340" s="572"/>
      <c r="T340" s="572"/>
      <c r="U340" s="572"/>
      <c r="V340" s="572"/>
      <c r="W340" s="572"/>
      <c r="X340" s="572"/>
      <c r="Y340" s="572"/>
      <c r="Z340" s="572"/>
      <c r="AA340" s="572"/>
      <c r="AB340" s="572"/>
      <c r="AC340" s="572"/>
      <c r="AD340" s="572"/>
      <c r="AE340" s="572"/>
      <c r="AF340" s="572"/>
      <c r="AG340" s="572"/>
      <c r="AH340" s="572"/>
      <c r="AI340" s="572"/>
      <c r="AJ340" s="572"/>
      <c r="AK340" s="572"/>
      <c r="AL340" s="572"/>
      <c r="AM340" s="572"/>
      <c r="AN340" s="572"/>
      <c r="AO340" s="572"/>
      <c r="AP340" s="572"/>
      <c r="AQ340" s="572"/>
      <c r="AR340" s="572"/>
      <c r="AS340" s="572"/>
      <c r="AT340" s="572"/>
      <c r="AU340" s="572"/>
    </row>
    <row r="341" spans="1:47" ht="15.75" customHeight="1">
      <c r="A341" s="577">
        <v>44320</v>
      </c>
      <c r="B341" s="578" t="s">
        <v>6355</v>
      </c>
      <c r="C341" s="405" t="s">
        <v>2921</v>
      </c>
      <c r="D341" s="563" t="s">
        <v>6341</v>
      </c>
      <c r="E341" s="575">
        <v>54000</v>
      </c>
      <c r="F341" s="563" t="s">
        <v>3236</v>
      </c>
      <c r="G341" s="573" t="s">
        <v>2923</v>
      </c>
      <c r="H341" s="573" t="s">
        <v>20</v>
      </c>
      <c r="I341" s="573" t="s">
        <v>2930</v>
      </c>
      <c r="J341" s="573">
        <v>43559</v>
      </c>
      <c r="K341" s="576" t="s">
        <v>4188</v>
      </c>
      <c r="L341" s="572"/>
      <c r="M341" s="572"/>
      <c r="N341" s="572"/>
      <c r="O341" s="572"/>
      <c r="P341" s="572"/>
      <c r="Q341" s="572"/>
      <c r="R341" s="572"/>
      <c r="S341" s="572"/>
      <c r="T341" s="572"/>
      <c r="U341" s="572"/>
      <c r="V341" s="572"/>
      <c r="W341" s="572"/>
      <c r="X341" s="572"/>
      <c r="Y341" s="572"/>
      <c r="Z341" s="572"/>
      <c r="AA341" s="572"/>
      <c r="AB341" s="572"/>
      <c r="AC341" s="572"/>
      <c r="AD341" s="572"/>
      <c r="AE341" s="572"/>
      <c r="AF341" s="572"/>
      <c r="AG341" s="572"/>
      <c r="AH341" s="572"/>
      <c r="AI341" s="572"/>
      <c r="AJ341" s="572"/>
      <c r="AK341" s="572"/>
      <c r="AL341" s="572"/>
      <c r="AM341" s="572"/>
      <c r="AN341" s="572"/>
      <c r="AO341" s="572"/>
      <c r="AP341" s="572"/>
      <c r="AQ341" s="572"/>
      <c r="AR341" s="572"/>
      <c r="AS341" s="572"/>
      <c r="AT341" s="572"/>
      <c r="AU341" s="572"/>
    </row>
    <row r="342" spans="1:47" ht="15.75" customHeight="1">
      <c r="A342" s="577">
        <v>44321</v>
      </c>
      <c r="B342" s="578" t="s">
        <v>6458</v>
      </c>
      <c r="C342" s="405" t="s">
        <v>3785</v>
      </c>
      <c r="D342" s="563" t="s">
        <v>928</v>
      </c>
      <c r="E342" s="575">
        <v>10000</v>
      </c>
      <c r="F342" s="563" t="s">
        <v>4022</v>
      </c>
      <c r="G342" s="563" t="s">
        <v>64</v>
      </c>
      <c r="H342" s="563" t="s">
        <v>20</v>
      </c>
      <c r="I342" s="563" t="s">
        <v>3634</v>
      </c>
      <c r="J342" s="573">
        <v>44228</v>
      </c>
      <c r="K342" s="579" t="s">
        <v>3789</v>
      </c>
      <c r="L342" s="572"/>
      <c r="M342" s="572"/>
      <c r="N342" s="572"/>
      <c r="O342" s="572"/>
      <c r="P342" s="572"/>
      <c r="Q342" s="572"/>
      <c r="R342" s="572"/>
      <c r="S342" s="572"/>
      <c r="T342" s="572"/>
      <c r="U342" s="572"/>
      <c r="V342" s="572"/>
      <c r="W342" s="572"/>
      <c r="X342" s="572"/>
      <c r="Y342" s="572"/>
      <c r="Z342" s="572"/>
      <c r="AA342" s="572"/>
      <c r="AB342" s="572"/>
      <c r="AC342" s="572"/>
      <c r="AD342" s="572"/>
      <c r="AE342" s="572"/>
      <c r="AF342" s="572"/>
      <c r="AG342" s="572"/>
      <c r="AH342" s="572"/>
      <c r="AI342" s="572"/>
      <c r="AJ342" s="572"/>
      <c r="AK342" s="572"/>
      <c r="AL342" s="572"/>
      <c r="AM342" s="572"/>
      <c r="AN342" s="572"/>
      <c r="AO342" s="572"/>
      <c r="AP342" s="572"/>
      <c r="AQ342" s="572"/>
      <c r="AR342" s="572"/>
      <c r="AS342" s="572"/>
      <c r="AT342" s="572"/>
      <c r="AU342" s="572"/>
    </row>
    <row r="343" spans="1:47" ht="15.75" customHeight="1">
      <c r="A343" s="577">
        <v>44321</v>
      </c>
      <c r="B343" s="578" t="s">
        <v>6459</v>
      </c>
      <c r="C343" s="405" t="s">
        <v>2921</v>
      </c>
      <c r="D343" s="563" t="s">
        <v>6341</v>
      </c>
      <c r="E343" s="575">
        <v>18500</v>
      </c>
      <c r="F343" s="563" t="s">
        <v>3447</v>
      </c>
      <c r="G343" s="573" t="s">
        <v>19</v>
      </c>
      <c r="H343" s="573" t="s">
        <v>34</v>
      </c>
      <c r="I343" s="573" t="s">
        <v>262</v>
      </c>
      <c r="J343" s="573">
        <v>44279</v>
      </c>
      <c r="K343" s="576" t="s">
        <v>3795</v>
      </c>
      <c r="L343" s="572"/>
      <c r="M343" s="572"/>
      <c r="N343" s="572"/>
      <c r="O343" s="572"/>
      <c r="P343" s="572"/>
      <c r="Q343" s="572"/>
      <c r="R343" s="572"/>
      <c r="S343" s="572"/>
      <c r="T343" s="572"/>
      <c r="U343" s="572"/>
      <c r="V343" s="572"/>
      <c r="W343" s="572"/>
      <c r="X343" s="572"/>
      <c r="Y343" s="572"/>
      <c r="Z343" s="572"/>
      <c r="AA343" s="572"/>
      <c r="AB343" s="572"/>
      <c r="AC343" s="572"/>
      <c r="AD343" s="572"/>
      <c r="AE343" s="572"/>
      <c r="AF343" s="572"/>
      <c r="AG343" s="572"/>
      <c r="AH343" s="572"/>
      <c r="AI343" s="572"/>
      <c r="AJ343" s="572"/>
      <c r="AK343" s="572"/>
      <c r="AL343" s="572"/>
      <c r="AM343" s="572"/>
      <c r="AN343" s="572"/>
      <c r="AO343" s="572"/>
      <c r="AP343" s="572"/>
      <c r="AQ343" s="572"/>
      <c r="AR343" s="572"/>
      <c r="AS343" s="572"/>
      <c r="AT343" s="572"/>
      <c r="AU343" s="572"/>
    </row>
    <row r="344" spans="1:47" ht="15.75" customHeight="1">
      <c r="A344" s="573">
        <v>44322</v>
      </c>
      <c r="B344" s="594" t="s">
        <v>6433</v>
      </c>
      <c r="C344" s="563" t="s">
        <v>2921</v>
      </c>
      <c r="D344" s="563" t="s">
        <v>3110</v>
      </c>
      <c r="E344" s="575">
        <v>19321.39</v>
      </c>
      <c r="F344" s="563" t="s">
        <v>6434</v>
      </c>
      <c r="G344" s="573" t="s">
        <v>19</v>
      </c>
      <c r="H344" s="573" t="s">
        <v>34</v>
      </c>
      <c r="I344" s="573" t="s">
        <v>35</v>
      </c>
      <c r="J344" s="573">
        <v>44278</v>
      </c>
      <c r="K344" s="576" t="s">
        <v>3795</v>
      </c>
      <c r="L344" s="572"/>
      <c r="M344" s="572"/>
      <c r="N344" s="572"/>
      <c r="O344" s="572"/>
      <c r="P344" s="572"/>
      <c r="Q344" s="572"/>
      <c r="R344" s="572"/>
      <c r="S344" s="572"/>
      <c r="T344" s="572"/>
      <c r="U344" s="572"/>
      <c r="V344" s="572"/>
      <c r="W344" s="572"/>
      <c r="X344" s="572"/>
      <c r="Y344" s="572"/>
      <c r="Z344" s="572"/>
      <c r="AA344" s="572"/>
      <c r="AB344" s="572"/>
      <c r="AC344" s="572"/>
      <c r="AD344" s="572"/>
      <c r="AE344" s="572"/>
      <c r="AF344" s="572"/>
      <c r="AG344" s="572"/>
      <c r="AH344" s="572"/>
      <c r="AI344" s="572"/>
      <c r="AJ344" s="572"/>
      <c r="AK344" s="572"/>
      <c r="AL344" s="572"/>
      <c r="AM344" s="572"/>
      <c r="AN344" s="572"/>
      <c r="AO344" s="572"/>
      <c r="AP344" s="572"/>
      <c r="AQ344" s="572"/>
      <c r="AR344" s="572"/>
      <c r="AS344" s="572"/>
      <c r="AT344" s="572"/>
      <c r="AU344" s="572"/>
    </row>
    <row r="345" spans="1:47" ht="15.75" customHeight="1">
      <c r="A345" s="577">
        <v>44322</v>
      </c>
      <c r="B345" s="578" t="s">
        <v>6347</v>
      </c>
      <c r="C345" s="405" t="s">
        <v>2921</v>
      </c>
      <c r="D345" s="563" t="s">
        <v>6341</v>
      </c>
      <c r="E345" s="575">
        <v>103664.69</v>
      </c>
      <c r="F345" s="563" t="s">
        <v>3191</v>
      </c>
      <c r="G345" s="573" t="s">
        <v>2923</v>
      </c>
      <c r="H345" s="573" t="s">
        <v>20</v>
      </c>
      <c r="I345" s="573" t="s">
        <v>2924</v>
      </c>
      <c r="J345" s="573">
        <v>43703</v>
      </c>
      <c r="K345" s="576" t="s">
        <v>4188</v>
      </c>
      <c r="L345" s="572"/>
      <c r="M345" s="572"/>
      <c r="N345" s="572"/>
      <c r="O345" s="572"/>
      <c r="P345" s="572"/>
      <c r="Q345" s="572"/>
      <c r="R345" s="572"/>
      <c r="S345" s="572"/>
      <c r="T345" s="572"/>
      <c r="U345" s="572"/>
      <c r="V345" s="572"/>
      <c r="W345" s="572"/>
      <c r="X345" s="572"/>
      <c r="Y345" s="572"/>
      <c r="Z345" s="572"/>
      <c r="AA345" s="572"/>
      <c r="AB345" s="572"/>
      <c r="AC345" s="572"/>
      <c r="AD345" s="572"/>
      <c r="AE345" s="572"/>
      <c r="AF345" s="572"/>
      <c r="AG345" s="572"/>
      <c r="AH345" s="572"/>
      <c r="AI345" s="572"/>
      <c r="AJ345" s="572"/>
      <c r="AK345" s="572"/>
      <c r="AL345" s="572"/>
      <c r="AM345" s="572"/>
      <c r="AN345" s="572"/>
      <c r="AO345" s="572"/>
      <c r="AP345" s="572"/>
      <c r="AQ345" s="572"/>
      <c r="AR345" s="572"/>
      <c r="AS345" s="572"/>
      <c r="AT345" s="572"/>
      <c r="AU345" s="572"/>
    </row>
    <row r="346" spans="1:47" ht="15.75" customHeight="1">
      <c r="A346" s="577">
        <v>44326</v>
      </c>
      <c r="B346" s="578" t="s">
        <v>6402</v>
      </c>
      <c r="C346" s="405" t="s">
        <v>2921</v>
      </c>
      <c r="D346" s="563" t="s">
        <v>6341</v>
      </c>
      <c r="E346" s="575">
        <v>11000</v>
      </c>
      <c r="F346" s="563" t="s">
        <v>3362</v>
      </c>
      <c r="G346" s="573" t="s">
        <v>2923</v>
      </c>
      <c r="H346" s="573" t="s">
        <v>20</v>
      </c>
      <c r="I346" s="573" t="s">
        <v>2924</v>
      </c>
      <c r="J346" s="573">
        <v>43873</v>
      </c>
      <c r="K346" s="576" t="s">
        <v>3795</v>
      </c>
      <c r="L346" s="572"/>
      <c r="M346" s="572"/>
      <c r="N346" s="572"/>
      <c r="O346" s="572"/>
      <c r="P346" s="572"/>
      <c r="Q346" s="572"/>
      <c r="R346" s="572"/>
      <c r="S346" s="572"/>
      <c r="T346" s="572"/>
      <c r="U346" s="572"/>
      <c r="V346" s="572"/>
      <c r="W346" s="572"/>
      <c r="X346" s="572"/>
      <c r="Y346" s="572"/>
      <c r="Z346" s="572"/>
      <c r="AA346" s="572"/>
      <c r="AB346" s="572"/>
      <c r="AC346" s="572"/>
      <c r="AD346" s="572"/>
      <c r="AE346" s="572"/>
      <c r="AF346" s="572"/>
      <c r="AG346" s="572"/>
      <c r="AH346" s="572"/>
      <c r="AI346" s="572"/>
      <c r="AJ346" s="572"/>
      <c r="AK346" s="572"/>
      <c r="AL346" s="572"/>
      <c r="AM346" s="572"/>
      <c r="AN346" s="572"/>
      <c r="AO346" s="572"/>
      <c r="AP346" s="572"/>
      <c r="AQ346" s="572"/>
      <c r="AR346" s="572"/>
      <c r="AS346" s="572"/>
      <c r="AT346" s="572"/>
      <c r="AU346" s="572"/>
    </row>
    <row r="347" spans="1:47" ht="15.75" customHeight="1">
      <c r="A347" s="577">
        <v>44327</v>
      </c>
      <c r="B347" s="574" t="s">
        <v>6460</v>
      </c>
      <c r="C347" s="563" t="s">
        <v>2921</v>
      </c>
      <c r="D347" s="563" t="s">
        <v>3110</v>
      </c>
      <c r="E347" s="575">
        <v>797.3</v>
      </c>
      <c r="F347" s="563" t="s">
        <v>3398</v>
      </c>
      <c r="G347" s="573" t="s">
        <v>2923</v>
      </c>
      <c r="H347" s="573" t="s">
        <v>20</v>
      </c>
      <c r="I347" s="573" t="s">
        <v>2924</v>
      </c>
      <c r="J347" s="573">
        <v>43710</v>
      </c>
      <c r="K347" s="576" t="s">
        <v>4188</v>
      </c>
      <c r="L347" s="572"/>
      <c r="M347" s="572"/>
      <c r="N347" s="572"/>
      <c r="O347" s="572"/>
      <c r="P347" s="572"/>
      <c r="Q347" s="572"/>
      <c r="R347" s="572"/>
      <c r="S347" s="572"/>
      <c r="T347" s="572"/>
      <c r="U347" s="572"/>
      <c r="V347" s="572"/>
      <c r="W347" s="572"/>
      <c r="X347" s="572"/>
      <c r="Y347" s="572"/>
      <c r="Z347" s="572"/>
      <c r="AA347" s="572"/>
      <c r="AB347" s="572"/>
      <c r="AC347" s="572"/>
      <c r="AD347" s="572"/>
      <c r="AE347" s="572"/>
      <c r="AF347" s="572"/>
      <c r="AG347" s="572"/>
      <c r="AH347" s="572"/>
      <c r="AI347" s="572"/>
      <c r="AJ347" s="572"/>
      <c r="AK347" s="572"/>
      <c r="AL347" s="572"/>
      <c r="AM347" s="572"/>
      <c r="AN347" s="572"/>
      <c r="AO347" s="572"/>
      <c r="AP347" s="572"/>
      <c r="AQ347" s="572"/>
      <c r="AR347" s="572"/>
      <c r="AS347" s="572"/>
      <c r="AT347" s="572"/>
      <c r="AU347" s="572"/>
    </row>
    <row r="348" spans="1:47" ht="15.75" customHeight="1">
      <c r="A348" s="577">
        <v>44327</v>
      </c>
      <c r="B348" s="578" t="s">
        <v>6378</v>
      </c>
      <c r="C348" s="405" t="s">
        <v>2921</v>
      </c>
      <c r="D348" s="563" t="s">
        <v>928</v>
      </c>
      <c r="E348" s="587">
        <v>151479.54999999999</v>
      </c>
      <c r="F348" s="563" t="s">
        <v>3291</v>
      </c>
      <c r="G348" s="573" t="s">
        <v>2923</v>
      </c>
      <c r="H348" s="573" t="s">
        <v>20</v>
      </c>
      <c r="I348" s="573" t="s">
        <v>2924</v>
      </c>
      <c r="J348" s="573">
        <v>43732</v>
      </c>
      <c r="K348" s="576" t="s">
        <v>4188</v>
      </c>
      <c r="L348" s="572"/>
      <c r="M348" s="572"/>
      <c r="N348" s="572"/>
      <c r="O348" s="572"/>
      <c r="P348" s="572"/>
      <c r="Q348" s="572"/>
      <c r="R348" s="572"/>
      <c r="S348" s="572"/>
      <c r="T348" s="572"/>
      <c r="U348" s="572"/>
      <c r="V348" s="572"/>
      <c r="W348" s="572"/>
      <c r="X348" s="572"/>
      <c r="Y348" s="572"/>
      <c r="Z348" s="572"/>
      <c r="AA348" s="572"/>
      <c r="AB348" s="572"/>
      <c r="AC348" s="572"/>
      <c r="AD348" s="572"/>
      <c r="AE348" s="572"/>
      <c r="AF348" s="572"/>
      <c r="AG348" s="572"/>
      <c r="AH348" s="572"/>
      <c r="AI348" s="572"/>
      <c r="AJ348" s="572"/>
      <c r="AK348" s="572"/>
      <c r="AL348" s="572"/>
      <c r="AM348" s="572"/>
      <c r="AN348" s="572"/>
      <c r="AO348" s="572"/>
      <c r="AP348" s="572"/>
      <c r="AQ348" s="572"/>
      <c r="AR348" s="572"/>
      <c r="AS348" s="572"/>
      <c r="AT348" s="572"/>
      <c r="AU348" s="572"/>
    </row>
    <row r="349" spans="1:47" ht="15.75" customHeight="1">
      <c r="A349" s="577">
        <v>44327</v>
      </c>
      <c r="B349" s="578" t="s">
        <v>6461</v>
      </c>
      <c r="C349" s="405" t="s">
        <v>2921</v>
      </c>
      <c r="D349" s="563" t="s">
        <v>928</v>
      </c>
      <c r="E349" s="575">
        <v>405479.42</v>
      </c>
      <c r="F349" s="563" t="s">
        <v>2946</v>
      </c>
      <c r="G349" s="573" t="s">
        <v>2923</v>
      </c>
      <c r="H349" s="573" t="s">
        <v>20</v>
      </c>
      <c r="I349" s="573" t="s">
        <v>2924</v>
      </c>
      <c r="J349" s="573">
        <v>43684</v>
      </c>
      <c r="K349" s="576" t="s">
        <v>4188</v>
      </c>
      <c r="L349" s="572"/>
      <c r="M349" s="572"/>
      <c r="N349" s="572"/>
      <c r="O349" s="572"/>
      <c r="P349" s="572"/>
      <c r="Q349" s="572"/>
      <c r="R349" s="572"/>
      <c r="S349" s="572"/>
      <c r="T349" s="572"/>
      <c r="U349" s="572"/>
      <c r="V349" s="572"/>
      <c r="W349" s="572"/>
      <c r="X349" s="572"/>
      <c r="Y349" s="572"/>
      <c r="Z349" s="572"/>
      <c r="AA349" s="572"/>
      <c r="AB349" s="572"/>
      <c r="AC349" s="572"/>
      <c r="AD349" s="572"/>
      <c r="AE349" s="572"/>
      <c r="AF349" s="572"/>
      <c r="AG349" s="572"/>
      <c r="AH349" s="572"/>
      <c r="AI349" s="572"/>
      <c r="AJ349" s="572"/>
      <c r="AK349" s="572"/>
      <c r="AL349" s="572"/>
      <c r="AM349" s="572"/>
      <c r="AN349" s="572"/>
      <c r="AO349" s="572"/>
      <c r="AP349" s="572"/>
      <c r="AQ349" s="572"/>
      <c r="AR349" s="572"/>
      <c r="AS349" s="572"/>
      <c r="AT349" s="572"/>
      <c r="AU349" s="572"/>
    </row>
    <row r="350" spans="1:47" ht="15.75" customHeight="1">
      <c r="A350" s="577">
        <v>44327</v>
      </c>
      <c r="B350" s="578" t="s">
        <v>6462</v>
      </c>
      <c r="C350" s="405" t="s">
        <v>2921</v>
      </c>
      <c r="D350" s="563" t="s">
        <v>6341</v>
      </c>
      <c r="E350" s="575">
        <v>70000</v>
      </c>
      <c r="F350" s="563" t="s">
        <v>3253</v>
      </c>
      <c r="G350" s="573" t="s">
        <v>19</v>
      </c>
      <c r="H350" s="573" t="s">
        <v>34</v>
      </c>
      <c r="I350" s="573" t="s">
        <v>262</v>
      </c>
      <c r="J350" s="573">
        <v>44278</v>
      </c>
      <c r="K350" s="576" t="s">
        <v>3789</v>
      </c>
      <c r="L350" s="572"/>
      <c r="M350" s="572"/>
      <c r="N350" s="572"/>
      <c r="O350" s="572"/>
      <c r="P350" s="572"/>
      <c r="Q350" s="572"/>
      <c r="R350" s="572"/>
      <c r="S350" s="572"/>
      <c r="T350" s="572"/>
      <c r="U350" s="572"/>
      <c r="V350" s="572"/>
      <c r="W350" s="572"/>
      <c r="X350" s="572"/>
      <c r="Y350" s="572"/>
      <c r="Z350" s="572"/>
      <c r="AA350" s="572"/>
      <c r="AB350" s="572"/>
      <c r="AC350" s="572"/>
      <c r="AD350" s="572"/>
      <c r="AE350" s="572"/>
      <c r="AF350" s="572"/>
      <c r="AG350" s="572"/>
      <c r="AH350" s="572"/>
      <c r="AI350" s="572"/>
      <c r="AJ350" s="572"/>
      <c r="AK350" s="572"/>
      <c r="AL350" s="572"/>
      <c r="AM350" s="572"/>
      <c r="AN350" s="572"/>
      <c r="AO350" s="572"/>
      <c r="AP350" s="572"/>
      <c r="AQ350" s="572"/>
      <c r="AR350" s="572"/>
      <c r="AS350" s="572"/>
      <c r="AT350" s="572"/>
      <c r="AU350" s="572"/>
    </row>
    <row r="351" spans="1:47" ht="15.75" customHeight="1">
      <c r="A351" s="577">
        <v>44327</v>
      </c>
      <c r="B351" s="578" t="s">
        <v>6402</v>
      </c>
      <c r="C351" s="405" t="s">
        <v>2921</v>
      </c>
      <c r="D351" s="563" t="s">
        <v>6341</v>
      </c>
      <c r="E351" s="575">
        <v>15000</v>
      </c>
      <c r="F351" s="563" t="s">
        <v>3362</v>
      </c>
      <c r="G351" s="573" t="s">
        <v>2923</v>
      </c>
      <c r="H351" s="573" t="s">
        <v>20</v>
      </c>
      <c r="I351" s="573" t="s">
        <v>2924</v>
      </c>
      <c r="J351" s="573">
        <v>43873</v>
      </c>
      <c r="K351" s="576" t="s">
        <v>3795</v>
      </c>
      <c r="L351" s="572"/>
      <c r="M351" s="572"/>
      <c r="N351" s="572"/>
      <c r="O351" s="572"/>
      <c r="P351" s="572"/>
      <c r="Q351" s="572"/>
      <c r="R351" s="572"/>
      <c r="S351" s="572"/>
      <c r="T351" s="572"/>
      <c r="U351" s="572"/>
      <c r="V351" s="572"/>
      <c r="W351" s="572"/>
      <c r="X351" s="572"/>
      <c r="Y351" s="572"/>
      <c r="Z351" s="572"/>
      <c r="AA351" s="572"/>
      <c r="AB351" s="572"/>
      <c r="AC351" s="572"/>
      <c r="AD351" s="572"/>
      <c r="AE351" s="572"/>
      <c r="AF351" s="572"/>
      <c r="AG351" s="572"/>
      <c r="AH351" s="572"/>
      <c r="AI351" s="572"/>
      <c r="AJ351" s="572"/>
      <c r="AK351" s="572"/>
      <c r="AL351" s="572"/>
      <c r="AM351" s="572"/>
      <c r="AN351" s="572"/>
      <c r="AO351" s="572"/>
      <c r="AP351" s="572"/>
      <c r="AQ351" s="572"/>
      <c r="AR351" s="572"/>
      <c r="AS351" s="572"/>
      <c r="AT351" s="572"/>
      <c r="AU351" s="572"/>
    </row>
    <row r="352" spans="1:47" ht="15.75" customHeight="1">
      <c r="A352" s="573">
        <v>44329</v>
      </c>
      <c r="B352" s="574" t="s">
        <v>6391</v>
      </c>
      <c r="C352" s="563" t="s">
        <v>2921</v>
      </c>
      <c r="D352" s="563" t="s">
        <v>3110</v>
      </c>
      <c r="E352" s="575">
        <v>13320.06</v>
      </c>
      <c r="F352" s="563" t="s">
        <v>3496</v>
      </c>
      <c r="G352" s="573" t="s">
        <v>2923</v>
      </c>
      <c r="H352" s="573" t="s">
        <v>20</v>
      </c>
      <c r="I352" s="573" t="s">
        <v>2924</v>
      </c>
      <c r="J352" s="573">
        <v>44041</v>
      </c>
      <c r="K352" s="576" t="s">
        <v>3795</v>
      </c>
      <c r="L352" s="572"/>
      <c r="M352" s="572"/>
      <c r="N352" s="572"/>
      <c r="O352" s="572"/>
      <c r="P352" s="572"/>
      <c r="Q352" s="572"/>
      <c r="R352" s="572"/>
      <c r="S352" s="572"/>
      <c r="T352" s="572"/>
      <c r="U352" s="572"/>
      <c r="V352" s="572"/>
      <c r="W352" s="572"/>
      <c r="X352" s="572"/>
      <c r="Y352" s="572"/>
      <c r="Z352" s="572"/>
      <c r="AA352" s="572"/>
      <c r="AB352" s="572"/>
      <c r="AC352" s="572"/>
      <c r="AD352" s="572"/>
      <c r="AE352" s="572"/>
      <c r="AF352" s="572"/>
      <c r="AG352" s="572"/>
      <c r="AH352" s="572"/>
      <c r="AI352" s="572"/>
      <c r="AJ352" s="572"/>
      <c r="AK352" s="572"/>
      <c r="AL352" s="572"/>
      <c r="AM352" s="572"/>
      <c r="AN352" s="572"/>
      <c r="AO352" s="572"/>
      <c r="AP352" s="572"/>
      <c r="AQ352" s="572"/>
      <c r="AR352" s="572"/>
      <c r="AS352" s="572"/>
      <c r="AT352" s="572"/>
      <c r="AU352" s="572"/>
    </row>
    <row r="353" spans="1:47" ht="15.75" customHeight="1">
      <c r="A353" s="577">
        <v>44329</v>
      </c>
      <c r="B353" s="578" t="s">
        <v>6347</v>
      </c>
      <c r="C353" s="405" t="s">
        <v>2921</v>
      </c>
      <c r="D353" s="563" t="s">
        <v>6341</v>
      </c>
      <c r="E353" s="575">
        <v>15000</v>
      </c>
      <c r="F353" s="563" t="s">
        <v>3191</v>
      </c>
      <c r="G353" s="573" t="s">
        <v>2923</v>
      </c>
      <c r="H353" s="573" t="s">
        <v>20</v>
      </c>
      <c r="I353" s="573" t="s">
        <v>2924</v>
      </c>
      <c r="J353" s="573">
        <v>43703</v>
      </c>
      <c r="K353" s="576" t="s">
        <v>4188</v>
      </c>
      <c r="L353" s="572"/>
      <c r="M353" s="572"/>
      <c r="N353" s="572"/>
      <c r="O353" s="572"/>
      <c r="P353" s="572"/>
      <c r="Q353" s="572"/>
      <c r="R353" s="572"/>
      <c r="S353" s="572"/>
      <c r="T353" s="572"/>
      <c r="U353" s="572"/>
      <c r="V353" s="572"/>
      <c r="W353" s="572"/>
      <c r="X353" s="572"/>
      <c r="Y353" s="572"/>
      <c r="Z353" s="572"/>
      <c r="AA353" s="572"/>
      <c r="AB353" s="572"/>
      <c r="AC353" s="572"/>
      <c r="AD353" s="572"/>
      <c r="AE353" s="572"/>
      <c r="AF353" s="572"/>
      <c r="AG353" s="572"/>
      <c r="AH353" s="572"/>
      <c r="AI353" s="572"/>
      <c r="AJ353" s="572"/>
      <c r="AK353" s="572"/>
      <c r="AL353" s="572"/>
      <c r="AM353" s="572"/>
      <c r="AN353" s="572"/>
      <c r="AO353" s="572"/>
      <c r="AP353" s="572"/>
      <c r="AQ353" s="572"/>
      <c r="AR353" s="572"/>
      <c r="AS353" s="572"/>
      <c r="AT353" s="572"/>
      <c r="AU353" s="572"/>
    </row>
    <row r="354" spans="1:47" ht="15.75" customHeight="1">
      <c r="A354" s="577">
        <v>44329</v>
      </c>
      <c r="B354" s="578" t="s">
        <v>6463</v>
      </c>
      <c r="C354" s="405" t="s">
        <v>2921</v>
      </c>
      <c r="D354" s="563" t="s">
        <v>928</v>
      </c>
      <c r="E354" s="575">
        <v>107481.43</v>
      </c>
      <c r="F354" s="563" t="s">
        <v>3078</v>
      </c>
      <c r="G354" s="573" t="s">
        <v>2923</v>
      </c>
      <c r="H354" s="573" t="s">
        <v>20</v>
      </c>
      <c r="I354" s="573" t="s">
        <v>2923</v>
      </c>
      <c r="J354" s="573">
        <v>44118</v>
      </c>
      <c r="K354" s="576" t="s">
        <v>3795</v>
      </c>
      <c r="L354" s="572"/>
      <c r="M354" s="572"/>
      <c r="N354" s="572"/>
      <c r="O354" s="572"/>
      <c r="P354" s="572"/>
      <c r="Q354" s="572"/>
      <c r="R354" s="572"/>
      <c r="S354" s="572"/>
      <c r="T354" s="572"/>
      <c r="U354" s="572"/>
      <c r="V354" s="572"/>
      <c r="W354" s="572"/>
      <c r="X354" s="572"/>
      <c r="Y354" s="572"/>
      <c r="Z354" s="572"/>
      <c r="AA354" s="572"/>
      <c r="AB354" s="572"/>
      <c r="AC354" s="572"/>
      <c r="AD354" s="572"/>
      <c r="AE354" s="572"/>
      <c r="AF354" s="572"/>
      <c r="AG354" s="572"/>
      <c r="AH354" s="572"/>
      <c r="AI354" s="572"/>
      <c r="AJ354" s="572"/>
      <c r="AK354" s="572"/>
      <c r="AL354" s="572"/>
      <c r="AM354" s="572"/>
      <c r="AN354" s="572"/>
      <c r="AO354" s="572"/>
      <c r="AP354" s="572"/>
      <c r="AQ354" s="572"/>
      <c r="AR354" s="572"/>
      <c r="AS354" s="572"/>
      <c r="AT354" s="572"/>
      <c r="AU354" s="572"/>
    </row>
    <row r="355" spans="1:47" ht="15.75" customHeight="1">
      <c r="A355" s="577">
        <v>44329</v>
      </c>
      <c r="B355" s="578" t="s">
        <v>6464</v>
      </c>
      <c r="C355" s="405" t="s">
        <v>2921</v>
      </c>
      <c r="D355" s="563" t="s">
        <v>928</v>
      </c>
      <c r="E355" s="575">
        <v>89000</v>
      </c>
      <c r="F355" s="563" t="s">
        <v>3076</v>
      </c>
      <c r="G355" s="573" t="s">
        <v>2923</v>
      </c>
      <c r="H355" s="573" t="s">
        <v>20</v>
      </c>
      <c r="I355" s="573" t="s">
        <v>2923</v>
      </c>
      <c r="J355" s="573">
        <v>44124</v>
      </c>
      <c r="K355" s="576" t="s">
        <v>3795</v>
      </c>
      <c r="L355" s="572"/>
      <c r="M355" s="572"/>
      <c r="N355" s="572"/>
      <c r="O355" s="572"/>
      <c r="P355" s="572"/>
      <c r="Q355" s="572"/>
      <c r="R355" s="572"/>
      <c r="S355" s="572"/>
      <c r="T355" s="572"/>
      <c r="U355" s="572"/>
      <c r="V355" s="572"/>
      <c r="W355" s="572"/>
      <c r="X355" s="572"/>
      <c r="Y355" s="572"/>
      <c r="Z355" s="572"/>
      <c r="AA355" s="572"/>
      <c r="AB355" s="572"/>
      <c r="AC355" s="572"/>
      <c r="AD355" s="572"/>
      <c r="AE355" s="572"/>
      <c r="AF355" s="572"/>
      <c r="AG355" s="572"/>
      <c r="AH355" s="572"/>
      <c r="AI355" s="572"/>
      <c r="AJ355" s="572"/>
      <c r="AK355" s="572"/>
      <c r="AL355" s="572"/>
      <c r="AM355" s="572"/>
      <c r="AN355" s="572"/>
      <c r="AO355" s="572"/>
      <c r="AP355" s="572"/>
      <c r="AQ355" s="572"/>
      <c r="AR355" s="572"/>
      <c r="AS355" s="572"/>
      <c r="AT355" s="572"/>
      <c r="AU355" s="572"/>
    </row>
    <row r="356" spans="1:47" ht="15.75" customHeight="1">
      <c r="A356" s="577">
        <v>44330</v>
      </c>
      <c r="B356" s="578" t="s">
        <v>6465</v>
      </c>
      <c r="C356" s="405" t="s">
        <v>2921</v>
      </c>
      <c r="D356" s="563" t="s">
        <v>6341</v>
      </c>
      <c r="E356" s="575">
        <v>140003.78</v>
      </c>
      <c r="F356" s="563" t="s">
        <v>2301</v>
      </c>
      <c r="G356" s="573" t="s">
        <v>19</v>
      </c>
      <c r="H356" s="573" t="s">
        <v>34</v>
      </c>
      <c r="I356" s="573" t="s">
        <v>35</v>
      </c>
      <c r="J356" s="573">
        <v>44280</v>
      </c>
      <c r="K356" s="576" t="s">
        <v>3795</v>
      </c>
      <c r="L356" s="572"/>
      <c r="M356" s="572"/>
      <c r="N356" s="572"/>
      <c r="O356" s="572"/>
      <c r="P356" s="572"/>
      <c r="Q356" s="572"/>
      <c r="R356" s="572"/>
      <c r="S356" s="572"/>
      <c r="T356" s="572"/>
      <c r="U356" s="572"/>
      <c r="V356" s="572"/>
      <c r="W356" s="572"/>
      <c r="X356" s="572"/>
      <c r="Y356" s="572"/>
      <c r="Z356" s="572"/>
      <c r="AA356" s="572"/>
      <c r="AB356" s="572"/>
      <c r="AC356" s="572"/>
      <c r="AD356" s="572"/>
      <c r="AE356" s="572"/>
      <c r="AF356" s="572"/>
      <c r="AG356" s="572"/>
      <c r="AH356" s="572"/>
      <c r="AI356" s="572"/>
      <c r="AJ356" s="572"/>
      <c r="AK356" s="572"/>
      <c r="AL356" s="572"/>
      <c r="AM356" s="572"/>
      <c r="AN356" s="572"/>
      <c r="AO356" s="572"/>
      <c r="AP356" s="572"/>
      <c r="AQ356" s="572"/>
      <c r="AR356" s="572"/>
      <c r="AS356" s="572"/>
      <c r="AT356" s="572"/>
      <c r="AU356" s="572"/>
    </row>
    <row r="357" spans="1:47" ht="15.75" customHeight="1">
      <c r="A357" s="577">
        <v>44333</v>
      </c>
      <c r="B357" s="578" t="s">
        <v>6466</v>
      </c>
      <c r="C357" s="405" t="s">
        <v>3785</v>
      </c>
      <c r="D357" s="563" t="s">
        <v>6341</v>
      </c>
      <c r="E357" s="575">
        <v>200000</v>
      </c>
      <c r="F357" s="563" t="s">
        <v>3795</v>
      </c>
      <c r="G357" s="563" t="s">
        <v>64</v>
      </c>
      <c r="H357" s="563" t="s">
        <v>20</v>
      </c>
      <c r="I357" s="563" t="s">
        <v>3634</v>
      </c>
      <c r="J357" s="573">
        <v>44160</v>
      </c>
      <c r="K357" s="579" t="s">
        <v>3795</v>
      </c>
      <c r="L357" s="572"/>
      <c r="M357" s="572"/>
      <c r="N357" s="572"/>
      <c r="O357" s="572"/>
      <c r="P357" s="572"/>
      <c r="Q357" s="572"/>
      <c r="R357" s="572"/>
      <c r="S357" s="572"/>
      <c r="T357" s="572"/>
      <c r="U357" s="572"/>
      <c r="V357" s="572"/>
      <c r="W357" s="572"/>
      <c r="X357" s="572"/>
      <c r="Y357" s="572"/>
      <c r="Z357" s="572"/>
      <c r="AA357" s="572"/>
      <c r="AB357" s="572"/>
      <c r="AC357" s="572"/>
      <c r="AD357" s="572"/>
      <c r="AE357" s="572"/>
      <c r="AF357" s="572"/>
      <c r="AG357" s="572"/>
      <c r="AH357" s="572"/>
      <c r="AI357" s="572"/>
      <c r="AJ357" s="572"/>
      <c r="AK357" s="572"/>
      <c r="AL357" s="572"/>
      <c r="AM357" s="572"/>
      <c r="AN357" s="572"/>
      <c r="AO357" s="572"/>
      <c r="AP357" s="572"/>
      <c r="AQ357" s="572"/>
      <c r="AR357" s="572"/>
      <c r="AS357" s="572"/>
      <c r="AT357" s="572"/>
      <c r="AU357" s="572"/>
    </row>
    <row r="358" spans="1:47" ht="15.75" customHeight="1">
      <c r="A358" s="573">
        <v>44335</v>
      </c>
      <c r="B358" s="574" t="s">
        <v>6467</v>
      </c>
      <c r="C358" s="563" t="s">
        <v>3785</v>
      </c>
      <c r="D358" s="563" t="s">
        <v>3110</v>
      </c>
      <c r="E358" s="575">
        <v>0</v>
      </c>
      <c r="F358" s="563" t="s">
        <v>4589</v>
      </c>
      <c r="G358" s="563" t="s">
        <v>19</v>
      </c>
      <c r="H358" s="563" t="s">
        <v>20</v>
      </c>
      <c r="I358" s="563" t="s">
        <v>449</v>
      </c>
      <c r="J358" s="573">
        <v>43880</v>
      </c>
      <c r="K358" s="579" t="s">
        <v>3809</v>
      </c>
      <c r="L358" s="572"/>
      <c r="M358" s="572"/>
      <c r="N358" s="572"/>
      <c r="O358" s="572"/>
      <c r="P358" s="572"/>
      <c r="Q358" s="572"/>
      <c r="R358" s="572"/>
      <c r="S358" s="572"/>
      <c r="T358" s="572"/>
      <c r="U358" s="572"/>
      <c r="V358" s="572"/>
      <c r="W358" s="572"/>
      <c r="X358" s="572"/>
      <c r="Y358" s="572"/>
      <c r="Z358" s="572"/>
      <c r="AA358" s="572"/>
      <c r="AB358" s="572"/>
      <c r="AC358" s="572"/>
      <c r="AD358" s="572"/>
      <c r="AE358" s="572"/>
      <c r="AF358" s="572"/>
      <c r="AG358" s="572"/>
      <c r="AH358" s="572"/>
      <c r="AI358" s="572"/>
      <c r="AJ358" s="572"/>
      <c r="AK358" s="572"/>
      <c r="AL358" s="572"/>
      <c r="AM358" s="572"/>
      <c r="AN358" s="572"/>
      <c r="AO358" s="572"/>
      <c r="AP358" s="572"/>
      <c r="AQ358" s="572"/>
      <c r="AR358" s="572"/>
      <c r="AS358" s="572"/>
      <c r="AT358" s="572"/>
      <c r="AU358" s="572"/>
    </row>
    <row r="359" spans="1:47" ht="15.75" customHeight="1">
      <c r="A359" s="577">
        <v>44336</v>
      </c>
      <c r="B359" s="578" t="s">
        <v>6455</v>
      </c>
      <c r="C359" s="405" t="s">
        <v>2921</v>
      </c>
      <c r="D359" s="563" t="s">
        <v>6341</v>
      </c>
      <c r="E359" s="575">
        <v>44600</v>
      </c>
      <c r="F359" s="563" t="s">
        <v>3141</v>
      </c>
      <c r="G359" s="573" t="s">
        <v>19</v>
      </c>
      <c r="H359" s="573" t="s">
        <v>34</v>
      </c>
      <c r="I359" s="573" t="s">
        <v>262</v>
      </c>
      <c r="J359" s="573">
        <v>44298</v>
      </c>
      <c r="K359" s="576" t="s">
        <v>3795</v>
      </c>
      <c r="L359" s="572"/>
      <c r="M359" s="572"/>
      <c r="N359" s="572"/>
      <c r="O359" s="572"/>
      <c r="P359" s="572"/>
      <c r="Q359" s="572"/>
      <c r="R359" s="572"/>
      <c r="S359" s="572"/>
      <c r="T359" s="572"/>
      <c r="U359" s="572"/>
      <c r="V359" s="572"/>
      <c r="W359" s="572"/>
      <c r="X359" s="572"/>
      <c r="Y359" s="572"/>
      <c r="Z359" s="572"/>
      <c r="AA359" s="572"/>
      <c r="AB359" s="572"/>
      <c r="AC359" s="572"/>
      <c r="AD359" s="572"/>
      <c r="AE359" s="572"/>
      <c r="AF359" s="572"/>
      <c r="AG359" s="572"/>
      <c r="AH359" s="572"/>
      <c r="AI359" s="572"/>
      <c r="AJ359" s="572"/>
      <c r="AK359" s="572"/>
      <c r="AL359" s="572"/>
      <c r="AM359" s="572"/>
      <c r="AN359" s="572"/>
      <c r="AO359" s="572"/>
      <c r="AP359" s="572"/>
      <c r="AQ359" s="572"/>
      <c r="AR359" s="572"/>
      <c r="AS359" s="572"/>
      <c r="AT359" s="572"/>
      <c r="AU359" s="572"/>
    </row>
    <row r="360" spans="1:47" ht="15.75" customHeight="1">
      <c r="A360" s="577">
        <v>44337</v>
      </c>
      <c r="B360" s="578" t="s">
        <v>6468</v>
      </c>
      <c r="C360" s="405" t="s">
        <v>2921</v>
      </c>
      <c r="D360" s="563" t="s">
        <v>6341</v>
      </c>
      <c r="E360" s="575">
        <v>54600</v>
      </c>
      <c r="F360" s="563" t="s">
        <v>1919</v>
      </c>
      <c r="G360" s="573" t="s">
        <v>19</v>
      </c>
      <c r="H360" s="573" t="s">
        <v>34</v>
      </c>
      <c r="I360" s="573" t="s">
        <v>262</v>
      </c>
      <c r="J360" s="573">
        <v>44287</v>
      </c>
      <c r="K360" s="576" t="s">
        <v>3805</v>
      </c>
      <c r="L360" s="572"/>
      <c r="M360" s="572"/>
      <c r="N360" s="572"/>
      <c r="O360" s="572"/>
      <c r="P360" s="572"/>
      <c r="Q360" s="572"/>
      <c r="R360" s="572"/>
      <c r="S360" s="572"/>
      <c r="T360" s="572"/>
      <c r="U360" s="572"/>
      <c r="V360" s="572"/>
      <c r="W360" s="572"/>
      <c r="X360" s="572"/>
      <c r="Y360" s="572"/>
      <c r="Z360" s="572"/>
      <c r="AA360" s="572"/>
      <c r="AB360" s="572"/>
      <c r="AC360" s="572"/>
      <c r="AD360" s="572"/>
      <c r="AE360" s="572"/>
      <c r="AF360" s="572"/>
      <c r="AG360" s="572"/>
      <c r="AH360" s="572"/>
      <c r="AI360" s="572"/>
      <c r="AJ360" s="572"/>
      <c r="AK360" s="572"/>
      <c r="AL360" s="572"/>
      <c r="AM360" s="572"/>
      <c r="AN360" s="572"/>
      <c r="AO360" s="572"/>
      <c r="AP360" s="572"/>
      <c r="AQ360" s="572"/>
      <c r="AR360" s="572"/>
      <c r="AS360" s="572"/>
      <c r="AT360" s="572"/>
      <c r="AU360" s="572"/>
    </row>
    <row r="361" spans="1:47" ht="15.75" customHeight="1">
      <c r="A361" s="577">
        <v>44337</v>
      </c>
      <c r="B361" s="578" t="s">
        <v>6469</v>
      </c>
      <c r="C361" s="405" t="s">
        <v>2921</v>
      </c>
      <c r="D361" s="563" t="s">
        <v>6341</v>
      </c>
      <c r="E361" s="575">
        <v>11500</v>
      </c>
      <c r="F361" s="563" t="s">
        <v>553</v>
      </c>
      <c r="G361" s="573" t="s">
        <v>19</v>
      </c>
      <c r="H361" s="573" t="s">
        <v>34</v>
      </c>
      <c r="I361" s="573" t="s">
        <v>262</v>
      </c>
      <c r="J361" s="573">
        <v>44333</v>
      </c>
      <c r="K361" s="576" t="s">
        <v>3805</v>
      </c>
      <c r="L361" s="572"/>
      <c r="M361" s="572"/>
      <c r="N361" s="572"/>
      <c r="O361" s="572"/>
      <c r="P361" s="572"/>
      <c r="Q361" s="572"/>
      <c r="R361" s="572"/>
      <c r="S361" s="572"/>
      <c r="T361" s="572"/>
      <c r="U361" s="572"/>
      <c r="V361" s="572"/>
      <c r="W361" s="572"/>
      <c r="X361" s="572"/>
      <c r="Y361" s="572"/>
      <c r="Z361" s="572"/>
      <c r="AA361" s="572"/>
      <c r="AB361" s="572"/>
      <c r="AC361" s="572"/>
      <c r="AD361" s="572"/>
      <c r="AE361" s="572"/>
      <c r="AF361" s="572"/>
      <c r="AG361" s="572"/>
      <c r="AH361" s="572"/>
      <c r="AI361" s="572"/>
      <c r="AJ361" s="572"/>
      <c r="AK361" s="572"/>
      <c r="AL361" s="572"/>
      <c r="AM361" s="572"/>
      <c r="AN361" s="572"/>
      <c r="AO361" s="572"/>
      <c r="AP361" s="572"/>
      <c r="AQ361" s="572"/>
      <c r="AR361" s="572"/>
      <c r="AS361" s="572"/>
      <c r="AT361" s="572"/>
      <c r="AU361" s="572"/>
    </row>
    <row r="362" spans="1:47" ht="15.75" customHeight="1">
      <c r="A362" s="577">
        <v>44340</v>
      </c>
      <c r="B362" s="578" t="s">
        <v>6393</v>
      </c>
      <c r="C362" s="405" t="s">
        <v>2921</v>
      </c>
      <c r="D362" s="563" t="s">
        <v>6341</v>
      </c>
      <c r="E362" s="575">
        <v>98710.87</v>
      </c>
      <c r="F362" s="563" t="s">
        <v>3266</v>
      </c>
      <c r="G362" s="573" t="s">
        <v>2923</v>
      </c>
      <c r="H362" s="573" t="s">
        <v>20</v>
      </c>
      <c r="I362" s="573" t="s">
        <v>2924</v>
      </c>
      <c r="J362" s="573">
        <v>43711</v>
      </c>
      <c r="K362" s="576" t="s">
        <v>4188</v>
      </c>
      <c r="L362" s="572"/>
      <c r="M362" s="572"/>
      <c r="N362" s="572"/>
      <c r="O362" s="572"/>
      <c r="P362" s="572"/>
      <c r="Q362" s="572"/>
      <c r="R362" s="572"/>
      <c r="S362" s="572"/>
      <c r="T362" s="572"/>
      <c r="U362" s="572"/>
      <c r="V362" s="572"/>
      <c r="W362" s="572"/>
      <c r="X362" s="572"/>
      <c r="Y362" s="572"/>
      <c r="Z362" s="572"/>
      <c r="AA362" s="572"/>
      <c r="AB362" s="572"/>
      <c r="AC362" s="572"/>
      <c r="AD362" s="572"/>
      <c r="AE362" s="572"/>
      <c r="AF362" s="572"/>
      <c r="AG362" s="572"/>
      <c r="AH362" s="572"/>
      <c r="AI362" s="572"/>
      <c r="AJ362" s="572"/>
      <c r="AK362" s="572"/>
      <c r="AL362" s="572"/>
      <c r="AM362" s="572"/>
      <c r="AN362" s="572"/>
      <c r="AO362" s="572"/>
      <c r="AP362" s="572"/>
      <c r="AQ362" s="572"/>
      <c r="AR362" s="572"/>
      <c r="AS362" s="572"/>
      <c r="AT362" s="572"/>
      <c r="AU362" s="572"/>
    </row>
    <row r="363" spans="1:47" ht="15.75" customHeight="1">
      <c r="A363" s="577">
        <v>44340</v>
      </c>
      <c r="B363" s="578" t="s">
        <v>6404</v>
      </c>
      <c r="C363" s="405" t="s">
        <v>3785</v>
      </c>
      <c r="D363" s="563" t="s">
        <v>6341</v>
      </c>
      <c r="E363" s="575">
        <v>10000</v>
      </c>
      <c r="F363" s="563" t="s">
        <v>4614</v>
      </c>
      <c r="G363" s="563" t="s">
        <v>2923</v>
      </c>
      <c r="H363" s="563" t="s">
        <v>20</v>
      </c>
      <c r="I363" s="563" t="s">
        <v>2923</v>
      </c>
      <c r="J363" s="595">
        <v>43717</v>
      </c>
      <c r="K363" s="579" t="s">
        <v>4188</v>
      </c>
      <c r="L363" s="572"/>
      <c r="M363" s="572"/>
      <c r="N363" s="572"/>
      <c r="O363" s="572"/>
      <c r="P363" s="572"/>
      <c r="Q363" s="572"/>
      <c r="R363" s="572"/>
      <c r="S363" s="572"/>
      <c r="T363" s="572"/>
      <c r="U363" s="572"/>
      <c r="V363" s="572"/>
      <c r="W363" s="572"/>
      <c r="X363" s="572"/>
      <c r="Y363" s="572"/>
      <c r="Z363" s="572"/>
      <c r="AA363" s="572"/>
      <c r="AB363" s="572"/>
      <c r="AC363" s="572"/>
      <c r="AD363" s="572"/>
      <c r="AE363" s="572"/>
      <c r="AF363" s="572"/>
      <c r="AG363" s="572"/>
      <c r="AH363" s="572"/>
      <c r="AI363" s="572"/>
      <c r="AJ363" s="572"/>
      <c r="AK363" s="572"/>
      <c r="AL363" s="572"/>
      <c r="AM363" s="572"/>
      <c r="AN363" s="572"/>
      <c r="AO363" s="572"/>
      <c r="AP363" s="572"/>
      <c r="AQ363" s="572"/>
      <c r="AR363" s="572"/>
      <c r="AS363" s="572"/>
      <c r="AT363" s="572"/>
      <c r="AU363" s="572"/>
    </row>
    <row r="364" spans="1:47" ht="15.75" customHeight="1">
      <c r="A364" s="577">
        <v>44340</v>
      </c>
      <c r="B364" s="578" t="s">
        <v>6393</v>
      </c>
      <c r="C364" s="405" t="s">
        <v>2921</v>
      </c>
      <c r="D364" s="563" t="s">
        <v>928</v>
      </c>
      <c r="E364" s="575">
        <v>1330000</v>
      </c>
      <c r="F364" s="563" t="s">
        <v>3266</v>
      </c>
      <c r="G364" s="573" t="s">
        <v>2923</v>
      </c>
      <c r="H364" s="573" t="s">
        <v>20</v>
      </c>
      <c r="I364" s="573" t="s">
        <v>2924</v>
      </c>
      <c r="J364" s="573">
        <v>43711</v>
      </c>
      <c r="K364" s="576" t="s">
        <v>4188</v>
      </c>
      <c r="L364" s="572"/>
      <c r="M364" s="572"/>
      <c r="N364" s="572"/>
      <c r="O364" s="572"/>
      <c r="P364" s="572"/>
      <c r="Q364" s="572"/>
      <c r="R364" s="572"/>
      <c r="S364" s="572"/>
      <c r="T364" s="572"/>
      <c r="U364" s="572"/>
      <c r="V364" s="572"/>
      <c r="W364" s="572"/>
      <c r="X364" s="572"/>
      <c r="Y364" s="572"/>
      <c r="Z364" s="572"/>
      <c r="AA364" s="572"/>
      <c r="AB364" s="572"/>
      <c r="AC364" s="572"/>
      <c r="AD364" s="572"/>
      <c r="AE364" s="572"/>
      <c r="AF364" s="572"/>
      <c r="AG364" s="572"/>
      <c r="AH364" s="572"/>
      <c r="AI364" s="572"/>
      <c r="AJ364" s="572"/>
      <c r="AK364" s="572"/>
      <c r="AL364" s="572"/>
      <c r="AM364" s="572"/>
      <c r="AN364" s="572"/>
      <c r="AO364" s="572"/>
      <c r="AP364" s="572"/>
      <c r="AQ364" s="572"/>
      <c r="AR364" s="572"/>
      <c r="AS364" s="572"/>
      <c r="AT364" s="572"/>
      <c r="AU364" s="572"/>
    </row>
    <row r="365" spans="1:47" ht="15.75" customHeight="1">
      <c r="A365" s="577">
        <v>44341</v>
      </c>
      <c r="B365" s="578" t="s">
        <v>6470</v>
      </c>
      <c r="C365" s="405" t="s">
        <v>3785</v>
      </c>
      <c r="D365" s="563" t="s">
        <v>6341</v>
      </c>
      <c r="E365" s="575">
        <v>15000</v>
      </c>
      <c r="F365" s="563" t="s">
        <v>5263</v>
      </c>
      <c r="G365" s="563" t="s">
        <v>19</v>
      </c>
      <c r="H365" s="563" t="s">
        <v>49</v>
      </c>
      <c r="I365" s="563" t="s">
        <v>328</v>
      </c>
      <c r="J365" s="573">
        <v>44291</v>
      </c>
      <c r="K365" s="579" t="s">
        <v>3809</v>
      </c>
      <c r="L365" s="572"/>
      <c r="M365" s="572"/>
      <c r="N365" s="572"/>
      <c r="O365" s="572"/>
      <c r="P365" s="572"/>
      <c r="Q365" s="572"/>
      <c r="R365" s="572"/>
      <c r="S365" s="572"/>
      <c r="T365" s="572"/>
      <c r="U365" s="572"/>
      <c r="V365" s="572"/>
      <c r="W365" s="572"/>
      <c r="X365" s="572"/>
      <c r="Y365" s="572"/>
      <c r="Z365" s="572"/>
      <c r="AA365" s="572"/>
      <c r="AB365" s="572"/>
      <c r="AC365" s="572"/>
      <c r="AD365" s="572"/>
      <c r="AE365" s="572"/>
      <c r="AF365" s="572"/>
      <c r="AG365" s="572"/>
      <c r="AH365" s="572"/>
      <c r="AI365" s="572"/>
      <c r="AJ365" s="572"/>
      <c r="AK365" s="572"/>
      <c r="AL365" s="572"/>
      <c r="AM365" s="572"/>
      <c r="AN365" s="572"/>
      <c r="AO365" s="572"/>
      <c r="AP365" s="572"/>
      <c r="AQ365" s="572"/>
      <c r="AR365" s="572"/>
      <c r="AS365" s="572"/>
      <c r="AT365" s="572"/>
      <c r="AU365" s="572"/>
    </row>
    <row r="366" spans="1:47" ht="15.75" customHeight="1">
      <c r="A366" s="577">
        <v>44341</v>
      </c>
      <c r="B366" s="578" t="s">
        <v>6459</v>
      </c>
      <c r="C366" s="405" t="s">
        <v>2921</v>
      </c>
      <c r="D366" s="563" t="s">
        <v>6341</v>
      </c>
      <c r="E366" s="575">
        <v>10000</v>
      </c>
      <c r="F366" s="563" t="s">
        <v>3447</v>
      </c>
      <c r="G366" s="573" t="s">
        <v>19</v>
      </c>
      <c r="H366" s="573" t="s">
        <v>34</v>
      </c>
      <c r="I366" s="573" t="s">
        <v>262</v>
      </c>
      <c r="J366" s="573">
        <v>44279</v>
      </c>
      <c r="K366" s="576" t="s">
        <v>3795</v>
      </c>
      <c r="L366" s="572"/>
      <c r="M366" s="572"/>
      <c r="N366" s="572"/>
      <c r="O366" s="572"/>
      <c r="P366" s="572"/>
      <c r="Q366" s="572"/>
      <c r="R366" s="572"/>
      <c r="S366" s="572"/>
      <c r="T366" s="572"/>
      <c r="U366" s="572"/>
      <c r="V366" s="572"/>
      <c r="W366" s="572"/>
      <c r="X366" s="572"/>
      <c r="Y366" s="572"/>
      <c r="Z366" s="572"/>
      <c r="AA366" s="572"/>
      <c r="AB366" s="572"/>
      <c r="AC366" s="572"/>
      <c r="AD366" s="572"/>
      <c r="AE366" s="572"/>
      <c r="AF366" s="572"/>
      <c r="AG366" s="572"/>
      <c r="AH366" s="572"/>
      <c r="AI366" s="572"/>
      <c r="AJ366" s="572"/>
      <c r="AK366" s="572"/>
      <c r="AL366" s="572"/>
      <c r="AM366" s="572"/>
      <c r="AN366" s="572"/>
      <c r="AO366" s="572"/>
      <c r="AP366" s="572"/>
      <c r="AQ366" s="572"/>
      <c r="AR366" s="572"/>
      <c r="AS366" s="572"/>
      <c r="AT366" s="572"/>
      <c r="AU366" s="572"/>
    </row>
    <row r="367" spans="1:47" ht="15.75" customHeight="1">
      <c r="A367" s="577">
        <v>44341</v>
      </c>
      <c r="B367" s="578" t="s">
        <v>6471</v>
      </c>
      <c r="C367" s="405" t="s">
        <v>2921</v>
      </c>
      <c r="D367" s="563" t="s">
        <v>6341</v>
      </c>
      <c r="E367" s="575">
        <v>7000</v>
      </c>
      <c r="F367" s="563" t="s">
        <v>3275</v>
      </c>
      <c r="G367" s="573" t="s">
        <v>19</v>
      </c>
      <c r="H367" s="573" t="s">
        <v>34</v>
      </c>
      <c r="I367" s="573" t="s">
        <v>262</v>
      </c>
      <c r="J367" s="573">
        <v>44280</v>
      </c>
      <c r="K367" s="576" t="s">
        <v>3795</v>
      </c>
      <c r="L367" s="572"/>
      <c r="M367" s="572"/>
      <c r="N367" s="572"/>
      <c r="O367" s="572"/>
      <c r="P367" s="572"/>
      <c r="Q367" s="572"/>
      <c r="R367" s="572"/>
      <c r="S367" s="572"/>
      <c r="T367" s="572"/>
      <c r="U367" s="572"/>
      <c r="V367" s="572"/>
      <c r="W367" s="572"/>
      <c r="X367" s="572"/>
      <c r="Y367" s="572"/>
      <c r="Z367" s="572"/>
      <c r="AA367" s="572"/>
      <c r="AB367" s="572"/>
      <c r="AC367" s="572"/>
      <c r="AD367" s="572"/>
      <c r="AE367" s="572"/>
      <c r="AF367" s="572"/>
      <c r="AG367" s="572"/>
      <c r="AH367" s="572"/>
      <c r="AI367" s="572"/>
      <c r="AJ367" s="572"/>
      <c r="AK367" s="572"/>
      <c r="AL367" s="572"/>
      <c r="AM367" s="572"/>
      <c r="AN367" s="572"/>
      <c r="AO367" s="572"/>
      <c r="AP367" s="572"/>
      <c r="AQ367" s="572"/>
      <c r="AR367" s="572"/>
      <c r="AS367" s="572"/>
      <c r="AT367" s="572"/>
      <c r="AU367" s="572"/>
    </row>
    <row r="368" spans="1:47" ht="15.75" customHeight="1">
      <c r="A368" s="577">
        <v>44341</v>
      </c>
      <c r="B368" s="578" t="s">
        <v>6472</v>
      </c>
      <c r="C368" s="405" t="s">
        <v>2921</v>
      </c>
      <c r="D368" s="563" t="s">
        <v>6341</v>
      </c>
      <c r="E368" s="575">
        <v>15000</v>
      </c>
      <c r="F368" s="563" t="s">
        <v>2993</v>
      </c>
      <c r="G368" s="573" t="s">
        <v>19</v>
      </c>
      <c r="H368" s="573" t="s">
        <v>34</v>
      </c>
      <c r="I368" s="573" t="s">
        <v>262</v>
      </c>
      <c r="J368" s="573">
        <v>44295</v>
      </c>
      <c r="K368" s="576" t="s">
        <v>3789</v>
      </c>
      <c r="L368" s="572"/>
      <c r="M368" s="572"/>
      <c r="N368" s="572"/>
      <c r="O368" s="572"/>
      <c r="P368" s="572"/>
      <c r="Q368" s="572"/>
      <c r="R368" s="572"/>
      <c r="S368" s="572"/>
      <c r="T368" s="572"/>
      <c r="U368" s="572"/>
      <c r="V368" s="572"/>
      <c r="W368" s="572"/>
      <c r="X368" s="572"/>
      <c r="Y368" s="572"/>
      <c r="Z368" s="572"/>
      <c r="AA368" s="572"/>
      <c r="AB368" s="572"/>
      <c r="AC368" s="572"/>
      <c r="AD368" s="572"/>
      <c r="AE368" s="572"/>
      <c r="AF368" s="572"/>
      <c r="AG368" s="572"/>
      <c r="AH368" s="572"/>
      <c r="AI368" s="572"/>
      <c r="AJ368" s="572"/>
      <c r="AK368" s="572"/>
      <c r="AL368" s="572"/>
      <c r="AM368" s="572"/>
      <c r="AN368" s="572"/>
      <c r="AO368" s="572"/>
      <c r="AP368" s="572"/>
      <c r="AQ368" s="572"/>
      <c r="AR368" s="572"/>
      <c r="AS368" s="572"/>
      <c r="AT368" s="572"/>
      <c r="AU368" s="572"/>
    </row>
    <row r="369" spans="1:47" ht="15.75" customHeight="1">
      <c r="A369" s="577">
        <v>44341</v>
      </c>
      <c r="B369" s="578" t="s">
        <v>6349</v>
      </c>
      <c r="C369" s="405" t="s">
        <v>2921</v>
      </c>
      <c r="D369" s="563" t="s">
        <v>6341</v>
      </c>
      <c r="E369" s="575">
        <v>10000</v>
      </c>
      <c r="F369" s="563" t="s">
        <v>3228</v>
      </c>
      <c r="G369" s="573" t="s">
        <v>2923</v>
      </c>
      <c r="H369" s="573" t="s">
        <v>20</v>
      </c>
      <c r="I369" s="573" t="s">
        <v>2924</v>
      </c>
      <c r="J369" s="573">
        <v>43605</v>
      </c>
      <c r="K369" s="576" t="s">
        <v>3805</v>
      </c>
      <c r="L369" s="572"/>
      <c r="M369" s="572"/>
      <c r="N369" s="572"/>
      <c r="O369" s="572"/>
      <c r="P369" s="572"/>
      <c r="Q369" s="572"/>
      <c r="R369" s="572"/>
      <c r="S369" s="572"/>
      <c r="T369" s="572"/>
      <c r="U369" s="572"/>
      <c r="V369" s="572"/>
      <c r="W369" s="572"/>
      <c r="X369" s="572"/>
      <c r="Y369" s="572"/>
      <c r="Z369" s="572"/>
      <c r="AA369" s="572"/>
      <c r="AB369" s="572"/>
      <c r="AC369" s="572"/>
      <c r="AD369" s="572"/>
      <c r="AE369" s="572"/>
      <c r="AF369" s="572"/>
      <c r="AG369" s="572"/>
      <c r="AH369" s="572"/>
      <c r="AI369" s="572"/>
      <c r="AJ369" s="572"/>
      <c r="AK369" s="572"/>
      <c r="AL369" s="572"/>
      <c r="AM369" s="572"/>
      <c r="AN369" s="572"/>
      <c r="AO369" s="572"/>
      <c r="AP369" s="572"/>
      <c r="AQ369" s="572"/>
      <c r="AR369" s="572"/>
      <c r="AS369" s="572"/>
      <c r="AT369" s="572"/>
      <c r="AU369" s="572"/>
    </row>
    <row r="370" spans="1:47" ht="15.75" customHeight="1">
      <c r="A370" s="577">
        <v>44342</v>
      </c>
      <c r="B370" s="578" t="s">
        <v>6355</v>
      </c>
      <c r="C370" s="405" t="s">
        <v>2921</v>
      </c>
      <c r="D370" s="563" t="s">
        <v>928</v>
      </c>
      <c r="E370" s="575">
        <v>4300</v>
      </c>
      <c r="F370" s="563" t="s">
        <v>3236</v>
      </c>
      <c r="G370" s="573" t="s">
        <v>2923</v>
      </c>
      <c r="H370" s="573" t="s">
        <v>20</v>
      </c>
      <c r="I370" s="573" t="s">
        <v>2930</v>
      </c>
      <c r="J370" s="573">
        <v>43559</v>
      </c>
      <c r="K370" s="576" t="s">
        <v>4188</v>
      </c>
      <c r="L370" s="572"/>
      <c r="M370" s="572"/>
      <c r="N370" s="572"/>
      <c r="O370" s="572"/>
      <c r="P370" s="572"/>
      <c r="Q370" s="572"/>
      <c r="R370" s="572"/>
      <c r="S370" s="572"/>
      <c r="T370" s="572"/>
      <c r="U370" s="572"/>
      <c r="V370" s="572"/>
      <c r="W370" s="572"/>
      <c r="X370" s="572"/>
      <c r="Y370" s="572"/>
      <c r="Z370" s="572"/>
      <c r="AA370" s="572"/>
      <c r="AB370" s="572"/>
      <c r="AC370" s="572"/>
      <c r="AD370" s="572"/>
      <c r="AE370" s="572"/>
      <c r="AF370" s="572"/>
      <c r="AG370" s="572"/>
      <c r="AH370" s="572"/>
      <c r="AI370" s="572"/>
      <c r="AJ370" s="572"/>
      <c r="AK370" s="572"/>
      <c r="AL370" s="572"/>
      <c r="AM370" s="572"/>
      <c r="AN370" s="572"/>
      <c r="AO370" s="572"/>
      <c r="AP370" s="572"/>
      <c r="AQ370" s="572"/>
      <c r="AR370" s="572"/>
      <c r="AS370" s="572"/>
      <c r="AT370" s="572"/>
      <c r="AU370" s="572"/>
    </row>
    <row r="371" spans="1:47" ht="15.75" customHeight="1">
      <c r="A371" s="577">
        <v>44342</v>
      </c>
      <c r="B371" s="578" t="s">
        <v>6473</v>
      </c>
      <c r="C371" s="405" t="s">
        <v>2921</v>
      </c>
      <c r="D371" s="563" t="s">
        <v>6341</v>
      </c>
      <c r="E371" s="575">
        <v>50000</v>
      </c>
      <c r="F371" s="563" t="s">
        <v>3332</v>
      </c>
      <c r="G371" s="573" t="s">
        <v>19</v>
      </c>
      <c r="H371" s="573" t="s">
        <v>34</v>
      </c>
      <c r="I371" s="573" t="s">
        <v>262</v>
      </c>
      <c r="J371" s="573">
        <v>44322</v>
      </c>
      <c r="K371" s="576" t="s">
        <v>3795</v>
      </c>
      <c r="L371" s="572"/>
      <c r="M371" s="572"/>
      <c r="N371" s="572"/>
      <c r="O371" s="572"/>
      <c r="P371" s="572"/>
      <c r="Q371" s="572"/>
      <c r="R371" s="572"/>
      <c r="S371" s="572"/>
      <c r="T371" s="572"/>
      <c r="U371" s="572"/>
      <c r="V371" s="572"/>
      <c r="W371" s="572"/>
      <c r="X371" s="572"/>
      <c r="Y371" s="572"/>
      <c r="Z371" s="572"/>
      <c r="AA371" s="572"/>
      <c r="AB371" s="572"/>
      <c r="AC371" s="572"/>
      <c r="AD371" s="572"/>
      <c r="AE371" s="572"/>
      <c r="AF371" s="572"/>
      <c r="AG371" s="572"/>
      <c r="AH371" s="572"/>
      <c r="AI371" s="572"/>
      <c r="AJ371" s="572"/>
      <c r="AK371" s="572"/>
      <c r="AL371" s="572"/>
      <c r="AM371" s="572"/>
      <c r="AN371" s="572"/>
      <c r="AO371" s="572"/>
      <c r="AP371" s="572"/>
      <c r="AQ371" s="572"/>
      <c r="AR371" s="572"/>
      <c r="AS371" s="572"/>
      <c r="AT371" s="572"/>
      <c r="AU371" s="572"/>
    </row>
    <row r="372" spans="1:47" ht="15.75" customHeight="1">
      <c r="A372" s="577">
        <v>44342</v>
      </c>
      <c r="B372" s="578" t="s">
        <v>6474</v>
      </c>
      <c r="C372" s="405" t="s">
        <v>2921</v>
      </c>
      <c r="D372" s="563" t="s">
        <v>6341</v>
      </c>
      <c r="E372" s="575">
        <v>0</v>
      </c>
      <c r="F372" s="563" t="s">
        <v>3238</v>
      </c>
      <c r="G372" s="573" t="s">
        <v>19</v>
      </c>
      <c r="H372" s="573" t="s">
        <v>34</v>
      </c>
      <c r="I372" s="573" t="s">
        <v>2971</v>
      </c>
      <c r="J372" s="573">
        <v>44266</v>
      </c>
      <c r="K372" s="576" t="s">
        <v>3805</v>
      </c>
      <c r="L372" s="572"/>
      <c r="M372" s="572"/>
      <c r="N372" s="572"/>
      <c r="O372" s="572"/>
      <c r="P372" s="572"/>
      <c r="Q372" s="572"/>
      <c r="R372" s="572"/>
      <c r="S372" s="572"/>
      <c r="T372" s="572"/>
      <c r="U372" s="572"/>
      <c r="V372" s="572"/>
      <c r="W372" s="572"/>
      <c r="X372" s="572"/>
      <c r="Y372" s="572"/>
      <c r="Z372" s="572"/>
      <c r="AA372" s="572"/>
      <c r="AB372" s="572"/>
      <c r="AC372" s="572"/>
      <c r="AD372" s="572"/>
      <c r="AE372" s="572"/>
      <c r="AF372" s="572"/>
      <c r="AG372" s="572"/>
      <c r="AH372" s="572"/>
      <c r="AI372" s="572"/>
      <c r="AJ372" s="572"/>
      <c r="AK372" s="572"/>
      <c r="AL372" s="572"/>
      <c r="AM372" s="572"/>
      <c r="AN372" s="572"/>
      <c r="AO372" s="572"/>
      <c r="AP372" s="572"/>
      <c r="AQ372" s="572"/>
      <c r="AR372" s="572"/>
      <c r="AS372" s="572"/>
      <c r="AT372" s="572"/>
      <c r="AU372" s="572"/>
    </row>
    <row r="373" spans="1:47" ht="15.75" customHeight="1">
      <c r="A373" s="577">
        <v>44342</v>
      </c>
      <c r="B373" s="578" t="s">
        <v>6347</v>
      </c>
      <c r="C373" s="405" t="s">
        <v>2921</v>
      </c>
      <c r="D373" s="563" t="s">
        <v>6341</v>
      </c>
      <c r="E373" s="575">
        <v>40000</v>
      </c>
      <c r="F373" s="563" t="s">
        <v>3191</v>
      </c>
      <c r="G373" s="573" t="s">
        <v>2923</v>
      </c>
      <c r="H373" s="573" t="s">
        <v>20</v>
      </c>
      <c r="I373" s="573" t="s">
        <v>2924</v>
      </c>
      <c r="J373" s="573">
        <v>43703</v>
      </c>
      <c r="K373" s="576" t="s">
        <v>4188</v>
      </c>
      <c r="L373" s="572"/>
      <c r="M373" s="572"/>
      <c r="N373" s="572"/>
      <c r="O373" s="572"/>
      <c r="P373" s="572"/>
      <c r="Q373" s="572"/>
      <c r="R373" s="572"/>
      <c r="S373" s="572"/>
      <c r="T373" s="572"/>
      <c r="U373" s="572"/>
      <c r="V373" s="572"/>
      <c r="W373" s="572"/>
      <c r="X373" s="572"/>
      <c r="Y373" s="572"/>
      <c r="Z373" s="572"/>
      <c r="AA373" s="572"/>
      <c r="AB373" s="572"/>
      <c r="AC373" s="572"/>
      <c r="AD373" s="572"/>
      <c r="AE373" s="572"/>
      <c r="AF373" s="572"/>
      <c r="AG373" s="572"/>
      <c r="AH373" s="572"/>
      <c r="AI373" s="572"/>
      <c r="AJ373" s="572"/>
      <c r="AK373" s="572"/>
      <c r="AL373" s="572"/>
      <c r="AM373" s="572"/>
      <c r="AN373" s="572"/>
      <c r="AO373" s="572"/>
      <c r="AP373" s="572"/>
      <c r="AQ373" s="572"/>
      <c r="AR373" s="572"/>
      <c r="AS373" s="572"/>
      <c r="AT373" s="572"/>
      <c r="AU373" s="572"/>
    </row>
    <row r="374" spans="1:47" ht="15.75" customHeight="1">
      <c r="A374" s="577">
        <v>44342</v>
      </c>
      <c r="B374" s="578" t="s">
        <v>6355</v>
      </c>
      <c r="C374" s="405" t="s">
        <v>2921</v>
      </c>
      <c r="D374" s="563" t="s">
        <v>6341</v>
      </c>
      <c r="E374" s="575">
        <v>17000</v>
      </c>
      <c r="F374" s="563" t="s">
        <v>3236</v>
      </c>
      <c r="G374" s="573" t="s">
        <v>2923</v>
      </c>
      <c r="H374" s="573" t="s">
        <v>20</v>
      </c>
      <c r="I374" s="573" t="s">
        <v>2930</v>
      </c>
      <c r="J374" s="573">
        <v>43559</v>
      </c>
      <c r="K374" s="576" t="s">
        <v>4188</v>
      </c>
      <c r="L374" s="572"/>
      <c r="M374" s="572"/>
      <c r="N374" s="572"/>
      <c r="O374" s="572"/>
      <c r="P374" s="572"/>
      <c r="Q374" s="572"/>
      <c r="R374" s="572"/>
      <c r="S374" s="572"/>
      <c r="T374" s="572"/>
      <c r="U374" s="572"/>
      <c r="V374" s="572"/>
      <c r="W374" s="572"/>
      <c r="X374" s="572"/>
      <c r="Y374" s="572"/>
      <c r="Z374" s="572"/>
      <c r="AA374" s="572"/>
      <c r="AB374" s="572"/>
      <c r="AC374" s="572"/>
      <c r="AD374" s="572"/>
      <c r="AE374" s="572"/>
      <c r="AF374" s="572"/>
      <c r="AG374" s="572"/>
      <c r="AH374" s="572"/>
      <c r="AI374" s="572"/>
      <c r="AJ374" s="572"/>
      <c r="AK374" s="572"/>
      <c r="AL374" s="572"/>
      <c r="AM374" s="572"/>
      <c r="AN374" s="572"/>
      <c r="AO374" s="572"/>
      <c r="AP374" s="572"/>
      <c r="AQ374" s="572"/>
      <c r="AR374" s="572"/>
      <c r="AS374" s="572"/>
      <c r="AT374" s="572"/>
      <c r="AU374" s="572"/>
    </row>
    <row r="375" spans="1:47" ht="15.75" customHeight="1">
      <c r="A375" s="577">
        <v>44343</v>
      </c>
      <c r="B375" s="578" t="s">
        <v>6473</v>
      </c>
      <c r="C375" s="405" t="s">
        <v>2921</v>
      </c>
      <c r="D375" s="563" t="s">
        <v>6341</v>
      </c>
      <c r="E375" s="575">
        <v>40000</v>
      </c>
      <c r="F375" s="563" t="s">
        <v>3332</v>
      </c>
      <c r="G375" s="573" t="s">
        <v>19</v>
      </c>
      <c r="H375" s="573" t="s">
        <v>34</v>
      </c>
      <c r="I375" s="573" t="s">
        <v>262</v>
      </c>
      <c r="J375" s="573">
        <v>44322</v>
      </c>
      <c r="K375" s="576" t="s">
        <v>3795</v>
      </c>
      <c r="L375" s="572"/>
      <c r="M375" s="572"/>
      <c r="N375" s="572"/>
      <c r="O375" s="572"/>
      <c r="P375" s="572"/>
      <c r="Q375" s="572"/>
      <c r="R375" s="572"/>
      <c r="S375" s="572"/>
      <c r="T375" s="572"/>
      <c r="U375" s="572"/>
      <c r="V375" s="572"/>
      <c r="W375" s="572"/>
      <c r="X375" s="572"/>
      <c r="Y375" s="572"/>
      <c r="Z375" s="572"/>
      <c r="AA375" s="572"/>
      <c r="AB375" s="572"/>
      <c r="AC375" s="572"/>
      <c r="AD375" s="572"/>
      <c r="AE375" s="572"/>
      <c r="AF375" s="572"/>
      <c r="AG375" s="572"/>
      <c r="AH375" s="572"/>
      <c r="AI375" s="572"/>
      <c r="AJ375" s="572"/>
      <c r="AK375" s="572"/>
      <c r="AL375" s="572"/>
      <c r="AM375" s="572"/>
      <c r="AN375" s="572"/>
      <c r="AO375" s="572"/>
      <c r="AP375" s="572"/>
      <c r="AQ375" s="572"/>
      <c r="AR375" s="572"/>
      <c r="AS375" s="572"/>
      <c r="AT375" s="572"/>
      <c r="AU375" s="572"/>
    </row>
    <row r="376" spans="1:47" ht="15.75" customHeight="1">
      <c r="A376" s="577">
        <v>44344</v>
      </c>
      <c r="B376" s="578" t="s">
        <v>6475</v>
      </c>
      <c r="C376" s="405" t="s">
        <v>2921</v>
      </c>
      <c r="D376" s="563" t="s">
        <v>6341</v>
      </c>
      <c r="E376" s="575">
        <v>150000</v>
      </c>
      <c r="F376" s="563" t="s">
        <v>3465</v>
      </c>
      <c r="G376" s="573" t="s">
        <v>19</v>
      </c>
      <c r="H376" s="573" t="s">
        <v>34</v>
      </c>
      <c r="I376" s="573" t="s">
        <v>262</v>
      </c>
      <c r="J376" s="573">
        <v>44319</v>
      </c>
      <c r="K376" s="576" t="s">
        <v>3795</v>
      </c>
      <c r="L376" s="572"/>
      <c r="M376" s="572"/>
      <c r="N376" s="572"/>
      <c r="O376" s="572"/>
      <c r="P376" s="572"/>
      <c r="Q376" s="572"/>
      <c r="R376" s="572"/>
      <c r="S376" s="572"/>
      <c r="T376" s="572"/>
      <c r="U376" s="572"/>
      <c r="V376" s="572"/>
      <c r="W376" s="572"/>
      <c r="X376" s="572"/>
      <c r="Y376" s="572"/>
      <c r="Z376" s="572"/>
      <c r="AA376" s="572"/>
      <c r="AB376" s="572"/>
      <c r="AC376" s="572"/>
      <c r="AD376" s="572"/>
      <c r="AE376" s="572"/>
      <c r="AF376" s="572"/>
      <c r="AG376" s="572"/>
      <c r="AH376" s="572"/>
      <c r="AI376" s="572"/>
      <c r="AJ376" s="572"/>
      <c r="AK376" s="572"/>
      <c r="AL376" s="572"/>
      <c r="AM376" s="572"/>
      <c r="AN376" s="572"/>
      <c r="AO376" s="572"/>
      <c r="AP376" s="572"/>
      <c r="AQ376" s="572"/>
      <c r="AR376" s="572"/>
      <c r="AS376" s="572"/>
      <c r="AT376" s="572"/>
      <c r="AU376" s="572"/>
    </row>
    <row r="377" spans="1:47" ht="15.75" customHeight="1">
      <c r="A377" s="577">
        <v>44344</v>
      </c>
      <c r="B377" s="578" t="s">
        <v>6349</v>
      </c>
      <c r="C377" s="405" t="s">
        <v>2921</v>
      </c>
      <c r="D377" s="563" t="s">
        <v>6341</v>
      </c>
      <c r="E377" s="575">
        <v>280000</v>
      </c>
      <c r="F377" s="563" t="s">
        <v>3228</v>
      </c>
      <c r="G377" s="573" t="s">
        <v>2923</v>
      </c>
      <c r="H377" s="573" t="s">
        <v>20</v>
      </c>
      <c r="I377" s="573" t="s">
        <v>2924</v>
      </c>
      <c r="J377" s="573">
        <v>43605</v>
      </c>
      <c r="K377" s="576" t="s">
        <v>3805</v>
      </c>
      <c r="L377" s="572"/>
      <c r="M377" s="572"/>
      <c r="N377" s="572"/>
      <c r="O377" s="572"/>
      <c r="P377" s="572"/>
      <c r="Q377" s="572"/>
      <c r="R377" s="572"/>
      <c r="S377" s="572"/>
      <c r="T377" s="572"/>
      <c r="U377" s="572"/>
      <c r="V377" s="572"/>
      <c r="W377" s="572"/>
      <c r="X377" s="572"/>
      <c r="Y377" s="572"/>
      <c r="Z377" s="572"/>
      <c r="AA377" s="572"/>
      <c r="AB377" s="572"/>
      <c r="AC377" s="572"/>
      <c r="AD377" s="572"/>
      <c r="AE377" s="572"/>
      <c r="AF377" s="572"/>
      <c r="AG377" s="572"/>
      <c r="AH377" s="572"/>
      <c r="AI377" s="572"/>
      <c r="AJ377" s="572"/>
      <c r="AK377" s="572"/>
      <c r="AL377" s="572"/>
      <c r="AM377" s="572"/>
      <c r="AN377" s="572"/>
      <c r="AO377" s="572"/>
      <c r="AP377" s="572"/>
      <c r="AQ377" s="572"/>
      <c r="AR377" s="572"/>
      <c r="AS377" s="572"/>
      <c r="AT377" s="572"/>
      <c r="AU377" s="572"/>
    </row>
    <row r="378" spans="1:47" ht="15.75" customHeight="1">
      <c r="A378" s="577">
        <v>44347</v>
      </c>
      <c r="B378" s="578" t="s">
        <v>6476</v>
      </c>
      <c r="C378" s="405" t="s">
        <v>2921</v>
      </c>
      <c r="D378" s="563" t="s">
        <v>6341</v>
      </c>
      <c r="E378" s="575">
        <v>2000</v>
      </c>
      <c r="F378" s="563" t="s">
        <v>2473</v>
      </c>
      <c r="G378" s="573" t="s">
        <v>19</v>
      </c>
      <c r="H378" s="573" t="s">
        <v>34</v>
      </c>
      <c r="I378" s="573" t="s">
        <v>35</v>
      </c>
      <c r="J378" s="573">
        <v>44280</v>
      </c>
      <c r="K378" s="576" t="s">
        <v>3789</v>
      </c>
      <c r="L378" s="572"/>
      <c r="M378" s="572"/>
      <c r="N378" s="572"/>
      <c r="O378" s="572"/>
      <c r="P378" s="572"/>
      <c r="Q378" s="572"/>
      <c r="R378" s="572"/>
      <c r="S378" s="572"/>
      <c r="T378" s="572"/>
      <c r="U378" s="572"/>
      <c r="V378" s="572"/>
      <c r="W378" s="572"/>
      <c r="X378" s="572"/>
      <c r="Y378" s="572"/>
      <c r="Z378" s="572"/>
      <c r="AA378" s="572"/>
      <c r="AB378" s="572"/>
      <c r="AC378" s="572"/>
      <c r="AD378" s="572"/>
      <c r="AE378" s="572"/>
      <c r="AF378" s="572"/>
      <c r="AG378" s="572"/>
      <c r="AH378" s="572"/>
      <c r="AI378" s="572"/>
      <c r="AJ378" s="572"/>
      <c r="AK378" s="572"/>
      <c r="AL378" s="572"/>
      <c r="AM378" s="572"/>
      <c r="AN378" s="572"/>
      <c r="AO378" s="572"/>
      <c r="AP378" s="572"/>
      <c r="AQ378" s="572"/>
      <c r="AR378" s="572"/>
      <c r="AS378" s="572"/>
      <c r="AT378" s="572"/>
      <c r="AU378" s="572"/>
    </row>
    <row r="379" spans="1:47" ht="15.75" customHeight="1">
      <c r="A379" s="577">
        <v>44347</v>
      </c>
      <c r="B379" s="578" t="s">
        <v>3617</v>
      </c>
      <c r="C379" s="405" t="s">
        <v>3607</v>
      </c>
      <c r="D379" s="563" t="s">
        <v>928</v>
      </c>
      <c r="E379" s="575">
        <v>57300</v>
      </c>
      <c r="F379" s="563" t="s">
        <v>3616</v>
      </c>
      <c r="G379" s="573" t="s">
        <v>19</v>
      </c>
      <c r="H379" s="573" t="s">
        <v>20</v>
      </c>
      <c r="I379" s="573" t="s">
        <v>3618</v>
      </c>
      <c r="J379" s="573">
        <v>43759</v>
      </c>
      <c r="K379" s="576" t="s">
        <v>5219</v>
      </c>
      <c r="L379" s="572"/>
      <c r="M379" s="572"/>
      <c r="N379" s="572"/>
      <c r="O379" s="572"/>
      <c r="P379" s="572"/>
      <c r="Q379" s="572"/>
      <c r="R379" s="572"/>
      <c r="S379" s="572"/>
      <c r="T379" s="572"/>
      <c r="U379" s="572"/>
      <c r="V379" s="572"/>
      <c r="W379" s="572"/>
      <c r="X379" s="572"/>
      <c r="Y379" s="572"/>
      <c r="Z379" s="572"/>
      <c r="AA379" s="572"/>
      <c r="AB379" s="572"/>
      <c r="AC379" s="572"/>
      <c r="AD379" s="572"/>
      <c r="AE379" s="572"/>
      <c r="AF379" s="572"/>
      <c r="AG379" s="572"/>
      <c r="AH379" s="572"/>
      <c r="AI379" s="572"/>
      <c r="AJ379" s="572"/>
      <c r="AK379" s="572"/>
      <c r="AL379" s="572"/>
      <c r="AM379" s="572"/>
      <c r="AN379" s="572"/>
      <c r="AO379" s="572"/>
      <c r="AP379" s="572"/>
      <c r="AQ379" s="572"/>
      <c r="AR379" s="572"/>
      <c r="AS379" s="572"/>
      <c r="AT379" s="572"/>
      <c r="AU379" s="572"/>
    </row>
    <row r="380" spans="1:47" ht="15.75" customHeight="1">
      <c r="A380" s="577">
        <v>44347</v>
      </c>
      <c r="B380" s="578" t="s">
        <v>6477</v>
      </c>
      <c r="C380" s="405" t="s">
        <v>2921</v>
      </c>
      <c r="D380" s="563" t="s">
        <v>6341</v>
      </c>
      <c r="E380" s="575">
        <v>13000</v>
      </c>
      <c r="F380" s="563" t="s">
        <v>1935</v>
      </c>
      <c r="G380" s="573" t="s">
        <v>19</v>
      </c>
      <c r="H380" s="573" t="s">
        <v>34</v>
      </c>
      <c r="I380" s="573" t="s">
        <v>35</v>
      </c>
      <c r="J380" s="573">
        <v>44322</v>
      </c>
      <c r="K380" s="576" t="s">
        <v>3795</v>
      </c>
      <c r="L380" s="572"/>
      <c r="M380" s="572"/>
      <c r="N380" s="572"/>
      <c r="O380" s="572"/>
      <c r="P380" s="572"/>
      <c r="Q380" s="572"/>
      <c r="R380" s="572"/>
      <c r="S380" s="572"/>
      <c r="T380" s="572"/>
      <c r="U380" s="572"/>
      <c r="V380" s="572"/>
      <c r="W380" s="572"/>
      <c r="X380" s="572"/>
      <c r="Y380" s="572"/>
      <c r="Z380" s="572"/>
      <c r="AA380" s="572"/>
      <c r="AB380" s="572"/>
      <c r="AC380" s="572"/>
      <c r="AD380" s="572"/>
      <c r="AE380" s="572"/>
      <c r="AF380" s="572"/>
      <c r="AG380" s="572"/>
      <c r="AH380" s="572"/>
      <c r="AI380" s="572"/>
      <c r="AJ380" s="572"/>
      <c r="AK380" s="572"/>
      <c r="AL380" s="572"/>
      <c r="AM380" s="572"/>
      <c r="AN380" s="572"/>
      <c r="AO380" s="572"/>
      <c r="AP380" s="572"/>
      <c r="AQ380" s="572"/>
      <c r="AR380" s="572"/>
      <c r="AS380" s="572"/>
      <c r="AT380" s="572"/>
      <c r="AU380" s="572"/>
    </row>
    <row r="381" spans="1:47" ht="15.75" customHeight="1">
      <c r="A381" s="577">
        <v>44348</v>
      </c>
      <c r="B381" s="578" t="s">
        <v>6442</v>
      </c>
      <c r="C381" s="405" t="s">
        <v>3785</v>
      </c>
      <c r="D381" s="563" t="s">
        <v>6341</v>
      </c>
      <c r="E381" s="575">
        <v>50000</v>
      </c>
      <c r="F381" s="563" t="s">
        <v>5087</v>
      </c>
      <c r="G381" s="563" t="s">
        <v>64</v>
      </c>
      <c r="H381" s="563" t="s">
        <v>20</v>
      </c>
      <c r="I381" s="563" t="s">
        <v>4472</v>
      </c>
      <c r="J381" s="593">
        <v>44180</v>
      </c>
      <c r="K381" s="579" t="s">
        <v>3795</v>
      </c>
      <c r="L381" s="572"/>
      <c r="M381" s="572"/>
      <c r="N381" s="572"/>
      <c r="O381" s="572"/>
      <c r="P381" s="572"/>
      <c r="Q381" s="572"/>
      <c r="R381" s="572"/>
      <c r="S381" s="572"/>
      <c r="T381" s="572"/>
      <c r="U381" s="572"/>
      <c r="V381" s="572"/>
      <c r="W381" s="572"/>
      <c r="X381" s="572"/>
      <c r="Y381" s="572"/>
      <c r="Z381" s="572"/>
      <c r="AA381" s="572"/>
      <c r="AB381" s="572"/>
      <c r="AC381" s="572"/>
      <c r="AD381" s="572"/>
      <c r="AE381" s="572"/>
      <c r="AF381" s="572"/>
      <c r="AG381" s="572"/>
      <c r="AH381" s="572"/>
      <c r="AI381" s="572"/>
      <c r="AJ381" s="572"/>
      <c r="AK381" s="572"/>
      <c r="AL381" s="572"/>
      <c r="AM381" s="572"/>
      <c r="AN381" s="572"/>
      <c r="AO381" s="572"/>
      <c r="AP381" s="572"/>
      <c r="AQ381" s="572"/>
      <c r="AR381" s="572"/>
      <c r="AS381" s="572"/>
      <c r="AT381" s="572"/>
      <c r="AU381" s="572"/>
    </row>
    <row r="382" spans="1:47" ht="15.75" customHeight="1">
      <c r="A382" s="577">
        <v>44348</v>
      </c>
      <c r="B382" s="578" t="s">
        <v>6408</v>
      </c>
      <c r="C382" s="405" t="s">
        <v>2921</v>
      </c>
      <c r="D382" s="563" t="s">
        <v>6341</v>
      </c>
      <c r="E382" s="575">
        <v>40000</v>
      </c>
      <c r="F382" s="563" t="s">
        <v>859</v>
      </c>
      <c r="G382" s="573" t="s">
        <v>19</v>
      </c>
      <c r="H382" s="573" t="s">
        <v>34</v>
      </c>
      <c r="I382" s="573" t="s">
        <v>35</v>
      </c>
      <c r="J382" s="573">
        <v>44321</v>
      </c>
      <c r="K382" s="576" t="s">
        <v>3795</v>
      </c>
      <c r="L382" s="572"/>
      <c r="M382" s="572"/>
      <c r="N382" s="572"/>
      <c r="O382" s="572"/>
      <c r="P382" s="572"/>
      <c r="Q382" s="572"/>
      <c r="R382" s="572"/>
      <c r="S382" s="572"/>
      <c r="T382" s="572"/>
      <c r="U382" s="572"/>
      <c r="V382" s="572"/>
      <c r="W382" s="572"/>
      <c r="X382" s="572"/>
      <c r="Y382" s="572"/>
      <c r="Z382" s="572"/>
      <c r="AA382" s="572"/>
      <c r="AB382" s="572"/>
      <c r="AC382" s="572"/>
      <c r="AD382" s="572"/>
      <c r="AE382" s="572"/>
      <c r="AF382" s="572"/>
      <c r="AG382" s="572"/>
      <c r="AH382" s="572"/>
      <c r="AI382" s="572"/>
      <c r="AJ382" s="572"/>
      <c r="AK382" s="572"/>
      <c r="AL382" s="572"/>
      <c r="AM382" s="572"/>
      <c r="AN382" s="572"/>
      <c r="AO382" s="572"/>
      <c r="AP382" s="572"/>
      <c r="AQ382" s="572"/>
      <c r="AR382" s="572"/>
      <c r="AS382" s="572"/>
      <c r="AT382" s="572"/>
      <c r="AU382" s="572"/>
    </row>
    <row r="383" spans="1:47" ht="15.75" customHeight="1">
      <c r="A383" s="577">
        <v>44349</v>
      </c>
      <c r="B383" s="578" t="s">
        <v>6477</v>
      </c>
      <c r="C383" s="405" t="s">
        <v>2921</v>
      </c>
      <c r="D383" s="563" t="s">
        <v>6341</v>
      </c>
      <c r="E383" s="575">
        <v>10000</v>
      </c>
      <c r="F383" s="563" t="s">
        <v>1935</v>
      </c>
      <c r="G383" s="573" t="s">
        <v>19</v>
      </c>
      <c r="H383" s="573" t="s">
        <v>34</v>
      </c>
      <c r="I383" s="573" t="s">
        <v>35</v>
      </c>
      <c r="J383" s="573">
        <v>44322</v>
      </c>
      <c r="K383" s="576" t="s">
        <v>3795</v>
      </c>
      <c r="L383" s="572"/>
      <c r="M383" s="572"/>
      <c r="N383" s="572"/>
      <c r="O383" s="572"/>
      <c r="P383" s="572"/>
      <c r="Q383" s="572"/>
      <c r="R383" s="572"/>
      <c r="S383" s="572"/>
      <c r="T383" s="572"/>
      <c r="U383" s="572"/>
      <c r="V383" s="572"/>
      <c r="W383" s="572"/>
      <c r="X383" s="572"/>
      <c r="Y383" s="572"/>
      <c r="Z383" s="572"/>
      <c r="AA383" s="572"/>
      <c r="AB383" s="572"/>
      <c r="AC383" s="572"/>
      <c r="AD383" s="572"/>
      <c r="AE383" s="572"/>
      <c r="AF383" s="572"/>
      <c r="AG383" s="572"/>
      <c r="AH383" s="572"/>
      <c r="AI383" s="572"/>
      <c r="AJ383" s="572"/>
      <c r="AK383" s="572"/>
      <c r="AL383" s="572"/>
      <c r="AM383" s="572"/>
      <c r="AN383" s="572"/>
      <c r="AO383" s="572"/>
      <c r="AP383" s="572"/>
      <c r="AQ383" s="572"/>
      <c r="AR383" s="572"/>
      <c r="AS383" s="572"/>
      <c r="AT383" s="572"/>
      <c r="AU383" s="572"/>
    </row>
    <row r="384" spans="1:47" ht="15.75" customHeight="1">
      <c r="A384" s="577">
        <v>44349</v>
      </c>
      <c r="B384" s="578" t="s">
        <v>6478</v>
      </c>
      <c r="C384" s="405" t="s">
        <v>2921</v>
      </c>
      <c r="D384" s="563" t="s">
        <v>6341</v>
      </c>
      <c r="E384" s="575">
        <v>31306.959999999999</v>
      </c>
      <c r="F384" s="563" t="s">
        <v>3080</v>
      </c>
      <c r="G384" s="573" t="s">
        <v>19</v>
      </c>
      <c r="H384" s="573" t="s">
        <v>34</v>
      </c>
      <c r="I384" s="573" t="s">
        <v>35</v>
      </c>
      <c r="J384" s="573">
        <v>44328</v>
      </c>
      <c r="K384" s="576" t="s">
        <v>3795</v>
      </c>
      <c r="L384" s="572"/>
      <c r="M384" s="572"/>
      <c r="N384" s="572"/>
      <c r="O384" s="572"/>
      <c r="P384" s="572"/>
      <c r="Q384" s="572"/>
      <c r="R384" s="572"/>
      <c r="S384" s="572"/>
      <c r="T384" s="572"/>
      <c r="U384" s="572"/>
      <c r="V384" s="572"/>
      <c r="W384" s="572"/>
      <c r="X384" s="572"/>
      <c r="Y384" s="572"/>
      <c r="Z384" s="572"/>
      <c r="AA384" s="572"/>
      <c r="AB384" s="572"/>
      <c r="AC384" s="572"/>
      <c r="AD384" s="572"/>
      <c r="AE384" s="572"/>
      <c r="AF384" s="572"/>
      <c r="AG384" s="572"/>
      <c r="AH384" s="572"/>
      <c r="AI384" s="572"/>
      <c r="AJ384" s="572"/>
      <c r="AK384" s="572"/>
      <c r="AL384" s="572"/>
      <c r="AM384" s="572"/>
      <c r="AN384" s="572"/>
      <c r="AO384" s="572"/>
      <c r="AP384" s="572"/>
      <c r="AQ384" s="572"/>
      <c r="AR384" s="572"/>
      <c r="AS384" s="572"/>
      <c r="AT384" s="572"/>
      <c r="AU384" s="572"/>
    </row>
    <row r="385" spans="1:47" ht="15.75" customHeight="1">
      <c r="A385" s="577">
        <v>44351</v>
      </c>
      <c r="B385" s="578" t="s">
        <v>6479</v>
      </c>
      <c r="C385" s="405" t="s">
        <v>2921</v>
      </c>
      <c r="D385" s="563" t="s">
        <v>6341</v>
      </c>
      <c r="E385" s="575">
        <v>9000</v>
      </c>
      <c r="F385" s="563" t="s">
        <v>3033</v>
      </c>
      <c r="G385" s="573" t="s">
        <v>19</v>
      </c>
      <c r="H385" s="573" t="s">
        <v>34</v>
      </c>
      <c r="I385" s="573" t="s">
        <v>2971</v>
      </c>
      <c r="J385" s="573">
        <v>44260</v>
      </c>
      <c r="K385" s="576" t="s">
        <v>3795</v>
      </c>
      <c r="L385" s="572"/>
      <c r="M385" s="572"/>
      <c r="N385" s="572"/>
      <c r="O385" s="572"/>
      <c r="P385" s="572"/>
      <c r="Q385" s="572"/>
      <c r="R385" s="572"/>
      <c r="S385" s="572"/>
      <c r="T385" s="572"/>
      <c r="U385" s="572"/>
      <c r="V385" s="572"/>
      <c r="W385" s="572"/>
      <c r="X385" s="572"/>
      <c r="Y385" s="572"/>
      <c r="Z385" s="572"/>
      <c r="AA385" s="572"/>
      <c r="AB385" s="572"/>
      <c r="AC385" s="572"/>
      <c r="AD385" s="572"/>
      <c r="AE385" s="572"/>
      <c r="AF385" s="572"/>
      <c r="AG385" s="572"/>
      <c r="AH385" s="572"/>
      <c r="AI385" s="572"/>
      <c r="AJ385" s="572"/>
      <c r="AK385" s="572"/>
      <c r="AL385" s="572"/>
      <c r="AM385" s="572"/>
      <c r="AN385" s="572"/>
      <c r="AO385" s="572"/>
      <c r="AP385" s="572"/>
      <c r="AQ385" s="572"/>
      <c r="AR385" s="572"/>
      <c r="AS385" s="572"/>
      <c r="AT385" s="572"/>
      <c r="AU385" s="572"/>
    </row>
    <row r="386" spans="1:47" ht="15.75" customHeight="1">
      <c r="A386" s="577">
        <v>44351</v>
      </c>
      <c r="B386" s="578" t="s">
        <v>6368</v>
      </c>
      <c r="C386" s="405" t="s">
        <v>2921</v>
      </c>
      <c r="D386" s="563" t="s">
        <v>6341</v>
      </c>
      <c r="E386" s="575">
        <v>40000</v>
      </c>
      <c r="F386" s="563" t="s">
        <v>3349</v>
      </c>
      <c r="G386" s="573" t="s">
        <v>2923</v>
      </c>
      <c r="H386" s="573" t="s">
        <v>20</v>
      </c>
      <c r="I386" s="573" t="s">
        <v>2924</v>
      </c>
      <c r="J386" s="573">
        <v>43564</v>
      </c>
      <c r="K386" s="576" t="s">
        <v>3809</v>
      </c>
      <c r="L386" s="572"/>
      <c r="M386" s="572"/>
      <c r="N386" s="572"/>
      <c r="O386" s="572"/>
      <c r="P386" s="572"/>
      <c r="Q386" s="572"/>
      <c r="R386" s="572"/>
      <c r="S386" s="572"/>
      <c r="T386" s="572"/>
      <c r="U386" s="572"/>
      <c r="V386" s="572"/>
      <c r="W386" s="572"/>
      <c r="X386" s="572"/>
      <c r="Y386" s="572"/>
      <c r="Z386" s="572"/>
      <c r="AA386" s="572"/>
      <c r="AB386" s="572"/>
      <c r="AC386" s="572"/>
      <c r="AD386" s="572"/>
      <c r="AE386" s="572"/>
      <c r="AF386" s="572"/>
      <c r="AG386" s="572"/>
      <c r="AH386" s="572"/>
      <c r="AI386" s="572"/>
      <c r="AJ386" s="572"/>
      <c r="AK386" s="572"/>
      <c r="AL386" s="572"/>
      <c r="AM386" s="572"/>
      <c r="AN386" s="572"/>
      <c r="AO386" s="572"/>
      <c r="AP386" s="572"/>
      <c r="AQ386" s="572"/>
      <c r="AR386" s="572"/>
      <c r="AS386" s="572"/>
      <c r="AT386" s="572"/>
      <c r="AU386" s="572"/>
    </row>
    <row r="387" spans="1:47" ht="15.75" customHeight="1">
      <c r="A387" s="577">
        <v>44353</v>
      </c>
      <c r="B387" s="578" t="s">
        <v>6480</v>
      </c>
      <c r="C387" s="405" t="s">
        <v>3785</v>
      </c>
      <c r="D387" s="563" t="s">
        <v>6341</v>
      </c>
      <c r="E387" s="575">
        <v>506343.93</v>
      </c>
      <c r="F387" s="563" t="s">
        <v>3935</v>
      </c>
      <c r="G387" s="563" t="s">
        <v>19</v>
      </c>
      <c r="H387" s="563" t="s">
        <v>49</v>
      </c>
      <c r="I387" s="563" t="s">
        <v>328</v>
      </c>
      <c r="J387" s="596">
        <v>44298</v>
      </c>
      <c r="K387" s="579" t="s">
        <v>3805</v>
      </c>
      <c r="L387" s="572"/>
      <c r="M387" s="572"/>
      <c r="N387" s="572"/>
      <c r="O387" s="572"/>
      <c r="P387" s="572"/>
      <c r="Q387" s="572"/>
      <c r="R387" s="572"/>
      <c r="S387" s="572"/>
      <c r="T387" s="572"/>
      <c r="U387" s="572"/>
      <c r="V387" s="572"/>
      <c r="W387" s="572"/>
      <c r="X387" s="572"/>
      <c r="Y387" s="572"/>
      <c r="Z387" s="572"/>
      <c r="AA387" s="572"/>
      <c r="AB387" s="572"/>
      <c r="AC387" s="572"/>
      <c r="AD387" s="572"/>
      <c r="AE387" s="572"/>
      <c r="AF387" s="572"/>
      <c r="AG387" s="572"/>
      <c r="AH387" s="572"/>
      <c r="AI387" s="572"/>
      <c r="AJ387" s="572"/>
      <c r="AK387" s="572"/>
      <c r="AL387" s="572"/>
      <c r="AM387" s="572"/>
      <c r="AN387" s="572"/>
      <c r="AO387" s="572"/>
      <c r="AP387" s="572"/>
      <c r="AQ387" s="572"/>
      <c r="AR387" s="572"/>
      <c r="AS387" s="572"/>
      <c r="AT387" s="572"/>
      <c r="AU387" s="572"/>
    </row>
    <row r="388" spans="1:47" ht="15.75" customHeight="1">
      <c r="A388" s="577">
        <v>44354</v>
      </c>
      <c r="B388" s="578" t="s">
        <v>6481</v>
      </c>
      <c r="C388" s="405" t="s">
        <v>2921</v>
      </c>
      <c r="D388" s="563" t="s">
        <v>6341</v>
      </c>
      <c r="E388" s="575">
        <v>5000</v>
      </c>
      <c r="F388" s="563" t="s">
        <v>3200</v>
      </c>
      <c r="G388" s="573" t="s">
        <v>2923</v>
      </c>
      <c r="H388" s="573" t="s">
        <v>20</v>
      </c>
      <c r="I388" s="573" t="s">
        <v>2930</v>
      </c>
      <c r="J388" s="573">
        <v>43752</v>
      </c>
      <c r="K388" s="576" t="s">
        <v>3795</v>
      </c>
      <c r="L388" s="572"/>
      <c r="M388" s="572"/>
      <c r="N388" s="572"/>
      <c r="O388" s="572"/>
      <c r="P388" s="572"/>
      <c r="Q388" s="572"/>
      <c r="R388" s="572"/>
      <c r="S388" s="572"/>
      <c r="T388" s="572"/>
      <c r="U388" s="572"/>
      <c r="V388" s="572"/>
      <c r="W388" s="572"/>
      <c r="X388" s="572"/>
      <c r="Y388" s="572"/>
      <c r="Z388" s="572"/>
      <c r="AA388" s="572"/>
      <c r="AB388" s="572"/>
      <c r="AC388" s="572"/>
      <c r="AD388" s="572"/>
      <c r="AE388" s="572"/>
      <c r="AF388" s="572"/>
      <c r="AG388" s="572"/>
      <c r="AH388" s="572"/>
      <c r="AI388" s="572"/>
      <c r="AJ388" s="572"/>
      <c r="AK388" s="572"/>
      <c r="AL388" s="572"/>
      <c r="AM388" s="572"/>
      <c r="AN388" s="572"/>
      <c r="AO388" s="572"/>
      <c r="AP388" s="572"/>
      <c r="AQ388" s="572"/>
      <c r="AR388" s="572"/>
      <c r="AS388" s="572"/>
      <c r="AT388" s="572"/>
      <c r="AU388" s="572"/>
    </row>
    <row r="389" spans="1:47" ht="15.75" customHeight="1">
      <c r="A389" s="577">
        <v>44355</v>
      </c>
      <c r="B389" s="578" t="s">
        <v>6368</v>
      </c>
      <c r="C389" s="405" t="s">
        <v>2921</v>
      </c>
      <c r="D389" s="563" t="s">
        <v>6341</v>
      </c>
      <c r="E389" s="575">
        <v>50000</v>
      </c>
      <c r="F389" s="563" t="s">
        <v>3349</v>
      </c>
      <c r="G389" s="573" t="s">
        <v>2923</v>
      </c>
      <c r="H389" s="573" t="s">
        <v>20</v>
      </c>
      <c r="I389" s="573" t="s">
        <v>2924</v>
      </c>
      <c r="J389" s="573">
        <v>43564</v>
      </c>
      <c r="K389" s="576" t="s">
        <v>3809</v>
      </c>
      <c r="L389" s="572"/>
      <c r="M389" s="572"/>
      <c r="N389" s="572"/>
      <c r="O389" s="572"/>
      <c r="P389" s="572"/>
      <c r="Q389" s="572"/>
      <c r="R389" s="572"/>
      <c r="S389" s="572"/>
      <c r="T389" s="572"/>
      <c r="U389" s="572"/>
      <c r="V389" s="572"/>
      <c r="W389" s="572"/>
      <c r="X389" s="572"/>
      <c r="Y389" s="572"/>
      <c r="Z389" s="572"/>
      <c r="AA389" s="572"/>
      <c r="AB389" s="572"/>
      <c r="AC389" s="572"/>
      <c r="AD389" s="572"/>
      <c r="AE389" s="572"/>
      <c r="AF389" s="572"/>
      <c r="AG389" s="572"/>
      <c r="AH389" s="572"/>
      <c r="AI389" s="572"/>
      <c r="AJ389" s="572"/>
      <c r="AK389" s="572"/>
      <c r="AL389" s="572"/>
      <c r="AM389" s="572"/>
      <c r="AN389" s="572"/>
      <c r="AO389" s="572"/>
      <c r="AP389" s="572"/>
      <c r="AQ389" s="572"/>
      <c r="AR389" s="572"/>
      <c r="AS389" s="572"/>
      <c r="AT389" s="572"/>
      <c r="AU389" s="572"/>
    </row>
    <row r="390" spans="1:47" ht="15.75" customHeight="1">
      <c r="A390" s="577">
        <v>44355</v>
      </c>
      <c r="B390" s="578" t="s">
        <v>6409</v>
      </c>
      <c r="C390" s="405" t="s">
        <v>2921</v>
      </c>
      <c r="D390" s="563" t="s">
        <v>6341</v>
      </c>
      <c r="E390" s="575">
        <v>15000</v>
      </c>
      <c r="F390" s="563" t="s">
        <v>3257</v>
      </c>
      <c r="G390" s="573" t="s">
        <v>19</v>
      </c>
      <c r="H390" s="573" t="s">
        <v>34</v>
      </c>
      <c r="I390" s="573" t="s">
        <v>35</v>
      </c>
      <c r="J390" s="573">
        <v>44295</v>
      </c>
      <c r="K390" s="576" t="s">
        <v>3802</v>
      </c>
      <c r="L390" s="572"/>
      <c r="M390" s="572"/>
      <c r="N390" s="572"/>
      <c r="O390" s="572"/>
      <c r="P390" s="572"/>
      <c r="Q390" s="572"/>
      <c r="R390" s="572"/>
      <c r="S390" s="572"/>
      <c r="T390" s="572"/>
      <c r="U390" s="572"/>
      <c r="V390" s="572"/>
      <c r="W390" s="572"/>
      <c r="X390" s="572"/>
      <c r="Y390" s="572"/>
      <c r="Z390" s="572"/>
      <c r="AA390" s="572"/>
      <c r="AB390" s="572"/>
      <c r="AC390" s="572"/>
      <c r="AD390" s="572"/>
      <c r="AE390" s="572"/>
      <c r="AF390" s="572"/>
      <c r="AG390" s="572"/>
      <c r="AH390" s="572"/>
      <c r="AI390" s="572"/>
      <c r="AJ390" s="572"/>
      <c r="AK390" s="572"/>
      <c r="AL390" s="572"/>
      <c r="AM390" s="572"/>
      <c r="AN390" s="572"/>
      <c r="AO390" s="572"/>
      <c r="AP390" s="572"/>
      <c r="AQ390" s="572"/>
      <c r="AR390" s="572"/>
      <c r="AS390" s="572"/>
      <c r="AT390" s="572"/>
      <c r="AU390" s="572"/>
    </row>
    <row r="391" spans="1:47" ht="15.75" customHeight="1">
      <c r="A391" s="577">
        <v>44355</v>
      </c>
      <c r="B391" s="578" t="s">
        <v>6482</v>
      </c>
      <c r="C391" s="405" t="s">
        <v>2921</v>
      </c>
      <c r="D391" s="563" t="s">
        <v>928</v>
      </c>
      <c r="E391" s="575">
        <v>30000</v>
      </c>
      <c r="F391" s="563" t="s">
        <v>3345</v>
      </c>
      <c r="G391" s="573" t="s">
        <v>2923</v>
      </c>
      <c r="H391" s="573" t="s">
        <v>20</v>
      </c>
      <c r="I391" s="573" t="s">
        <v>2923</v>
      </c>
      <c r="J391" s="573">
        <v>44036</v>
      </c>
      <c r="K391" s="576" t="s">
        <v>3805</v>
      </c>
      <c r="L391" s="572"/>
      <c r="M391" s="572"/>
      <c r="N391" s="572"/>
      <c r="O391" s="572"/>
      <c r="P391" s="572"/>
      <c r="Q391" s="572"/>
      <c r="R391" s="572"/>
      <c r="S391" s="572"/>
      <c r="T391" s="572"/>
      <c r="U391" s="572"/>
      <c r="V391" s="572"/>
      <c r="W391" s="572"/>
      <c r="X391" s="572"/>
      <c r="Y391" s="572"/>
      <c r="Z391" s="572"/>
      <c r="AA391" s="572"/>
      <c r="AB391" s="572"/>
      <c r="AC391" s="572"/>
      <c r="AD391" s="572"/>
      <c r="AE391" s="572"/>
      <c r="AF391" s="572"/>
      <c r="AG391" s="572"/>
      <c r="AH391" s="572"/>
      <c r="AI391" s="572"/>
      <c r="AJ391" s="572"/>
      <c r="AK391" s="572"/>
      <c r="AL391" s="572"/>
      <c r="AM391" s="572"/>
      <c r="AN391" s="572"/>
      <c r="AO391" s="572"/>
      <c r="AP391" s="572"/>
      <c r="AQ391" s="572"/>
      <c r="AR391" s="572"/>
      <c r="AS391" s="572"/>
      <c r="AT391" s="572"/>
      <c r="AU391" s="572"/>
    </row>
    <row r="392" spans="1:47" ht="15.75" customHeight="1">
      <c r="A392" s="577">
        <v>44355</v>
      </c>
      <c r="B392" s="578" t="s">
        <v>6347</v>
      </c>
      <c r="C392" s="405" t="s">
        <v>2921</v>
      </c>
      <c r="D392" s="563" t="s">
        <v>6341</v>
      </c>
      <c r="E392" s="575">
        <v>600000</v>
      </c>
      <c r="F392" s="563" t="s">
        <v>3191</v>
      </c>
      <c r="G392" s="573" t="s">
        <v>2923</v>
      </c>
      <c r="H392" s="573" t="s">
        <v>20</v>
      </c>
      <c r="I392" s="573" t="s">
        <v>2924</v>
      </c>
      <c r="J392" s="573">
        <v>43703</v>
      </c>
      <c r="K392" s="576" t="s">
        <v>4188</v>
      </c>
      <c r="L392" s="572"/>
      <c r="M392" s="572"/>
      <c r="N392" s="572"/>
      <c r="O392" s="572"/>
      <c r="P392" s="572"/>
      <c r="Q392" s="572"/>
      <c r="R392" s="572"/>
      <c r="S392" s="572"/>
      <c r="T392" s="572"/>
      <c r="U392" s="572"/>
      <c r="V392" s="572"/>
      <c r="W392" s="572"/>
      <c r="X392" s="572"/>
      <c r="Y392" s="572"/>
      <c r="Z392" s="572"/>
      <c r="AA392" s="572"/>
      <c r="AB392" s="572"/>
      <c r="AC392" s="572"/>
      <c r="AD392" s="572"/>
      <c r="AE392" s="572"/>
      <c r="AF392" s="572"/>
      <c r="AG392" s="572"/>
      <c r="AH392" s="572"/>
      <c r="AI392" s="572"/>
      <c r="AJ392" s="572"/>
      <c r="AK392" s="572"/>
      <c r="AL392" s="572"/>
      <c r="AM392" s="572"/>
      <c r="AN392" s="572"/>
      <c r="AO392" s="572"/>
      <c r="AP392" s="572"/>
      <c r="AQ392" s="572"/>
      <c r="AR392" s="572"/>
      <c r="AS392" s="572"/>
      <c r="AT392" s="572"/>
      <c r="AU392" s="572"/>
    </row>
    <row r="393" spans="1:47" ht="15.75" customHeight="1">
      <c r="A393" s="577">
        <v>44355</v>
      </c>
      <c r="B393" s="578" t="s">
        <v>6440</v>
      </c>
      <c r="C393" s="405" t="s">
        <v>3785</v>
      </c>
      <c r="D393" s="563" t="s">
        <v>6341</v>
      </c>
      <c r="E393" s="575">
        <v>40000</v>
      </c>
      <c r="F393" s="563" t="s">
        <v>5390</v>
      </c>
      <c r="G393" s="563" t="s">
        <v>64</v>
      </c>
      <c r="H393" s="563" t="s">
        <v>20</v>
      </c>
      <c r="I393" s="563" t="s">
        <v>73</v>
      </c>
      <c r="J393" s="573">
        <v>44134</v>
      </c>
      <c r="K393" s="579" t="s">
        <v>3789</v>
      </c>
      <c r="L393" s="572"/>
      <c r="M393" s="572"/>
      <c r="N393" s="572"/>
      <c r="O393" s="572"/>
      <c r="P393" s="572"/>
      <c r="Q393" s="572"/>
      <c r="R393" s="572"/>
      <c r="S393" s="572"/>
      <c r="T393" s="572"/>
      <c r="U393" s="572"/>
      <c r="V393" s="572"/>
      <c r="W393" s="572"/>
      <c r="X393" s="572"/>
      <c r="Y393" s="572"/>
      <c r="Z393" s="572"/>
      <c r="AA393" s="572"/>
      <c r="AB393" s="572"/>
      <c r="AC393" s="572"/>
      <c r="AD393" s="572"/>
      <c r="AE393" s="572"/>
      <c r="AF393" s="572"/>
      <c r="AG393" s="572"/>
      <c r="AH393" s="572"/>
      <c r="AI393" s="572"/>
      <c r="AJ393" s="572"/>
      <c r="AK393" s="572"/>
      <c r="AL393" s="572"/>
      <c r="AM393" s="572"/>
      <c r="AN393" s="572"/>
      <c r="AO393" s="572"/>
      <c r="AP393" s="572"/>
      <c r="AQ393" s="572"/>
      <c r="AR393" s="572"/>
      <c r="AS393" s="572"/>
      <c r="AT393" s="572"/>
      <c r="AU393" s="572"/>
    </row>
    <row r="394" spans="1:47" ht="15.75" customHeight="1">
      <c r="A394" s="577">
        <v>44358</v>
      </c>
      <c r="B394" s="578" t="s">
        <v>6483</v>
      </c>
      <c r="C394" s="405" t="s">
        <v>3785</v>
      </c>
      <c r="D394" s="563" t="s">
        <v>928</v>
      </c>
      <c r="E394" s="575">
        <v>15000</v>
      </c>
      <c r="F394" s="563" t="s">
        <v>4236</v>
      </c>
      <c r="G394" s="563" t="s">
        <v>64</v>
      </c>
      <c r="H394" s="563" t="s">
        <v>20</v>
      </c>
      <c r="I394" s="563" t="s">
        <v>73</v>
      </c>
      <c r="J394" s="573">
        <v>44194</v>
      </c>
      <c r="K394" s="579" t="s">
        <v>3795</v>
      </c>
      <c r="L394" s="572"/>
      <c r="M394" s="572"/>
      <c r="N394" s="572"/>
      <c r="O394" s="572"/>
      <c r="P394" s="572"/>
      <c r="Q394" s="572"/>
      <c r="R394" s="572"/>
      <c r="S394" s="572"/>
      <c r="T394" s="572"/>
      <c r="U394" s="572"/>
      <c r="V394" s="572"/>
      <c r="W394" s="572"/>
      <c r="X394" s="572"/>
      <c r="Y394" s="572"/>
      <c r="Z394" s="572"/>
      <c r="AA394" s="572"/>
      <c r="AB394" s="572"/>
      <c r="AC394" s="572"/>
      <c r="AD394" s="572"/>
      <c r="AE394" s="572"/>
      <c r="AF394" s="572"/>
      <c r="AG394" s="572"/>
      <c r="AH394" s="572"/>
      <c r="AI394" s="572"/>
      <c r="AJ394" s="572"/>
      <c r="AK394" s="572"/>
      <c r="AL394" s="572"/>
      <c r="AM394" s="572"/>
      <c r="AN394" s="572"/>
      <c r="AO394" s="572"/>
      <c r="AP394" s="572"/>
      <c r="AQ394" s="572"/>
      <c r="AR394" s="572"/>
      <c r="AS394" s="572"/>
      <c r="AT394" s="572"/>
      <c r="AU394" s="572"/>
    </row>
    <row r="395" spans="1:47" ht="15.75" customHeight="1">
      <c r="A395" s="577">
        <v>44362</v>
      </c>
      <c r="B395" s="578" t="s">
        <v>6347</v>
      </c>
      <c r="C395" s="405" t="s">
        <v>2921</v>
      </c>
      <c r="D395" s="563" t="s">
        <v>6341</v>
      </c>
      <c r="E395" s="575">
        <v>100000</v>
      </c>
      <c r="F395" s="563" t="s">
        <v>3191</v>
      </c>
      <c r="G395" s="573" t="s">
        <v>2923</v>
      </c>
      <c r="H395" s="573" t="s">
        <v>20</v>
      </c>
      <c r="I395" s="573" t="s">
        <v>2924</v>
      </c>
      <c r="J395" s="573">
        <v>43703</v>
      </c>
      <c r="K395" s="576" t="s">
        <v>4188</v>
      </c>
      <c r="L395" s="572"/>
      <c r="M395" s="572"/>
      <c r="N395" s="572"/>
      <c r="O395" s="572"/>
      <c r="P395" s="572"/>
      <c r="Q395" s="572"/>
      <c r="R395" s="572"/>
      <c r="S395" s="572"/>
      <c r="T395" s="572"/>
      <c r="U395" s="572"/>
      <c r="V395" s="572"/>
      <c r="W395" s="572"/>
      <c r="X395" s="572"/>
      <c r="Y395" s="572"/>
      <c r="Z395" s="572"/>
      <c r="AA395" s="572"/>
      <c r="AB395" s="572"/>
      <c r="AC395" s="572"/>
      <c r="AD395" s="572"/>
      <c r="AE395" s="572"/>
      <c r="AF395" s="572"/>
      <c r="AG395" s="572"/>
      <c r="AH395" s="572"/>
      <c r="AI395" s="572"/>
      <c r="AJ395" s="572"/>
      <c r="AK395" s="572"/>
      <c r="AL395" s="572"/>
      <c r="AM395" s="572"/>
      <c r="AN395" s="572"/>
      <c r="AO395" s="572"/>
      <c r="AP395" s="572"/>
      <c r="AQ395" s="572"/>
      <c r="AR395" s="572"/>
      <c r="AS395" s="572"/>
      <c r="AT395" s="572"/>
      <c r="AU395" s="572"/>
    </row>
    <row r="396" spans="1:47" ht="15.75" customHeight="1">
      <c r="A396" s="577">
        <v>44362</v>
      </c>
      <c r="B396" s="578" t="s">
        <v>6484</v>
      </c>
      <c r="C396" s="405" t="s">
        <v>2921</v>
      </c>
      <c r="D396" s="563" t="s">
        <v>6341</v>
      </c>
      <c r="E396" s="575">
        <v>5000</v>
      </c>
      <c r="F396" s="563" t="s">
        <v>2943</v>
      </c>
      <c r="G396" s="573" t="s">
        <v>2923</v>
      </c>
      <c r="H396" s="573" t="s">
        <v>20</v>
      </c>
      <c r="I396" s="573" t="s">
        <v>2924</v>
      </c>
      <c r="J396" s="573">
        <v>43753</v>
      </c>
      <c r="K396" s="576" t="s">
        <v>3795</v>
      </c>
      <c r="L396" s="572"/>
      <c r="M396" s="572"/>
      <c r="N396" s="572"/>
      <c r="O396" s="572"/>
      <c r="P396" s="572"/>
      <c r="Q396" s="572"/>
      <c r="R396" s="572"/>
      <c r="S396" s="572"/>
      <c r="T396" s="572"/>
      <c r="U396" s="572"/>
      <c r="V396" s="572"/>
      <c r="W396" s="572"/>
      <c r="X396" s="572"/>
      <c r="Y396" s="572"/>
      <c r="Z396" s="572"/>
      <c r="AA396" s="572"/>
      <c r="AB396" s="572"/>
      <c r="AC396" s="572"/>
      <c r="AD396" s="572"/>
      <c r="AE396" s="572"/>
      <c r="AF396" s="572"/>
      <c r="AG396" s="572"/>
      <c r="AH396" s="572"/>
      <c r="AI396" s="572"/>
      <c r="AJ396" s="572"/>
      <c r="AK396" s="572"/>
      <c r="AL396" s="572"/>
      <c r="AM396" s="572"/>
      <c r="AN396" s="572"/>
      <c r="AO396" s="572"/>
      <c r="AP396" s="572"/>
      <c r="AQ396" s="572"/>
      <c r="AR396" s="572"/>
      <c r="AS396" s="572"/>
      <c r="AT396" s="572"/>
      <c r="AU396" s="572"/>
    </row>
    <row r="397" spans="1:47" ht="15.75" customHeight="1">
      <c r="A397" s="577">
        <v>44362</v>
      </c>
      <c r="B397" s="578" t="s">
        <v>6473</v>
      </c>
      <c r="C397" s="405" t="s">
        <v>2921</v>
      </c>
      <c r="D397" s="563" t="s">
        <v>6341</v>
      </c>
      <c r="E397" s="575">
        <v>312377.96000000002</v>
      </c>
      <c r="F397" s="563" t="s">
        <v>3332</v>
      </c>
      <c r="G397" s="573" t="s">
        <v>19</v>
      </c>
      <c r="H397" s="573" t="s">
        <v>34</v>
      </c>
      <c r="I397" s="573" t="s">
        <v>262</v>
      </c>
      <c r="J397" s="573">
        <v>44322</v>
      </c>
      <c r="K397" s="576" t="s">
        <v>3795</v>
      </c>
      <c r="L397" s="572"/>
      <c r="M397" s="572"/>
      <c r="N397" s="572"/>
      <c r="O397" s="572"/>
      <c r="P397" s="572"/>
      <c r="Q397" s="572"/>
      <c r="R397" s="572"/>
      <c r="S397" s="572"/>
      <c r="T397" s="572"/>
      <c r="U397" s="572"/>
      <c r="V397" s="572"/>
      <c r="W397" s="572"/>
      <c r="X397" s="572"/>
      <c r="Y397" s="572"/>
      <c r="Z397" s="572"/>
      <c r="AA397" s="572"/>
      <c r="AB397" s="572"/>
      <c r="AC397" s="572"/>
      <c r="AD397" s="572"/>
      <c r="AE397" s="572"/>
      <c r="AF397" s="572"/>
      <c r="AG397" s="572"/>
      <c r="AH397" s="572"/>
      <c r="AI397" s="572"/>
      <c r="AJ397" s="572"/>
      <c r="AK397" s="572"/>
      <c r="AL397" s="572"/>
      <c r="AM397" s="572"/>
      <c r="AN397" s="572"/>
      <c r="AO397" s="572"/>
      <c r="AP397" s="572"/>
      <c r="AQ397" s="572"/>
      <c r="AR397" s="572"/>
      <c r="AS397" s="572"/>
      <c r="AT397" s="572"/>
      <c r="AU397" s="572"/>
    </row>
    <row r="398" spans="1:47" ht="15.75" customHeight="1">
      <c r="A398" s="577">
        <v>44362</v>
      </c>
      <c r="B398" s="578" t="s">
        <v>6485</v>
      </c>
      <c r="C398" s="405" t="s">
        <v>2921</v>
      </c>
      <c r="D398" s="563" t="s">
        <v>6341</v>
      </c>
      <c r="E398" s="575">
        <v>15000</v>
      </c>
      <c r="F398" s="563" t="s">
        <v>1323</v>
      </c>
      <c r="G398" s="573" t="s">
        <v>19</v>
      </c>
      <c r="H398" s="573" t="s">
        <v>34</v>
      </c>
      <c r="I398" s="573" t="s">
        <v>35</v>
      </c>
      <c r="J398" s="573">
        <v>44319</v>
      </c>
      <c r="K398" s="576" t="s">
        <v>3795</v>
      </c>
      <c r="L398" s="572"/>
      <c r="M398" s="572"/>
      <c r="N398" s="572"/>
      <c r="O398" s="572"/>
      <c r="P398" s="572"/>
      <c r="Q398" s="572"/>
      <c r="R398" s="572"/>
      <c r="S398" s="572"/>
      <c r="T398" s="572"/>
      <c r="U398" s="572"/>
      <c r="V398" s="572"/>
      <c r="W398" s="572"/>
      <c r="X398" s="572"/>
      <c r="Y398" s="572"/>
      <c r="Z398" s="572"/>
      <c r="AA398" s="572"/>
      <c r="AB398" s="572"/>
      <c r="AC398" s="572"/>
      <c r="AD398" s="572"/>
      <c r="AE398" s="572"/>
      <c r="AF398" s="572"/>
      <c r="AG398" s="572"/>
      <c r="AH398" s="572"/>
      <c r="AI398" s="572"/>
      <c r="AJ398" s="572"/>
      <c r="AK398" s="572"/>
      <c r="AL398" s="572"/>
      <c r="AM398" s="572"/>
      <c r="AN398" s="572"/>
      <c r="AO398" s="572"/>
      <c r="AP398" s="572"/>
      <c r="AQ398" s="572"/>
      <c r="AR398" s="572"/>
      <c r="AS398" s="572"/>
      <c r="AT398" s="572"/>
      <c r="AU398" s="572"/>
    </row>
    <row r="399" spans="1:47" ht="15.75" customHeight="1">
      <c r="A399" s="577">
        <v>44362</v>
      </c>
      <c r="B399" s="578" t="s">
        <v>6486</v>
      </c>
      <c r="C399" s="405" t="s">
        <v>3785</v>
      </c>
      <c r="D399" s="563" t="s">
        <v>6341</v>
      </c>
      <c r="E399" s="575">
        <v>15000</v>
      </c>
      <c r="F399" s="563" t="s">
        <v>4955</v>
      </c>
      <c r="G399" s="563" t="s">
        <v>64</v>
      </c>
      <c r="H399" s="563" t="s">
        <v>20</v>
      </c>
      <c r="I399" s="563" t="s">
        <v>3634</v>
      </c>
      <c r="J399" s="573">
        <v>44090</v>
      </c>
      <c r="K399" s="579" t="s">
        <v>3805</v>
      </c>
      <c r="L399" s="572"/>
      <c r="M399" s="572"/>
      <c r="N399" s="572"/>
      <c r="O399" s="572"/>
      <c r="P399" s="572"/>
      <c r="Q399" s="572"/>
      <c r="R399" s="572"/>
      <c r="S399" s="572"/>
      <c r="T399" s="572"/>
      <c r="U399" s="572"/>
      <c r="V399" s="572"/>
      <c r="W399" s="572"/>
      <c r="X399" s="572"/>
      <c r="Y399" s="572"/>
      <c r="Z399" s="572"/>
      <c r="AA399" s="572"/>
      <c r="AB399" s="572"/>
      <c r="AC399" s="572"/>
      <c r="AD399" s="572"/>
      <c r="AE399" s="572"/>
      <c r="AF399" s="572"/>
      <c r="AG399" s="572"/>
      <c r="AH399" s="572"/>
      <c r="AI399" s="572"/>
      <c r="AJ399" s="572"/>
      <c r="AK399" s="572"/>
      <c r="AL399" s="572"/>
      <c r="AM399" s="572"/>
      <c r="AN399" s="572"/>
      <c r="AO399" s="572"/>
      <c r="AP399" s="572"/>
      <c r="AQ399" s="572"/>
      <c r="AR399" s="572"/>
      <c r="AS399" s="572"/>
      <c r="AT399" s="572"/>
      <c r="AU399" s="572"/>
    </row>
    <row r="400" spans="1:47" ht="15.75" customHeight="1">
      <c r="A400" s="577">
        <v>44363</v>
      </c>
      <c r="B400" s="578" t="s">
        <v>6368</v>
      </c>
      <c r="C400" s="405" t="s">
        <v>2921</v>
      </c>
      <c r="D400" s="563" t="s">
        <v>6341</v>
      </c>
      <c r="E400" s="575">
        <v>40000</v>
      </c>
      <c r="F400" s="563" t="s">
        <v>3349</v>
      </c>
      <c r="G400" s="573" t="s">
        <v>2923</v>
      </c>
      <c r="H400" s="573" t="s">
        <v>20</v>
      </c>
      <c r="I400" s="573" t="s">
        <v>2924</v>
      </c>
      <c r="J400" s="573">
        <v>43564</v>
      </c>
      <c r="K400" s="576" t="s">
        <v>3809</v>
      </c>
      <c r="L400" s="572"/>
      <c r="M400" s="572"/>
      <c r="N400" s="572"/>
      <c r="O400" s="572"/>
      <c r="P400" s="572"/>
      <c r="Q400" s="572"/>
      <c r="R400" s="572"/>
      <c r="S400" s="572"/>
      <c r="T400" s="572"/>
      <c r="U400" s="572"/>
      <c r="V400" s="572"/>
      <c r="W400" s="572"/>
      <c r="X400" s="572"/>
      <c r="Y400" s="572"/>
      <c r="Z400" s="572"/>
      <c r="AA400" s="572"/>
      <c r="AB400" s="572"/>
      <c r="AC400" s="572"/>
      <c r="AD400" s="572"/>
      <c r="AE400" s="572"/>
      <c r="AF400" s="572"/>
      <c r="AG400" s="572"/>
      <c r="AH400" s="572"/>
      <c r="AI400" s="572"/>
      <c r="AJ400" s="572"/>
      <c r="AK400" s="572"/>
      <c r="AL400" s="572"/>
      <c r="AM400" s="572"/>
      <c r="AN400" s="572"/>
      <c r="AO400" s="572"/>
      <c r="AP400" s="572"/>
      <c r="AQ400" s="572"/>
      <c r="AR400" s="572"/>
      <c r="AS400" s="572"/>
      <c r="AT400" s="572"/>
      <c r="AU400" s="572"/>
    </row>
    <row r="401" spans="1:47" ht="15.75" customHeight="1">
      <c r="A401" s="577">
        <v>44364</v>
      </c>
      <c r="B401" s="578" t="s">
        <v>6473</v>
      </c>
      <c r="C401" s="405" t="s">
        <v>2921</v>
      </c>
      <c r="D401" s="563" t="s">
        <v>6341</v>
      </c>
      <c r="E401" s="575">
        <v>11500</v>
      </c>
      <c r="F401" s="563" t="s">
        <v>3332</v>
      </c>
      <c r="G401" s="573" t="s">
        <v>19</v>
      </c>
      <c r="H401" s="573" t="s">
        <v>34</v>
      </c>
      <c r="I401" s="573" t="s">
        <v>262</v>
      </c>
      <c r="J401" s="573">
        <v>44322</v>
      </c>
      <c r="K401" s="576" t="s">
        <v>3795</v>
      </c>
      <c r="L401" s="572"/>
      <c r="M401" s="572"/>
      <c r="N401" s="572"/>
      <c r="O401" s="572"/>
      <c r="P401" s="572"/>
      <c r="Q401" s="572"/>
      <c r="R401" s="572"/>
      <c r="S401" s="572"/>
      <c r="T401" s="572"/>
      <c r="U401" s="572"/>
      <c r="V401" s="572"/>
      <c r="W401" s="572"/>
      <c r="X401" s="572"/>
      <c r="Y401" s="572"/>
      <c r="Z401" s="572"/>
      <c r="AA401" s="572"/>
      <c r="AB401" s="572"/>
      <c r="AC401" s="572"/>
      <c r="AD401" s="572"/>
      <c r="AE401" s="572"/>
      <c r="AF401" s="572"/>
      <c r="AG401" s="572"/>
      <c r="AH401" s="572"/>
      <c r="AI401" s="572"/>
      <c r="AJ401" s="572"/>
      <c r="AK401" s="572"/>
      <c r="AL401" s="572"/>
      <c r="AM401" s="572"/>
      <c r="AN401" s="572"/>
      <c r="AO401" s="572"/>
      <c r="AP401" s="572"/>
      <c r="AQ401" s="572"/>
      <c r="AR401" s="572"/>
      <c r="AS401" s="572"/>
      <c r="AT401" s="572"/>
      <c r="AU401" s="572"/>
    </row>
    <row r="402" spans="1:47" ht="15.75" customHeight="1">
      <c r="A402" s="577">
        <v>44365</v>
      </c>
      <c r="B402" s="578" t="s">
        <v>6472</v>
      </c>
      <c r="C402" s="405" t="s">
        <v>2921</v>
      </c>
      <c r="D402" s="563" t="s">
        <v>6341</v>
      </c>
      <c r="E402" s="575">
        <v>100000</v>
      </c>
      <c r="F402" s="563" t="s">
        <v>2993</v>
      </c>
      <c r="G402" s="573" t="s">
        <v>19</v>
      </c>
      <c r="H402" s="573" t="s">
        <v>34</v>
      </c>
      <c r="I402" s="573" t="s">
        <v>262</v>
      </c>
      <c r="J402" s="573">
        <v>44295</v>
      </c>
      <c r="K402" s="576" t="s">
        <v>3789</v>
      </c>
      <c r="L402" s="572"/>
      <c r="M402" s="572"/>
      <c r="N402" s="572"/>
      <c r="O402" s="572"/>
      <c r="P402" s="572"/>
      <c r="Q402" s="572"/>
      <c r="R402" s="572"/>
      <c r="S402" s="572"/>
      <c r="T402" s="572"/>
      <c r="U402" s="572"/>
      <c r="V402" s="572"/>
      <c r="W402" s="572"/>
      <c r="X402" s="572"/>
      <c r="Y402" s="572"/>
      <c r="Z402" s="572"/>
      <c r="AA402" s="572"/>
      <c r="AB402" s="572"/>
      <c r="AC402" s="572"/>
      <c r="AD402" s="572"/>
      <c r="AE402" s="572"/>
      <c r="AF402" s="572"/>
      <c r="AG402" s="572"/>
      <c r="AH402" s="572"/>
      <c r="AI402" s="572"/>
      <c r="AJ402" s="572"/>
      <c r="AK402" s="572"/>
      <c r="AL402" s="572"/>
      <c r="AM402" s="572"/>
      <c r="AN402" s="572"/>
      <c r="AO402" s="572"/>
      <c r="AP402" s="572"/>
      <c r="AQ402" s="572"/>
      <c r="AR402" s="572"/>
      <c r="AS402" s="572"/>
      <c r="AT402" s="572"/>
      <c r="AU402" s="572"/>
    </row>
    <row r="403" spans="1:47" ht="15.75" customHeight="1">
      <c r="A403" s="577">
        <v>44368</v>
      </c>
      <c r="B403" s="578" t="s">
        <v>6363</v>
      </c>
      <c r="C403" s="405" t="s">
        <v>2921</v>
      </c>
      <c r="D403" s="563" t="s">
        <v>6341</v>
      </c>
      <c r="E403" s="575">
        <v>100000</v>
      </c>
      <c r="F403" s="563" t="s">
        <v>3445</v>
      </c>
      <c r="G403" s="573" t="s">
        <v>2923</v>
      </c>
      <c r="H403" s="573" t="s">
        <v>20</v>
      </c>
      <c r="I403" s="573" t="s">
        <v>2924</v>
      </c>
      <c r="J403" s="573">
        <v>43894</v>
      </c>
      <c r="K403" s="576" t="s">
        <v>3805</v>
      </c>
      <c r="L403" s="572"/>
      <c r="M403" s="572"/>
      <c r="N403" s="572"/>
      <c r="O403" s="572"/>
      <c r="P403" s="572"/>
      <c r="Q403" s="572"/>
      <c r="R403" s="572"/>
      <c r="S403" s="572"/>
      <c r="T403" s="572"/>
      <c r="U403" s="572"/>
      <c r="V403" s="572"/>
      <c r="W403" s="572"/>
      <c r="X403" s="572"/>
      <c r="Y403" s="572"/>
      <c r="Z403" s="572"/>
      <c r="AA403" s="572"/>
      <c r="AB403" s="572"/>
      <c r="AC403" s="572"/>
      <c r="AD403" s="572"/>
      <c r="AE403" s="572"/>
      <c r="AF403" s="572"/>
      <c r="AG403" s="572"/>
      <c r="AH403" s="572"/>
      <c r="AI403" s="572"/>
      <c r="AJ403" s="572"/>
      <c r="AK403" s="572"/>
      <c r="AL403" s="572"/>
      <c r="AM403" s="572"/>
      <c r="AN403" s="572"/>
      <c r="AO403" s="572"/>
      <c r="AP403" s="572"/>
      <c r="AQ403" s="572"/>
      <c r="AR403" s="572"/>
      <c r="AS403" s="572"/>
      <c r="AT403" s="572"/>
      <c r="AU403" s="572"/>
    </row>
    <row r="404" spans="1:47" ht="15.75" customHeight="1">
      <c r="A404" s="577">
        <v>44368</v>
      </c>
      <c r="B404" s="578" t="s">
        <v>6487</v>
      </c>
      <c r="C404" s="405" t="s">
        <v>3785</v>
      </c>
      <c r="D404" s="563" t="s">
        <v>928</v>
      </c>
      <c r="E404" s="575">
        <v>7000</v>
      </c>
      <c r="F404" s="563" t="s">
        <v>4238</v>
      </c>
      <c r="G404" s="563" t="s">
        <v>19</v>
      </c>
      <c r="H404" s="563" t="s">
        <v>20</v>
      </c>
      <c r="I404" s="563" t="s">
        <v>3793</v>
      </c>
      <c r="J404" s="573">
        <v>44075</v>
      </c>
      <c r="K404" s="579" t="s">
        <v>3795</v>
      </c>
      <c r="L404" s="572"/>
      <c r="M404" s="572"/>
      <c r="N404" s="572"/>
      <c r="O404" s="572"/>
      <c r="P404" s="572"/>
      <c r="Q404" s="572"/>
      <c r="R404" s="572"/>
      <c r="S404" s="572"/>
      <c r="T404" s="572"/>
      <c r="U404" s="572"/>
      <c r="V404" s="572"/>
      <c r="W404" s="572"/>
      <c r="X404" s="572"/>
      <c r="Y404" s="572"/>
      <c r="Z404" s="572"/>
      <c r="AA404" s="572"/>
      <c r="AB404" s="572"/>
      <c r="AC404" s="572"/>
      <c r="AD404" s="572"/>
      <c r="AE404" s="572"/>
      <c r="AF404" s="572"/>
      <c r="AG404" s="572"/>
      <c r="AH404" s="572"/>
      <c r="AI404" s="572"/>
      <c r="AJ404" s="572"/>
      <c r="AK404" s="572"/>
      <c r="AL404" s="572"/>
      <c r="AM404" s="572"/>
      <c r="AN404" s="572"/>
      <c r="AO404" s="572"/>
      <c r="AP404" s="572"/>
      <c r="AQ404" s="572"/>
      <c r="AR404" s="572"/>
      <c r="AS404" s="572"/>
      <c r="AT404" s="572"/>
      <c r="AU404" s="572"/>
    </row>
    <row r="405" spans="1:47" ht="15.75" customHeight="1">
      <c r="A405" s="573">
        <v>44369</v>
      </c>
      <c r="B405" s="574" t="s">
        <v>6358</v>
      </c>
      <c r="C405" s="563" t="s">
        <v>3785</v>
      </c>
      <c r="D405" s="563" t="s">
        <v>3110</v>
      </c>
      <c r="E405" s="575">
        <v>0</v>
      </c>
      <c r="F405" s="563" t="s">
        <v>4679</v>
      </c>
      <c r="G405" s="563" t="s">
        <v>2923</v>
      </c>
      <c r="H405" s="563" t="s">
        <v>20</v>
      </c>
      <c r="I405" s="563" t="s">
        <v>2923</v>
      </c>
      <c r="J405" s="573">
        <v>43872</v>
      </c>
      <c r="K405" s="579" t="s">
        <v>3795</v>
      </c>
      <c r="L405" s="572"/>
      <c r="M405" s="572"/>
      <c r="N405" s="572"/>
      <c r="O405" s="572"/>
      <c r="P405" s="572"/>
      <c r="Q405" s="572"/>
      <c r="R405" s="572"/>
      <c r="S405" s="572"/>
      <c r="T405" s="572"/>
      <c r="U405" s="572"/>
      <c r="V405" s="572"/>
      <c r="W405" s="572"/>
      <c r="X405" s="572"/>
      <c r="Y405" s="572"/>
      <c r="Z405" s="572"/>
      <c r="AA405" s="572"/>
      <c r="AB405" s="572"/>
      <c r="AC405" s="572"/>
      <c r="AD405" s="572"/>
      <c r="AE405" s="572"/>
      <c r="AF405" s="572"/>
      <c r="AG405" s="572"/>
      <c r="AH405" s="572"/>
      <c r="AI405" s="572"/>
      <c r="AJ405" s="572"/>
      <c r="AK405" s="572"/>
      <c r="AL405" s="572"/>
      <c r="AM405" s="572"/>
      <c r="AN405" s="572"/>
      <c r="AO405" s="572"/>
      <c r="AP405" s="572"/>
      <c r="AQ405" s="572"/>
      <c r="AR405" s="572"/>
      <c r="AS405" s="572"/>
      <c r="AT405" s="572"/>
      <c r="AU405" s="572"/>
    </row>
    <row r="406" spans="1:47" ht="15.75" customHeight="1">
      <c r="A406" s="577">
        <v>44369</v>
      </c>
      <c r="B406" s="578" t="s">
        <v>6475</v>
      </c>
      <c r="C406" s="405" t="s">
        <v>2921</v>
      </c>
      <c r="D406" s="563" t="s">
        <v>6341</v>
      </c>
      <c r="E406" s="575">
        <v>30000</v>
      </c>
      <c r="F406" s="563" t="s">
        <v>3465</v>
      </c>
      <c r="G406" s="573" t="s">
        <v>19</v>
      </c>
      <c r="H406" s="573" t="s">
        <v>34</v>
      </c>
      <c r="I406" s="573" t="s">
        <v>262</v>
      </c>
      <c r="J406" s="573">
        <v>44319</v>
      </c>
      <c r="K406" s="576" t="s">
        <v>3795</v>
      </c>
      <c r="L406" s="572"/>
      <c r="M406" s="572"/>
      <c r="N406" s="572"/>
      <c r="O406" s="572"/>
      <c r="P406" s="572"/>
      <c r="Q406" s="572"/>
      <c r="R406" s="572"/>
      <c r="S406" s="572"/>
      <c r="T406" s="572"/>
      <c r="U406" s="572"/>
      <c r="V406" s="572"/>
      <c r="W406" s="572"/>
      <c r="X406" s="572"/>
      <c r="Y406" s="572"/>
      <c r="Z406" s="572"/>
      <c r="AA406" s="572"/>
      <c r="AB406" s="572"/>
      <c r="AC406" s="572"/>
      <c r="AD406" s="572"/>
      <c r="AE406" s="572"/>
      <c r="AF406" s="572"/>
      <c r="AG406" s="572"/>
      <c r="AH406" s="572"/>
      <c r="AI406" s="572"/>
      <c r="AJ406" s="572"/>
      <c r="AK406" s="572"/>
      <c r="AL406" s="572"/>
      <c r="AM406" s="572"/>
      <c r="AN406" s="572"/>
      <c r="AO406" s="572"/>
      <c r="AP406" s="572"/>
      <c r="AQ406" s="572"/>
      <c r="AR406" s="572"/>
      <c r="AS406" s="572"/>
      <c r="AT406" s="572"/>
      <c r="AU406" s="572"/>
    </row>
    <row r="407" spans="1:47" ht="15.75" customHeight="1">
      <c r="A407" s="577">
        <v>44370</v>
      </c>
      <c r="B407" s="578" t="s">
        <v>6488</v>
      </c>
      <c r="C407" s="405" t="s">
        <v>3785</v>
      </c>
      <c r="D407" s="563" t="s">
        <v>6341</v>
      </c>
      <c r="E407" s="575">
        <v>10000</v>
      </c>
      <c r="F407" s="563" t="s">
        <v>1184</v>
      </c>
      <c r="G407" s="563" t="s">
        <v>64</v>
      </c>
      <c r="H407" s="563" t="s">
        <v>20</v>
      </c>
      <c r="I407" s="563" t="s">
        <v>4104</v>
      </c>
      <c r="J407" s="573">
        <v>44145</v>
      </c>
      <c r="K407" s="579" t="s">
        <v>3789</v>
      </c>
      <c r="L407" s="572"/>
      <c r="M407" s="572"/>
      <c r="N407" s="572"/>
      <c r="O407" s="572"/>
      <c r="P407" s="572"/>
      <c r="Q407" s="572"/>
      <c r="R407" s="572"/>
      <c r="S407" s="572"/>
      <c r="T407" s="572"/>
      <c r="U407" s="572"/>
      <c r="V407" s="572"/>
      <c r="W407" s="572"/>
      <c r="X407" s="572"/>
      <c r="Y407" s="572"/>
      <c r="Z407" s="572"/>
      <c r="AA407" s="572"/>
      <c r="AB407" s="572"/>
      <c r="AC407" s="572"/>
      <c r="AD407" s="572"/>
      <c r="AE407" s="572"/>
      <c r="AF407" s="572"/>
      <c r="AG407" s="572"/>
      <c r="AH407" s="572"/>
      <c r="AI407" s="572"/>
      <c r="AJ407" s="572"/>
      <c r="AK407" s="572"/>
      <c r="AL407" s="572"/>
      <c r="AM407" s="572"/>
      <c r="AN407" s="572"/>
      <c r="AO407" s="572"/>
      <c r="AP407" s="572"/>
      <c r="AQ407" s="572"/>
      <c r="AR407" s="572"/>
      <c r="AS407" s="572"/>
      <c r="AT407" s="572"/>
      <c r="AU407" s="572"/>
    </row>
    <row r="408" spans="1:47" ht="15.75" customHeight="1">
      <c r="A408" s="577">
        <v>44371</v>
      </c>
      <c r="B408" s="578" t="s">
        <v>6489</v>
      </c>
      <c r="C408" s="405" t="s">
        <v>3785</v>
      </c>
      <c r="D408" s="563" t="s">
        <v>6341</v>
      </c>
      <c r="E408" s="575">
        <v>150000</v>
      </c>
      <c r="F408" s="563" t="s">
        <v>4982</v>
      </c>
      <c r="G408" s="563" t="s">
        <v>19</v>
      </c>
      <c r="H408" s="563" t="s">
        <v>49</v>
      </c>
      <c r="I408" s="563" t="s">
        <v>328</v>
      </c>
      <c r="J408" s="573">
        <v>44349</v>
      </c>
      <c r="K408" s="579" t="s">
        <v>4010</v>
      </c>
      <c r="L408" s="572"/>
      <c r="M408" s="572"/>
      <c r="N408" s="572"/>
      <c r="O408" s="572"/>
      <c r="P408" s="572"/>
      <c r="Q408" s="572"/>
      <c r="R408" s="572"/>
      <c r="S408" s="572"/>
      <c r="T408" s="572"/>
      <c r="U408" s="572"/>
      <c r="V408" s="572"/>
      <c r="W408" s="572"/>
      <c r="X408" s="572"/>
      <c r="Y408" s="572"/>
      <c r="Z408" s="572"/>
      <c r="AA408" s="572"/>
      <c r="AB408" s="572"/>
      <c r="AC408" s="572"/>
      <c r="AD408" s="572"/>
      <c r="AE408" s="572"/>
      <c r="AF408" s="572"/>
      <c r="AG408" s="572"/>
      <c r="AH408" s="572"/>
      <c r="AI408" s="572"/>
      <c r="AJ408" s="572"/>
      <c r="AK408" s="572"/>
      <c r="AL408" s="572"/>
      <c r="AM408" s="572"/>
      <c r="AN408" s="572"/>
      <c r="AO408" s="572"/>
      <c r="AP408" s="572"/>
      <c r="AQ408" s="572"/>
      <c r="AR408" s="572"/>
      <c r="AS408" s="572"/>
      <c r="AT408" s="572"/>
      <c r="AU408" s="572"/>
    </row>
    <row r="409" spans="1:47" ht="15.75" customHeight="1">
      <c r="A409" s="577">
        <v>44372</v>
      </c>
      <c r="B409" s="578" t="s">
        <v>6349</v>
      </c>
      <c r="C409" s="405" t="s">
        <v>2921</v>
      </c>
      <c r="D409" s="563" t="s">
        <v>6341</v>
      </c>
      <c r="E409" s="575">
        <v>200000</v>
      </c>
      <c r="F409" s="563" t="s">
        <v>3228</v>
      </c>
      <c r="G409" s="573" t="s">
        <v>2923</v>
      </c>
      <c r="H409" s="573" t="s">
        <v>20</v>
      </c>
      <c r="I409" s="573" t="s">
        <v>2924</v>
      </c>
      <c r="J409" s="573">
        <v>43605</v>
      </c>
      <c r="K409" s="576" t="s">
        <v>3805</v>
      </c>
      <c r="L409" s="572"/>
      <c r="M409" s="572"/>
      <c r="N409" s="572"/>
      <c r="O409" s="572"/>
      <c r="P409" s="572"/>
      <c r="Q409" s="572"/>
      <c r="R409" s="572"/>
      <c r="S409" s="572"/>
      <c r="T409" s="572"/>
      <c r="U409" s="572"/>
      <c r="V409" s="572"/>
      <c r="W409" s="572"/>
      <c r="X409" s="572"/>
      <c r="Y409" s="572"/>
      <c r="Z409" s="572"/>
      <c r="AA409" s="572"/>
      <c r="AB409" s="572"/>
      <c r="AC409" s="572"/>
      <c r="AD409" s="572"/>
      <c r="AE409" s="572"/>
      <c r="AF409" s="572"/>
      <c r="AG409" s="572"/>
      <c r="AH409" s="572"/>
      <c r="AI409" s="572"/>
      <c r="AJ409" s="572"/>
      <c r="AK409" s="572"/>
      <c r="AL409" s="572"/>
      <c r="AM409" s="572"/>
      <c r="AN409" s="572"/>
      <c r="AO409" s="572"/>
      <c r="AP409" s="572"/>
      <c r="AQ409" s="572"/>
      <c r="AR409" s="572"/>
      <c r="AS409" s="572"/>
      <c r="AT409" s="572"/>
      <c r="AU409" s="572"/>
    </row>
    <row r="410" spans="1:47" ht="15.75" customHeight="1">
      <c r="A410" s="577">
        <v>44372</v>
      </c>
      <c r="B410" s="578" t="s">
        <v>6459</v>
      </c>
      <c r="C410" s="405" t="s">
        <v>2921</v>
      </c>
      <c r="D410" s="563" t="s">
        <v>6341</v>
      </c>
      <c r="E410" s="575">
        <v>60000</v>
      </c>
      <c r="F410" s="563" t="s">
        <v>3447</v>
      </c>
      <c r="G410" s="573" t="s">
        <v>19</v>
      </c>
      <c r="H410" s="573" t="s">
        <v>34</v>
      </c>
      <c r="I410" s="573" t="s">
        <v>262</v>
      </c>
      <c r="J410" s="573">
        <v>44279</v>
      </c>
      <c r="K410" s="576" t="s">
        <v>3795</v>
      </c>
      <c r="L410" s="572"/>
      <c r="M410" s="572"/>
      <c r="N410" s="572"/>
      <c r="O410" s="572"/>
      <c r="P410" s="572"/>
      <c r="Q410" s="572"/>
      <c r="R410" s="572"/>
      <c r="S410" s="572"/>
      <c r="T410" s="572"/>
      <c r="U410" s="572"/>
      <c r="V410" s="572"/>
      <c r="W410" s="572"/>
      <c r="X410" s="572"/>
      <c r="Y410" s="572"/>
      <c r="Z410" s="572"/>
      <c r="AA410" s="572"/>
      <c r="AB410" s="572"/>
      <c r="AC410" s="572"/>
      <c r="AD410" s="572"/>
      <c r="AE410" s="572"/>
      <c r="AF410" s="572"/>
      <c r="AG410" s="572"/>
      <c r="AH410" s="572"/>
      <c r="AI410" s="572"/>
      <c r="AJ410" s="572"/>
      <c r="AK410" s="572"/>
      <c r="AL410" s="572"/>
      <c r="AM410" s="572"/>
      <c r="AN410" s="572"/>
      <c r="AO410" s="572"/>
      <c r="AP410" s="572"/>
      <c r="AQ410" s="572"/>
      <c r="AR410" s="572"/>
      <c r="AS410" s="572"/>
      <c r="AT410" s="572"/>
      <c r="AU410" s="572"/>
    </row>
    <row r="411" spans="1:47" ht="15.75" customHeight="1">
      <c r="A411" s="577">
        <v>44372</v>
      </c>
      <c r="B411" s="578" t="s">
        <v>6490</v>
      </c>
      <c r="C411" s="405" t="s">
        <v>3785</v>
      </c>
      <c r="D411" s="563" t="s">
        <v>6341</v>
      </c>
      <c r="E411" s="575">
        <v>30000</v>
      </c>
      <c r="F411" s="563" t="s">
        <v>3871</v>
      </c>
      <c r="G411" s="563" t="s">
        <v>64</v>
      </c>
      <c r="H411" s="563" t="s">
        <v>20</v>
      </c>
      <c r="I411" s="556" t="s">
        <v>3872</v>
      </c>
      <c r="J411" s="573">
        <v>44180</v>
      </c>
      <c r="K411" s="579" t="s">
        <v>3805</v>
      </c>
      <c r="L411" s="572"/>
      <c r="M411" s="572"/>
      <c r="N411" s="572"/>
      <c r="O411" s="572"/>
      <c r="P411" s="572"/>
      <c r="Q411" s="572"/>
      <c r="R411" s="572"/>
      <c r="S411" s="572"/>
      <c r="T411" s="572"/>
      <c r="U411" s="572"/>
      <c r="V411" s="572"/>
      <c r="W411" s="572"/>
      <c r="X411" s="572"/>
      <c r="Y411" s="572"/>
      <c r="Z411" s="572"/>
      <c r="AA411" s="572"/>
      <c r="AB411" s="572"/>
      <c r="AC411" s="572"/>
      <c r="AD411" s="572"/>
      <c r="AE411" s="572"/>
      <c r="AF411" s="572"/>
      <c r="AG411" s="572"/>
      <c r="AH411" s="572"/>
      <c r="AI411" s="572"/>
      <c r="AJ411" s="572"/>
      <c r="AK411" s="572"/>
      <c r="AL411" s="572"/>
      <c r="AM411" s="572"/>
      <c r="AN411" s="572"/>
      <c r="AO411" s="572"/>
      <c r="AP411" s="572"/>
      <c r="AQ411" s="572"/>
      <c r="AR411" s="572"/>
      <c r="AS411" s="572"/>
      <c r="AT411" s="572"/>
      <c r="AU411" s="572"/>
    </row>
    <row r="412" spans="1:47" ht="15.75" customHeight="1">
      <c r="A412" s="573">
        <v>44375</v>
      </c>
      <c r="B412" s="574" t="s">
        <v>6491</v>
      </c>
      <c r="C412" s="563" t="s">
        <v>2921</v>
      </c>
      <c r="D412" s="563" t="s">
        <v>3110</v>
      </c>
      <c r="E412" s="575">
        <v>373842.57</v>
      </c>
      <c r="F412" s="563" t="s">
        <v>3136</v>
      </c>
      <c r="G412" s="573" t="s">
        <v>2989</v>
      </c>
      <c r="H412" s="573" t="s">
        <v>20</v>
      </c>
      <c r="I412" s="591" t="s">
        <v>2989</v>
      </c>
      <c r="J412" s="573">
        <v>43829</v>
      </c>
      <c r="K412" s="576" t="s">
        <v>3809</v>
      </c>
      <c r="L412" s="572"/>
      <c r="M412" s="572"/>
      <c r="N412" s="572"/>
      <c r="O412" s="572"/>
      <c r="P412" s="572"/>
      <c r="Q412" s="572"/>
      <c r="R412" s="572"/>
      <c r="S412" s="572"/>
      <c r="T412" s="572"/>
      <c r="U412" s="572"/>
      <c r="V412" s="572"/>
      <c r="W412" s="572"/>
      <c r="X412" s="572"/>
      <c r="Y412" s="572"/>
      <c r="Z412" s="572"/>
      <c r="AA412" s="572"/>
      <c r="AB412" s="572"/>
      <c r="AC412" s="572"/>
      <c r="AD412" s="572"/>
      <c r="AE412" s="572"/>
      <c r="AF412" s="572"/>
      <c r="AG412" s="572"/>
      <c r="AH412" s="572"/>
      <c r="AI412" s="572"/>
      <c r="AJ412" s="572"/>
      <c r="AK412" s="572"/>
      <c r="AL412" s="572"/>
      <c r="AM412" s="572"/>
      <c r="AN412" s="572"/>
      <c r="AO412" s="572"/>
      <c r="AP412" s="572"/>
      <c r="AQ412" s="572"/>
      <c r="AR412" s="572"/>
      <c r="AS412" s="572"/>
      <c r="AT412" s="572"/>
      <c r="AU412" s="572"/>
    </row>
    <row r="413" spans="1:47" ht="15.75" customHeight="1">
      <c r="A413" s="577">
        <v>44375</v>
      </c>
      <c r="B413" s="578" t="s">
        <v>6402</v>
      </c>
      <c r="C413" s="405" t="s">
        <v>2921</v>
      </c>
      <c r="D413" s="563" t="s">
        <v>6341</v>
      </c>
      <c r="E413" s="575">
        <v>8000</v>
      </c>
      <c r="F413" s="563" t="s">
        <v>3362</v>
      </c>
      <c r="G413" s="573" t="s">
        <v>2923</v>
      </c>
      <c r="H413" s="573" t="s">
        <v>20</v>
      </c>
      <c r="I413" s="573" t="s">
        <v>2924</v>
      </c>
      <c r="J413" s="573">
        <v>43873</v>
      </c>
      <c r="K413" s="576" t="s">
        <v>3795</v>
      </c>
      <c r="L413" s="572"/>
      <c r="M413" s="572"/>
      <c r="N413" s="572"/>
      <c r="O413" s="572"/>
      <c r="P413" s="572"/>
      <c r="Q413" s="572"/>
      <c r="R413" s="572"/>
      <c r="S413" s="572"/>
      <c r="T413" s="572"/>
      <c r="U413" s="572"/>
      <c r="V413" s="572"/>
      <c r="W413" s="572"/>
      <c r="X413" s="572"/>
      <c r="Y413" s="572"/>
      <c r="Z413" s="572"/>
      <c r="AA413" s="572"/>
      <c r="AB413" s="572"/>
      <c r="AC413" s="572"/>
      <c r="AD413" s="572"/>
      <c r="AE413" s="572"/>
      <c r="AF413" s="572"/>
      <c r="AG413" s="572"/>
      <c r="AH413" s="572"/>
      <c r="AI413" s="572"/>
      <c r="AJ413" s="572"/>
      <c r="AK413" s="572"/>
      <c r="AL413" s="572"/>
      <c r="AM413" s="572"/>
      <c r="AN413" s="572"/>
      <c r="AO413" s="572"/>
      <c r="AP413" s="572"/>
      <c r="AQ413" s="572"/>
      <c r="AR413" s="572"/>
      <c r="AS413" s="572"/>
      <c r="AT413" s="572"/>
      <c r="AU413" s="572"/>
    </row>
    <row r="414" spans="1:47" ht="15.75" customHeight="1">
      <c r="A414" s="577">
        <v>44375</v>
      </c>
      <c r="B414" s="578" t="s">
        <v>6347</v>
      </c>
      <c r="C414" s="405" t="s">
        <v>2921</v>
      </c>
      <c r="D414" s="563" t="s">
        <v>6341</v>
      </c>
      <c r="E414" s="575">
        <v>504274.77</v>
      </c>
      <c r="F414" s="563" t="s">
        <v>3191</v>
      </c>
      <c r="G414" s="573" t="s">
        <v>2923</v>
      </c>
      <c r="H414" s="573" t="s">
        <v>20</v>
      </c>
      <c r="I414" s="573" t="s">
        <v>2924</v>
      </c>
      <c r="J414" s="573">
        <v>43703</v>
      </c>
      <c r="K414" s="576" t="s">
        <v>4188</v>
      </c>
      <c r="L414" s="572"/>
      <c r="M414" s="572"/>
      <c r="N414" s="572"/>
      <c r="O414" s="572"/>
      <c r="P414" s="572"/>
      <c r="Q414" s="572"/>
      <c r="R414" s="572"/>
      <c r="S414" s="572"/>
      <c r="T414" s="572"/>
      <c r="U414" s="572"/>
      <c r="V414" s="572"/>
      <c r="W414" s="572"/>
      <c r="X414" s="572"/>
      <c r="Y414" s="572"/>
      <c r="Z414" s="572"/>
      <c r="AA414" s="572"/>
      <c r="AB414" s="572"/>
      <c r="AC414" s="572"/>
      <c r="AD414" s="572"/>
      <c r="AE414" s="572"/>
      <c r="AF414" s="572"/>
      <c r="AG414" s="572"/>
      <c r="AH414" s="572"/>
      <c r="AI414" s="572"/>
      <c r="AJ414" s="572"/>
      <c r="AK414" s="572"/>
      <c r="AL414" s="572"/>
      <c r="AM414" s="572"/>
      <c r="AN414" s="572"/>
      <c r="AO414" s="572"/>
      <c r="AP414" s="572"/>
      <c r="AQ414" s="572"/>
      <c r="AR414" s="572"/>
      <c r="AS414" s="572"/>
      <c r="AT414" s="572"/>
      <c r="AU414" s="572"/>
    </row>
    <row r="415" spans="1:47" ht="15.75" customHeight="1">
      <c r="A415" s="577">
        <v>44375</v>
      </c>
      <c r="B415" s="578" t="s">
        <v>6347</v>
      </c>
      <c r="C415" s="405" t="s">
        <v>2921</v>
      </c>
      <c r="D415" s="563" t="s">
        <v>6341</v>
      </c>
      <c r="E415" s="575">
        <v>150000</v>
      </c>
      <c r="F415" s="563" t="s">
        <v>3191</v>
      </c>
      <c r="G415" s="573" t="s">
        <v>2923</v>
      </c>
      <c r="H415" s="573" t="s">
        <v>20</v>
      </c>
      <c r="I415" s="573" t="s">
        <v>2924</v>
      </c>
      <c r="J415" s="573">
        <v>43703</v>
      </c>
      <c r="K415" s="576" t="s">
        <v>4188</v>
      </c>
      <c r="L415" s="572"/>
      <c r="M415" s="572"/>
      <c r="N415" s="572"/>
      <c r="O415" s="572"/>
      <c r="P415" s="572"/>
      <c r="Q415" s="572"/>
      <c r="R415" s="572"/>
      <c r="S415" s="572"/>
      <c r="T415" s="572"/>
      <c r="U415" s="572"/>
      <c r="V415" s="572"/>
      <c r="W415" s="572"/>
      <c r="X415" s="572"/>
      <c r="Y415" s="572"/>
      <c r="Z415" s="572"/>
      <c r="AA415" s="572"/>
      <c r="AB415" s="572"/>
      <c r="AC415" s="572"/>
      <c r="AD415" s="572"/>
      <c r="AE415" s="572"/>
      <c r="AF415" s="572"/>
      <c r="AG415" s="572"/>
      <c r="AH415" s="572"/>
      <c r="AI415" s="572"/>
      <c r="AJ415" s="572"/>
      <c r="AK415" s="572"/>
      <c r="AL415" s="572"/>
      <c r="AM415" s="572"/>
      <c r="AN415" s="572"/>
      <c r="AO415" s="572"/>
      <c r="AP415" s="572"/>
      <c r="AQ415" s="572"/>
      <c r="AR415" s="572"/>
      <c r="AS415" s="572"/>
      <c r="AT415" s="572"/>
      <c r="AU415" s="572"/>
    </row>
    <row r="416" spans="1:47" ht="15.75" customHeight="1">
      <c r="A416" s="577">
        <v>44375</v>
      </c>
      <c r="B416" s="578" t="s">
        <v>6477</v>
      </c>
      <c r="C416" s="405" t="s">
        <v>2921</v>
      </c>
      <c r="D416" s="563" t="s">
        <v>6341</v>
      </c>
      <c r="E416" s="575">
        <v>399197.6</v>
      </c>
      <c r="F416" s="563" t="s">
        <v>1935</v>
      </c>
      <c r="G416" s="573" t="s">
        <v>19</v>
      </c>
      <c r="H416" s="573" t="s">
        <v>34</v>
      </c>
      <c r="I416" s="573" t="s">
        <v>35</v>
      </c>
      <c r="J416" s="573">
        <v>44322</v>
      </c>
      <c r="K416" s="576" t="s">
        <v>3795</v>
      </c>
      <c r="L416" s="572"/>
      <c r="M416" s="572"/>
      <c r="N416" s="572"/>
      <c r="O416" s="572"/>
      <c r="P416" s="572"/>
      <c r="Q416" s="572"/>
      <c r="R416" s="572"/>
      <c r="S416" s="572"/>
      <c r="T416" s="572"/>
      <c r="U416" s="572"/>
      <c r="V416" s="572"/>
      <c r="W416" s="572"/>
      <c r="X416" s="572"/>
      <c r="Y416" s="572"/>
      <c r="Z416" s="572"/>
      <c r="AA416" s="572"/>
      <c r="AB416" s="572"/>
      <c r="AC416" s="572"/>
      <c r="AD416" s="572"/>
      <c r="AE416" s="572"/>
      <c r="AF416" s="572"/>
      <c r="AG416" s="572"/>
      <c r="AH416" s="572"/>
      <c r="AI416" s="572"/>
      <c r="AJ416" s="572"/>
      <c r="AK416" s="572"/>
      <c r="AL416" s="572"/>
      <c r="AM416" s="572"/>
      <c r="AN416" s="572"/>
      <c r="AO416" s="572"/>
      <c r="AP416" s="572"/>
      <c r="AQ416" s="572"/>
      <c r="AR416" s="572"/>
      <c r="AS416" s="572"/>
      <c r="AT416" s="572"/>
      <c r="AU416" s="572"/>
    </row>
    <row r="417" spans="1:47" ht="15.75" customHeight="1">
      <c r="A417" s="577">
        <v>44376</v>
      </c>
      <c r="B417" s="578" t="s">
        <v>6492</v>
      </c>
      <c r="C417" s="405" t="s">
        <v>2921</v>
      </c>
      <c r="D417" s="563" t="s">
        <v>6341</v>
      </c>
      <c r="E417" s="575">
        <v>45000</v>
      </c>
      <c r="F417" s="563" t="s">
        <v>3219</v>
      </c>
      <c r="G417" s="573" t="s">
        <v>19</v>
      </c>
      <c r="H417" s="573" t="s">
        <v>34</v>
      </c>
      <c r="I417" s="573" t="s">
        <v>35</v>
      </c>
      <c r="J417" s="573">
        <v>44313</v>
      </c>
      <c r="K417" s="576" t="s">
        <v>3795</v>
      </c>
      <c r="L417" s="572"/>
      <c r="M417" s="572"/>
      <c r="N417" s="572"/>
      <c r="O417" s="572"/>
      <c r="P417" s="572"/>
      <c r="Q417" s="572"/>
      <c r="R417" s="572"/>
      <c r="S417" s="572"/>
      <c r="T417" s="572"/>
      <c r="U417" s="572"/>
      <c r="V417" s="572"/>
      <c r="W417" s="572"/>
      <c r="X417" s="572"/>
      <c r="Y417" s="572"/>
      <c r="Z417" s="572"/>
      <c r="AA417" s="572"/>
      <c r="AB417" s="572"/>
      <c r="AC417" s="572"/>
      <c r="AD417" s="572"/>
      <c r="AE417" s="572"/>
      <c r="AF417" s="572"/>
      <c r="AG417" s="572"/>
      <c r="AH417" s="572"/>
      <c r="AI417" s="572"/>
      <c r="AJ417" s="572"/>
      <c r="AK417" s="572"/>
      <c r="AL417" s="572"/>
      <c r="AM417" s="572"/>
      <c r="AN417" s="572"/>
      <c r="AO417" s="572"/>
      <c r="AP417" s="572"/>
      <c r="AQ417" s="572"/>
      <c r="AR417" s="572"/>
      <c r="AS417" s="572"/>
      <c r="AT417" s="572"/>
      <c r="AU417" s="572"/>
    </row>
    <row r="418" spans="1:47" ht="15.75" customHeight="1">
      <c r="A418" s="577">
        <v>44377</v>
      </c>
      <c r="B418" s="578" t="s">
        <v>6493</v>
      </c>
      <c r="C418" s="405" t="s">
        <v>2921</v>
      </c>
      <c r="D418" s="563" t="s">
        <v>6341</v>
      </c>
      <c r="E418" s="575">
        <v>40000</v>
      </c>
      <c r="F418" s="563" t="s">
        <v>1389</v>
      </c>
      <c r="G418" s="573" t="s">
        <v>19</v>
      </c>
      <c r="H418" s="573" t="s">
        <v>34</v>
      </c>
      <c r="I418" s="573" t="s">
        <v>35</v>
      </c>
      <c r="J418" s="573">
        <v>44280</v>
      </c>
      <c r="K418" s="576" t="s">
        <v>3802</v>
      </c>
      <c r="L418" s="572"/>
      <c r="M418" s="572"/>
      <c r="N418" s="572"/>
      <c r="O418" s="572"/>
      <c r="P418" s="572"/>
      <c r="Q418" s="572"/>
      <c r="R418" s="572"/>
      <c r="S418" s="572"/>
      <c r="T418" s="572"/>
      <c r="U418" s="572"/>
      <c r="V418" s="572"/>
      <c r="W418" s="572"/>
      <c r="X418" s="572"/>
      <c r="Y418" s="572"/>
      <c r="Z418" s="572"/>
      <c r="AA418" s="572"/>
      <c r="AB418" s="572"/>
      <c r="AC418" s="572"/>
      <c r="AD418" s="572"/>
      <c r="AE418" s="572"/>
      <c r="AF418" s="572"/>
      <c r="AG418" s="572"/>
      <c r="AH418" s="572"/>
      <c r="AI418" s="572"/>
      <c r="AJ418" s="572"/>
      <c r="AK418" s="572"/>
      <c r="AL418" s="572"/>
      <c r="AM418" s="572"/>
      <c r="AN418" s="572"/>
      <c r="AO418" s="572"/>
      <c r="AP418" s="572"/>
      <c r="AQ418" s="572"/>
      <c r="AR418" s="572"/>
      <c r="AS418" s="572"/>
      <c r="AT418" s="572"/>
      <c r="AU418" s="572"/>
    </row>
    <row r="419" spans="1:47" ht="15.75" customHeight="1">
      <c r="A419" s="577">
        <v>44377</v>
      </c>
      <c r="B419" s="578" t="s">
        <v>6455</v>
      </c>
      <c r="C419" s="405" t="s">
        <v>2921</v>
      </c>
      <c r="D419" s="563" t="s">
        <v>6341</v>
      </c>
      <c r="E419" s="575">
        <v>10000</v>
      </c>
      <c r="F419" s="563" t="s">
        <v>3141</v>
      </c>
      <c r="G419" s="573" t="s">
        <v>19</v>
      </c>
      <c r="H419" s="573" t="s">
        <v>34</v>
      </c>
      <c r="I419" s="573" t="s">
        <v>262</v>
      </c>
      <c r="J419" s="573">
        <v>44298</v>
      </c>
      <c r="K419" s="576" t="s">
        <v>3795</v>
      </c>
      <c r="L419" s="572"/>
      <c r="M419" s="572"/>
      <c r="N419" s="572"/>
      <c r="O419" s="572"/>
      <c r="P419" s="572"/>
      <c r="Q419" s="572"/>
      <c r="R419" s="572"/>
      <c r="S419" s="572"/>
      <c r="T419" s="572"/>
      <c r="U419" s="572"/>
      <c r="V419" s="572"/>
      <c r="W419" s="572"/>
      <c r="X419" s="572"/>
      <c r="Y419" s="572"/>
      <c r="Z419" s="572"/>
      <c r="AA419" s="572"/>
      <c r="AB419" s="572"/>
      <c r="AC419" s="572"/>
      <c r="AD419" s="572"/>
      <c r="AE419" s="572"/>
      <c r="AF419" s="572"/>
      <c r="AG419" s="572"/>
      <c r="AH419" s="572"/>
      <c r="AI419" s="572"/>
      <c r="AJ419" s="572"/>
      <c r="AK419" s="572"/>
      <c r="AL419" s="572"/>
      <c r="AM419" s="572"/>
      <c r="AN419" s="572"/>
      <c r="AO419" s="572"/>
      <c r="AP419" s="572"/>
      <c r="AQ419" s="572"/>
      <c r="AR419" s="572"/>
      <c r="AS419" s="572"/>
      <c r="AT419" s="572"/>
      <c r="AU419" s="572"/>
    </row>
    <row r="420" spans="1:47" ht="15.75" customHeight="1">
      <c r="A420" s="577">
        <v>44377</v>
      </c>
      <c r="B420" s="578" t="s">
        <v>6363</v>
      </c>
      <c r="C420" s="405" t="s">
        <v>2921</v>
      </c>
      <c r="D420" s="563" t="s">
        <v>6341</v>
      </c>
      <c r="E420" s="575">
        <v>62000</v>
      </c>
      <c r="F420" s="563" t="s">
        <v>3445</v>
      </c>
      <c r="G420" s="573" t="s">
        <v>2923</v>
      </c>
      <c r="H420" s="573" t="s">
        <v>20</v>
      </c>
      <c r="I420" s="573" t="s">
        <v>2924</v>
      </c>
      <c r="J420" s="573">
        <v>43894</v>
      </c>
      <c r="K420" s="576" t="s">
        <v>3805</v>
      </c>
      <c r="L420" s="572"/>
      <c r="M420" s="572"/>
      <c r="N420" s="572"/>
      <c r="O420" s="572"/>
      <c r="P420" s="572"/>
      <c r="Q420" s="572"/>
      <c r="R420" s="572"/>
      <c r="S420" s="572"/>
      <c r="T420" s="572"/>
      <c r="U420" s="572"/>
      <c r="V420" s="572"/>
      <c r="W420" s="572"/>
      <c r="X420" s="572"/>
      <c r="Y420" s="572"/>
      <c r="Z420" s="572"/>
      <c r="AA420" s="572"/>
      <c r="AB420" s="572"/>
      <c r="AC420" s="572"/>
      <c r="AD420" s="572"/>
      <c r="AE420" s="572"/>
      <c r="AF420" s="572"/>
      <c r="AG420" s="572"/>
      <c r="AH420" s="572"/>
      <c r="AI420" s="572"/>
      <c r="AJ420" s="572"/>
      <c r="AK420" s="572"/>
      <c r="AL420" s="572"/>
      <c r="AM420" s="572"/>
      <c r="AN420" s="572"/>
      <c r="AO420" s="572"/>
      <c r="AP420" s="572"/>
      <c r="AQ420" s="572"/>
      <c r="AR420" s="572"/>
      <c r="AS420" s="572"/>
      <c r="AT420" s="572"/>
      <c r="AU420" s="572"/>
    </row>
    <row r="421" spans="1:47" ht="15.75" customHeight="1">
      <c r="A421" s="577">
        <v>44377</v>
      </c>
      <c r="B421" s="578" t="s">
        <v>6494</v>
      </c>
      <c r="C421" s="405" t="s">
        <v>3785</v>
      </c>
      <c r="D421" s="563" t="s">
        <v>6341</v>
      </c>
      <c r="E421" s="575">
        <v>10000</v>
      </c>
      <c r="F421" s="563" t="s">
        <v>4456</v>
      </c>
      <c r="G421" s="563" t="s">
        <v>64</v>
      </c>
      <c r="H421" s="563" t="s">
        <v>20</v>
      </c>
      <c r="I421" s="563" t="s">
        <v>337</v>
      </c>
      <c r="J421" s="573">
        <v>44102</v>
      </c>
      <c r="K421" s="579" t="s">
        <v>3795</v>
      </c>
      <c r="L421" s="572"/>
      <c r="M421" s="572"/>
      <c r="N421" s="572"/>
      <c r="O421" s="572"/>
      <c r="P421" s="572"/>
      <c r="Q421" s="572"/>
      <c r="R421" s="572"/>
      <c r="S421" s="572"/>
      <c r="T421" s="572"/>
      <c r="U421" s="572"/>
      <c r="V421" s="572"/>
      <c r="W421" s="572"/>
      <c r="X421" s="572"/>
      <c r="Y421" s="572"/>
      <c r="Z421" s="572"/>
      <c r="AA421" s="572"/>
      <c r="AB421" s="572"/>
      <c r="AC421" s="572"/>
      <c r="AD421" s="572"/>
      <c r="AE421" s="572"/>
      <c r="AF421" s="572"/>
      <c r="AG421" s="572"/>
      <c r="AH421" s="572"/>
      <c r="AI421" s="572"/>
      <c r="AJ421" s="572"/>
      <c r="AK421" s="572"/>
      <c r="AL421" s="572"/>
      <c r="AM421" s="572"/>
      <c r="AN421" s="572"/>
      <c r="AO421" s="572"/>
      <c r="AP421" s="572"/>
      <c r="AQ421" s="572"/>
      <c r="AR421" s="572"/>
      <c r="AS421" s="572"/>
      <c r="AT421" s="572"/>
      <c r="AU421" s="572"/>
    </row>
    <row r="422" spans="1:47" ht="15.75" customHeight="1">
      <c r="A422" s="573">
        <v>44378</v>
      </c>
      <c r="B422" s="574" t="s">
        <v>6495</v>
      </c>
      <c r="C422" s="563" t="s">
        <v>3785</v>
      </c>
      <c r="D422" s="563" t="s">
        <v>3110</v>
      </c>
      <c r="E422" s="575">
        <v>0</v>
      </c>
      <c r="F422" s="563" t="s">
        <v>4300</v>
      </c>
      <c r="G422" s="563" t="s">
        <v>19</v>
      </c>
      <c r="H422" s="563" t="s">
        <v>20</v>
      </c>
      <c r="I422" s="563" t="s">
        <v>4301</v>
      </c>
      <c r="J422" s="573">
        <v>44260</v>
      </c>
      <c r="K422" s="579" t="s">
        <v>3809</v>
      </c>
      <c r="L422" s="572"/>
      <c r="M422" s="572"/>
      <c r="N422" s="572"/>
      <c r="O422" s="572"/>
      <c r="P422" s="572"/>
      <c r="Q422" s="572"/>
      <c r="R422" s="572"/>
      <c r="S422" s="572"/>
      <c r="T422" s="572"/>
      <c r="U422" s="572"/>
      <c r="V422" s="572"/>
      <c r="W422" s="572"/>
      <c r="X422" s="572"/>
      <c r="Y422" s="572"/>
      <c r="Z422" s="572"/>
      <c r="AA422" s="572"/>
      <c r="AB422" s="572"/>
      <c r="AC422" s="572"/>
      <c r="AD422" s="572"/>
      <c r="AE422" s="572"/>
      <c r="AF422" s="572"/>
      <c r="AG422" s="572"/>
      <c r="AH422" s="572"/>
      <c r="AI422" s="572"/>
      <c r="AJ422" s="572"/>
      <c r="AK422" s="572"/>
      <c r="AL422" s="572"/>
      <c r="AM422" s="572"/>
      <c r="AN422" s="572"/>
      <c r="AO422" s="572"/>
      <c r="AP422" s="572"/>
      <c r="AQ422" s="572"/>
      <c r="AR422" s="572"/>
      <c r="AS422" s="572"/>
      <c r="AT422" s="572"/>
      <c r="AU422" s="572"/>
    </row>
    <row r="423" spans="1:47" ht="15.75" customHeight="1">
      <c r="A423" s="573">
        <v>44378</v>
      </c>
      <c r="B423" s="574" t="s">
        <v>6496</v>
      </c>
      <c r="C423" s="563" t="s">
        <v>3785</v>
      </c>
      <c r="D423" s="563" t="s">
        <v>3110</v>
      </c>
      <c r="E423" s="575">
        <v>0</v>
      </c>
      <c r="F423" s="563" t="s">
        <v>4534</v>
      </c>
      <c r="G423" s="563" t="s">
        <v>19</v>
      </c>
      <c r="H423" s="563" t="s">
        <v>20</v>
      </c>
      <c r="I423" s="563" t="s">
        <v>4301</v>
      </c>
      <c r="J423" s="573">
        <v>44166</v>
      </c>
      <c r="K423" s="579" t="s">
        <v>3795</v>
      </c>
      <c r="L423" s="572"/>
      <c r="M423" s="572"/>
      <c r="N423" s="572"/>
      <c r="O423" s="572"/>
      <c r="P423" s="572"/>
      <c r="Q423" s="572"/>
      <c r="R423" s="572"/>
      <c r="S423" s="572"/>
      <c r="T423" s="572"/>
      <c r="U423" s="572"/>
      <c r="V423" s="572"/>
      <c r="W423" s="572"/>
      <c r="X423" s="572"/>
      <c r="Y423" s="572"/>
      <c r="Z423" s="572"/>
      <c r="AA423" s="572"/>
      <c r="AB423" s="572"/>
      <c r="AC423" s="572"/>
      <c r="AD423" s="572"/>
      <c r="AE423" s="572"/>
      <c r="AF423" s="572"/>
      <c r="AG423" s="572"/>
      <c r="AH423" s="572"/>
      <c r="AI423" s="572"/>
      <c r="AJ423" s="572"/>
      <c r="AK423" s="572"/>
      <c r="AL423" s="572"/>
      <c r="AM423" s="572"/>
      <c r="AN423" s="572"/>
      <c r="AO423" s="572"/>
      <c r="AP423" s="572"/>
      <c r="AQ423" s="572"/>
      <c r="AR423" s="572"/>
      <c r="AS423" s="572"/>
      <c r="AT423" s="572"/>
      <c r="AU423" s="572"/>
    </row>
    <row r="424" spans="1:47" ht="15.75" customHeight="1">
      <c r="A424" s="573">
        <v>44378</v>
      </c>
      <c r="B424" s="574" t="s">
        <v>6497</v>
      </c>
      <c r="C424" s="563" t="s">
        <v>3785</v>
      </c>
      <c r="D424" s="563" t="s">
        <v>3110</v>
      </c>
      <c r="E424" s="575">
        <v>0</v>
      </c>
      <c r="F424" s="563" t="s">
        <v>4921</v>
      </c>
      <c r="G424" s="563" t="s">
        <v>19</v>
      </c>
      <c r="H424" s="563" t="s">
        <v>20</v>
      </c>
      <c r="I424" s="563" t="s">
        <v>4301</v>
      </c>
      <c r="J424" s="573">
        <v>44291</v>
      </c>
      <c r="K424" s="579" t="s">
        <v>3809</v>
      </c>
      <c r="L424" s="572"/>
      <c r="M424" s="572"/>
      <c r="N424" s="572"/>
      <c r="O424" s="572"/>
      <c r="P424" s="572"/>
      <c r="Q424" s="572"/>
      <c r="R424" s="572"/>
      <c r="S424" s="572"/>
      <c r="T424" s="572"/>
      <c r="U424" s="572"/>
      <c r="V424" s="572"/>
      <c r="W424" s="572"/>
      <c r="X424" s="572"/>
      <c r="Y424" s="572"/>
      <c r="Z424" s="572"/>
      <c r="AA424" s="572"/>
      <c r="AB424" s="572"/>
      <c r="AC424" s="572"/>
      <c r="AD424" s="572"/>
      <c r="AE424" s="572"/>
      <c r="AF424" s="572"/>
      <c r="AG424" s="572"/>
      <c r="AH424" s="572"/>
      <c r="AI424" s="572"/>
      <c r="AJ424" s="572"/>
      <c r="AK424" s="572"/>
      <c r="AL424" s="572"/>
      <c r="AM424" s="572"/>
      <c r="AN424" s="572"/>
      <c r="AO424" s="572"/>
      <c r="AP424" s="572"/>
      <c r="AQ424" s="572"/>
      <c r="AR424" s="572"/>
      <c r="AS424" s="572"/>
      <c r="AT424" s="572"/>
      <c r="AU424" s="572"/>
    </row>
    <row r="425" spans="1:47" ht="15.75" customHeight="1">
      <c r="A425" s="573">
        <v>44378</v>
      </c>
      <c r="B425" s="574" t="s">
        <v>6498</v>
      </c>
      <c r="C425" s="563" t="s">
        <v>3785</v>
      </c>
      <c r="D425" s="563" t="s">
        <v>3110</v>
      </c>
      <c r="E425" s="575">
        <v>0</v>
      </c>
      <c r="F425" s="563" t="s">
        <v>5369</v>
      </c>
      <c r="G425" s="563" t="s">
        <v>19</v>
      </c>
      <c r="H425" s="563" t="s">
        <v>20</v>
      </c>
      <c r="I425" s="563" t="s">
        <v>4301</v>
      </c>
      <c r="J425" s="573">
        <v>44166</v>
      </c>
      <c r="K425" s="579" t="s">
        <v>3795</v>
      </c>
      <c r="L425" s="572"/>
      <c r="M425" s="572"/>
      <c r="N425" s="572"/>
      <c r="O425" s="572"/>
      <c r="P425" s="572"/>
      <c r="Q425" s="572"/>
      <c r="R425" s="572"/>
      <c r="S425" s="572"/>
      <c r="T425" s="572"/>
      <c r="U425" s="572"/>
      <c r="V425" s="572"/>
      <c r="W425" s="572"/>
      <c r="X425" s="572"/>
      <c r="Y425" s="572"/>
      <c r="Z425" s="572"/>
      <c r="AA425" s="572"/>
      <c r="AB425" s="572"/>
      <c r="AC425" s="572"/>
      <c r="AD425" s="572"/>
      <c r="AE425" s="572"/>
      <c r="AF425" s="572"/>
      <c r="AG425" s="572"/>
      <c r="AH425" s="572"/>
      <c r="AI425" s="572"/>
      <c r="AJ425" s="572"/>
      <c r="AK425" s="572"/>
      <c r="AL425" s="572"/>
      <c r="AM425" s="572"/>
      <c r="AN425" s="572"/>
      <c r="AO425" s="572"/>
      <c r="AP425" s="572"/>
      <c r="AQ425" s="572"/>
      <c r="AR425" s="572"/>
      <c r="AS425" s="572"/>
      <c r="AT425" s="572"/>
      <c r="AU425" s="572"/>
    </row>
    <row r="426" spans="1:47" ht="15.75" customHeight="1">
      <c r="A426" s="577">
        <v>44378</v>
      </c>
      <c r="B426" s="578" t="s">
        <v>6499</v>
      </c>
      <c r="C426" s="405" t="s">
        <v>2921</v>
      </c>
      <c r="D426" s="563" t="s">
        <v>6341</v>
      </c>
      <c r="E426" s="575">
        <v>20000</v>
      </c>
      <c r="F426" s="563" t="s">
        <v>547</v>
      </c>
      <c r="G426" s="573" t="s">
        <v>19</v>
      </c>
      <c r="H426" s="573" t="s">
        <v>34</v>
      </c>
      <c r="I426" s="573" t="s">
        <v>35</v>
      </c>
      <c r="J426" s="573">
        <v>44358</v>
      </c>
      <c r="K426" s="576" t="s">
        <v>3795</v>
      </c>
      <c r="L426" s="572"/>
      <c r="M426" s="572"/>
      <c r="N426" s="572"/>
      <c r="O426" s="572"/>
      <c r="P426" s="572"/>
      <c r="Q426" s="572"/>
      <c r="R426" s="572"/>
      <c r="S426" s="572"/>
      <c r="T426" s="572"/>
      <c r="U426" s="572"/>
      <c r="V426" s="572"/>
      <c r="W426" s="572"/>
      <c r="X426" s="572"/>
      <c r="Y426" s="572"/>
      <c r="Z426" s="572"/>
      <c r="AA426" s="572"/>
      <c r="AB426" s="572"/>
      <c r="AC426" s="572"/>
      <c r="AD426" s="572"/>
      <c r="AE426" s="572"/>
      <c r="AF426" s="572"/>
      <c r="AG426" s="572"/>
      <c r="AH426" s="572"/>
      <c r="AI426" s="572"/>
      <c r="AJ426" s="572"/>
      <c r="AK426" s="572"/>
      <c r="AL426" s="572"/>
      <c r="AM426" s="572"/>
      <c r="AN426" s="572"/>
      <c r="AO426" s="572"/>
      <c r="AP426" s="572"/>
      <c r="AQ426" s="572"/>
      <c r="AR426" s="572"/>
      <c r="AS426" s="572"/>
      <c r="AT426" s="572"/>
      <c r="AU426" s="572"/>
    </row>
    <row r="427" spans="1:47" ht="15.75" customHeight="1">
      <c r="A427" s="577">
        <v>44378</v>
      </c>
      <c r="B427" s="578" t="s">
        <v>6500</v>
      </c>
      <c r="C427" s="405" t="s">
        <v>3785</v>
      </c>
      <c r="D427" s="563" t="s">
        <v>6341</v>
      </c>
      <c r="E427" s="575">
        <v>50000</v>
      </c>
      <c r="F427" s="563" t="s">
        <v>4812</v>
      </c>
      <c r="G427" s="563" t="s">
        <v>64</v>
      </c>
      <c r="H427" s="563" t="s">
        <v>20</v>
      </c>
      <c r="I427" s="563" t="s">
        <v>4067</v>
      </c>
      <c r="J427" s="573">
        <v>44183</v>
      </c>
      <c r="K427" s="579" t="s">
        <v>3795</v>
      </c>
      <c r="L427" s="572"/>
      <c r="M427" s="572"/>
      <c r="N427" s="572"/>
      <c r="O427" s="572"/>
      <c r="P427" s="572"/>
      <c r="Q427" s="572"/>
      <c r="R427" s="572"/>
      <c r="S427" s="572"/>
      <c r="T427" s="572"/>
      <c r="U427" s="572"/>
      <c r="V427" s="572"/>
      <c r="W427" s="572"/>
      <c r="X427" s="572"/>
      <c r="Y427" s="572"/>
      <c r="Z427" s="572"/>
      <c r="AA427" s="572"/>
      <c r="AB427" s="572"/>
      <c r="AC427" s="572"/>
      <c r="AD427" s="572"/>
      <c r="AE427" s="572"/>
      <c r="AF427" s="572"/>
      <c r="AG427" s="572"/>
      <c r="AH427" s="572"/>
      <c r="AI427" s="572"/>
      <c r="AJ427" s="572"/>
      <c r="AK427" s="572"/>
      <c r="AL427" s="572"/>
      <c r="AM427" s="572"/>
      <c r="AN427" s="572"/>
      <c r="AO427" s="572"/>
      <c r="AP427" s="572"/>
      <c r="AQ427" s="572"/>
      <c r="AR427" s="572"/>
      <c r="AS427" s="572"/>
      <c r="AT427" s="572"/>
      <c r="AU427" s="572"/>
    </row>
    <row r="428" spans="1:47" ht="15.75" customHeight="1">
      <c r="A428" s="577">
        <v>44378</v>
      </c>
      <c r="B428" s="578" t="s">
        <v>6501</v>
      </c>
      <c r="C428" s="405" t="s">
        <v>2921</v>
      </c>
      <c r="D428" s="563" t="s">
        <v>6341</v>
      </c>
      <c r="E428" s="575">
        <v>13000</v>
      </c>
      <c r="F428" s="563" t="s">
        <v>3143</v>
      </c>
      <c r="G428" s="573" t="s">
        <v>19</v>
      </c>
      <c r="H428" s="573" t="s">
        <v>34</v>
      </c>
      <c r="I428" s="573" t="s">
        <v>35</v>
      </c>
      <c r="J428" s="573">
        <v>44322</v>
      </c>
      <c r="K428" s="576" t="s">
        <v>3795</v>
      </c>
      <c r="L428" s="572"/>
      <c r="M428" s="572"/>
      <c r="N428" s="572"/>
      <c r="O428" s="572"/>
      <c r="P428" s="572"/>
      <c r="Q428" s="572"/>
      <c r="R428" s="572"/>
      <c r="S428" s="572"/>
      <c r="T428" s="572"/>
      <c r="U428" s="572"/>
      <c r="V428" s="572"/>
      <c r="W428" s="572"/>
      <c r="X428" s="572"/>
      <c r="Y428" s="572"/>
      <c r="Z428" s="572"/>
      <c r="AA428" s="572"/>
      <c r="AB428" s="572"/>
      <c r="AC428" s="572"/>
      <c r="AD428" s="572"/>
      <c r="AE428" s="572"/>
      <c r="AF428" s="572"/>
      <c r="AG428" s="572"/>
      <c r="AH428" s="572"/>
      <c r="AI428" s="572"/>
      <c r="AJ428" s="572"/>
      <c r="AK428" s="572"/>
      <c r="AL428" s="572"/>
      <c r="AM428" s="572"/>
      <c r="AN428" s="572"/>
      <c r="AO428" s="572"/>
      <c r="AP428" s="572"/>
      <c r="AQ428" s="572"/>
      <c r="AR428" s="572"/>
      <c r="AS428" s="572"/>
      <c r="AT428" s="572"/>
      <c r="AU428" s="572"/>
    </row>
    <row r="429" spans="1:47" ht="15.75" customHeight="1">
      <c r="A429" s="577">
        <v>44378</v>
      </c>
      <c r="B429" s="578" t="s">
        <v>6408</v>
      </c>
      <c r="C429" s="405" t="s">
        <v>2921</v>
      </c>
      <c r="D429" s="563" t="s">
        <v>6341</v>
      </c>
      <c r="E429" s="575">
        <v>46000</v>
      </c>
      <c r="F429" s="563" t="s">
        <v>859</v>
      </c>
      <c r="G429" s="573" t="s">
        <v>19</v>
      </c>
      <c r="H429" s="573" t="s">
        <v>34</v>
      </c>
      <c r="I429" s="573" t="s">
        <v>35</v>
      </c>
      <c r="J429" s="573">
        <v>44321</v>
      </c>
      <c r="K429" s="576" t="s">
        <v>3795</v>
      </c>
      <c r="L429" s="572"/>
      <c r="M429" s="572"/>
      <c r="N429" s="572"/>
      <c r="O429" s="572"/>
      <c r="P429" s="572"/>
      <c r="Q429" s="572"/>
      <c r="R429" s="572"/>
      <c r="S429" s="572"/>
      <c r="T429" s="572"/>
      <c r="U429" s="572"/>
      <c r="V429" s="572"/>
      <c r="W429" s="572"/>
      <c r="X429" s="572"/>
      <c r="Y429" s="572"/>
      <c r="Z429" s="572"/>
      <c r="AA429" s="572"/>
      <c r="AB429" s="572"/>
      <c r="AC429" s="572"/>
      <c r="AD429" s="572"/>
      <c r="AE429" s="572"/>
      <c r="AF429" s="572"/>
      <c r="AG429" s="572"/>
      <c r="AH429" s="572"/>
      <c r="AI429" s="572"/>
      <c r="AJ429" s="572"/>
      <c r="AK429" s="572"/>
      <c r="AL429" s="572"/>
      <c r="AM429" s="572"/>
      <c r="AN429" s="572"/>
      <c r="AO429" s="572"/>
      <c r="AP429" s="572"/>
      <c r="AQ429" s="572"/>
      <c r="AR429" s="572"/>
      <c r="AS429" s="572"/>
      <c r="AT429" s="572"/>
      <c r="AU429" s="572"/>
    </row>
    <row r="430" spans="1:47" ht="15.75" customHeight="1">
      <c r="A430" s="577">
        <v>44379</v>
      </c>
      <c r="B430" s="578" t="s">
        <v>6473</v>
      </c>
      <c r="C430" s="405" t="s">
        <v>2921</v>
      </c>
      <c r="D430" s="563" t="s">
        <v>6341</v>
      </c>
      <c r="E430" s="575">
        <v>60000</v>
      </c>
      <c r="F430" s="563" t="s">
        <v>3332</v>
      </c>
      <c r="G430" s="573" t="s">
        <v>19</v>
      </c>
      <c r="H430" s="573" t="s">
        <v>34</v>
      </c>
      <c r="I430" s="573" t="s">
        <v>262</v>
      </c>
      <c r="J430" s="573">
        <v>44322</v>
      </c>
      <c r="K430" s="576" t="s">
        <v>3795</v>
      </c>
      <c r="L430" s="572"/>
      <c r="M430" s="572"/>
      <c r="N430" s="572"/>
      <c r="O430" s="572"/>
      <c r="P430" s="572"/>
      <c r="Q430" s="572"/>
      <c r="R430" s="572"/>
      <c r="S430" s="572"/>
      <c r="T430" s="572"/>
      <c r="U430" s="572"/>
      <c r="V430" s="572"/>
      <c r="W430" s="572"/>
      <c r="X430" s="572"/>
      <c r="Y430" s="572"/>
      <c r="Z430" s="572"/>
      <c r="AA430" s="572"/>
      <c r="AB430" s="572"/>
      <c r="AC430" s="572"/>
      <c r="AD430" s="572"/>
      <c r="AE430" s="572"/>
      <c r="AF430" s="572"/>
      <c r="AG430" s="572"/>
      <c r="AH430" s="572"/>
      <c r="AI430" s="572"/>
      <c r="AJ430" s="572"/>
      <c r="AK430" s="572"/>
      <c r="AL430" s="572"/>
      <c r="AM430" s="572"/>
      <c r="AN430" s="572"/>
      <c r="AO430" s="572"/>
      <c r="AP430" s="572"/>
      <c r="AQ430" s="572"/>
      <c r="AR430" s="572"/>
      <c r="AS430" s="572"/>
      <c r="AT430" s="572"/>
      <c r="AU430" s="572"/>
    </row>
    <row r="431" spans="1:47" ht="15.75" customHeight="1">
      <c r="A431" s="577">
        <v>44379</v>
      </c>
      <c r="B431" s="578" t="s">
        <v>6444</v>
      </c>
      <c r="C431" s="405" t="s">
        <v>3785</v>
      </c>
      <c r="D431" s="563" t="s">
        <v>6341</v>
      </c>
      <c r="E431" s="575">
        <v>100000</v>
      </c>
      <c r="F431" s="563" t="s">
        <v>5333</v>
      </c>
      <c r="G431" s="563" t="s">
        <v>64</v>
      </c>
      <c r="H431" s="563" t="s">
        <v>20</v>
      </c>
      <c r="I431" s="563" t="s">
        <v>4058</v>
      </c>
      <c r="J431" s="573">
        <v>44203</v>
      </c>
      <c r="K431" s="579" t="s">
        <v>3795</v>
      </c>
      <c r="L431" s="572"/>
      <c r="M431" s="572"/>
      <c r="N431" s="572"/>
      <c r="O431" s="572"/>
      <c r="P431" s="572"/>
      <c r="Q431" s="572"/>
      <c r="R431" s="572"/>
      <c r="S431" s="572"/>
      <c r="T431" s="572"/>
      <c r="U431" s="572"/>
      <c r="V431" s="572"/>
      <c r="W431" s="572"/>
      <c r="X431" s="572"/>
      <c r="Y431" s="572"/>
      <c r="Z431" s="572"/>
      <c r="AA431" s="572"/>
      <c r="AB431" s="572"/>
      <c r="AC431" s="572"/>
      <c r="AD431" s="572"/>
      <c r="AE431" s="572"/>
      <c r="AF431" s="572"/>
      <c r="AG431" s="572"/>
      <c r="AH431" s="572"/>
      <c r="AI431" s="572"/>
      <c r="AJ431" s="572"/>
      <c r="AK431" s="572"/>
      <c r="AL431" s="572"/>
      <c r="AM431" s="572"/>
      <c r="AN431" s="572"/>
      <c r="AO431" s="572"/>
      <c r="AP431" s="572"/>
      <c r="AQ431" s="572"/>
      <c r="AR431" s="572"/>
      <c r="AS431" s="572"/>
      <c r="AT431" s="572"/>
      <c r="AU431" s="572"/>
    </row>
    <row r="432" spans="1:47" ht="15.75" customHeight="1">
      <c r="A432" s="577">
        <v>44383</v>
      </c>
      <c r="B432" s="578" t="s">
        <v>6347</v>
      </c>
      <c r="C432" s="405" t="s">
        <v>2921</v>
      </c>
      <c r="D432" s="563" t="s">
        <v>6341</v>
      </c>
      <c r="E432" s="575">
        <v>50000</v>
      </c>
      <c r="F432" s="563" t="s">
        <v>3191</v>
      </c>
      <c r="G432" s="573" t="s">
        <v>2923</v>
      </c>
      <c r="H432" s="573" t="s">
        <v>20</v>
      </c>
      <c r="I432" s="573" t="s">
        <v>2924</v>
      </c>
      <c r="J432" s="573">
        <v>43703</v>
      </c>
      <c r="K432" s="576" t="s">
        <v>4188</v>
      </c>
      <c r="L432" s="572"/>
      <c r="M432" s="572"/>
      <c r="N432" s="572"/>
      <c r="O432" s="572"/>
      <c r="P432" s="572"/>
      <c r="Q432" s="572"/>
      <c r="R432" s="572"/>
      <c r="S432" s="572"/>
      <c r="T432" s="572"/>
      <c r="U432" s="572"/>
      <c r="V432" s="572"/>
      <c r="W432" s="572"/>
      <c r="X432" s="572"/>
      <c r="Y432" s="572"/>
      <c r="Z432" s="572"/>
      <c r="AA432" s="572"/>
      <c r="AB432" s="572"/>
      <c r="AC432" s="572"/>
      <c r="AD432" s="572"/>
      <c r="AE432" s="572"/>
      <c r="AF432" s="572"/>
      <c r="AG432" s="572"/>
      <c r="AH432" s="572"/>
      <c r="AI432" s="572"/>
      <c r="AJ432" s="572"/>
      <c r="AK432" s="572"/>
      <c r="AL432" s="572"/>
      <c r="AM432" s="572"/>
      <c r="AN432" s="572"/>
      <c r="AO432" s="572"/>
      <c r="AP432" s="572"/>
      <c r="AQ432" s="572"/>
      <c r="AR432" s="572"/>
      <c r="AS432" s="572"/>
      <c r="AT432" s="572"/>
      <c r="AU432" s="572"/>
    </row>
    <row r="433" spans="1:47" ht="15.75" customHeight="1">
      <c r="A433" s="577">
        <v>44383</v>
      </c>
      <c r="B433" s="578" t="s">
        <v>6473</v>
      </c>
      <c r="C433" s="405" t="s">
        <v>2921</v>
      </c>
      <c r="D433" s="563" t="s">
        <v>6341</v>
      </c>
      <c r="E433" s="575">
        <v>8000</v>
      </c>
      <c r="F433" s="563" t="s">
        <v>3332</v>
      </c>
      <c r="G433" s="573" t="s">
        <v>19</v>
      </c>
      <c r="H433" s="573" t="s">
        <v>34</v>
      </c>
      <c r="I433" s="573" t="s">
        <v>262</v>
      </c>
      <c r="J433" s="573">
        <v>44322</v>
      </c>
      <c r="K433" s="576" t="s">
        <v>3795</v>
      </c>
      <c r="L433" s="572"/>
      <c r="M433" s="572"/>
      <c r="N433" s="572"/>
      <c r="O433" s="572"/>
      <c r="P433" s="572"/>
      <c r="Q433" s="572"/>
      <c r="R433" s="572"/>
      <c r="S433" s="572"/>
      <c r="T433" s="572"/>
      <c r="U433" s="572"/>
      <c r="V433" s="572"/>
      <c r="W433" s="572"/>
      <c r="X433" s="572"/>
      <c r="Y433" s="572"/>
      <c r="Z433" s="572"/>
      <c r="AA433" s="572"/>
      <c r="AB433" s="572"/>
      <c r="AC433" s="572"/>
      <c r="AD433" s="572"/>
      <c r="AE433" s="572"/>
      <c r="AF433" s="572"/>
      <c r="AG433" s="572"/>
      <c r="AH433" s="572"/>
      <c r="AI433" s="572"/>
      <c r="AJ433" s="572"/>
      <c r="AK433" s="572"/>
      <c r="AL433" s="572"/>
      <c r="AM433" s="572"/>
      <c r="AN433" s="572"/>
      <c r="AO433" s="572"/>
      <c r="AP433" s="572"/>
      <c r="AQ433" s="572"/>
      <c r="AR433" s="572"/>
      <c r="AS433" s="572"/>
      <c r="AT433" s="572"/>
      <c r="AU433" s="572"/>
    </row>
    <row r="434" spans="1:47" ht="15.75" customHeight="1">
      <c r="A434" s="573">
        <v>44384</v>
      </c>
      <c r="B434" s="574" t="s">
        <v>6502</v>
      </c>
      <c r="C434" s="563" t="s">
        <v>3785</v>
      </c>
      <c r="D434" s="563" t="s">
        <v>3110</v>
      </c>
      <c r="E434" s="575">
        <v>0</v>
      </c>
      <c r="F434" s="563" t="s">
        <v>5035</v>
      </c>
      <c r="G434" s="563" t="s">
        <v>19</v>
      </c>
      <c r="H434" s="563" t="s">
        <v>20</v>
      </c>
      <c r="I434" s="563" t="s">
        <v>6503</v>
      </c>
      <c r="J434" s="573">
        <v>44384</v>
      </c>
      <c r="K434" s="579" t="s">
        <v>3805</v>
      </c>
      <c r="L434" s="572"/>
      <c r="M434" s="572"/>
      <c r="N434" s="572"/>
      <c r="O434" s="572"/>
      <c r="P434" s="572"/>
      <c r="Q434" s="572"/>
      <c r="R434" s="572"/>
      <c r="S434" s="572"/>
      <c r="T434" s="572"/>
      <c r="U434" s="572"/>
      <c r="V434" s="572"/>
      <c r="W434" s="572"/>
      <c r="X434" s="572"/>
      <c r="Y434" s="572"/>
      <c r="Z434" s="572"/>
      <c r="AA434" s="572"/>
      <c r="AB434" s="572"/>
      <c r="AC434" s="572"/>
      <c r="AD434" s="572"/>
      <c r="AE434" s="572"/>
      <c r="AF434" s="572"/>
      <c r="AG434" s="572"/>
      <c r="AH434" s="572"/>
      <c r="AI434" s="572"/>
      <c r="AJ434" s="572"/>
      <c r="AK434" s="572"/>
      <c r="AL434" s="572"/>
      <c r="AM434" s="572"/>
      <c r="AN434" s="572"/>
      <c r="AO434" s="572"/>
      <c r="AP434" s="572"/>
      <c r="AQ434" s="572"/>
      <c r="AR434" s="572"/>
      <c r="AS434" s="572"/>
      <c r="AT434" s="572"/>
      <c r="AU434" s="572"/>
    </row>
    <row r="435" spans="1:47" ht="15.75" customHeight="1">
      <c r="A435" s="577">
        <v>44385</v>
      </c>
      <c r="B435" s="578" t="s">
        <v>6504</v>
      </c>
      <c r="C435" s="405" t="s">
        <v>2921</v>
      </c>
      <c r="D435" s="563" t="s">
        <v>6341</v>
      </c>
      <c r="E435" s="575">
        <v>10000</v>
      </c>
      <c r="F435" s="563" t="s">
        <v>2933</v>
      </c>
      <c r="G435" s="573" t="s">
        <v>19</v>
      </c>
      <c r="H435" s="573" t="s">
        <v>34</v>
      </c>
      <c r="I435" s="573" t="s">
        <v>262</v>
      </c>
      <c r="J435" s="573">
        <v>44321</v>
      </c>
      <c r="K435" s="576" t="s">
        <v>3805</v>
      </c>
      <c r="L435" s="572"/>
      <c r="M435" s="572"/>
      <c r="N435" s="572"/>
      <c r="O435" s="572"/>
      <c r="P435" s="572"/>
      <c r="Q435" s="572"/>
      <c r="R435" s="572"/>
      <c r="S435" s="572"/>
      <c r="T435" s="572"/>
      <c r="U435" s="572"/>
      <c r="V435" s="572"/>
      <c r="W435" s="572"/>
      <c r="X435" s="572"/>
      <c r="Y435" s="572"/>
      <c r="Z435" s="572"/>
      <c r="AA435" s="572"/>
      <c r="AB435" s="572"/>
      <c r="AC435" s="572"/>
      <c r="AD435" s="572"/>
      <c r="AE435" s="572"/>
      <c r="AF435" s="572"/>
      <c r="AG435" s="572"/>
      <c r="AH435" s="572"/>
      <c r="AI435" s="572"/>
      <c r="AJ435" s="572"/>
      <c r="AK435" s="572"/>
      <c r="AL435" s="572"/>
      <c r="AM435" s="572"/>
      <c r="AN435" s="572"/>
      <c r="AO435" s="572"/>
      <c r="AP435" s="572"/>
      <c r="AQ435" s="572"/>
      <c r="AR435" s="572"/>
      <c r="AS435" s="572"/>
      <c r="AT435" s="572"/>
      <c r="AU435" s="572"/>
    </row>
    <row r="436" spans="1:47" ht="15.75" customHeight="1">
      <c r="A436" s="577">
        <v>44386</v>
      </c>
      <c r="B436" s="578" t="s">
        <v>3630</v>
      </c>
      <c r="C436" s="405" t="s">
        <v>3607</v>
      </c>
      <c r="D436" s="563" t="s">
        <v>6341</v>
      </c>
      <c r="E436" s="575">
        <v>47000</v>
      </c>
      <c r="F436" s="563" t="s">
        <v>3629</v>
      </c>
      <c r="G436" s="573" t="s">
        <v>19</v>
      </c>
      <c r="H436" s="573" t="s">
        <v>20</v>
      </c>
      <c r="I436" s="573" t="s">
        <v>19</v>
      </c>
      <c r="J436" s="573">
        <v>44062</v>
      </c>
      <c r="K436" s="576" t="s">
        <v>3795</v>
      </c>
      <c r="L436" s="572"/>
      <c r="M436" s="572"/>
      <c r="N436" s="572"/>
      <c r="O436" s="572"/>
      <c r="P436" s="572"/>
      <c r="Q436" s="572"/>
      <c r="R436" s="572"/>
      <c r="S436" s="572"/>
      <c r="T436" s="572"/>
      <c r="U436" s="572"/>
      <c r="V436" s="572"/>
      <c r="W436" s="572"/>
      <c r="X436" s="572"/>
      <c r="Y436" s="572"/>
      <c r="Z436" s="572"/>
      <c r="AA436" s="572"/>
      <c r="AB436" s="572"/>
      <c r="AC436" s="572"/>
      <c r="AD436" s="572"/>
      <c r="AE436" s="572"/>
      <c r="AF436" s="572"/>
      <c r="AG436" s="572"/>
      <c r="AH436" s="572"/>
      <c r="AI436" s="572"/>
      <c r="AJ436" s="572"/>
      <c r="AK436" s="572"/>
      <c r="AL436" s="572"/>
      <c r="AM436" s="572"/>
      <c r="AN436" s="572"/>
      <c r="AO436" s="572"/>
      <c r="AP436" s="572"/>
      <c r="AQ436" s="572"/>
      <c r="AR436" s="572"/>
      <c r="AS436" s="572"/>
      <c r="AT436" s="572"/>
      <c r="AU436" s="572"/>
    </row>
    <row r="437" spans="1:47" ht="15.75" customHeight="1">
      <c r="A437" s="577">
        <v>44386</v>
      </c>
      <c r="B437" s="578" t="s">
        <v>6488</v>
      </c>
      <c r="C437" s="405" t="s">
        <v>3785</v>
      </c>
      <c r="D437" s="563" t="s">
        <v>6341</v>
      </c>
      <c r="E437" s="575">
        <v>156000</v>
      </c>
      <c r="F437" s="556" t="s">
        <v>1184</v>
      </c>
      <c r="G437" s="563" t="s">
        <v>64</v>
      </c>
      <c r="H437" s="563" t="s">
        <v>20</v>
      </c>
      <c r="I437" s="563" t="s">
        <v>4104</v>
      </c>
      <c r="J437" s="593">
        <v>44145</v>
      </c>
      <c r="K437" s="579" t="s">
        <v>3789</v>
      </c>
      <c r="L437" s="572"/>
      <c r="M437" s="572"/>
      <c r="N437" s="572"/>
      <c r="O437" s="572"/>
      <c r="P437" s="572"/>
      <c r="Q437" s="572"/>
      <c r="R437" s="572"/>
      <c r="S437" s="572"/>
      <c r="T437" s="572"/>
      <c r="U437" s="572"/>
      <c r="V437" s="572"/>
      <c r="W437" s="572"/>
      <c r="X437" s="572"/>
      <c r="Y437" s="572"/>
      <c r="Z437" s="572"/>
      <c r="AA437" s="572"/>
      <c r="AB437" s="572"/>
      <c r="AC437" s="572"/>
      <c r="AD437" s="572"/>
      <c r="AE437" s="572"/>
      <c r="AF437" s="572"/>
      <c r="AG437" s="572"/>
      <c r="AH437" s="572"/>
      <c r="AI437" s="572"/>
      <c r="AJ437" s="572"/>
      <c r="AK437" s="572"/>
      <c r="AL437" s="572"/>
      <c r="AM437" s="572"/>
      <c r="AN437" s="572"/>
      <c r="AO437" s="572"/>
      <c r="AP437" s="572"/>
      <c r="AQ437" s="572"/>
      <c r="AR437" s="572"/>
      <c r="AS437" s="572"/>
      <c r="AT437" s="572"/>
      <c r="AU437" s="572"/>
    </row>
    <row r="438" spans="1:47" ht="15.75" customHeight="1">
      <c r="A438" s="577">
        <v>44389</v>
      </c>
      <c r="B438" s="578" t="s">
        <v>6505</v>
      </c>
      <c r="C438" s="405" t="s">
        <v>2921</v>
      </c>
      <c r="D438" s="563" t="s">
        <v>6341</v>
      </c>
      <c r="E438" s="575">
        <v>20000</v>
      </c>
      <c r="F438" s="563" t="s">
        <v>3381</v>
      </c>
      <c r="G438" s="573" t="s">
        <v>19</v>
      </c>
      <c r="H438" s="573" t="s">
        <v>34</v>
      </c>
      <c r="I438" s="573" t="s">
        <v>35</v>
      </c>
      <c r="J438" s="573">
        <v>44319</v>
      </c>
      <c r="K438" s="576" t="s">
        <v>3795</v>
      </c>
      <c r="L438" s="572"/>
      <c r="M438" s="572"/>
      <c r="N438" s="572"/>
      <c r="O438" s="572"/>
      <c r="P438" s="572"/>
      <c r="Q438" s="572"/>
      <c r="R438" s="572"/>
      <c r="S438" s="572"/>
      <c r="T438" s="572"/>
      <c r="U438" s="572"/>
      <c r="V438" s="572"/>
      <c r="W438" s="572"/>
      <c r="X438" s="572"/>
      <c r="Y438" s="572"/>
      <c r="Z438" s="572"/>
      <c r="AA438" s="572"/>
      <c r="AB438" s="572"/>
      <c r="AC438" s="572"/>
      <c r="AD438" s="572"/>
      <c r="AE438" s="572"/>
      <c r="AF438" s="572"/>
      <c r="AG438" s="572"/>
      <c r="AH438" s="572"/>
      <c r="AI438" s="572"/>
      <c r="AJ438" s="572"/>
      <c r="AK438" s="572"/>
      <c r="AL438" s="572"/>
      <c r="AM438" s="572"/>
      <c r="AN438" s="572"/>
      <c r="AO438" s="572"/>
      <c r="AP438" s="572"/>
      <c r="AQ438" s="572"/>
      <c r="AR438" s="572"/>
      <c r="AS438" s="572"/>
      <c r="AT438" s="572"/>
      <c r="AU438" s="572"/>
    </row>
    <row r="439" spans="1:47" ht="15.75" customHeight="1">
      <c r="A439" s="577">
        <v>44389</v>
      </c>
      <c r="B439" s="578" t="s">
        <v>6506</v>
      </c>
      <c r="C439" s="405" t="s">
        <v>2921</v>
      </c>
      <c r="D439" s="563" t="s">
        <v>6341</v>
      </c>
      <c r="E439" s="575">
        <v>5000</v>
      </c>
      <c r="F439" s="563" t="s">
        <v>3358</v>
      </c>
      <c r="G439" s="573" t="s">
        <v>19</v>
      </c>
      <c r="H439" s="573" t="s">
        <v>34</v>
      </c>
      <c r="I439" s="573" t="s">
        <v>262</v>
      </c>
      <c r="J439" s="573">
        <v>44321</v>
      </c>
      <c r="K439" s="576" t="s">
        <v>3802</v>
      </c>
      <c r="L439" s="572"/>
      <c r="M439" s="572"/>
      <c r="N439" s="572"/>
      <c r="O439" s="572"/>
      <c r="P439" s="572"/>
      <c r="Q439" s="572"/>
      <c r="R439" s="572"/>
      <c r="S439" s="572"/>
      <c r="T439" s="572"/>
      <c r="U439" s="572"/>
      <c r="V439" s="572"/>
      <c r="W439" s="572"/>
      <c r="X439" s="572"/>
      <c r="Y439" s="572"/>
      <c r="Z439" s="572"/>
      <c r="AA439" s="572"/>
      <c r="AB439" s="572"/>
      <c r="AC439" s="572"/>
      <c r="AD439" s="572"/>
      <c r="AE439" s="572"/>
      <c r="AF439" s="572"/>
      <c r="AG439" s="572"/>
      <c r="AH439" s="572"/>
      <c r="AI439" s="572"/>
      <c r="AJ439" s="572"/>
      <c r="AK439" s="572"/>
      <c r="AL439" s="572"/>
      <c r="AM439" s="572"/>
      <c r="AN439" s="572"/>
      <c r="AO439" s="572"/>
      <c r="AP439" s="572"/>
      <c r="AQ439" s="572"/>
      <c r="AR439" s="572"/>
      <c r="AS439" s="572"/>
      <c r="AT439" s="572"/>
      <c r="AU439" s="572"/>
    </row>
    <row r="440" spans="1:47" ht="15.75" customHeight="1">
      <c r="A440" s="577">
        <v>44389</v>
      </c>
      <c r="B440" s="578" t="s">
        <v>6476</v>
      </c>
      <c r="C440" s="405" t="s">
        <v>2921</v>
      </c>
      <c r="D440" s="563" t="s">
        <v>6341</v>
      </c>
      <c r="E440" s="575">
        <v>45000</v>
      </c>
      <c r="F440" s="563" t="s">
        <v>2473</v>
      </c>
      <c r="G440" s="573" t="s">
        <v>19</v>
      </c>
      <c r="H440" s="573" t="s">
        <v>34</v>
      </c>
      <c r="I440" s="573" t="s">
        <v>35</v>
      </c>
      <c r="J440" s="573">
        <v>44280</v>
      </c>
      <c r="K440" s="576" t="s">
        <v>3789</v>
      </c>
      <c r="L440" s="572"/>
      <c r="M440" s="572"/>
      <c r="N440" s="572"/>
      <c r="O440" s="572"/>
      <c r="P440" s="572"/>
      <c r="Q440" s="572"/>
      <c r="R440" s="572"/>
      <c r="S440" s="572"/>
      <c r="T440" s="572"/>
      <c r="U440" s="572"/>
      <c r="V440" s="572"/>
      <c r="W440" s="572"/>
      <c r="X440" s="572"/>
      <c r="Y440" s="572"/>
      <c r="Z440" s="572"/>
      <c r="AA440" s="572"/>
      <c r="AB440" s="572"/>
      <c r="AC440" s="572"/>
      <c r="AD440" s="572"/>
      <c r="AE440" s="572"/>
      <c r="AF440" s="572"/>
      <c r="AG440" s="572"/>
      <c r="AH440" s="572"/>
      <c r="AI440" s="572"/>
      <c r="AJ440" s="572"/>
      <c r="AK440" s="572"/>
      <c r="AL440" s="572"/>
      <c r="AM440" s="572"/>
      <c r="AN440" s="572"/>
      <c r="AO440" s="572"/>
      <c r="AP440" s="572"/>
      <c r="AQ440" s="572"/>
      <c r="AR440" s="572"/>
      <c r="AS440" s="572"/>
      <c r="AT440" s="572"/>
      <c r="AU440" s="572"/>
    </row>
    <row r="441" spans="1:47" ht="15.75" customHeight="1">
      <c r="A441" s="573">
        <v>44390</v>
      </c>
      <c r="B441" s="574" t="s">
        <v>6507</v>
      </c>
      <c r="C441" s="563" t="s">
        <v>3785</v>
      </c>
      <c r="D441" s="563" t="s">
        <v>3110</v>
      </c>
      <c r="E441" s="575">
        <v>0</v>
      </c>
      <c r="F441" s="563" t="s">
        <v>5071</v>
      </c>
      <c r="G441" s="563" t="s">
        <v>19</v>
      </c>
      <c r="H441" s="563" t="s">
        <v>20</v>
      </c>
      <c r="I441" s="563" t="s">
        <v>3793</v>
      </c>
      <c r="J441" s="573">
        <v>44166</v>
      </c>
      <c r="K441" s="579" t="s">
        <v>3795</v>
      </c>
      <c r="L441" s="572"/>
      <c r="M441" s="572"/>
      <c r="N441" s="572"/>
      <c r="O441" s="572"/>
      <c r="P441" s="572"/>
      <c r="Q441" s="572"/>
      <c r="R441" s="572"/>
      <c r="S441" s="572"/>
      <c r="T441" s="572"/>
      <c r="U441" s="572"/>
      <c r="V441" s="572"/>
      <c r="W441" s="572"/>
      <c r="X441" s="572"/>
      <c r="Y441" s="572"/>
      <c r="Z441" s="572"/>
      <c r="AA441" s="572"/>
      <c r="AB441" s="572"/>
      <c r="AC441" s="572"/>
      <c r="AD441" s="572"/>
      <c r="AE441" s="572"/>
      <c r="AF441" s="572"/>
      <c r="AG441" s="572"/>
      <c r="AH441" s="572"/>
      <c r="AI441" s="572"/>
      <c r="AJ441" s="572"/>
      <c r="AK441" s="572"/>
      <c r="AL441" s="572"/>
      <c r="AM441" s="572"/>
      <c r="AN441" s="572"/>
      <c r="AO441" s="572"/>
      <c r="AP441" s="572"/>
      <c r="AQ441" s="572"/>
      <c r="AR441" s="572"/>
      <c r="AS441" s="572"/>
      <c r="AT441" s="572"/>
      <c r="AU441" s="572"/>
    </row>
    <row r="442" spans="1:47" ht="15.75" customHeight="1">
      <c r="A442" s="577">
        <v>44390</v>
      </c>
      <c r="B442" s="578" t="s">
        <v>6409</v>
      </c>
      <c r="C442" s="405" t="s">
        <v>2921</v>
      </c>
      <c r="D442" s="563" t="s">
        <v>6341</v>
      </c>
      <c r="E442" s="575">
        <v>6000</v>
      </c>
      <c r="F442" s="563" t="s">
        <v>3257</v>
      </c>
      <c r="G442" s="573" t="s">
        <v>19</v>
      </c>
      <c r="H442" s="573" t="s">
        <v>34</v>
      </c>
      <c r="I442" s="573" t="s">
        <v>35</v>
      </c>
      <c r="J442" s="573">
        <v>44295</v>
      </c>
      <c r="K442" s="576" t="s">
        <v>3802</v>
      </c>
      <c r="L442" s="572"/>
      <c r="M442" s="572"/>
      <c r="N442" s="572"/>
      <c r="O442" s="572"/>
      <c r="P442" s="572"/>
      <c r="Q442" s="572"/>
      <c r="R442" s="572"/>
      <c r="S442" s="572"/>
      <c r="T442" s="572"/>
      <c r="U442" s="572"/>
      <c r="V442" s="572"/>
      <c r="W442" s="572"/>
      <c r="X442" s="572"/>
      <c r="Y442" s="572"/>
      <c r="Z442" s="572"/>
      <c r="AA442" s="572"/>
      <c r="AB442" s="572"/>
      <c r="AC442" s="572"/>
      <c r="AD442" s="572"/>
      <c r="AE442" s="572"/>
      <c r="AF442" s="572"/>
      <c r="AG442" s="572"/>
      <c r="AH442" s="572"/>
      <c r="AI442" s="572"/>
      <c r="AJ442" s="572"/>
      <c r="AK442" s="572"/>
      <c r="AL442" s="572"/>
      <c r="AM442" s="572"/>
      <c r="AN442" s="572"/>
      <c r="AO442" s="572"/>
      <c r="AP442" s="572"/>
      <c r="AQ442" s="572"/>
      <c r="AR442" s="572"/>
      <c r="AS442" s="572"/>
      <c r="AT442" s="572"/>
      <c r="AU442" s="572"/>
    </row>
    <row r="443" spans="1:47" ht="15.75" customHeight="1">
      <c r="A443" s="577">
        <v>44391</v>
      </c>
      <c r="B443" s="578" t="s">
        <v>6479</v>
      </c>
      <c r="C443" s="405" t="s">
        <v>2921</v>
      </c>
      <c r="D443" s="563" t="s">
        <v>6341</v>
      </c>
      <c r="E443" s="575">
        <v>4000</v>
      </c>
      <c r="F443" s="563" t="s">
        <v>3033</v>
      </c>
      <c r="G443" s="573" t="s">
        <v>19</v>
      </c>
      <c r="H443" s="573" t="s">
        <v>34</v>
      </c>
      <c r="I443" s="573" t="s">
        <v>2971</v>
      </c>
      <c r="J443" s="573">
        <v>44260</v>
      </c>
      <c r="K443" s="576" t="s">
        <v>3795</v>
      </c>
      <c r="L443" s="572"/>
      <c r="M443" s="572"/>
      <c r="N443" s="572"/>
      <c r="O443" s="572"/>
      <c r="P443" s="572"/>
      <c r="Q443" s="572"/>
      <c r="R443" s="572"/>
      <c r="S443" s="572"/>
      <c r="T443" s="572"/>
      <c r="U443" s="572"/>
      <c r="V443" s="572"/>
      <c r="W443" s="572"/>
      <c r="X443" s="572"/>
      <c r="Y443" s="572"/>
      <c r="Z443" s="572"/>
      <c r="AA443" s="572"/>
      <c r="AB443" s="572"/>
      <c r="AC443" s="572"/>
      <c r="AD443" s="572"/>
      <c r="AE443" s="572"/>
      <c r="AF443" s="572"/>
      <c r="AG443" s="572"/>
      <c r="AH443" s="572"/>
      <c r="AI443" s="572"/>
      <c r="AJ443" s="572"/>
      <c r="AK443" s="572"/>
      <c r="AL443" s="572"/>
      <c r="AM443" s="572"/>
      <c r="AN443" s="572"/>
      <c r="AO443" s="572"/>
      <c r="AP443" s="572"/>
      <c r="AQ443" s="572"/>
      <c r="AR443" s="572"/>
      <c r="AS443" s="572"/>
      <c r="AT443" s="572"/>
      <c r="AU443" s="572"/>
    </row>
    <row r="444" spans="1:47" ht="15.75" customHeight="1">
      <c r="A444" s="573">
        <v>44393</v>
      </c>
      <c r="B444" s="594" t="s">
        <v>6508</v>
      </c>
      <c r="C444" s="563" t="s">
        <v>2921</v>
      </c>
      <c r="D444" s="563" t="s">
        <v>3110</v>
      </c>
      <c r="E444" s="575">
        <v>156601.32</v>
      </c>
      <c r="F444" s="563" t="s">
        <v>3234</v>
      </c>
      <c r="G444" s="573" t="s">
        <v>19</v>
      </c>
      <c r="H444" s="573" t="s">
        <v>34</v>
      </c>
      <c r="I444" s="573" t="s">
        <v>262</v>
      </c>
      <c r="J444" s="573">
        <v>44280</v>
      </c>
      <c r="K444" s="576" t="s">
        <v>3795</v>
      </c>
      <c r="L444" s="572"/>
      <c r="M444" s="572"/>
      <c r="N444" s="572"/>
      <c r="O444" s="572"/>
      <c r="P444" s="572"/>
      <c r="Q444" s="572"/>
      <c r="R444" s="572"/>
      <c r="S444" s="572"/>
      <c r="T444" s="572"/>
      <c r="U444" s="572"/>
      <c r="V444" s="572"/>
      <c r="W444" s="572"/>
      <c r="X444" s="572"/>
      <c r="Y444" s="572"/>
      <c r="Z444" s="572"/>
      <c r="AA444" s="572"/>
      <c r="AB444" s="572"/>
      <c r="AC444" s="572"/>
      <c r="AD444" s="572"/>
      <c r="AE444" s="572"/>
      <c r="AF444" s="572"/>
      <c r="AG444" s="572"/>
      <c r="AH444" s="572"/>
      <c r="AI444" s="572"/>
      <c r="AJ444" s="572"/>
      <c r="AK444" s="572"/>
      <c r="AL444" s="572"/>
      <c r="AM444" s="572"/>
      <c r="AN444" s="572"/>
      <c r="AO444" s="572"/>
      <c r="AP444" s="572"/>
      <c r="AQ444" s="572"/>
      <c r="AR444" s="572"/>
      <c r="AS444" s="572"/>
      <c r="AT444" s="572"/>
      <c r="AU444" s="572"/>
    </row>
    <row r="445" spans="1:47" ht="15.75" customHeight="1">
      <c r="A445" s="577">
        <v>44393</v>
      </c>
      <c r="B445" s="578" t="s">
        <v>6479</v>
      </c>
      <c r="C445" s="405" t="s">
        <v>2921</v>
      </c>
      <c r="D445" s="563" t="s">
        <v>6341</v>
      </c>
      <c r="E445" s="575">
        <v>107481.43</v>
      </c>
      <c r="F445" s="563" t="s">
        <v>3033</v>
      </c>
      <c r="G445" s="573" t="s">
        <v>19</v>
      </c>
      <c r="H445" s="573" t="s">
        <v>34</v>
      </c>
      <c r="I445" s="573" t="s">
        <v>2971</v>
      </c>
      <c r="J445" s="573">
        <v>44260</v>
      </c>
      <c r="K445" s="576" t="s">
        <v>3795</v>
      </c>
      <c r="L445" s="572"/>
      <c r="M445" s="572"/>
      <c r="N445" s="572"/>
      <c r="O445" s="572"/>
      <c r="P445" s="572"/>
      <c r="Q445" s="572"/>
      <c r="R445" s="572"/>
      <c r="S445" s="572"/>
      <c r="T445" s="572"/>
      <c r="U445" s="572"/>
      <c r="V445" s="572"/>
      <c r="W445" s="572"/>
      <c r="X445" s="572"/>
      <c r="Y445" s="572"/>
      <c r="Z445" s="572"/>
      <c r="AA445" s="572"/>
      <c r="AB445" s="572"/>
      <c r="AC445" s="572"/>
      <c r="AD445" s="572"/>
      <c r="AE445" s="572"/>
      <c r="AF445" s="572"/>
      <c r="AG445" s="572"/>
      <c r="AH445" s="572"/>
      <c r="AI445" s="572"/>
      <c r="AJ445" s="572"/>
      <c r="AK445" s="572"/>
      <c r="AL445" s="572"/>
      <c r="AM445" s="572"/>
      <c r="AN445" s="572"/>
      <c r="AO445" s="572"/>
      <c r="AP445" s="572"/>
      <c r="AQ445" s="572"/>
      <c r="AR445" s="572"/>
      <c r="AS445" s="572"/>
      <c r="AT445" s="572"/>
      <c r="AU445" s="572"/>
    </row>
    <row r="446" spans="1:47" ht="15.75" customHeight="1">
      <c r="A446" s="577">
        <v>44393</v>
      </c>
      <c r="B446" s="578" t="s">
        <v>6508</v>
      </c>
      <c r="C446" s="405" t="s">
        <v>2921</v>
      </c>
      <c r="D446" s="563" t="s">
        <v>6341</v>
      </c>
      <c r="E446" s="575">
        <v>10000</v>
      </c>
      <c r="F446" s="563" t="s">
        <v>3234</v>
      </c>
      <c r="G446" s="573" t="s">
        <v>19</v>
      </c>
      <c r="H446" s="573" t="s">
        <v>34</v>
      </c>
      <c r="I446" s="573" t="s">
        <v>262</v>
      </c>
      <c r="J446" s="573">
        <v>44280</v>
      </c>
      <c r="K446" s="576" t="s">
        <v>3795</v>
      </c>
      <c r="L446" s="572"/>
      <c r="M446" s="572"/>
      <c r="N446" s="572"/>
      <c r="O446" s="572"/>
      <c r="P446" s="572"/>
      <c r="Q446" s="572"/>
      <c r="R446" s="572"/>
      <c r="S446" s="572"/>
      <c r="T446" s="572"/>
      <c r="U446" s="572"/>
      <c r="V446" s="572"/>
      <c r="W446" s="572"/>
      <c r="X446" s="572"/>
      <c r="Y446" s="572"/>
      <c r="Z446" s="572"/>
      <c r="AA446" s="572"/>
      <c r="AB446" s="572"/>
      <c r="AC446" s="572"/>
      <c r="AD446" s="572"/>
      <c r="AE446" s="572"/>
      <c r="AF446" s="572"/>
      <c r="AG446" s="572"/>
      <c r="AH446" s="572"/>
      <c r="AI446" s="572"/>
      <c r="AJ446" s="572"/>
      <c r="AK446" s="572"/>
      <c r="AL446" s="572"/>
      <c r="AM446" s="572"/>
      <c r="AN446" s="572"/>
      <c r="AO446" s="572"/>
      <c r="AP446" s="572"/>
      <c r="AQ446" s="572"/>
      <c r="AR446" s="572"/>
      <c r="AS446" s="572"/>
      <c r="AT446" s="572"/>
      <c r="AU446" s="572"/>
    </row>
    <row r="447" spans="1:47" ht="15.75" customHeight="1">
      <c r="A447" s="577">
        <v>44393</v>
      </c>
      <c r="B447" s="578" t="s">
        <v>6509</v>
      </c>
      <c r="C447" s="405" t="s">
        <v>2921</v>
      </c>
      <c r="D447" s="563" t="s">
        <v>6341</v>
      </c>
      <c r="E447" s="575">
        <v>20000</v>
      </c>
      <c r="F447" s="563" t="s">
        <v>3296</v>
      </c>
      <c r="G447" s="573" t="s">
        <v>19</v>
      </c>
      <c r="H447" s="573" t="s">
        <v>34</v>
      </c>
      <c r="I447" s="573" t="s">
        <v>35</v>
      </c>
      <c r="J447" s="573">
        <v>44263</v>
      </c>
      <c r="K447" s="576" t="s">
        <v>3789</v>
      </c>
      <c r="L447" s="572"/>
      <c r="M447" s="572"/>
      <c r="N447" s="572"/>
      <c r="O447" s="572"/>
      <c r="P447" s="572"/>
      <c r="Q447" s="572"/>
      <c r="R447" s="572"/>
      <c r="S447" s="572"/>
      <c r="T447" s="572"/>
      <c r="U447" s="572"/>
      <c r="V447" s="572"/>
      <c r="W447" s="572"/>
      <c r="X447" s="572"/>
      <c r="Y447" s="572"/>
      <c r="Z447" s="572"/>
      <c r="AA447" s="572"/>
      <c r="AB447" s="572"/>
      <c r="AC447" s="572"/>
      <c r="AD447" s="572"/>
      <c r="AE447" s="572"/>
      <c r="AF447" s="572"/>
      <c r="AG447" s="572"/>
      <c r="AH447" s="572"/>
      <c r="AI447" s="572"/>
      <c r="AJ447" s="572"/>
      <c r="AK447" s="572"/>
      <c r="AL447" s="572"/>
      <c r="AM447" s="572"/>
      <c r="AN447" s="572"/>
      <c r="AO447" s="572"/>
      <c r="AP447" s="572"/>
      <c r="AQ447" s="572"/>
      <c r="AR447" s="572"/>
      <c r="AS447" s="572"/>
      <c r="AT447" s="572"/>
      <c r="AU447" s="572"/>
    </row>
    <row r="448" spans="1:47" ht="15.75" customHeight="1">
      <c r="A448" s="577">
        <v>44393</v>
      </c>
      <c r="B448" s="578" t="s">
        <v>6347</v>
      </c>
      <c r="C448" s="405" t="s">
        <v>2921</v>
      </c>
      <c r="D448" s="563" t="s">
        <v>6341</v>
      </c>
      <c r="E448" s="575">
        <v>50000</v>
      </c>
      <c r="F448" s="563" t="s">
        <v>3191</v>
      </c>
      <c r="G448" s="573" t="s">
        <v>2923</v>
      </c>
      <c r="H448" s="573" t="s">
        <v>20</v>
      </c>
      <c r="I448" s="573" t="s">
        <v>2924</v>
      </c>
      <c r="J448" s="573">
        <v>43703</v>
      </c>
      <c r="K448" s="576" t="s">
        <v>4188</v>
      </c>
      <c r="L448" s="572"/>
      <c r="M448" s="572"/>
      <c r="N448" s="572"/>
      <c r="O448" s="572"/>
      <c r="P448" s="572"/>
      <c r="Q448" s="572"/>
      <c r="R448" s="572"/>
      <c r="S448" s="572"/>
      <c r="T448" s="572"/>
      <c r="U448" s="572"/>
      <c r="V448" s="572"/>
      <c r="W448" s="572"/>
      <c r="X448" s="572"/>
      <c r="Y448" s="572"/>
      <c r="Z448" s="572"/>
      <c r="AA448" s="572"/>
      <c r="AB448" s="572"/>
      <c r="AC448" s="572"/>
      <c r="AD448" s="572"/>
      <c r="AE448" s="572"/>
      <c r="AF448" s="572"/>
      <c r="AG448" s="572"/>
      <c r="AH448" s="572"/>
      <c r="AI448" s="572"/>
      <c r="AJ448" s="572"/>
      <c r="AK448" s="572"/>
      <c r="AL448" s="572"/>
      <c r="AM448" s="572"/>
      <c r="AN448" s="572"/>
      <c r="AO448" s="572"/>
      <c r="AP448" s="572"/>
      <c r="AQ448" s="572"/>
      <c r="AR448" s="572"/>
      <c r="AS448" s="572"/>
      <c r="AT448" s="572"/>
      <c r="AU448" s="572"/>
    </row>
    <row r="449" spans="1:47" ht="15.75" customHeight="1">
      <c r="A449" s="573">
        <v>44396</v>
      </c>
      <c r="B449" s="574" t="s">
        <v>6510</v>
      </c>
      <c r="C449" s="563" t="s">
        <v>3785</v>
      </c>
      <c r="D449" s="563" t="s">
        <v>3110</v>
      </c>
      <c r="E449" s="575">
        <v>0</v>
      </c>
      <c r="F449" s="563" t="s">
        <v>3830</v>
      </c>
      <c r="G449" s="563" t="s">
        <v>64</v>
      </c>
      <c r="H449" s="563" t="s">
        <v>20</v>
      </c>
      <c r="I449" s="563" t="s">
        <v>3634</v>
      </c>
      <c r="J449" s="573">
        <v>44085</v>
      </c>
      <c r="K449" s="579" t="s">
        <v>3805</v>
      </c>
      <c r="L449" s="572"/>
      <c r="M449" s="572"/>
      <c r="N449" s="572"/>
      <c r="O449" s="572"/>
      <c r="P449" s="572"/>
      <c r="Q449" s="572"/>
      <c r="R449" s="572"/>
      <c r="S449" s="572"/>
      <c r="T449" s="572"/>
      <c r="U449" s="572"/>
      <c r="V449" s="572"/>
      <c r="W449" s="572"/>
      <c r="X449" s="572"/>
      <c r="Y449" s="572"/>
      <c r="Z449" s="572"/>
      <c r="AA449" s="572"/>
      <c r="AB449" s="572"/>
      <c r="AC449" s="572"/>
      <c r="AD449" s="572"/>
      <c r="AE449" s="572"/>
      <c r="AF449" s="572"/>
      <c r="AG449" s="572"/>
      <c r="AH449" s="572"/>
      <c r="AI449" s="572"/>
      <c r="AJ449" s="572"/>
      <c r="AK449" s="572"/>
      <c r="AL449" s="572"/>
      <c r="AM449" s="572"/>
      <c r="AN449" s="572"/>
      <c r="AO449" s="572"/>
      <c r="AP449" s="572"/>
      <c r="AQ449" s="572"/>
      <c r="AR449" s="572"/>
      <c r="AS449" s="572"/>
      <c r="AT449" s="572"/>
      <c r="AU449" s="572"/>
    </row>
    <row r="450" spans="1:47" ht="15.75" customHeight="1">
      <c r="A450" s="577">
        <v>44396</v>
      </c>
      <c r="B450" s="578" t="s">
        <v>6368</v>
      </c>
      <c r="C450" s="405" t="s">
        <v>2921</v>
      </c>
      <c r="D450" s="563" t="s">
        <v>6341</v>
      </c>
      <c r="E450" s="575">
        <v>10000</v>
      </c>
      <c r="F450" s="563" t="s">
        <v>3349</v>
      </c>
      <c r="G450" s="573" t="s">
        <v>2923</v>
      </c>
      <c r="H450" s="573" t="s">
        <v>20</v>
      </c>
      <c r="I450" s="573" t="s">
        <v>2924</v>
      </c>
      <c r="J450" s="573">
        <v>43564</v>
      </c>
      <c r="K450" s="576" t="s">
        <v>3809</v>
      </c>
      <c r="L450" s="572"/>
      <c r="M450" s="572"/>
      <c r="N450" s="572"/>
      <c r="O450" s="572"/>
      <c r="P450" s="572"/>
      <c r="Q450" s="572"/>
      <c r="R450" s="572"/>
      <c r="S450" s="572"/>
      <c r="T450" s="572"/>
      <c r="U450" s="572"/>
      <c r="V450" s="572"/>
      <c r="W450" s="572"/>
      <c r="X450" s="572"/>
      <c r="Y450" s="572"/>
      <c r="Z450" s="572"/>
      <c r="AA450" s="572"/>
      <c r="AB450" s="572"/>
      <c r="AC450" s="572"/>
      <c r="AD450" s="572"/>
      <c r="AE450" s="572"/>
      <c r="AF450" s="572"/>
      <c r="AG450" s="572"/>
      <c r="AH450" s="572"/>
      <c r="AI450" s="572"/>
      <c r="AJ450" s="572"/>
      <c r="AK450" s="572"/>
      <c r="AL450" s="572"/>
      <c r="AM450" s="572"/>
      <c r="AN450" s="572"/>
      <c r="AO450" s="572"/>
      <c r="AP450" s="572"/>
      <c r="AQ450" s="572"/>
      <c r="AR450" s="572"/>
      <c r="AS450" s="572"/>
      <c r="AT450" s="572"/>
      <c r="AU450" s="572"/>
    </row>
    <row r="451" spans="1:47" ht="15.75" customHeight="1">
      <c r="A451" s="577">
        <v>44396</v>
      </c>
      <c r="B451" s="578" t="s">
        <v>6473</v>
      </c>
      <c r="C451" s="405" t="s">
        <v>2921</v>
      </c>
      <c r="D451" s="563" t="s">
        <v>6341</v>
      </c>
      <c r="E451" s="575">
        <v>30000</v>
      </c>
      <c r="F451" s="563" t="s">
        <v>3332</v>
      </c>
      <c r="G451" s="573" t="s">
        <v>19</v>
      </c>
      <c r="H451" s="573" t="s">
        <v>34</v>
      </c>
      <c r="I451" s="573" t="s">
        <v>262</v>
      </c>
      <c r="J451" s="573">
        <v>44322</v>
      </c>
      <c r="K451" s="576" t="s">
        <v>3795</v>
      </c>
      <c r="L451" s="572"/>
      <c r="M451" s="572"/>
      <c r="N451" s="572"/>
      <c r="O451" s="572"/>
      <c r="P451" s="572"/>
      <c r="Q451" s="572"/>
      <c r="R451" s="572"/>
      <c r="S451" s="572"/>
      <c r="T451" s="572"/>
      <c r="U451" s="572"/>
      <c r="V451" s="572"/>
      <c r="W451" s="572"/>
      <c r="X451" s="572"/>
      <c r="Y451" s="572"/>
      <c r="Z451" s="572"/>
      <c r="AA451" s="572"/>
      <c r="AB451" s="572"/>
      <c r="AC451" s="572"/>
      <c r="AD451" s="572"/>
      <c r="AE451" s="572"/>
      <c r="AF451" s="572"/>
      <c r="AG451" s="572"/>
      <c r="AH451" s="572"/>
      <c r="AI451" s="572"/>
      <c r="AJ451" s="572"/>
      <c r="AK451" s="572"/>
      <c r="AL451" s="572"/>
      <c r="AM451" s="572"/>
      <c r="AN451" s="572"/>
      <c r="AO451" s="572"/>
      <c r="AP451" s="572"/>
      <c r="AQ451" s="572"/>
      <c r="AR451" s="572"/>
      <c r="AS451" s="572"/>
      <c r="AT451" s="572"/>
      <c r="AU451" s="572"/>
    </row>
    <row r="452" spans="1:47" ht="15.75" customHeight="1">
      <c r="A452" s="577">
        <v>44397</v>
      </c>
      <c r="B452" s="578" t="s">
        <v>6363</v>
      </c>
      <c r="C452" s="405" t="s">
        <v>2921</v>
      </c>
      <c r="D452" s="563" t="s">
        <v>6341</v>
      </c>
      <c r="E452" s="575">
        <v>300000</v>
      </c>
      <c r="F452" s="563" t="s">
        <v>3445</v>
      </c>
      <c r="G452" s="573" t="s">
        <v>2923</v>
      </c>
      <c r="H452" s="573" t="s">
        <v>20</v>
      </c>
      <c r="I452" s="573" t="s">
        <v>2924</v>
      </c>
      <c r="J452" s="573">
        <v>43894</v>
      </c>
      <c r="K452" s="576" t="s">
        <v>3805</v>
      </c>
      <c r="L452" s="572"/>
      <c r="M452" s="572"/>
      <c r="N452" s="572"/>
      <c r="O452" s="572"/>
      <c r="P452" s="572"/>
      <c r="Q452" s="572"/>
      <c r="R452" s="572"/>
      <c r="S452" s="572"/>
      <c r="T452" s="572"/>
      <c r="U452" s="572"/>
      <c r="V452" s="572"/>
      <c r="W452" s="572"/>
      <c r="X452" s="572"/>
      <c r="Y452" s="572"/>
      <c r="Z452" s="572"/>
      <c r="AA452" s="572"/>
      <c r="AB452" s="572"/>
      <c r="AC452" s="572"/>
      <c r="AD452" s="572"/>
      <c r="AE452" s="572"/>
      <c r="AF452" s="572"/>
      <c r="AG452" s="572"/>
      <c r="AH452" s="572"/>
      <c r="AI452" s="572"/>
      <c r="AJ452" s="572"/>
      <c r="AK452" s="572"/>
      <c r="AL452" s="572"/>
      <c r="AM452" s="572"/>
      <c r="AN452" s="572"/>
      <c r="AO452" s="572"/>
      <c r="AP452" s="572"/>
      <c r="AQ452" s="572"/>
      <c r="AR452" s="572"/>
      <c r="AS452" s="572"/>
      <c r="AT452" s="572"/>
      <c r="AU452" s="572"/>
    </row>
    <row r="453" spans="1:47" ht="15.75" customHeight="1">
      <c r="A453" s="577">
        <v>44397</v>
      </c>
      <c r="B453" s="578" t="s">
        <v>6409</v>
      </c>
      <c r="C453" s="405" t="s">
        <v>2921</v>
      </c>
      <c r="D453" s="563" t="s">
        <v>6341</v>
      </c>
      <c r="E453" s="575">
        <v>10000</v>
      </c>
      <c r="F453" s="563" t="s">
        <v>3257</v>
      </c>
      <c r="G453" s="573" t="s">
        <v>19</v>
      </c>
      <c r="H453" s="573" t="s">
        <v>34</v>
      </c>
      <c r="I453" s="573" t="s">
        <v>35</v>
      </c>
      <c r="J453" s="573">
        <v>44295</v>
      </c>
      <c r="K453" s="576" t="s">
        <v>3802</v>
      </c>
      <c r="L453" s="572"/>
      <c r="M453" s="572"/>
      <c r="N453" s="572"/>
      <c r="O453" s="572"/>
      <c r="P453" s="572"/>
      <c r="Q453" s="572"/>
      <c r="R453" s="572"/>
      <c r="S453" s="572"/>
      <c r="T453" s="572"/>
      <c r="U453" s="572"/>
      <c r="V453" s="572"/>
      <c r="W453" s="572"/>
      <c r="X453" s="572"/>
      <c r="Y453" s="572"/>
      <c r="Z453" s="572"/>
      <c r="AA453" s="572"/>
      <c r="AB453" s="572"/>
      <c r="AC453" s="572"/>
      <c r="AD453" s="572"/>
      <c r="AE453" s="572"/>
      <c r="AF453" s="572"/>
      <c r="AG453" s="572"/>
      <c r="AH453" s="572"/>
      <c r="AI453" s="572"/>
      <c r="AJ453" s="572"/>
      <c r="AK453" s="572"/>
      <c r="AL453" s="572"/>
      <c r="AM453" s="572"/>
      <c r="AN453" s="572"/>
      <c r="AO453" s="572"/>
      <c r="AP453" s="572"/>
      <c r="AQ453" s="572"/>
      <c r="AR453" s="572"/>
      <c r="AS453" s="572"/>
      <c r="AT453" s="572"/>
      <c r="AU453" s="572"/>
    </row>
    <row r="454" spans="1:47" ht="15.75" customHeight="1">
      <c r="A454" s="577">
        <v>44398</v>
      </c>
      <c r="B454" s="578" t="s">
        <v>6473</v>
      </c>
      <c r="C454" s="405" t="s">
        <v>2921</v>
      </c>
      <c r="D454" s="563" t="s">
        <v>6341</v>
      </c>
      <c r="E454" s="575">
        <v>468601.48</v>
      </c>
      <c r="F454" s="563" t="s">
        <v>3332</v>
      </c>
      <c r="G454" s="573" t="s">
        <v>19</v>
      </c>
      <c r="H454" s="573" t="s">
        <v>34</v>
      </c>
      <c r="I454" s="573" t="s">
        <v>262</v>
      </c>
      <c r="J454" s="573">
        <v>44322</v>
      </c>
      <c r="K454" s="576" t="s">
        <v>3795</v>
      </c>
      <c r="L454" s="572"/>
      <c r="M454" s="572"/>
      <c r="N454" s="572"/>
      <c r="O454" s="572"/>
      <c r="P454" s="572"/>
      <c r="Q454" s="572"/>
      <c r="R454" s="572"/>
      <c r="S454" s="572"/>
      <c r="T454" s="572"/>
      <c r="U454" s="572"/>
      <c r="V454" s="572"/>
      <c r="W454" s="572"/>
      <c r="X454" s="572"/>
      <c r="Y454" s="572"/>
      <c r="Z454" s="572"/>
      <c r="AA454" s="572"/>
      <c r="AB454" s="572"/>
      <c r="AC454" s="572"/>
      <c r="AD454" s="572"/>
      <c r="AE454" s="572"/>
      <c r="AF454" s="572"/>
      <c r="AG454" s="572"/>
      <c r="AH454" s="572"/>
      <c r="AI454" s="572"/>
      <c r="AJ454" s="572"/>
      <c r="AK454" s="572"/>
      <c r="AL454" s="572"/>
      <c r="AM454" s="572"/>
      <c r="AN454" s="572"/>
      <c r="AO454" s="572"/>
      <c r="AP454" s="572"/>
      <c r="AQ454" s="572"/>
      <c r="AR454" s="572"/>
      <c r="AS454" s="572"/>
      <c r="AT454" s="572"/>
      <c r="AU454" s="572"/>
    </row>
    <row r="455" spans="1:47" ht="15.75" customHeight="1">
      <c r="A455" s="577">
        <v>44398</v>
      </c>
      <c r="B455" s="578" t="s">
        <v>6477</v>
      </c>
      <c r="C455" s="405" t="s">
        <v>2921</v>
      </c>
      <c r="D455" s="563" t="s">
        <v>6341</v>
      </c>
      <c r="E455" s="581">
        <v>2200</v>
      </c>
      <c r="F455" s="563" t="s">
        <v>1935</v>
      </c>
      <c r="G455" s="573" t="s">
        <v>19</v>
      </c>
      <c r="H455" s="573" t="s">
        <v>34</v>
      </c>
      <c r="I455" s="573" t="s">
        <v>35</v>
      </c>
      <c r="J455" s="573">
        <v>44322</v>
      </c>
      <c r="K455" s="576" t="s">
        <v>3795</v>
      </c>
      <c r="L455" s="572"/>
      <c r="M455" s="572"/>
      <c r="N455" s="572"/>
      <c r="O455" s="572"/>
      <c r="P455" s="572"/>
      <c r="Q455" s="572"/>
      <c r="R455" s="572"/>
      <c r="S455" s="572"/>
      <c r="T455" s="572"/>
      <c r="U455" s="572"/>
      <c r="V455" s="572"/>
      <c r="W455" s="572"/>
      <c r="X455" s="572"/>
      <c r="Y455" s="572"/>
      <c r="Z455" s="572"/>
      <c r="AA455" s="572"/>
      <c r="AB455" s="572"/>
      <c r="AC455" s="572"/>
      <c r="AD455" s="572"/>
      <c r="AE455" s="572"/>
      <c r="AF455" s="572"/>
      <c r="AG455" s="572"/>
      <c r="AH455" s="572"/>
      <c r="AI455" s="572"/>
      <c r="AJ455" s="572"/>
      <c r="AK455" s="572"/>
      <c r="AL455" s="572"/>
      <c r="AM455" s="572"/>
      <c r="AN455" s="572"/>
      <c r="AO455" s="572"/>
      <c r="AP455" s="572"/>
      <c r="AQ455" s="572"/>
      <c r="AR455" s="572"/>
      <c r="AS455" s="572"/>
      <c r="AT455" s="572"/>
      <c r="AU455" s="572"/>
    </row>
    <row r="456" spans="1:47" ht="15.75" customHeight="1">
      <c r="A456" s="577">
        <v>44399</v>
      </c>
      <c r="B456" s="578" t="s">
        <v>6473</v>
      </c>
      <c r="C456" s="405" t="s">
        <v>2921</v>
      </c>
      <c r="D456" s="563" t="s">
        <v>6341</v>
      </c>
      <c r="E456" s="575">
        <v>20000</v>
      </c>
      <c r="F456" s="563" t="s">
        <v>3332</v>
      </c>
      <c r="G456" s="573" t="s">
        <v>19</v>
      </c>
      <c r="H456" s="573" t="s">
        <v>34</v>
      </c>
      <c r="I456" s="573" t="s">
        <v>262</v>
      </c>
      <c r="J456" s="573">
        <v>44322</v>
      </c>
      <c r="K456" s="576" t="s">
        <v>3795</v>
      </c>
      <c r="L456" s="572"/>
      <c r="M456" s="572"/>
      <c r="N456" s="572"/>
      <c r="O456" s="572"/>
      <c r="P456" s="572"/>
      <c r="Q456" s="572"/>
      <c r="R456" s="572"/>
      <c r="S456" s="572"/>
      <c r="T456" s="572"/>
      <c r="U456" s="572"/>
      <c r="V456" s="572"/>
      <c r="W456" s="572"/>
      <c r="X456" s="572"/>
      <c r="Y456" s="572"/>
      <c r="Z456" s="572"/>
      <c r="AA456" s="572"/>
      <c r="AB456" s="572"/>
      <c r="AC456" s="572"/>
      <c r="AD456" s="572"/>
      <c r="AE456" s="572"/>
      <c r="AF456" s="572"/>
      <c r="AG456" s="572"/>
      <c r="AH456" s="572"/>
      <c r="AI456" s="572"/>
      <c r="AJ456" s="572"/>
      <c r="AK456" s="572"/>
      <c r="AL456" s="572"/>
      <c r="AM456" s="572"/>
      <c r="AN456" s="572"/>
      <c r="AO456" s="572"/>
      <c r="AP456" s="572"/>
      <c r="AQ456" s="572"/>
      <c r="AR456" s="572"/>
      <c r="AS456" s="572"/>
      <c r="AT456" s="572"/>
      <c r="AU456" s="572"/>
    </row>
    <row r="457" spans="1:47" ht="15.75" customHeight="1">
      <c r="A457" s="577">
        <v>44400</v>
      </c>
      <c r="B457" s="578" t="s">
        <v>6481</v>
      </c>
      <c r="C457" s="405" t="s">
        <v>2921</v>
      </c>
      <c r="D457" s="563" t="s">
        <v>6341</v>
      </c>
      <c r="E457" s="575">
        <v>15000</v>
      </c>
      <c r="F457" s="563" t="s">
        <v>3200</v>
      </c>
      <c r="G457" s="573" t="s">
        <v>2923</v>
      </c>
      <c r="H457" s="573" t="s">
        <v>20</v>
      </c>
      <c r="I457" s="573" t="s">
        <v>2930</v>
      </c>
      <c r="J457" s="573">
        <v>43752</v>
      </c>
      <c r="K457" s="576" t="s">
        <v>3795</v>
      </c>
      <c r="L457" s="572"/>
      <c r="M457" s="572"/>
      <c r="N457" s="572"/>
      <c r="O457" s="572"/>
      <c r="P457" s="572"/>
      <c r="Q457" s="572"/>
      <c r="R457" s="572"/>
      <c r="S457" s="572"/>
      <c r="T457" s="572"/>
      <c r="U457" s="572"/>
      <c r="V457" s="572"/>
      <c r="W457" s="572"/>
      <c r="X457" s="572"/>
      <c r="Y457" s="572"/>
      <c r="Z457" s="572"/>
      <c r="AA457" s="572"/>
      <c r="AB457" s="572"/>
      <c r="AC457" s="572"/>
      <c r="AD457" s="572"/>
      <c r="AE457" s="572"/>
      <c r="AF457" s="572"/>
      <c r="AG457" s="572"/>
      <c r="AH457" s="572"/>
      <c r="AI457" s="572"/>
      <c r="AJ457" s="572"/>
      <c r="AK457" s="572"/>
      <c r="AL457" s="572"/>
      <c r="AM457" s="572"/>
      <c r="AN457" s="572"/>
      <c r="AO457" s="572"/>
      <c r="AP457" s="572"/>
      <c r="AQ457" s="572"/>
      <c r="AR457" s="572"/>
      <c r="AS457" s="572"/>
      <c r="AT457" s="572"/>
      <c r="AU457" s="572"/>
    </row>
    <row r="458" spans="1:47" ht="15.75" customHeight="1">
      <c r="A458" s="577">
        <v>44403</v>
      </c>
      <c r="B458" s="578" t="s">
        <v>6504</v>
      </c>
      <c r="C458" s="405" t="s">
        <v>2921</v>
      </c>
      <c r="D458" s="563" t="s">
        <v>6341</v>
      </c>
      <c r="E458" s="575">
        <v>30000</v>
      </c>
      <c r="F458" s="563" t="s">
        <v>2933</v>
      </c>
      <c r="G458" s="573" t="s">
        <v>19</v>
      </c>
      <c r="H458" s="573" t="s">
        <v>34</v>
      </c>
      <c r="I458" s="573" t="s">
        <v>262</v>
      </c>
      <c r="J458" s="573">
        <v>44321</v>
      </c>
      <c r="K458" s="576" t="s">
        <v>3805</v>
      </c>
      <c r="L458" s="572"/>
      <c r="M458" s="572"/>
      <c r="N458" s="572"/>
      <c r="O458" s="572"/>
      <c r="P458" s="572"/>
      <c r="Q458" s="572"/>
      <c r="R458" s="572"/>
      <c r="S458" s="572"/>
      <c r="T458" s="572"/>
      <c r="U458" s="572"/>
      <c r="V458" s="572"/>
      <c r="W458" s="572"/>
      <c r="X458" s="572"/>
      <c r="Y458" s="572"/>
      <c r="Z458" s="572"/>
      <c r="AA458" s="572"/>
      <c r="AB458" s="572"/>
      <c r="AC458" s="572"/>
      <c r="AD458" s="572"/>
      <c r="AE458" s="572"/>
      <c r="AF458" s="572"/>
      <c r="AG458" s="572"/>
      <c r="AH458" s="572"/>
      <c r="AI458" s="572"/>
      <c r="AJ458" s="572"/>
      <c r="AK458" s="572"/>
      <c r="AL458" s="572"/>
      <c r="AM458" s="572"/>
      <c r="AN458" s="572"/>
      <c r="AO458" s="572"/>
      <c r="AP458" s="572"/>
      <c r="AQ458" s="572"/>
      <c r="AR458" s="572"/>
      <c r="AS458" s="572"/>
      <c r="AT458" s="572"/>
      <c r="AU458" s="572"/>
    </row>
    <row r="459" spans="1:47" ht="15.75" customHeight="1">
      <c r="A459" s="577">
        <v>44403</v>
      </c>
      <c r="B459" s="578" t="s">
        <v>6410</v>
      </c>
      <c r="C459" s="405" t="s">
        <v>2921</v>
      </c>
      <c r="D459" s="563" t="s">
        <v>6341</v>
      </c>
      <c r="E459" s="575">
        <v>40000</v>
      </c>
      <c r="F459" s="563" t="s">
        <v>3165</v>
      </c>
      <c r="G459" s="573" t="s">
        <v>19</v>
      </c>
      <c r="H459" s="573" t="s">
        <v>34</v>
      </c>
      <c r="I459" s="573" t="s">
        <v>35</v>
      </c>
      <c r="J459" s="573">
        <v>44272</v>
      </c>
      <c r="K459" s="576" t="s">
        <v>6411</v>
      </c>
      <c r="L459" s="572"/>
      <c r="M459" s="572"/>
      <c r="N459" s="572"/>
      <c r="O459" s="572"/>
      <c r="P459" s="572"/>
      <c r="Q459" s="572"/>
      <c r="R459" s="572"/>
      <c r="S459" s="572"/>
      <c r="T459" s="572"/>
      <c r="U459" s="572"/>
      <c r="V459" s="572"/>
      <c r="W459" s="572"/>
      <c r="X459" s="572"/>
      <c r="Y459" s="572"/>
      <c r="Z459" s="572"/>
      <c r="AA459" s="572"/>
      <c r="AB459" s="572"/>
      <c r="AC459" s="572"/>
      <c r="AD459" s="572"/>
      <c r="AE459" s="572"/>
      <c r="AF459" s="572"/>
      <c r="AG459" s="572"/>
      <c r="AH459" s="572"/>
      <c r="AI459" s="572"/>
      <c r="AJ459" s="572"/>
      <c r="AK459" s="572"/>
      <c r="AL459" s="572"/>
      <c r="AM459" s="572"/>
      <c r="AN459" s="572"/>
      <c r="AO459" s="572"/>
      <c r="AP459" s="572"/>
      <c r="AQ459" s="572"/>
      <c r="AR459" s="572"/>
      <c r="AS459" s="572"/>
      <c r="AT459" s="572"/>
      <c r="AU459" s="572"/>
    </row>
    <row r="460" spans="1:47" ht="15.75" customHeight="1">
      <c r="A460" s="577">
        <v>44404</v>
      </c>
      <c r="B460" s="578" t="s">
        <v>6511</v>
      </c>
      <c r="C460" s="563" t="s">
        <v>3785</v>
      </c>
      <c r="D460" s="563" t="s">
        <v>3110</v>
      </c>
      <c r="E460" s="575">
        <v>0</v>
      </c>
      <c r="F460" s="563" t="s">
        <v>4412</v>
      </c>
      <c r="G460" s="563" t="s">
        <v>19</v>
      </c>
      <c r="H460" s="563" t="s">
        <v>49</v>
      </c>
      <c r="I460" s="563" t="s">
        <v>328</v>
      </c>
      <c r="J460" s="573"/>
      <c r="K460" s="579" t="s">
        <v>3795</v>
      </c>
      <c r="L460" s="572"/>
      <c r="M460" s="572"/>
      <c r="N460" s="572"/>
      <c r="O460" s="572"/>
      <c r="P460" s="572"/>
      <c r="Q460" s="572"/>
      <c r="R460" s="572"/>
      <c r="S460" s="572"/>
      <c r="T460" s="572"/>
      <c r="U460" s="572"/>
      <c r="V460" s="572"/>
      <c r="W460" s="572"/>
      <c r="X460" s="572"/>
      <c r="Y460" s="572"/>
      <c r="Z460" s="572"/>
      <c r="AA460" s="572"/>
      <c r="AB460" s="572"/>
      <c r="AC460" s="572"/>
      <c r="AD460" s="572"/>
      <c r="AE460" s="572"/>
      <c r="AF460" s="572"/>
      <c r="AG460" s="572"/>
      <c r="AH460" s="572"/>
      <c r="AI460" s="572"/>
      <c r="AJ460" s="572"/>
      <c r="AK460" s="572"/>
      <c r="AL460" s="572"/>
      <c r="AM460" s="572"/>
      <c r="AN460" s="572"/>
      <c r="AO460" s="572"/>
      <c r="AP460" s="572"/>
      <c r="AQ460" s="572"/>
      <c r="AR460" s="572"/>
      <c r="AS460" s="572"/>
      <c r="AT460" s="572"/>
      <c r="AU460" s="572"/>
    </row>
    <row r="461" spans="1:47" ht="15.75" customHeight="1">
      <c r="A461" s="577">
        <v>44405</v>
      </c>
      <c r="B461" s="578" t="s">
        <v>6475</v>
      </c>
      <c r="C461" s="405" t="s">
        <v>2921</v>
      </c>
      <c r="D461" s="563" t="s">
        <v>6341</v>
      </c>
      <c r="E461" s="575">
        <v>100000</v>
      </c>
      <c r="F461" s="563" t="s">
        <v>3465</v>
      </c>
      <c r="G461" s="573" t="s">
        <v>19</v>
      </c>
      <c r="H461" s="573" t="s">
        <v>34</v>
      </c>
      <c r="I461" s="573" t="s">
        <v>262</v>
      </c>
      <c r="J461" s="573">
        <v>44319</v>
      </c>
      <c r="K461" s="576" t="s">
        <v>3795</v>
      </c>
      <c r="L461" s="572"/>
      <c r="M461" s="572"/>
      <c r="N461" s="572"/>
      <c r="O461" s="572"/>
      <c r="P461" s="572"/>
      <c r="Q461" s="572"/>
      <c r="R461" s="572"/>
      <c r="S461" s="572"/>
      <c r="T461" s="572"/>
      <c r="U461" s="572"/>
      <c r="V461" s="572"/>
      <c r="W461" s="572"/>
      <c r="X461" s="572"/>
      <c r="Y461" s="572"/>
      <c r="Z461" s="572"/>
      <c r="AA461" s="572"/>
      <c r="AB461" s="572"/>
      <c r="AC461" s="572"/>
      <c r="AD461" s="572"/>
      <c r="AE461" s="572"/>
      <c r="AF461" s="572"/>
      <c r="AG461" s="572"/>
      <c r="AH461" s="572"/>
      <c r="AI461" s="572"/>
      <c r="AJ461" s="572"/>
      <c r="AK461" s="572"/>
      <c r="AL461" s="572"/>
      <c r="AM461" s="572"/>
      <c r="AN461" s="572"/>
      <c r="AO461" s="572"/>
      <c r="AP461" s="572"/>
      <c r="AQ461" s="572"/>
      <c r="AR461" s="572"/>
      <c r="AS461" s="572"/>
      <c r="AT461" s="572"/>
      <c r="AU461" s="572"/>
    </row>
    <row r="462" spans="1:47" ht="15.75" customHeight="1">
      <c r="A462" s="577">
        <v>44406</v>
      </c>
      <c r="B462" s="578" t="s">
        <v>6512</v>
      </c>
      <c r="C462" s="405" t="s">
        <v>2921</v>
      </c>
      <c r="D462" s="563" t="s">
        <v>928</v>
      </c>
      <c r="E462" s="575">
        <v>15000</v>
      </c>
      <c r="F462" s="563" t="s">
        <v>3179</v>
      </c>
      <c r="G462" s="573" t="s">
        <v>2923</v>
      </c>
      <c r="H462" s="573" t="s">
        <v>20</v>
      </c>
      <c r="I462" s="573" t="s">
        <v>2924</v>
      </c>
      <c r="J462" s="573">
        <v>43859</v>
      </c>
      <c r="K462" s="576" t="s">
        <v>3805</v>
      </c>
      <c r="L462" s="572"/>
      <c r="M462" s="572"/>
      <c r="N462" s="572"/>
      <c r="O462" s="572"/>
      <c r="P462" s="572"/>
      <c r="Q462" s="572"/>
      <c r="R462" s="572"/>
      <c r="S462" s="572"/>
      <c r="T462" s="572"/>
      <c r="U462" s="572"/>
      <c r="V462" s="572"/>
      <c r="W462" s="572"/>
      <c r="X462" s="572"/>
      <c r="Y462" s="572"/>
      <c r="Z462" s="572"/>
      <c r="AA462" s="572"/>
      <c r="AB462" s="572"/>
      <c r="AC462" s="572"/>
      <c r="AD462" s="572"/>
      <c r="AE462" s="572"/>
      <c r="AF462" s="572"/>
      <c r="AG462" s="572"/>
      <c r="AH462" s="572"/>
      <c r="AI462" s="572"/>
      <c r="AJ462" s="572"/>
      <c r="AK462" s="572"/>
      <c r="AL462" s="572"/>
      <c r="AM462" s="572"/>
      <c r="AN462" s="572"/>
      <c r="AO462" s="572"/>
      <c r="AP462" s="572"/>
      <c r="AQ462" s="572"/>
      <c r="AR462" s="572"/>
      <c r="AS462" s="572"/>
      <c r="AT462" s="572"/>
      <c r="AU462" s="572"/>
    </row>
    <row r="463" spans="1:47" ht="15.75" customHeight="1">
      <c r="A463" s="577">
        <v>44407</v>
      </c>
      <c r="B463" s="578" t="s">
        <v>6513</v>
      </c>
      <c r="C463" s="405" t="s">
        <v>3785</v>
      </c>
      <c r="D463" s="563" t="s">
        <v>6341</v>
      </c>
      <c r="E463" s="575">
        <v>3440319.83</v>
      </c>
      <c r="F463" s="563" t="s">
        <v>4351</v>
      </c>
      <c r="G463" s="563" t="s">
        <v>19</v>
      </c>
      <c r="H463" s="563" t="s">
        <v>20</v>
      </c>
      <c r="I463" s="563" t="s">
        <v>3683</v>
      </c>
      <c r="J463" s="573"/>
      <c r="K463" s="579" t="s">
        <v>3809</v>
      </c>
      <c r="L463" s="572"/>
      <c r="M463" s="572"/>
      <c r="N463" s="572"/>
      <c r="O463" s="572"/>
      <c r="P463" s="572"/>
      <c r="Q463" s="572"/>
      <c r="R463" s="572"/>
      <c r="S463" s="572"/>
      <c r="T463" s="572"/>
      <c r="U463" s="572"/>
      <c r="V463" s="572"/>
      <c r="W463" s="572"/>
      <c r="X463" s="572"/>
      <c r="Y463" s="572"/>
      <c r="Z463" s="572"/>
      <c r="AA463" s="572"/>
      <c r="AB463" s="572"/>
      <c r="AC463" s="572"/>
      <c r="AD463" s="572"/>
      <c r="AE463" s="572"/>
      <c r="AF463" s="572"/>
      <c r="AG463" s="572"/>
      <c r="AH463" s="572"/>
      <c r="AI463" s="572"/>
      <c r="AJ463" s="572"/>
      <c r="AK463" s="572"/>
      <c r="AL463" s="572"/>
      <c r="AM463" s="572"/>
      <c r="AN463" s="572"/>
      <c r="AO463" s="572"/>
      <c r="AP463" s="572"/>
      <c r="AQ463" s="572"/>
      <c r="AR463" s="572"/>
      <c r="AS463" s="572"/>
      <c r="AT463" s="572"/>
      <c r="AU463" s="572"/>
    </row>
    <row r="464" spans="1:47" ht="15.75" customHeight="1">
      <c r="A464" s="577">
        <v>44407</v>
      </c>
      <c r="B464" s="578" t="s">
        <v>6473</v>
      </c>
      <c r="C464" s="405" t="s">
        <v>2921</v>
      </c>
      <c r="D464" s="563" t="s">
        <v>6341</v>
      </c>
      <c r="E464" s="575">
        <v>10000</v>
      </c>
      <c r="F464" s="563" t="s">
        <v>3332</v>
      </c>
      <c r="G464" s="573" t="s">
        <v>19</v>
      </c>
      <c r="H464" s="573" t="s">
        <v>34</v>
      </c>
      <c r="I464" s="573" t="s">
        <v>262</v>
      </c>
      <c r="J464" s="573">
        <v>44322</v>
      </c>
      <c r="K464" s="576" t="s">
        <v>3795</v>
      </c>
      <c r="L464" s="572"/>
      <c r="M464" s="572"/>
      <c r="N464" s="572"/>
      <c r="O464" s="572"/>
      <c r="P464" s="572"/>
      <c r="Q464" s="572"/>
      <c r="R464" s="572"/>
      <c r="S464" s="572"/>
      <c r="T464" s="572"/>
      <c r="U464" s="572"/>
      <c r="V464" s="572"/>
      <c r="W464" s="572"/>
      <c r="X464" s="572"/>
      <c r="Y464" s="572"/>
      <c r="Z464" s="572"/>
      <c r="AA464" s="572"/>
      <c r="AB464" s="572"/>
      <c r="AC464" s="572"/>
      <c r="AD464" s="572"/>
      <c r="AE464" s="572"/>
      <c r="AF464" s="572"/>
      <c r="AG464" s="572"/>
      <c r="AH464" s="572"/>
      <c r="AI464" s="572"/>
      <c r="AJ464" s="572"/>
      <c r="AK464" s="572"/>
      <c r="AL464" s="572"/>
      <c r="AM464" s="572"/>
      <c r="AN464" s="572"/>
      <c r="AO464" s="572"/>
      <c r="AP464" s="572"/>
      <c r="AQ464" s="572"/>
      <c r="AR464" s="572"/>
      <c r="AS464" s="572"/>
      <c r="AT464" s="572"/>
      <c r="AU464" s="572"/>
    </row>
    <row r="465" spans="1:47" ht="15.75" customHeight="1">
      <c r="A465" s="577">
        <v>44407</v>
      </c>
      <c r="B465" s="578" t="s">
        <v>6442</v>
      </c>
      <c r="C465" s="405" t="s">
        <v>3785</v>
      </c>
      <c r="D465" s="563" t="s">
        <v>6341</v>
      </c>
      <c r="E465" s="575">
        <v>155000</v>
      </c>
      <c r="F465" s="563" t="s">
        <v>5087</v>
      </c>
      <c r="G465" s="555" t="s">
        <v>64</v>
      </c>
      <c r="H465" s="563" t="s">
        <v>20</v>
      </c>
      <c r="I465" s="555" t="s">
        <v>4472</v>
      </c>
      <c r="J465" s="593">
        <v>44180</v>
      </c>
      <c r="K465" s="579" t="s">
        <v>3795</v>
      </c>
      <c r="L465" s="572"/>
      <c r="M465" s="572"/>
      <c r="N465" s="572"/>
      <c r="O465" s="572"/>
      <c r="P465" s="572"/>
      <c r="Q465" s="572"/>
      <c r="R465" s="572"/>
      <c r="S465" s="572"/>
      <c r="T465" s="572"/>
      <c r="U465" s="572"/>
      <c r="V465" s="572"/>
      <c r="W465" s="572"/>
      <c r="X465" s="572"/>
      <c r="Y465" s="572"/>
      <c r="Z465" s="572"/>
      <c r="AA465" s="572"/>
      <c r="AB465" s="572"/>
      <c r="AC465" s="572"/>
      <c r="AD465" s="572"/>
      <c r="AE465" s="572"/>
      <c r="AF465" s="572"/>
      <c r="AG465" s="572"/>
      <c r="AH465" s="572"/>
      <c r="AI465" s="572"/>
      <c r="AJ465" s="572"/>
      <c r="AK465" s="572"/>
      <c r="AL465" s="572"/>
      <c r="AM465" s="572"/>
      <c r="AN465" s="572"/>
      <c r="AO465" s="572"/>
      <c r="AP465" s="572"/>
      <c r="AQ465" s="572"/>
      <c r="AR465" s="572"/>
      <c r="AS465" s="572"/>
      <c r="AT465" s="572"/>
      <c r="AU465" s="572"/>
    </row>
    <row r="466" spans="1:47" ht="15.75" customHeight="1">
      <c r="A466" s="597">
        <v>44407</v>
      </c>
      <c r="B466" s="585" t="s">
        <v>6514</v>
      </c>
      <c r="C466" s="532" t="s">
        <v>3785</v>
      </c>
      <c r="D466" s="598" t="s">
        <v>6341</v>
      </c>
      <c r="E466" s="599">
        <v>5000</v>
      </c>
      <c r="F466" s="598" t="s">
        <v>697</v>
      </c>
      <c r="G466" s="598" t="s">
        <v>19</v>
      </c>
      <c r="H466" s="598" t="s">
        <v>49</v>
      </c>
      <c r="I466" s="598" t="s">
        <v>328</v>
      </c>
      <c r="J466" s="597">
        <v>44407</v>
      </c>
      <c r="K466" s="600" t="s">
        <v>3789</v>
      </c>
      <c r="L466" s="572"/>
      <c r="M466" s="572"/>
      <c r="N466" s="572"/>
      <c r="O466" s="572"/>
      <c r="P466" s="572"/>
      <c r="Q466" s="572"/>
      <c r="R466" s="572"/>
      <c r="S466" s="572"/>
      <c r="T466" s="572"/>
      <c r="U466" s="572"/>
      <c r="V466" s="572"/>
      <c r="W466" s="572"/>
      <c r="X466" s="572"/>
      <c r="Y466" s="572"/>
      <c r="Z466" s="572"/>
      <c r="AA466" s="572"/>
      <c r="AB466" s="572"/>
      <c r="AC466" s="572"/>
      <c r="AD466" s="572"/>
      <c r="AE466" s="572"/>
      <c r="AF466" s="572"/>
      <c r="AG466" s="572"/>
      <c r="AH466" s="572"/>
      <c r="AI466" s="572"/>
      <c r="AJ466" s="572"/>
      <c r="AK466" s="572"/>
      <c r="AL466" s="572"/>
      <c r="AM466" s="572"/>
      <c r="AN466" s="572"/>
      <c r="AO466" s="572"/>
      <c r="AP466" s="572"/>
      <c r="AQ466" s="572"/>
      <c r="AR466" s="572"/>
      <c r="AS466" s="572"/>
      <c r="AT466" s="572"/>
      <c r="AU466" s="572"/>
    </row>
    <row r="467" spans="1:47" ht="15.75" customHeight="1">
      <c r="A467" s="573">
        <v>44408</v>
      </c>
      <c r="B467" s="574" t="s">
        <v>6486</v>
      </c>
      <c r="C467" s="563" t="s">
        <v>3785</v>
      </c>
      <c r="D467" s="563" t="s">
        <v>3110</v>
      </c>
      <c r="E467" s="575">
        <v>0</v>
      </c>
      <c r="F467" s="563" t="s">
        <v>4955</v>
      </c>
      <c r="G467" s="563" t="s">
        <v>64</v>
      </c>
      <c r="H467" s="563" t="s">
        <v>20</v>
      </c>
      <c r="I467" s="563" t="s">
        <v>3634</v>
      </c>
      <c r="J467" s="573">
        <v>44090</v>
      </c>
      <c r="K467" s="579" t="s">
        <v>3805</v>
      </c>
      <c r="L467" s="572"/>
      <c r="M467" s="572"/>
      <c r="N467" s="572"/>
      <c r="O467" s="572"/>
      <c r="P467" s="572"/>
      <c r="Q467" s="572"/>
      <c r="R467" s="572"/>
      <c r="S467" s="572"/>
      <c r="T467" s="572"/>
      <c r="U467" s="572"/>
      <c r="V467" s="572"/>
      <c r="W467" s="572"/>
      <c r="X467" s="572"/>
      <c r="Y467" s="572"/>
      <c r="Z467" s="572"/>
      <c r="AA467" s="572"/>
      <c r="AB467" s="572"/>
      <c r="AC467" s="572"/>
      <c r="AD467" s="572"/>
      <c r="AE467" s="572"/>
      <c r="AF467" s="572"/>
      <c r="AG467" s="572"/>
      <c r="AH467" s="572"/>
      <c r="AI467" s="572"/>
      <c r="AJ467" s="572"/>
      <c r="AK467" s="572"/>
      <c r="AL467" s="572"/>
      <c r="AM467" s="572"/>
      <c r="AN467" s="572"/>
      <c r="AO467" s="572"/>
      <c r="AP467" s="572"/>
      <c r="AQ467" s="572"/>
      <c r="AR467" s="572"/>
      <c r="AS467" s="572"/>
      <c r="AT467" s="572"/>
      <c r="AU467" s="572"/>
    </row>
    <row r="468" spans="1:47" ht="15.75" customHeight="1">
      <c r="A468" s="577">
        <v>44410</v>
      </c>
      <c r="B468" s="578" t="s">
        <v>6472</v>
      </c>
      <c r="C468" s="405" t="s">
        <v>2921</v>
      </c>
      <c r="D468" s="563" t="s">
        <v>6341</v>
      </c>
      <c r="E468" s="575">
        <v>150000</v>
      </c>
      <c r="F468" s="563" t="s">
        <v>2993</v>
      </c>
      <c r="G468" s="573" t="s">
        <v>19</v>
      </c>
      <c r="H468" s="573" t="s">
        <v>34</v>
      </c>
      <c r="I468" s="573" t="s">
        <v>262</v>
      </c>
      <c r="J468" s="573">
        <v>44295</v>
      </c>
      <c r="K468" s="576" t="s">
        <v>3789</v>
      </c>
      <c r="L468" s="572"/>
      <c r="M468" s="572"/>
      <c r="N468" s="572"/>
      <c r="O468" s="572"/>
      <c r="P468" s="572"/>
      <c r="Q468" s="572"/>
      <c r="R468" s="572"/>
      <c r="S468" s="572"/>
      <c r="T468" s="572"/>
      <c r="U468" s="572"/>
      <c r="V468" s="572"/>
      <c r="W468" s="572"/>
      <c r="X468" s="572"/>
      <c r="Y468" s="572"/>
      <c r="Z468" s="572"/>
      <c r="AA468" s="572"/>
      <c r="AB468" s="572"/>
      <c r="AC468" s="572"/>
      <c r="AD468" s="572"/>
      <c r="AE468" s="572"/>
      <c r="AF468" s="572"/>
      <c r="AG468" s="572"/>
      <c r="AH468" s="572"/>
      <c r="AI468" s="572"/>
      <c r="AJ468" s="572"/>
      <c r="AK468" s="572"/>
      <c r="AL468" s="572"/>
      <c r="AM468" s="572"/>
      <c r="AN468" s="572"/>
      <c r="AO468" s="572"/>
      <c r="AP468" s="572"/>
      <c r="AQ468" s="572"/>
      <c r="AR468" s="572"/>
      <c r="AS468" s="572"/>
      <c r="AT468" s="572"/>
      <c r="AU468" s="572"/>
    </row>
    <row r="469" spans="1:47" ht="15.75" customHeight="1">
      <c r="A469" s="577">
        <v>44410</v>
      </c>
      <c r="B469" s="578" t="s">
        <v>6408</v>
      </c>
      <c r="C469" s="405" t="s">
        <v>2921</v>
      </c>
      <c r="D469" s="563" t="s">
        <v>6341</v>
      </c>
      <c r="E469" s="575">
        <v>13000</v>
      </c>
      <c r="F469" s="563" t="s">
        <v>859</v>
      </c>
      <c r="G469" s="573" t="s">
        <v>19</v>
      </c>
      <c r="H469" s="573" t="s">
        <v>34</v>
      </c>
      <c r="I469" s="573" t="s">
        <v>35</v>
      </c>
      <c r="J469" s="573">
        <v>44321</v>
      </c>
      <c r="K469" s="576" t="s">
        <v>3795</v>
      </c>
      <c r="L469" s="572"/>
      <c r="M469" s="572"/>
      <c r="N469" s="572"/>
      <c r="O469" s="572"/>
      <c r="P469" s="572"/>
      <c r="Q469" s="572"/>
      <c r="R469" s="572"/>
      <c r="S469" s="572"/>
      <c r="T469" s="572"/>
      <c r="U469" s="572"/>
      <c r="V469" s="572"/>
      <c r="W469" s="572"/>
      <c r="X469" s="572"/>
      <c r="Y469" s="572"/>
      <c r="Z469" s="572"/>
      <c r="AA469" s="572"/>
      <c r="AB469" s="572"/>
      <c r="AC469" s="572"/>
      <c r="AD469" s="572"/>
      <c r="AE469" s="572"/>
      <c r="AF469" s="572"/>
      <c r="AG469" s="572"/>
      <c r="AH469" s="572"/>
      <c r="AI469" s="572"/>
      <c r="AJ469" s="572"/>
      <c r="AK469" s="572"/>
      <c r="AL469" s="572"/>
      <c r="AM469" s="572"/>
      <c r="AN469" s="572"/>
      <c r="AO469" s="572"/>
      <c r="AP469" s="572"/>
      <c r="AQ469" s="572"/>
      <c r="AR469" s="572"/>
      <c r="AS469" s="572"/>
      <c r="AT469" s="572"/>
      <c r="AU469" s="572"/>
    </row>
    <row r="470" spans="1:47" ht="15.75" customHeight="1">
      <c r="A470" s="577">
        <v>44410</v>
      </c>
      <c r="B470" s="578" t="s">
        <v>6515</v>
      </c>
      <c r="C470" s="405" t="s">
        <v>3785</v>
      </c>
      <c r="D470" s="563" t="s">
        <v>6341</v>
      </c>
      <c r="E470" s="575">
        <v>199844.32</v>
      </c>
      <c r="F470" s="563" t="s">
        <v>4389</v>
      </c>
      <c r="G470" s="563" t="s">
        <v>64</v>
      </c>
      <c r="H470" s="563" t="s">
        <v>20</v>
      </c>
      <c r="I470" s="563" t="s">
        <v>3634</v>
      </c>
      <c r="J470" s="573">
        <v>44228</v>
      </c>
      <c r="K470" s="579" t="s">
        <v>3789</v>
      </c>
      <c r="L470" s="572"/>
      <c r="M470" s="572"/>
      <c r="N470" s="572"/>
      <c r="O470" s="572"/>
      <c r="P470" s="572"/>
      <c r="Q470" s="572"/>
      <c r="R470" s="572"/>
      <c r="S470" s="572"/>
      <c r="T470" s="572"/>
      <c r="U470" s="572"/>
      <c r="V470" s="572"/>
      <c r="W470" s="572"/>
      <c r="X470" s="572"/>
      <c r="Y470" s="572"/>
      <c r="Z470" s="572"/>
      <c r="AA470" s="572"/>
      <c r="AB470" s="572"/>
      <c r="AC470" s="572"/>
      <c r="AD470" s="572"/>
      <c r="AE470" s="572"/>
      <c r="AF470" s="572"/>
      <c r="AG470" s="572"/>
      <c r="AH470" s="572"/>
      <c r="AI470" s="572"/>
      <c r="AJ470" s="572"/>
      <c r="AK470" s="572"/>
      <c r="AL470" s="572"/>
      <c r="AM470" s="572"/>
      <c r="AN470" s="572"/>
      <c r="AO470" s="572"/>
      <c r="AP470" s="572"/>
      <c r="AQ470" s="572"/>
      <c r="AR470" s="572"/>
      <c r="AS470" s="572"/>
      <c r="AT470" s="572"/>
      <c r="AU470" s="572"/>
    </row>
    <row r="471" spans="1:47" ht="15.75" customHeight="1">
      <c r="A471" s="577">
        <v>44410</v>
      </c>
      <c r="B471" s="578" t="s">
        <v>6473</v>
      </c>
      <c r="C471" s="405" t="s">
        <v>2921</v>
      </c>
      <c r="D471" s="563" t="s">
        <v>6341</v>
      </c>
      <c r="E471" s="575">
        <v>10000</v>
      </c>
      <c r="F471" s="563" t="s">
        <v>3332</v>
      </c>
      <c r="G471" s="573" t="s">
        <v>19</v>
      </c>
      <c r="H471" s="573" t="s">
        <v>34</v>
      </c>
      <c r="I471" s="573" t="s">
        <v>262</v>
      </c>
      <c r="J471" s="573">
        <v>44322</v>
      </c>
      <c r="K471" s="576" t="s">
        <v>3795</v>
      </c>
      <c r="L471" s="572"/>
      <c r="M471" s="572"/>
      <c r="N471" s="572"/>
      <c r="O471" s="572"/>
      <c r="P471" s="572"/>
      <c r="Q471" s="572"/>
      <c r="R471" s="572"/>
      <c r="S471" s="572"/>
      <c r="T471" s="572"/>
      <c r="U471" s="572"/>
      <c r="V471" s="572"/>
      <c r="W471" s="572"/>
      <c r="X471" s="572"/>
      <c r="Y471" s="572"/>
      <c r="Z471" s="572"/>
      <c r="AA471" s="572"/>
      <c r="AB471" s="572"/>
      <c r="AC471" s="572"/>
      <c r="AD471" s="572"/>
      <c r="AE471" s="572"/>
      <c r="AF471" s="572"/>
      <c r="AG471" s="572"/>
      <c r="AH471" s="572"/>
      <c r="AI471" s="572"/>
      <c r="AJ471" s="572"/>
      <c r="AK471" s="572"/>
      <c r="AL471" s="572"/>
      <c r="AM471" s="572"/>
      <c r="AN471" s="572"/>
      <c r="AO471" s="572"/>
      <c r="AP471" s="572"/>
      <c r="AQ471" s="572"/>
      <c r="AR471" s="572"/>
      <c r="AS471" s="572"/>
      <c r="AT471" s="572"/>
      <c r="AU471" s="572"/>
    </row>
    <row r="472" spans="1:47" ht="15.75" customHeight="1">
      <c r="A472" s="577">
        <v>44411</v>
      </c>
      <c r="B472" s="578" t="s">
        <v>6410</v>
      </c>
      <c r="C472" s="405" t="s">
        <v>2921</v>
      </c>
      <c r="D472" s="563" t="s">
        <v>928</v>
      </c>
      <c r="E472" s="575">
        <v>30000</v>
      </c>
      <c r="F472" s="563" t="s">
        <v>3165</v>
      </c>
      <c r="G472" s="573" t="s">
        <v>19</v>
      </c>
      <c r="H472" s="573" t="s">
        <v>34</v>
      </c>
      <c r="I472" s="573" t="s">
        <v>35</v>
      </c>
      <c r="J472" s="573">
        <v>44272</v>
      </c>
      <c r="K472" s="576" t="s">
        <v>6411</v>
      </c>
      <c r="L472" s="572"/>
      <c r="M472" s="572"/>
      <c r="N472" s="572"/>
      <c r="O472" s="572"/>
      <c r="P472" s="572"/>
      <c r="Q472" s="572"/>
      <c r="R472" s="572"/>
      <c r="S472" s="572"/>
      <c r="T472" s="572"/>
      <c r="U472" s="572"/>
      <c r="V472" s="572"/>
      <c r="W472" s="572"/>
      <c r="X472" s="572"/>
      <c r="Y472" s="572"/>
      <c r="Z472" s="572"/>
      <c r="AA472" s="572"/>
      <c r="AB472" s="572"/>
      <c r="AC472" s="572"/>
      <c r="AD472" s="572"/>
      <c r="AE472" s="572"/>
      <c r="AF472" s="572"/>
      <c r="AG472" s="572"/>
      <c r="AH472" s="572"/>
      <c r="AI472" s="572"/>
      <c r="AJ472" s="572"/>
      <c r="AK472" s="572"/>
      <c r="AL472" s="572"/>
      <c r="AM472" s="572"/>
      <c r="AN472" s="572"/>
      <c r="AO472" s="572"/>
      <c r="AP472" s="572"/>
      <c r="AQ472" s="572"/>
      <c r="AR472" s="572"/>
      <c r="AS472" s="572"/>
      <c r="AT472" s="572"/>
      <c r="AU472" s="572"/>
    </row>
    <row r="473" spans="1:47" ht="15.75" customHeight="1">
      <c r="A473" s="573">
        <v>44412</v>
      </c>
      <c r="B473" s="574" t="s">
        <v>6516</v>
      </c>
      <c r="C473" s="563" t="s">
        <v>3785</v>
      </c>
      <c r="D473" s="563" t="s">
        <v>3110</v>
      </c>
      <c r="E473" s="575">
        <v>0</v>
      </c>
      <c r="F473" s="563" t="s">
        <v>4037</v>
      </c>
      <c r="G473" s="563" t="s">
        <v>19</v>
      </c>
      <c r="H473" s="563" t="s">
        <v>20</v>
      </c>
      <c r="I473" s="563" t="s">
        <v>3793</v>
      </c>
      <c r="J473" s="573">
        <v>44141</v>
      </c>
      <c r="K473" s="579" t="s">
        <v>3795</v>
      </c>
      <c r="L473" s="572"/>
      <c r="M473" s="572"/>
      <c r="N473" s="572"/>
      <c r="O473" s="572"/>
      <c r="P473" s="572"/>
      <c r="Q473" s="572"/>
      <c r="R473" s="572"/>
      <c r="S473" s="572"/>
      <c r="T473" s="572"/>
      <c r="U473" s="572"/>
      <c r="V473" s="572"/>
      <c r="W473" s="572"/>
      <c r="X473" s="572"/>
      <c r="Y473" s="572"/>
      <c r="Z473" s="572"/>
      <c r="AA473" s="572"/>
      <c r="AB473" s="572"/>
      <c r="AC473" s="572"/>
      <c r="AD473" s="572"/>
      <c r="AE473" s="572"/>
      <c r="AF473" s="572"/>
      <c r="AG473" s="572"/>
      <c r="AH473" s="572"/>
      <c r="AI473" s="572"/>
      <c r="AJ473" s="572"/>
      <c r="AK473" s="572"/>
      <c r="AL473" s="572"/>
      <c r="AM473" s="572"/>
      <c r="AN473" s="572"/>
      <c r="AO473" s="572"/>
      <c r="AP473" s="572"/>
      <c r="AQ473" s="572"/>
      <c r="AR473" s="572"/>
      <c r="AS473" s="572"/>
      <c r="AT473" s="572"/>
      <c r="AU473" s="572"/>
    </row>
    <row r="474" spans="1:47" ht="15.75" customHeight="1">
      <c r="A474" s="577">
        <v>44412</v>
      </c>
      <c r="B474" s="578" t="s">
        <v>6347</v>
      </c>
      <c r="C474" s="405" t="s">
        <v>2921</v>
      </c>
      <c r="D474" s="563" t="s">
        <v>6341</v>
      </c>
      <c r="E474" s="575">
        <v>6000</v>
      </c>
      <c r="F474" s="563" t="s">
        <v>3191</v>
      </c>
      <c r="G474" s="573" t="s">
        <v>2923</v>
      </c>
      <c r="H474" s="573" t="s">
        <v>20</v>
      </c>
      <c r="I474" s="573" t="s">
        <v>2924</v>
      </c>
      <c r="J474" s="573">
        <v>43703</v>
      </c>
      <c r="K474" s="576" t="s">
        <v>4188</v>
      </c>
      <c r="L474" s="572"/>
      <c r="M474" s="572"/>
      <c r="N474" s="572"/>
      <c r="O474" s="572"/>
      <c r="P474" s="572"/>
      <c r="Q474" s="572"/>
      <c r="R474" s="572"/>
      <c r="S474" s="572"/>
      <c r="T474" s="572"/>
      <c r="U474" s="572"/>
      <c r="V474" s="572"/>
      <c r="W474" s="572"/>
      <c r="X474" s="572"/>
      <c r="Y474" s="572"/>
      <c r="Z474" s="572"/>
      <c r="AA474" s="572"/>
      <c r="AB474" s="572"/>
      <c r="AC474" s="572"/>
      <c r="AD474" s="572"/>
      <c r="AE474" s="572"/>
      <c r="AF474" s="572"/>
      <c r="AG474" s="572"/>
      <c r="AH474" s="572"/>
      <c r="AI474" s="572"/>
      <c r="AJ474" s="572"/>
      <c r="AK474" s="572"/>
      <c r="AL474" s="572"/>
      <c r="AM474" s="572"/>
      <c r="AN474" s="572"/>
      <c r="AO474" s="572"/>
      <c r="AP474" s="572"/>
      <c r="AQ474" s="572"/>
      <c r="AR474" s="572"/>
      <c r="AS474" s="572"/>
      <c r="AT474" s="572"/>
      <c r="AU474" s="572"/>
    </row>
    <row r="475" spans="1:47" ht="15.75" customHeight="1">
      <c r="A475" s="577">
        <v>44412</v>
      </c>
      <c r="B475" s="578" t="s">
        <v>6517</v>
      </c>
      <c r="C475" s="405" t="s">
        <v>3785</v>
      </c>
      <c r="D475" s="563" t="s">
        <v>6341</v>
      </c>
      <c r="E475" s="575">
        <v>20000</v>
      </c>
      <c r="F475" s="563" t="s">
        <v>4033</v>
      </c>
      <c r="G475" s="563" t="s">
        <v>2923</v>
      </c>
      <c r="H475" s="563" t="s">
        <v>20</v>
      </c>
      <c r="I475" s="563" t="s">
        <v>2923</v>
      </c>
      <c r="J475" s="573">
        <v>44235</v>
      </c>
      <c r="K475" s="579" t="s">
        <v>3795</v>
      </c>
      <c r="L475" s="572"/>
      <c r="M475" s="572"/>
      <c r="N475" s="572"/>
      <c r="O475" s="572"/>
      <c r="P475" s="572"/>
      <c r="Q475" s="572"/>
      <c r="R475" s="572"/>
      <c r="S475" s="572"/>
      <c r="T475" s="572"/>
      <c r="U475" s="572"/>
      <c r="V475" s="572"/>
      <c r="W475" s="572"/>
      <c r="X475" s="572"/>
      <c r="Y475" s="572"/>
      <c r="Z475" s="572"/>
      <c r="AA475" s="572"/>
      <c r="AB475" s="572"/>
      <c r="AC475" s="572"/>
      <c r="AD475" s="572"/>
      <c r="AE475" s="572"/>
      <c r="AF475" s="572"/>
      <c r="AG475" s="572"/>
      <c r="AH475" s="572"/>
      <c r="AI475" s="572"/>
      <c r="AJ475" s="572"/>
      <c r="AK475" s="572"/>
      <c r="AL475" s="572"/>
      <c r="AM475" s="572"/>
      <c r="AN475" s="572"/>
      <c r="AO475" s="572"/>
      <c r="AP475" s="572"/>
      <c r="AQ475" s="572"/>
      <c r="AR475" s="572"/>
      <c r="AS475" s="572"/>
      <c r="AT475" s="572"/>
      <c r="AU475" s="572"/>
    </row>
    <row r="476" spans="1:47" ht="15.75" customHeight="1">
      <c r="A476" s="577">
        <v>44412</v>
      </c>
      <c r="B476" s="578" t="s">
        <v>6348</v>
      </c>
      <c r="C476" s="405" t="s">
        <v>2921</v>
      </c>
      <c r="D476" s="563" t="s">
        <v>6341</v>
      </c>
      <c r="E476" s="575">
        <v>16000</v>
      </c>
      <c r="F476" s="563" t="s">
        <v>3557</v>
      </c>
      <c r="G476" s="573" t="s">
        <v>2923</v>
      </c>
      <c r="H476" s="573" t="s">
        <v>20</v>
      </c>
      <c r="I476" s="573" t="s">
        <v>2924</v>
      </c>
      <c r="J476" s="573">
        <v>43567</v>
      </c>
      <c r="K476" s="576" t="s">
        <v>3795</v>
      </c>
      <c r="L476" s="572"/>
      <c r="M476" s="572"/>
      <c r="N476" s="572"/>
      <c r="O476" s="572"/>
      <c r="P476" s="572"/>
      <c r="Q476" s="572"/>
      <c r="R476" s="572"/>
      <c r="S476" s="572"/>
      <c r="T476" s="572"/>
      <c r="U476" s="572"/>
      <c r="V476" s="572"/>
      <c r="W476" s="572"/>
      <c r="X476" s="572"/>
      <c r="Y476" s="572"/>
      <c r="Z476" s="572"/>
      <c r="AA476" s="572"/>
      <c r="AB476" s="572"/>
      <c r="AC476" s="572"/>
      <c r="AD476" s="572"/>
      <c r="AE476" s="572"/>
      <c r="AF476" s="572"/>
      <c r="AG476" s="572"/>
      <c r="AH476" s="572"/>
      <c r="AI476" s="572"/>
      <c r="AJ476" s="572"/>
      <c r="AK476" s="572"/>
      <c r="AL476" s="572"/>
      <c r="AM476" s="572"/>
      <c r="AN476" s="572"/>
      <c r="AO476" s="572"/>
      <c r="AP476" s="572"/>
      <c r="AQ476" s="572"/>
      <c r="AR476" s="572"/>
      <c r="AS476" s="572"/>
      <c r="AT476" s="572"/>
      <c r="AU476" s="572"/>
    </row>
    <row r="477" spans="1:47" ht="15.75" customHeight="1">
      <c r="A477" s="573">
        <v>44413</v>
      </c>
      <c r="B477" s="574" t="s">
        <v>6518</v>
      </c>
      <c r="C477" s="563" t="s">
        <v>3785</v>
      </c>
      <c r="D477" s="563" t="s">
        <v>3110</v>
      </c>
      <c r="E477" s="575">
        <v>0</v>
      </c>
      <c r="F477" s="563" t="s">
        <v>3972</v>
      </c>
      <c r="G477" s="563" t="s">
        <v>64</v>
      </c>
      <c r="H477" s="563" t="s">
        <v>20</v>
      </c>
      <c r="I477" s="563" t="s">
        <v>3973</v>
      </c>
      <c r="J477" s="573">
        <v>44120</v>
      </c>
      <c r="K477" s="579" t="s">
        <v>3795</v>
      </c>
      <c r="L477" s="572"/>
      <c r="M477" s="572"/>
      <c r="N477" s="572"/>
      <c r="O477" s="572"/>
      <c r="P477" s="572"/>
      <c r="Q477" s="572"/>
      <c r="R477" s="572"/>
      <c r="S477" s="572"/>
      <c r="T477" s="572"/>
      <c r="U477" s="572"/>
      <c r="V477" s="572"/>
      <c r="W477" s="572"/>
      <c r="X477" s="572"/>
      <c r="Y477" s="572"/>
      <c r="Z477" s="572"/>
      <c r="AA477" s="572"/>
      <c r="AB477" s="572"/>
      <c r="AC477" s="572"/>
      <c r="AD477" s="572"/>
      <c r="AE477" s="572"/>
      <c r="AF477" s="572"/>
      <c r="AG477" s="572"/>
      <c r="AH477" s="572"/>
      <c r="AI477" s="572"/>
      <c r="AJ477" s="572"/>
      <c r="AK477" s="572"/>
      <c r="AL477" s="572"/>
      <c r="AM477" s="572"/>
      <c r="AN477" s="572"/>
      <c r="AO477" s="572"/>
      <c r="AP477" s="572"/>
      <c r="AQ477" s="572"/>
      <c r="AR477" s="572"/>
      <c r="AS477" s="572"/>
      <c r="AT477" s="572"/>
      <c r="AU477" s="572"/>
    </row>
    <row r="478" spans="1:47" ht="15.75" customHeight="1">
      <c r="A478" s="577">
        <v>44413</v>
      </c>
      <c r="B478" s="578" t="s">
        <v>6519</v>
      </c>
      <c r="C478" s="405" t="s">
        <v>2921</v>
      </c>
      <c r="D478" s="563" t="s">
        <v>6341</v>
      </c>
      <c r="E478" s="575">
        <v>500</v>
      </c>
      <c r="F478" s="563" t="s">
        <v>745</v>
      </c>
      <c r="G478" s="573" t="s">
        <v>19</v>
      </c>
      <c r="H478" s="573" t="s">
        <v>34</v>
      </c>
      <c r="I478" s="573" t="s">
        <v>35</v>
      </c>
      <c r="J478" s="573">
        <v>44280</v>
      </c>
      <c r="K478" s="576" t="s">
        <v>3795</v>
      </c>
      <c r="L478" s="572"/>
      <c r="M478" s="572"/>
      <c r="N478" s="572"/>
      <c r="O478" s="572"/>
      <c r="P478" s="572"/>
      <c r="Q478" s="572"/>
      <c r="R478" s="572"/>
      <c r="S478" s="572"/>
      <c r="T478" s="572"/>
      <c r="U478" s="572"/>
      <c r="V478" s="572"/>
      <c r="W478" s="572"/>
      <c r="X478" s="572"/>
      <c r="Y478" s="572"/>
      <c r="Z478" s="572"/>
      <c r="AA478" s="572"/>
      <c r="AB478" s="572"/>
      <c r="AC478" s="572"/>
      <c r="AD478" s="572"/>
      <c r="AE478" s="572"/>
      <c r="AF478" s="572"/>
      <c r="AG478" s="572"/>
      <c r="AH478" s="572"/>
      <c r="AI478" s="572"/>
      <c r="AJ478" s="572"/>
      <c r="AK478" s="572"/>
      <c r="AL478" s="572"/>
      <c r="AM478" s="572"/>
      <c r="AN478" s="572"/>
      <c r="AO478" s="572"/>
      <c r="AP478" s="572"/>
      <c r="AQ478" s="572"/>
      <c r="AR478" s="572"/>
      <c r="AS478" s="572"/>
      <c r="AT478" s="572"/>
      <c r="AU478" s="572"/>
    </row>
    <row r="479" spans="1:47" ht="15.75" customHeight="1">
      <c r="A479" s="577">
        <v>44413</v>
      </c>
      <c r="B479" s="578" t="s">
        <v>6518</v>
      </c>
      <c r="C479" s="405" t="s">
        <v>3785</v>
      </c>
      <c r="D479" s="563" t="s">
        <v>928</v>
      </c>
      <c r="E479" s="575">
        <v>200000</v>
      </c>
      <c r="F479" s="563" t="s">
        <v>3972</v>
      </c>
      <c r="G479" s="563" t="s">
        <v>64</v>
      </c>
      <c r="H479" s="563" t="s">
        <v>20</v>
      </c>
      <c r="I479" s="563" t="s">
        <v>3973</v>
      </c>
      <c r="J479" s="573">
        <v>44120</v>
      </c>
      <c r="K479" s="579" t="s">
        <v>3795</v>
      </c>
      <c r="L479" s="572"/>
      <c r="M479" s="572"/>
      <c r="N479" s="572"/>
      <c r="O479" s="572"/>
      <c r="P479" s="572"/>
      <c r="Q479" s="572"/>
      <c r="R479" s="572"/>
      <c r="S479" s="572"/>
      <c r="T479" s="572"/>
      <c r="U479" s="572"/>
      <c r="V479" s="572"/>
      <c r="W479" s="572"/>
      <c r="X479" s="572"/>
      <c r="Y479" s="572"/>
      <c r="Z479" s="572"/>
      <c r="AA479" s="572"/>
      <c r="AB479" s="572"/>
      <c r="AC479" s="572"/>
      <c r="AD479" s="572"/>
      <c r="AE479" s="572"/>
      <c r="AF479" s="572"/>
      <c r="AG479" s="572"/>
      <c r="AH479" s="572"/>
      <c r="AI479" s="572"/>
      <c r="AJ479" s="572"/>
      <c r="AK479" s="572"/>
      <c r="AL479" s="572"/>
      <c r="AM479" s="572"/>
      <c r="AN479" s="572"/>
      <c r="AO479" s="572"/>
      <c r="AP479" s="572"/>
      <c r="AQ479" s="572"/>
      <c r="AR479" s="572"/>
      <c r="AS479" s="572"/>
      <c r="AT479" s="572"/>
      <c r="AU479" s="572"/>
    </row>
    <row r="480" spans="1:47" ht="15.75" customHeight="1">
      <c r="A480" s="577">
        <v>44413</v>
      </c>
      <c r="B480" s="578" t="s">
        <v>6520</v>
      </c>
      <c r="C480" s="405" t="s">
        <v>2921</v>
      </c>
      <c r="D480" s="563" t="s">
        <v>6341</v>
      </c>
      <c r="E480" s="575">
        <v>12000</v>
      </c>
      <c r="F480" s="563" t="s">
        <v>937</v>
      </c>
      <c r="G480" s="573" t="s">
        <v>19</v>
      </c>
      <c r="H480" s="573" t="s">
        <v>34</v>
      </c>
      <c r="I480" s="573" t="s">
        <v>262</v>
      </c>
      <c r="J480" s="573">
        <v>44328</v>
      </c>
      <c r="K480" s="576" t="s">
        <v>3789</v>
      </c>
      <c r="L480" s="572"/>
      <c r="M480" s="572"/>
      <c r="N480" s="572"/>
      <c r="O480" s="572"/>
      <c r="P480" s="572"/>
      <c r="Q480" s="572"/>
      <c r="R480" s="572"/>
      <c r="S480" s="572"/>
      <c r="T480" s="572"/>
      <c r="U480" s="572"/>
      <c r="V480" s="572"/>
      <c r="W480" s="572"/>
      <c r="X480" s="572"/>
      <c r="Y480" s="572"/>
      <c r="Z480" s="572"/>
      <c r="AA480" s="572"/>
      <c r="AB480" s="572"/>
      <c r="AC480" s="572"/>
      <c r="AD480" s="572"/>
      <c r="AE480" s="572"/>
      <c r="AF480" s="572"/>
      <c r="AG480" s="572"/>
      <c r="AH480" s="572"/>
      <c r="AI480" s="572"/>
      <c r="AJ480" s="572"/>
      <c r="AK480" s="572"/>
      <c r="AL480" s="572"/>
      <c r="AM480" s="572"/>
      <c r="AN480" s="572"/>
      <c r="AO480" s="572"/>
      <c r="AP480" s="572"/>
      <c r="AQ480" s="572"/>
      <c r="AR480" s="572"/>
      <c r="AS480" s="572"/>
      <c r="AT480" s="572"/>
      <c r="AU480" s="572"/>
    </row>
    <row r="481" spans="1:47" ht="15.75" customHeight="1">
      <c r="A481" s="577">
        <v>44414</v>
      </c>
      <c r="B481" s="578" t="s">
        <v>6521</v>
      </c>
      <c r="C481" s="405" t="s">
        <v>3785</v>
      </c>
      <c r="D481" s="563" t="s">
        <v>6341</v>
      </c>
      <c r="E481" s="575">
        <v>30000</v>
      </c>
      <c r="F481" s="563" t="s">
        <v>4725</v>
      </c>
      <c r="G481" s="563" t="s">
        <v>64</v>
      </c>
      <c r="H481" s="563" t="s">
        <v>20</v>
      </c>
      <c r="I481" s="601" t="s">
        <v>4726</v>
      </c>
      <c r="J481" s="573">
        <v>44130</v>
      </c>
      <c r="K481" s="579" t="s">
        <v>3795</v>
      </c>
      <c r="L481" s="572"/>
      <c r="M481" s="572"/>
      <c r="N481" s="572"/>
      <c r="O481" s="572"/>
      <c r="P481" s="572"/>
      <c r="Q481" s="572"/>
      <c r="R481" s="572"/>
      <c r="S481" s="572"/>
      <c r="T481" s="572"/>
      <c r="U481" s="572"/>
      <c r="V481" s="572"/>
      <c r="W481" s="572"/>
      <c r="X481" s="572"/>
      <c r="Y481" s="572"/>
      <c r="Z481" s="572"/>
      <c r="AA481" s="572"/>
      <c r="AB481" s="572"/>
      <c r="AC481" s="572"/>
      <c r="AD481" s="572"/>
      <c r="AE481" s="572"/>
      <c r="AF481" s="572"/>
      <c r="AG481" s="572"/>
      <c r="AH481" s="572"/>
      <c r="AI481" s="572"/>
      <c r="AJ481" s="572"/>
      <c r="AK481" s="572"/>
      <c r="AL481" s="572"/>
      <c r="AM481" s="572"/>
      <c r="AN481" s="572"/>
      <c r="AO481" s="572"/>
      <c r="AP481" s="572"/>
      <c r="AQ481" s="572"/>
      <c r="AR481" s="572"/>
      <c r="AS481" s="572"/>
      <c r="AT481" s="572"/>
      <c r="AU481" s="572"/>
    </row>
    <row r="482" spans="1:47" ht="15.75" customHeight="1">
      <c r="A482" s="577">
        <v>44417</v>
      </c>
      <c r="B482" s="578" t="s">
        <v>6347</v>
      </c>
      <c r="C482" s="405" t="s">
        <v>2921</v>
      </c>
      <c r="D482" s="563" t="s">
        <v>6341</v>
      </c>
      <c r="E482" s="575">
        <v>2000</v>
      </c>
      <c r="F482" s="563" t="s">
        <v>3191</v>
      </c>
      <c r="G482" s="573" t="s">
        <v>2923</v>
      </c>
      <c r="H482" s="573" t="s">
        <v>20</v>
      </c>
      <c r="I482" s="573" t="s">
        <v>2924</v>
      </c>
      <c r="J482" s="573">
        <v>43703</v>
      </c>
      <c r="K482" s="576" t="s">
        <v>4188</v>
      </c>
      <c r="L482" s="572"/>
      <c r="M482" s="572"/>
      <c r="N482" s="572"/>
      <c r="O482" s="572"/>
      <c r="P482" s="572"/>
      <c r="Q482" s="572"/>
      <c r="R482" s="572"/>
      <c r="S482" s="572"/>
      <c r="T482" s="572"/>
      <c r="U482" s="572"/>
      <c r="V482" s="572"/>
      <c r="W482" s="572"/>
      <c r="X482" s="572"/>
      <c r="Y482" s="572"/>
      <c r="Z482" s="572"/>
      <c r="AA482" s="572"/>
      <c r="AB482" s="572"/>
      <c r="AC482" s="572"/>
      <c r="AD482" s="572"/>
      <c r="AE482" s="572"/>
      <c r="AF482" s="572"/>
      <c r="AG482" s="572"/>
      <c r="AH482" s="572"/>
      <c r="AI482" s="572"/>
      <c r="AJ482" s="572"/>
      <c r="AK482" s="572"/>
      <c r="AL482" s="572"/>
      <c r="AM482" s="572"/>
      <c r="AN482" s="572"/>
      <c r="AO482" s="572"/>
      <c r="AP482" s="572"/>
      <c r="AQ482" s="572"/>
      <c r="AR482" s="572"/>
      <c r="AS482" s="572"/>
      <c r="AT482" s="572"/>
      <c r="AU482" s="572"/>
    </row>
    <row r="483" spans="1:47" ht="15.75" customHeight="1">
      <c r="A483" s="577">
        <v>44417</v>
      </c>
      <c r="B483" s="578" t="s">
        <v>6409</v>
      </c>
      <c r="C483" s="405" t="s">
        <v>2921</v>
      </c>
      <c r="D483" s="563" t="s">
        <v>6341</v>
      </c>
      <c r="E483" s="575">
        <v>15000</v>
      </c>
      <c r="F483" s="563" t="s">
        <v>3257</v>
      </c>
      <c r="G483" s="573" t="s">
        <v>19</v>
      </c>
      <c r="H483" s="573" t="s">
        <v>34</v>
      </c>
      <c r="I483" s="573" t="s">
        <v>35</v>
      </c>
      <c r="J483" s="573">
        <v>44295</v>
      </c>
      <c r="K483" s="576" t="s">
        <v>3802</v>
      </c>
      <c r="L483" s="572"/>
      <c r="M483" s="572"/>
      <c r="N483" s="572"/>
      <c r="O483" s="572"/>
      <c r="P483" s="572"/>
      <c r="Q483" s="572"/>
      <c r="R483" s="572"/>
      <c r="S483" s="572"/>
      <c r="T483" s="572"/>
      <c r="U483" s="572"/>
      <c r="V483" s="572"/>
      <c r="W483" s="572"/>
      <c r="X483" s="572"/>
      <c r="Y483" s="572"/>
      <c r="Z483" s="572"/>
      <c r="AA483" s="572"/>
      <c r="AB483" s="572"/>
      <c r="AC483" s="572"/>
      <c r="AD483" s="572"/>
      <c r="AE483" s="572"/>
      <c r="AF483" s="572"/>
      <c r="AG483" s="572"/>
      <c r="AH483" s="572"/>
      <c r="AI483" s="572"/>
      <c r="AJ483" s="572"/>
      <c r="AK483" s="572"/>
      <c r="AL483" s="572"/>
      <c r="AM483" s="572"/>
      <c r="AN483" s="572"/>
      <c r="AO483" s="572"/>
      <c r="AP483" s="572"/>
      <c r="AQ483" s="572"/>
      <c r="AR483" s="572"/>
      <c r="AS483" s="572"/>
      <c r="AT483" s="572"/>
      <c r="AU483" s="572"/>
    </row>
    <row r="484" spans="1:47" ht="15.75" customHeight="1">
      <c r="A484" s="577">
        <v>44417</v>
      </c>
      <c r="B484" s="578" t="s">
        <v>6474</v>
      </c>
      <c r="C484" s="405" t="s">
        <v>2921</v>
      </c>
      <c r="D484" s="563" t="s">
        <v>6341</v>
      </c>
      <c r="E484" s="575">
        <v>2000</v>
      </c>
      <c r="F484" s="563" t="s">
        <v>3238</v>
      </c>
      <c r="G484" s="573" t="s">
        <v>19</v>
      </c>
      <c r="H484" s="573" t="s">
        <v>34</v>
      </c>
      <c r="I484" s="573" t="s">
        <v>2971</v>
      </c>
      <c r="J484" s="573">
        <v>44266</v>
      </c>
      <c r="K484" s="576" t="s">
        <v>3805</v>
      </c>
      <c r="L484" s="572"/>
      <c r="M484" s="572"/>
      <c r="N484" s="572"/>
      <c r="O484" s="572"/>
      <c r="P484" s="572"/>
      <c r="Q484" s="572"/>
      <c r="R484" s="572"/>
      <c r="S484" s="572"/>
      <c r="T484" s="572"/>
      <c r="U484" s="572"/>
      <c r="V484" s="572"/>
      <c r="W484" s="572"/>
      <c r="X484" s="572"/>
      <c r="Y484" s="572"/>
      <c r="Z484" s="572"/>
      <c r="AA484" s="572"/>
      <c r="AB484" s="572"/>
      <c r="AC484" s="572"/>
      <c r="AD484" s="572"/>
      <c r="AE484" s="572"/>
      <c r="AF484" s="572"/>
      <c r="AG484" s="572"/>
      <c r="AH484" s="572"/>
      <c r="AI484" s="572"/>
      <c r="AJ484" s="572"/>
      <c r="AK484" s="572"/>
      <c r="AL484" s="572"/>
      <c r="AM484" s="572"/>
      <c r="AN484" s="572"/>
      <c r="AO484" s="572"/>
      <c r="AP484" s="572"/>
      <c r="AQ484" s="572"/>
      <c r="AR484" s="572"/>
      <c r="AS484" s="572"/>
      <c r="AT484" s="572"/>
      <c r="AU484" s="572"/>
    </row>
    <row r="485" spans="1:47" ht="15.75" customHeight="1">
      <c r="A485" s="577">
        <v>44417</v>
      </c>
      <c r="B485" s="578" t="s">
        <v>6522</v>
      </c>
      <c r="C485" s="405" t="s">
        <v>2921</v>
      </c>
      <c r="D485" s="563" t="s">
        <v>6341</v>
      </c>
      <c r="E485" s="575">
        <v>1000000</v>
      </c>
      <c r="F485" s="563" t="s">
        <v>437</v>
      </c>
      <c r="G485" s="573" t="s">
        <v>19</v>
      </c>
      <c r="H485" s="573" t="s">
        <v>34</v>
      </c>
      <c r="I485" s="573" t="s">
        <v>35</v>
      </c>
      <c r="J485" s="573">
        <v>44263</v>
      </c>
      <c r="K485" s="576" t="s">
        <v>3795</v>
      </c>
      <c r="L485" s="572"/>
      <c r="M485" s="572"/>
      <c r="N485" s="572"/>
      <c r="O485" s="572"/>
      <c r="P485" s="572"/>
      <c r="Q485" s="572"/>
      <c r="R485" s="572"/>
      <c r="S485" s="572"/>
      <c r="T485" s="572"/>
      <c r="U485" s="572"/>
      <c r="V485" s="572"/>
      <c r="W485" s="572"/>
      <c r="X485" s="572"/>
      <c r="Y485" s="572"/>
      <c r="Z485" s="572"/>
      <c r="AA485" s="572"/>
      <c r="AB485" s="572"/>
      <c r="AC485" s="572"/>
      <c r="AD485" s="572"/>
      <c r="AE485" s="572"/>
      <c r="AF485" s="572"/>
      <c r="AG485" s="572"/>
      <c r="AH485" s="572"/>
      <c r="AI485" s="572"/>
      <c r="AJ485" s="572"/>
      <c r="AK485" s="572"/>
      <c r="AL485" s="572"/>
      <c r="AM485" s="572"/>
      <c r="AN485" s="572"/>
      <c r="AO485" s="572"/>
      <c r="AP485" s="572"/>
      <c r="AQ485" s="572"/>
      <c r="AR485" s="572"/>
      <c r="AS485" s="572"/>
      <c r="AT485" s="572"/>
      <c r="AU485" s="572"/>
    </row>
    <row r="486" spans="1:47" ht="15.75" customHeight="1">
      <c r="A486" s="573">
        <v>44418</v>
      </c>
      <c r="B486" s="578" t="s">
        <v>6523</v>
      </c>
      <c r="C486" s="563" t="s">
        <v>3785</v>
      </c>
      <c r="D486" s="563" t="s">
        <v>3110</v>
      </c>
      <c r="E486" s="575">
        <v>0</v>
      </c>
      <c r="F486" s="563" t="s">
        <v>4802</v>
      </c>
      <c r="G486" s="563" t="s">
        <v>64</v>
      </c>
      <c r="H486" s="563" t="s">
        <v>20</v>
      </c>
      <c r="I486" s="563" t="s">
        <v>4067</v>
      </c>
      <c r="J486" s="573">
        <v>44775</v>
      </c>
      <c r="K486" s="579" t="s">
        <v>3809</v>
      </c>
      <c r="L486" s="572"/>
      <c r="M486" s="572"/>
      <c r="N486" s="572"/>
      <c r="O486" s="572"/>
      <c r="P486" s="572"/>
      <c r="Q486" s="572"/>
      <c r="R486" s="572"/>
      <c r="S486" s="572"/>
      <c r="T486" s="572"/>
      <c r="U486" s="572"/>
      <c r="V486" s="572"/>
      <c r="W486" s="572"/>
      <c r="X486" s="572"/>
      <c r="Y486" s="572"/>
      <c r="Z486" s="572"/>
      <c r="AA486" s="572"/>
      <c r="AB486" s="572"/>
      <c r="AC486" s="572"/>
      <c r="AD486" s="572"/>
      <c r="AE486" s="572"/>
      <c r="AF486" s="572"/>
      <c r="AG486" s="572"/>
      <c r="AH486" s="572"/>
      <c r="AI486" s="572"/>
      <c r="AJ486" s="572"/>
      <c r="AK486" s="572"/>
      <c r="AL486" s="572"/>
      <c r="AM486" s="572"/>
      <c r="AN486" s="572"/>
      <c r="AO486" s="572"/>
      <c r="AP486" s="572"/>
      <c r="AQ486" s="572"/>
      <c r="AR486" s="572"/>
      <c r="AS486" s="572"/>
      <c r="AT486" s="572"/>
      <c r="AU486" s="572"/>
    </row>
    <row r="487" spans="1:47" ht="15.75" customHeight="1">
      <c r="A487" s="573">
        <v>44418</v>
      </c>
      <c r="B487" s="574" t="s">
        <v>6512</v>
      </c>
      <c r="C487" s="563" t="s">
        <v>2921</v>
      </c>
      <c r="D487" s="563" t="s">
        <v>3110</v>
      </c>
      <c r="E487" s="575">
        <v>467689.84</v>
      </c>
      <c r="F487" s="563" t="s">
        <v>3179</v>
      </c>
      <c r="G487" s="573" t="s">
        <v>2923</v>
      </c>
      <c r="H487" s="573" t="s">
        <v>20</v>
      </c>
      <c r="I487" s="573" t="s">
        <v>2924</v>
      </c>
      <c r="J487" s="573">
        <v>43859</v>
      </c>
      <c r="K487" s="576" t="s">
        <v>3805</v>
      </c>
      <c r="L487" s="572"/>
      <c r="M487" s="572"/>
      <c r="N487" s="572"/>
      <c r="O487" s="572"/>
      <c r="P487" s="572"/>
      <c r="Q487" s="572"/>
      <c r="R487" s="572"/>
      <c r="S487" s="572"/>
      <c r="T487" s="572"/>
      <c r="U487" s="572"/>
      <c r="V487" s="572"/>
      <c r="W487" s="572"/>
      <c r="X487" s="572"/>
      <c r="Y487" s="572"/>
      <c r="Z487" s="572"/>
      <c r="AA487" s="572"/>
      <c r="AB487" s="572"/>
      <c r="AC487" s="572"/>
      <c r="AD487" s="572"/>
      <c r="AE487" s="572"/>
      <c r="AF487" s="572"/>
      <c r="AG487" s="572"/>
      <c r="AH487" s="572"/>
      <c r="AI487" s="572"/>
      <c r="AJ487" s="572"/>
      <c r="AK487" s="572"/>
      <c r="AL487" s="572"/>
      <c r="AM487" s="572"/>
      <c r="AN487" s="572"/>
      <c r="AO487" s="572"/>
      <c r="AP487" s="572"/>
      <c r="AQ487" s="572"/>
      <c r="AR487" s="572"/>
      <c r="AS487" s="572"/>
      <c r="AT487" s="572"/>
      <c r="AU487" s="572"/>
    </row>
    <row r="488" spans="1:47" ht="15.75" customHeight="1">
      <c r="A488" s="573">
        <v>44418</v>
      </c>
      <c r="B488" s="574" t="s">
        <v>6458</v>
      </c>
      <c r="C488" s="563" t="s">
        <v>3785</v>
      </c>
      <c r="D488" s="563" t="s">
        <v>3110</v>
      </c>
      <c r="E488" s="575">
        <v>0</v>
      </c>
      <c r="F488" s="563" t="s">
        <v>4022</v>
      </c>
      <c r="G488" s="563" t="s">
        <v>64</v>
      </c>
      <c r="H488" s="563" t="s">
        <v>20</v>
      </c>
      <c r="I488" s="563" t="s">
        <v>3634</v>
      </c>
      <c r="J488" s="573">
        <v>44228</v>
      </c>
      <c r="K488" s="579" t="s">
        <v>3789</v>
      </c>
      <c r="L488" s="572"/>
      <c r="M488" s="572"/>
      <c r="N488" s="572"/>
      <c r="O488" s="572"/>
      <c r="P488" s="572"/>
      <c r="Q488" s="572"/>
      <c r="R488" s="572"/>
      <c r="S488" s="572"/>
      <c r="T488" s="572"/>
      <c r="U488" s="572"/>
      <c r="V488" s="572"/>
      <c r="W488" s="572"/>
      <c r="X488" s="572"/>
      <c r="Y488" s="572"/>
      <c r="Z488" s="572"/>
      <c r="AA488" s="572"/>
      <c r="AB488" s="572"/>
      <c r="AC488" s="572"/>
      <c r="AD488" s="572"/>
      <c r="AE488" s="572"/>
      <c r="AF488" s="572"/>
      <c r="AG488" s="572"/>
      <c r="AH488" s="572"/>
      <c r="AI488" s="572"/>
      <c r="AJ488" s="572"/>
      <c r="AK488" s="572"/>
      <c r="AL488" s="572"/>
      <c r="AM488" s="572"/>
      <c r="AN488" s="572"/>
      <c r="AO488" s="572"/>
      <c r="AP488" s="572"/>
      <c r="AQ488" s="572"/>
      <c r="AR488" s="572"/>
      <c r="AS488" s="572"/>
      <c r="AT488" s="572"/>
      <c r="AU488" s="572"/>
    </row>
    <row r="489" spans="1:47" ht="15.75" customHeight="1">
      <c r="A489" s="577">
        <v>44418</v>
      </c>
      <c r="B489" s="578" t="s">
        <v>6524</v>
      </c>
      <c r="C489" s="405" t="s">
        <v>3785</v>
      </c>
      <c r="D489" s="563" t="s">
        <v>6341</v>
      </c>
      <c r="E489" s="575">
        <v>387869.72</v>
      </c>
      <c r="F489" s="563" t="s">
        <v>6525</v>
      </c>
      <c r="G489" s="563" t="s">
        <v>2923</v>
      </c>
      <c r="H489" s="563" t="s">
        <v>20</v>
      </c>
      <c r="I489" s="563" t="s">
        <v>2923</v>
      </c>
      <c r="J489" s="573">
        <v>44195</v>
      </c>
      <c r="K489" s="579" t="s">
        <v>3805</v>
      </c>
      <c r="L489" s="572"/>
      <c r="M489" s="572"/>
      <c r="N489" s="572"/>
      <c r="O489" s="572"/>
      <c r="P489" s="572"/>
      <c r="Q489" s="572"/>
      <c r="R489" s="572"/>
      <c r="S489" s="572"/>
      <c r="T489" s="572"/>
      <c r="U489" s="572"/>
      <c r="V489" s="572"/>
      <c r="W489" s="572"/>
      <c r="X489" s="572"/>
      <c r="Y489" s="572"/>
      <c r="Z489" s="572"/>
      <c r="AA489" s="572"/>
      <c r="AB489" s="572"/>
      <c r="AC489" s="572"/>
      <c r="AD489" s="572"/>
      <c r="AE489" s="572"/>
      <c r="AF489" s="572"/>
      <c r="AG489" s="572"/>
      <c r="AH489" s="572"/>
      <c r="AI489" s="572"/>
      <c r="AJ489" s="572"/>
      <c r="AK489" s="572"/>
      <c r="AL489" s="572"/>
      <c r="AM489" s="572"/>
      <c r="AN489" s="572"/>
      <c r="AO489" s="572"/>
      <c r="AP489" s="572"/>
      <c r="AQ489" s="572"/>
      <c r="AR489" s="572"/>
      <c r="AS489" s="572"/>
      <c r="AT489" s="572"/>
      <c r="AU489" s="572"/>
    </row>
    <row r="490" spans="1:47" ht="15.75" customHeight="1">
      <c r="A490" s="577">
        <v>44420</v>
      </c>
      <c r="B490" s="578" t="s">
        <v>6442</v>
      </c>
      <c r="C490" s="405" t="s">
        <v>3785</v>
      </c>
      <c r="D490" s="563" t="s">
        <v>6341</v>
      </c>
      <c r="E490" s="575">
        <v>169129.47</v>
      </c>
      <c r="F490" s="563" t="s">
        <v>5087</v>
      </c>
      <c r="G490" s="563" t="s">
        <v>64</v>
      </c>
      <c r="H490" s="563" t="s">
        <v>20</v>
      </c>
      <c r="I490" s="563" t="s">
        <v>4472</v>
      </c>
      <c r="J490" s="573">
        <v>44180</v>
      </c>
      <c r="K490" s="579" t="s">
        <v>3795</v>
      </c>
      <c r="L490" s="572"/>
      <c r="M490" s="572"/>
      <c r="N490" s="572"/>
      <c r="O490" s="572"/>
      <c r="P490" s="572"/>
      <c r="Q490" s="572"/>
      <c r="R490" s="572"/>
      <c r="S490" s="572"/>
      <c r="T490" s="572"/>
      <c r="U490" s="572"/>
      <c r="V490" s="572"/>
      <c r="W490" s="572"/>
      <c r="X490" s="572"/>
      <c r="Y490" s="572"/>
      <c r="Z490" s="572"/>
      <c r="AA490" s="572"/>
      <c r="AB490" s="572"/>
      <c r="AC490" s="572"/>
      <c r="AD490" s="572"/>
      <c r="AE490" s="572"/>
      <c r="AF490" s="572"/>
      <c r="AG490" s="572"/>
      <c r="AH490" s="572"/>
      <c r="AI490" s="572"/>
      <c r="AJ490" s="572"/>
      <c r="AK490" s="572"/>
      <c r="AL490" s="572"/>
      <c r="AM490" s="572"/>
      <c r="AN490" s="572"/>
      <c r="AO490" s="572"/>
      <c r="AP490" s="572"/>
      <c r="AQ490" s="572"/>
      <c r="AR490" s="572"/>
      <c r="AS490" s="572"/>
      <c r="AT490" s="572"/>
      <c r="AU490" s="572"/>
    </row>
    <row r="491" spans="1:47" ht="15.75" customHeight="1">
      <c r="A491" s="577">
        <v>44421</v>
      </c>
      <c r="B491" s="578" t="s">
        <v>6526</v>
      </c>
      <c r="C491" s="405" t="s">
        <v>3785</v>
      </c>
      <c r="D491" s="563" t="s">
        <v>6341</v>
      </c>
      <c r="E491" s="575">
        <v>300000</v>
      </c>
      <c r="F491" s="563" t="s">
        <v>5351</v>
      </c>
      <c r="G491" s="563" t="s">
        <v>64</v>
      </c>
      <c r="H491" s="563" t="s">
        <v>20</v>
      </c>
      <c r="I491" s="563" t="s">
        <v>4451</v>
      </c>
      <c r="J491" s="573">
        <v>44397</v>
      </c>
      <c r="K491" s="579" t="s">
        <v>3805</v>
      </c>
      <c r="L491" s="572"/>
      <c r="M491" s="572"/>
      <c r="N491" s="572"/>
      <c r="O491" s="572"/>
      <c r="P491" s="572"/>
      <c r="Q491" s="572"/>
      <c r="R491" s="572"/>
      <c r="S491" s="572"/>
      <c r="T491" s="572"/>
      <c r="U491" s="572"/>
      <c r="V491" s="572"/>
      <c r="W491" s="572"/>
      <c r="X491" s="572"/>
      <c r="Y491" s="572"/>
      <c r="Z491" s="572"/>
      <c r="AA491" s="572"/>
      <c r="AB491" s="572"/>
      <c r="AC491" s="572"/>
      <c r="AD491" s="572"/>
      <c r="AE491" s="572"/>
      <c r="AF491" s="572"/>
      <c r="AG491" s="572"/>
      <c r="AH491" s="572"/>
      <c r="AI491" s="572"/>
      <c r="AJ491" s="572"/>
      <c r="AK491" s="572"/>
      <c r="AL491" s="572"/>
      <c r="AM491" s="572"/>
      <c r="AN491" s="572"/>
      <c r="AO491" s="572"/>
      <c r="AP491" s="572"/>
      <c r="AQ491" s="572"/>
      <c r="AR491" s="572"/>
      <c r="AS491" s="572"/>
      <c r="AT491" s="572"/>
      <c r="AU491" s="572"/>
    </row>
    <row r="492" spans="1:47" ht="15.75" customHeight="1">
      <c r="A492" s="577">
        <v>44421</v>
      </c>
      <c r="B492" s="578" t="s">
        <v>6349</v>
      </c>
      <c r="C492" s="405" t="s">
        <v>2921</v>
      </c>
      <c r="D492" s="563" t="s">
        <v>6341</v>
      </c>
      <c r="E492" s="575">
        <v>15000</v>
      </c>
      <c r="F492" s="563" t="s">
        <v>3228</v>
      </c>
      <c r="G492" s="573" t="s">
        <v>2923</v>
      </c>
      <c r="H492" s="573" t="s">
        <v>20</v>
      </c>
      <c r="I492" s="573" t="s">
        <v>2924</v>
      </c>
      <c r="J492" s="573">
        <v>43605</v>
      </c>
      <c r="K492" s="576" t="s">
        <v>3805</v>
      </c>
      <c r="L492" s="572"/>
      <c r="M492" s="572"/>
      <c r="N492" s="572"/>
      <c r="O492" s="572"/>
      <c r="P492" s="572"/>
      <c r="Q492" s="572"/>
      <c r="R492" s="572"/>
      <c r="S492" s="572"/>
      <c r="T492" s="572"/>
      <c r="U492" s="572"/>
      <c r="V492" s="572"/>
      <c r="W492" s="572"/>
      <c r="X492" s="572"/>
      <c r="Y492" s="572"/>
      <c r="Z492" s="572"/>
      <c r="AA492" s="572"/>
      <c r="AB492" s="572"/>
      <c r="AC492" s="572"/>
      <c r="AD492" s="572"/>
      <c r="AE492" s="572"/>
      <c r="AF492" s="572"/>
      <c r="AG492" s="572"/>
      <c r="AH492" s="572"/>
      <c r="AI492" s="572"/>
      <c r="AJ492" s="572"/>
      <c r="AK492" s="572"/>
      <c r="AL492" s="572"/>
      <c r="AM492" s="572"/>
      <c r="AN492" s="572"/>
      <c r="AO492" s="572"/>
      <c r="AP492" s="572"/>
      <c r="AQ492" s="572"/>
      <c r="AR492" s="572"/>
      <c r="AS492" s="572"/>
      <c r="AT492" s="572"/>
      <c r="AU492" s="572"/>
    </row>
    <row r="493" spans="1:47" ht="15.75" customHeight="1">
      <c r="A493" s="577">
        <v>44421</v>
      </c>
      <c r="B493" s="578" t="s">
        <v>6473</v>
      </c>
      <c r="C493" s="405" t="s">
        <v>2921</v>
      </c>
      <c r="D493" s="563" t="s">
        <v>6341</v>
      </c>
      <c r="E493" s="575">
        <v>36000</v>
      </c>
      <c r="F493" s="563" t="s">
        <v>3332</v>
      </c>
      <c r="G493" s="573" t="s">
        <v>19</v>
      </c>
      <c r="H493" s="573" t="s">
        <v>34</v>
      </c>
      <c r="I493" s="573" t="s">
        <v>262</v>
      </c>
      <c r="J493" s="573">
        <v>44322</v>
      </c>
      <c r="K493" s="576" t="s">
        <v>3795</v>
      </c>
      <c r="L493" s="572"/>
      <c r="M493" s="572"/>
      <c r="N493" s="572"/>
      <c r="O493" s="572"/>
      <c r="P493" s="572"/>
      <c r="Q493" s="572"/>
      <c r="R493" s="572"/>
      <c r="S493" s="572"/>
      <c r="T493" s="572"/>
      <c r="U493" s="572"/>
      <c r="V493" s="572"/>
      <c r="W493" s="572"/>
      <c r="X493" s="572"/>
      <c r="Y493" s="572"/>
      <c r="Z493" s="572"/>
      <c r="AA493" s="572"/>
      <c r="AB493" s="572"/>
      <c r="AC493" s="572"/>
      <c r="AD493" s="572"/>
      <c r="AE493" s="572"/>
      <c r="AF493" s="572"/>
      <c r="AG493" s="572"/>
      <c r="AH493" s="572"/>
      <c r="AI493" s="572"/>
      <c r="AJ493" s="572"/>
      <c r="AK493" s="572"/>
      <c r="AL493" s="572"/>
      <c r="AM493" s="572"/>
      <c r="AN493" s="572"/>
      <c r="AO493" s="572"/>
      <c r="AP493" s="572"/>
      <c r="AQ493" s="572"/>
      <c r="AR493" s="572"/>
      <c r="AS493" s="572"/>
      <c r="AT493" s="572"/>
      <c r="AU493" s="572"/>
    </row>
    <row r="494" spans="1:47" ht="15.75" customHeight="1">
      <c r="A494" s="573">
        <v>44424</v>
      </c>
      <c r="B494" s="574" t="s">
        <v>6527</v>
      </c>
      <c r="C494" s="563" t="s">
        <v>3785</v>
      </c>
      <c r="D494" s="563" t="s">
        <v>3110</v>
      </c>
      <c r="E494" s="575">
        <v>0</v>
      </c>
      <c r="F494" s="563" t="s">
        <v>5129</v>
      </c>
      <c r="G494" s="563" t="s">
        <v>64</v>
      </c>
      <c r="H494" s="563" t="s">
        <v>20</v>
      </c>
      <c r="I494" s="563" t="s">
        <v>3973</v>
      </c>
      <c r="J494" s="573">
        <v>44078</v>
      </c>
      <c r="K494" s="579" t="s">
        <v>3789</v>
      </c>
      <c r="L494" s="572"/>
      <c r="M494" s="572"/>
      <c r="N494" s="572"/>
      <c r="O494" s="572"/>
      <c r="P494" s="572"/>
      <c r="Q494" s="572"/>
      <c r="R494" s="572"/>
      <c r="S494" s="572"/>
      <c r="T494" s="572"/>
      <c r="U494" s="572"/>
      <c r="V494" s="572"/>
      <c r="W494" s="572"/>
      <c r="X494" s="572"/>
      <c r="Y494" s="572"/>
      <c r="Z494" s="572"/>
      <c r="AA494" s="572"/>
      <c r="AB494" s="572"/>
      <c r="AC494" s="572"/>
      <c r="AD494" s="572"/>
      <c r="AE494" s="572"/>
      <c r="AF494" s="572"/>
      <c r="AG494" s="572"/>
      <c r="AH494" s="572"/>
      <c r="AI494" s="572"/>
      <c r="AJ494" s="572"/>
      <c r="AK494" s="572"/>
      <c r="AL494" s="572"/>
      <c r="AM494" s="572"/>
      <c r="AN494" s="572"/>
      <c r="AO494" s="572"/>
      <c r="AP494" s="572"/>
      <c r="AQ494" s="572"/>
      <c r="AR494" s="572"/>
      <c r="AS494" s="572"/>
      <c r="AT494" s="572"/>
      <c r="AU494" s="572"/>
    </row>
    <row r="495" spans="1:47" ht="15.75" customHeight="1">
      <c r="A495" s="577">
        <v>44424</v>
      </c>
      <c r="B495" s="578" t="s">
        <v>6363</v>
      </c>
      <c r="C495" s="405" t="s">
        <v>2921</v>
      </c>
      <c r="D495" s="563" t="s">
        <v>6341</v>
      </c>
      <c r="E495" s="575">
        <v>29127.62</v>
      </c>
      <c r="F495" s="563" t="s">
        <v>3445</v>
      </c>
      <c r="G495" s="573" t="s">
        <v>2923</v>
      </c>
      <c r="H495" s="573" t="s">
        <v>20</v>
      </c>
      <c r="I495" s="573" t="s">
        <v>2924</v>
      </c>
      <c r="J495" s="573">
        <v>43894</v>
      </c>
      <c r="K495" s="576" t="s">
        <v>3805</v>
      </c>
      <c r="L495" s="572"/>
      <c r="M495" s="572"/>
      <c r="N495" s="572"/>
      <c r="O495" s="572"/>
      <c r="P495" s="572"/>
      <c r="Q495" s="572"/>
      <c r="R495" s="572"/>
      <c r="S495" s="572"/>
      <c r="T495" s="572"/>
      <c r="U495" s="572"/>
      <c r="V495" s="572"/>
      <c r="W495" s="572"/>
      <c r="X495" s="572"/>
      <c r="Y495" s="572"/>
      <c r="Z495" s="572"/>
      <c r="AA495" s="572"/>
      <c r="AB495" s="572"/>
      <c r="AC495" s="572"/>
      <c r="AD495" s="572"/>
      <c r="AE495" s="572"/>
      <c r="AF495" s="572"/>
      <c r="AG495" s="572"/>
      <c r="AH495" s="572"/>
      <c r="AI495" s="572"/>
      <c r="AJ495" s="572"/>
      <c r="AK495" s="572"/>
      <c r="AL495" s="572"/>
      <c r="AM495" s="572"/>
      <c r="AN495" s="572"/>
      <c r="AO495" s="572"/>
      <c r="AP495" s="572"/>
      <c r="AQ495" s="572"/>
      <c r="AR495" s="572"/>
      <c r="AS495" s="572"/>
      <c r="AT495" s="572"/>
      <c r="AU495" s="572"/>
    </row>
    <row r="496" spans="1:47" ht="15.75" customHeight="1">
      <c r="A496" s="577">
        <v>44424</v>
      </c>
      <c r="B496" s="578" t="s">
        <v>6528</v>
      </c>
      <c r="C496" s="405" t="s">
        <v>2921</v>
      </c>
      <c r="D496" s="563" t="s">
        <v>6341</v>
      </c>
      <c r="E496" s="575">
        <v>4000</v>
      </c>
      <c r="F496" s="563" t="s">
        <v>3132</v>
      </c>
      <c r="G496" s="573" t="s">
        <v>19</v>
      </c>
      <c r="H496" s="573" t="s">
        <v>34</v>
      </c>
      <c r="I496" s="573" t="s">
        <v>262</v>
      </c>
      <c r="J496" s="573">
        <v>44291</v>
      </c>
      <c r="K496" s="576" t="s">
        <v>3795</v>
      </c>
      <c r="L496" s="572"/>
      <c r="M496" s="572"/>
      <c r="N496" s="572"/>
      <c r="O496" s="572"/>
      <c r="P496" s="572"/>
      <c r="Q496" s="572"/>
      <c r="R496" s="572"/>
      <c r="S496" s="572"/>
      <c r="T496" s="572"/>
      <c r="U496" s="572"/>
      <c r="V496" s="572"/>
      <c r="W496" s="572"/>
      <c r="X496" s="572"/>
      <c r="Y496" s="572"/>
      <c r="Z496" s="572"/>
      <c r="AA496" s="572"/>
      <c r="AB496" s="572"/>
      <c r="AC496" s="572"/>
      <c r="AD496" s="572"/>
      <c r="AE496" s="572"/>
      <c r="AF496" s="572"/>
      <c r="AG496" s="572"/>
      <c r="AH496" s="572"/>
      <c r="AI496" s="572"/>
      <c r="AJ496" s="572"/>
      <c r="AK496" s="572"/>
      <c r="AL496" s="572"/>
      <c r="AM496" s="572"/>
      <c r="AN496" s="572"/>
      <c r="AO496" s="572"/>
      <c r="AP496" s="572"/>
      <c r="AQ496" s="572"/>
      <c r="AR496" s="572"/>
      <c r="AS496" s="572"/>
      <c r="AT496" s="572"/>
      <c r="AU496" s="572"/>
    </row>
    <row r="497" spans="1:47" ht="15.75" customHeight="1">
      <c r="A497" s="577">
        <v>44424</v>
      </c>
      <c r="B497" s="578" t="s">
        <v>6526</v>
      </c>
      <c r="C497" s="405" t="s">
        <v>3785</v>
      </c>
      <c r="D497" s="563" t="s">
        <v>928</v>
      </c>
      <c r="E497" s="575">
        <v>83704.06</v>
      </c>
      <c r="F497" s="563" t="s">
        <v>6529</v>
      </c>
      <c r="G497" s="563" t="s">
        <v>64</v>
      </c>
      <c r="H497" s="563" t="s">
        <v>20</v>
      </c>
      <c r="I497" s="563" t="s">
        <v>4451</v>
      </c>
      <c r="J497" s="573">
        <v>44397</v>
      </c>
      <c r="K497" s="579" t="s">
        <v>3805</v>
      </c>
      <c r="L497" s="572"/>
      <c r="M497" s="572"/>
      <c r="N497" s="572"/>
      <c r="O497" s="572"/>
      <c r="P497" s="572"/>
      <c r="Q497" s="572"/>
      <c r="R497" s="572"/>
      <c r="S497" s="572"/>
      <c r="T497" s="572"/>
      <c r="U497" s="572"/>
      <c r="V497" s="572"/>
      <c r="W497" s="572"/>
      <c r="X497" s="572"/>
      <c r="Y497" s="572"/>
      <c r="Z497" s="572"/>
      <c r="AA497" s="572"/>
      <c r="AB497" s="572"/>
      <c r="AC497" s="572"/>
      <c r="AD497" s="572"/>
      <c r="AE497" s="572"/>
      <c r="AF497" s="572"/>
      <c r="AG497" s="572"/>
      <c r="AH497" s="572"/>
      <c r="AI497" s="572"/>
      <c r="AJ497" s="572"/>
      <c r="AK497" s="572"/>
      <c r="AL497" s="572"/>
      <c r="AM497" s="572"/>
      <c r="AN497" s="572"/>
      <c r="AO497" s="572"/>
      <c r="AP497" s="572"/>
      <c r="AQ497" s="572"/>
      <c r="AR497" s="572"/>
      <c r="AS497" s="572"/>
      <c r="AT497" s="572"/>
      <c r="AU497" s="572"/>
    </row>
    <row r="498" spans="1:47" ht="15.75" customHeight="1">
      <c r="A498" s="577">
        <v>44424</v>
      </c>
      <c r="B498" s="578" t="s">
        <v>6530</v>
      </c>
      <c r="C498" s="405" t="s">
        <v>3785</v>
      </c>
      <c r="D498" s="563" t="s">
        <v>928</v>
      </c>
      <c r="E498" s="575">
        <v>5000</v>
      </c>
      <c r="F498" s="563" t="s">
        <v>4166</v>
      </c>
      <c r="G498" s="563" t="s">
        <v>19</v>
      </c>
      <c r="H498" s="563" t="s">
        <v>20</v>
      </c>
      <c r="I498" s="563" t="s">
        <v>4167</v>
      </c>
      <c r="J498" s="573">
        <v>44305</v>
      </c>
      <c r="K498" s="579" t="s">
        <v>3809</v>
      </c>
      <c r="L498" s="572"/>
      <c r="M498" s="572"/>
      <c r="N498" s="572"/>
      <c r="O498" s="572"/>
      <c r="P498" s="572"/>
      <c r="Q498" s="572"/>
      <c r="R498" s="572"/>
      <c r="S498" s="572"/>
      <c r="T498" s="572"/>
      <c r="U498" s="572"/>
      <c r="V498" s="572"/>
      <c r="W498" s="572"/>
      <c r="X498" s="572"/>
      <c r="Y498" s="572"/>
      <c r="Z498" s="572"/>
      <c r="AA498" s="572"/>
      <c r="AB498" s="572"/>
      <c r="AC498" s="572"/>
      <c r="AD498" s="572"/>
      <c r="AE498" s="572"/>
      <c r="AF498" s="572"/>
      <c r="AG498" s="572"/>
      <c r="AH498" s="572"/>
      <c r="AI498" s="572"/>
      <c r="AJ498" s="572"/>
      <c r="AK498" s="572"/>
      <c r="AL498" s="572"/>
      <c r="AM498" s="572"/>
      <c r="AN498" s="572"/>
      <c r="AO498" s="572"/>
      <c r="AP498" s="572"/>
      <c r="AQ498" s="572"/>
      <c r="AR498" s="572"/>
      <c r="AS498" s="572"/>
      <c r="AT498" s="572"/>
      <c r="AU498" s="572"/>
    </row>
    <row r="499" spans="1:47" ht="15.75" customHeight="1">
      <c r="A499" s="573">
        <v>44425</v>
      </c>
      <c r="B499" s="574" t="s">
        <v>6531</v>
      </c>
      <c r="C499" s="563" t="s">
        <v>2921</v>
      </c>
      <c r="D499" s="563" t="s">
        <v>3110</v>
      </c>
      <c r="E499" s="575">
        <v>110571.37</v>
      </c>
      <c r="F499" s="563" t="s">
        <v>3483</v>
      </c>
      <c r="G499" s="573" t="s">
        <v>2989</v>
      </c>
      <c r="H499" s="573" t="s">
        <v>20</v>
      </c>
      <c r="I499" s="573" t="s">
        <v>2989</v>
      </c>
      <c r="J499" s="573">
        <v>43990</v>
      </c>
      <c r="K499" s="576" t="s">
        <v>3809</v>
      </c>
      <c r="L499" s="572"/>
      <c r="M499" s="572"/>
      <c r="N499" s="572"/>
      <c r="O499" s="572"/>
      <c r="P499" s="572"/>
      <c r="Q499" s="572"/>
      <c r="R499" s="572"/>
      <c r="S499" s="572"/>
      <c r="T499" s="572"/>
      <c r="U499" s="572"/>
      <c r="V499" s="572"/>
      <c r="W499" s="572"/>
      <c r="X499" s="572"/>
      <c r="Y499" s="572"/>
      <c r="Z499" s="572"/>
      <c r="AA499" s="572"/>
      <c r="AB499" s="572"/>
      <c r="AC499" s="572"/>
      <c r="AD499" s="572"/>
      <c r="AE499" s="572"/>
      <c r="AF499" s="572"/>
      <c r="AG499" s="572"/>
      <c r="AH499" s="572"/>
      <c r="AI499" s="572"/>
      <c r="AJ499" s="572"/>
      <c r="AK499" s="572"/>
      <c r="AL499" s="572"/>
      <c r="AM499" s="572"/>
      <c r="AN499" s="572"/>
      <c r="AO499" s="572"/>
      <c r="AP499" s="572"/>
      <c r="AQ499" s="572"/>
      <c r="AR499" s="572"/>
      <c r="AS499" s="572"/>
      <c r="AT499" s="572"/>
      <c r="AU499" s="572"/>
    </row>
    <row r="500" spans="1:47" ht="15.75" customHeight="1">
      <c r="A500" s="573">
        <v>44425</v>
      </c>
      <c r="B500" s="574" t="s">
        <v>6532</v>
      </c>
      <c r="C500" s="563" t="s">
        <v>3785</v>
      </c>
      <c r="D500" s="563" t="s">
        <v>3110</v>
      </c>
      <c r="E500" s="575">
        <v>0</v>
      </c>
      <c r="F500" s="563" t="s">
        <v>5150</v>
      </c>
      <c r="G500" s="563" t="s">
        <v>19</v>
      </c>
      <c r="H500" s="563" t="s">
        <v>20</v>
      </c>
      <c r="I500" s="563" t="s">
        <v>3793</v>
      </c>
      <c r="J500" s="573">
        <v>44148</v>
      </c>
      <c r="K500" s="579" t="s">
        <v>3795</v>
      </c>
      <c r="L500" s="572"/>
      <c r="M500" s="572"/>
      <c r="N500" s="572"/>
      <c r="O500" s="572"/>
      <c r="P500" s="572"/>
      <c r="Q500" s="572"/>
      <c r="R500" s="572"/>
      <c r="S500" s="572"/>
      <c r="T500" s="572"/>
      <c r="U500" s="572"/>
      <c r="V500" s="572"/>
      <c r="W500" s="572"/>
      <c r="X500" s="572"/>
      <c r="Y500" s="572"/>
      <c r="Z500" s="572"/>
      <c r="AA500" s="572"/>
      <c r="AB500" s="572"/>
      <c r="AC500" s="572"/>
      <c r="AD500" s="572"/>
      <c r="AE500" s="572"/>
      <c r="AF500" s="572"/>
      <c r="AG500" s="572"/>
      <c r="AH500" s="572"/>
      <c r="AI500" s="572"/>
      <c r="AJ500" s="572"/>
      <c r="AK500" s="572"/>
      <c r="AL500" s="572"/>
      <c r="AM500" s="572"/>
      <c r="AN500" s="572"/>
      <c r="AO500" s="572"/>
      <c r="AP500" s="572"/>
      <c r="AQ500" s="572"/>
      <c r="AR500" s="572"/>
      <c r="AS500" s="572"/>
      <c r="AT500" s="572"/>
      <c r="AU500" s="572"/>
    </row>
    <row r="501" spans="1:47" ht="15.75" customHeight="1">
      <c r="A501" s="577">
        <v>44425</v>
      </c>
      <c r="B501" s="578" t="s">
        <v>6504</v>
      </c>
      <c r="C501" s="405" t="s">
        <v>2921</v>
      </c>
      <c r="D501" s="563" t="s">
        <v>6341</v>
      </c>
      <c r="E501" s="575">
        <v>3000</v>
      </c>
      <c r="F501" s="563" t="s">
        <v>2933</v>
      </c>
      <c r="G501" s="573" t="s">
        <v>19</v>
      </c>
      <c r="H501" s="573" t="s">
        <v>34</v>
      </c>
      <c r="I501" s="573" t="s">
        <v>262</v>
      </c>
      <c r="J501" s="573">
        <v>44321</v>
      </c>
      <c r="K501" s="576" t="s">
        <v>3805</v>
      </c>
      <c r="L501" s="572"/>
      <c r="M501" s="572"/>
      <c r="N501" s="572"/>
      <c r="O501" s="572"/>
      <c r="P501" s="572"/>
      <c r="Q501" s="572"/>
      <c r="R501" s="572"/>
      <c r="S501" s="572"/>
      <c r="T501" s="572"/>
      <c r="U501" s="572"/>
      <c r="V501" s="572"/>
      <c r="W501" s="572"/>
      <c r="X501" s="572"/>
      <c r="Y501" s="572"/>
      <c r="Z501" s="572"/>
      <c r="AA501" s="572"/>
      <c r="AB501" s="572"/>
      <c r="AC501" s="572"/>
      <c r="AD501" s="572"/>
      <c r="AE501" s="572"/>
      <c r="AF501" s="572"/>
      <c r="AG501" s="572"/>
      <c r="AH501" s="572"/>
      <c r="AI501" s="572"/>
      <c r="AJ501" s="572"/>
      <c r="AK501" s="572"/>
      <c r="AL501" s="572"/>
      <c r="AM501" s="572"/>
      <c r="AN501" s="572"/>
      <c r="AO501" s="572"/>
      <c r="AP501" s="572"/>
      <c r="AQ501" s="572"/>
      <c r="AR501" s="572"/>
      <c r="AS501" s="572"/>
      <c r="AT501" s="572"/>
      <c r="AU501" s="572"/>
    </row>
    <row r="502" spans="1:47" ht="15.75" customHeight="1">
      <c r="A502" s="577">
        <v>44426</v>
      </c>
      <c r="B502" s="578" t="s">
        <v>6473</v>
      </c>
      <c r="C502" s="405" t="s">
        <v>2921</v>
      </c>
      <c r="D502" s="563" t="s">
        <v>6341</v>
      </c>
      <c r="E502" s="575">
        <v>9000</v>
      </c>
      <c r="F502" s="563" t="s">
        <v>3332</v>
      </c>
      <c r="G502" s="573" t="s">
        <v>19</v>
      </c>
      <c r="H502" s="573" t="s">
        <v>34</v>
      </c>
      <c r="I502" s="573" t="s">
        <v>262</v>
      </c>
      <c r="J502" s="573">
        <v>44322</v>
      </c>
      <c r="K502" s="576" t="s">
        <v>3795</v>
      </c>
      <c r="L502" s="572"/>
      <c r="M502" s="572"/>
      <c r="N502" s="572"/>
      <c r="O502" s="572"/>
      <c r="P502" s="572"/>
      <c r="Q502" s="572"/>
      <c r="R502" s="572"/>
      <c r="S502" s="572"/>
      <c r="T502" s="572"/>
      <c r="U502" s="572"/>
      <c r="V502" s="572"/>
      <c r="W502" s="572"/>
      <c r="X502" s="572"/>
      <c r="Y502" s="572"/>
      <c r="Z502" s="572"/>
      <c r="AA502" s="572"/>
      <c r="AB502" s="572"/>
      <c r="AC502" s="572"/>
      <c r="AD502" s="572"/>
      <c r="AE502" s="572"/>
      <c r="AF502" s="572"/>
      <c r="AG502" s="572"/>
      <c r="AH502" s="572"/>
      <c r="AI502" s="572"/>
      <c r="AJ502" s="572"/>
      <c r="AK502" s="572"/>
      <c r="AL502" s="572"/>
      <c r="AM502" s="572"/>
      <c r="AN502" s="572"/>
      <c r="AO502" s="572"/>
      <c r="AP502" s="572"/>
      <c r="AQ502" s="572"/>
      <c r="AR502" s="572"/>
      <c r="AS502" s="572"/>
      <c r="AT502" s="572"/>
      <c r="AU502" s="572"/>
    </row>
    <row r="503" spans="1:47" ht="15.75" customHeight="1">
      <c r="A503" s="577">
        <v>44426</v>
      </c>
      <c r="B503" s="578" t="s">
        <v>6533</v>
      </c>
      <c r="C503" s="405" t="s">
        <v>3785</v>
      </c>
      <c r="D503" s="563" t="s">
        <v>6341</v>
      </c>
      <c r="E503" s="575">
        <v>10000</v>
      </c>
      <c r="F503" s="563" t="s">
        <v>5106</v>
      </c>
      <c r="G503" s="563" t="s">
        <v>19</v>
      </c>
      <c r="H503" s="563" t="s">
        <v>20</v>
      </c>
      <c r="I503" s="563" t="s">
        <v>3793</v>
      </c>
      <c r="J503" s="573">
        <v>44133</v>
      </c>
      <c r="K503" s="579" t="s">
        <v>3805</v>
      </c>
      <c r="L503" s="572"/>
      <c r="M503" s="572"/>
      <c r="N503" s="572"/>
      <c r="O503" s="572"/>
      <c r="P503" s="572"/>
      <c r="Q503" s="572"/>
      <c r="R503" s="572"/>
      <c r="S503" s="572"/>
      <c r="T503" s="572"/>
      <c r="U503" s="572"/>
      <c r="V503" s="572"/>
      <c r="W503" s="572"/>
      <c r="X503" s="572"/>
      <c r="Y503" s="572"/>
      <c r="Z503" s="572"/>
      <c r="AA503" s="572"/>
      <c r="AB503" s="572"/>
      <c r="AC503" s="572"/>
      <c r="AD503" s="572"/>
      <c r="AE503" s="572"/>
      <c r="AF503" s="572"/>
      <c r="AG503" s="572"/>
      <c r="AH503" s="572"/>
      <c r="AI503" s="572"/>
      <c r="AJ503" s="572"/>
      <c r="AK503" s="572"/>
      <c r="AL503" s="572"/>
      <c r="AM503" s="572"/>
      <c r="AN503" s="572"/>
      <c r="AO503" s="572"/>
      <c r="AP503" s="572"/>
      <c r="AQ503" s="572"/>
      <c r="AR503" s="572"/>
      <c r="AS503" s="572"/>
      <c r="AT503" s="572"/>
      <c r="AU503" s="572"/>
    </row>
    <row r="504" spans="1:47" ht="15.75" customHeight="1">
      <c r="A504" s="577">
        <v>44427</v>
      </c>
      <c r="B504" s="578" t="s">
        <v>6534</v>
      </c>
      <c r="C504" s="405" t="s">
        <v>3785</v>
      </c>
      <c r="D504" s="563" t="s">
        <v>928</v>
      </c>
      <c r="E504" s="575">
        <v>117509.41</v>
      </c>
      <c r="F504" s="563" t="s">
        <v>4176</v>
      </c>
      <c r="G504" s="563" t="s">
        <v>2923</v>
      </c>
      <c r="H504" s="563" t="s">
        <v>20</v>
      </c>
      <c r="I504" s="563" t="s">
        <v>2923</v>
      </c>
      <c r="J504" s="573">
        <v>44368</v>
      </c>
      <c r="K504" s="579" t="s">
        <v>3795</v>
      </c>
      <c r="L504" s="572"/>
      <c r="M504" s="572"/>
      <c r="N504" s="572"/>
      <c r="O504" s="572"/>
      <c r="P504" s="572"/>
      <c r="Q504" s="572"/>
      <c r="R504" s="572"/>
      <c r="S504" s="572"/>
      <c r="T504" s="572"/>
      <c r="U504" s="572"/>
      <c r="V504" s="572"/>
      <c r="W504" s="572"/>
      <c r="X504" s="572"/>
      <c r="Y504" s="572"/>
      <c r="Z504" s="572"/>
      <c r="AA504" s="572"/>
      <c r="AB504" s="572"/>
      <c r="AC504" s="572"/>
      <c r="AD504" s="572"/>
      <c r="AE504" s="572"/>
      <c r="AF504" s="572"/>
      <c r="AG504" s="572"/>
      <c r="AH504" s="572"/>
      <c r="AI504" s="572"/>
      <c r="AJ504" s="572"/>
      <c r="AK504" s="572"/>
      <c r="AL504" s="572"/>
      <c r="AM504" s="572"/>
      <c r="AN504" s="572"/>
      <c r="AO504" s="572"/>
      <c r="AP504" s="572"/>
      <c r="AQ504" s="572"/>
      <c r="AR504" s="572"/>
      <c r="AS504" s="572"/>
      <c r="AT504" s="572"/>
      <c r="AU504" s="572"/>
    </row>
    <row r="505" spans="1:47" ht="15.75" customHeight="1">
      <c r="A505" s="573">
        <v>44428</v>
      </c>
      <c r="B505" s="574" t="s">
        <v>6535</v>
      </c>
      <c r="C505" s="563" t="s">
        <v>3785</v>
      </c>
      <c r="D505" s="563" t="s">
        <v>3110</v>
      </c>
      <c r="E505" s="575">
        <v>0</v>
      </c>
      <c r="F505" s="563" t="s">
        <v>4964</v>
      </c>
      <c r="G505" s="563" t="s">
        <v>19</v>
      </c>
      <c r="H505" s="563" t="s">
        <v>20</v>
      </c>
      <c r="I505" s="563" t="s">
        <v>3793</v>
      </c>
      <c r="J505" s="573">
        <v>44196</v>
      </c>
      <c r="K505" s="579" t="s">
        <v>3802</v>
      </c>
      <c r="L505" s="572"/>
      <c r="M505" s="572"/>
      <c r="N505" s="572"/>
      <c r="O505" s="572"/>
      <c r="P505" s="572"/>
      <c r="Q505" s="572"/>
      <c r="R505" s="572"/>
      <c r="S505" s="572"/>
      <c r="T505" s="572"/>
      <c r="U505" s="572"/>
      <c r="V505" s="572"/>
      <c r="W505" s="572"/>
      <c r="X505" s="572"/>
      <c r="Y505" s="572"/>
      <c r="Z505" s="572"/>
      <c r="AA505" s="572"/>
      <c r="AB505" s="572"/>
      <c r="AC505" s="572"/>
      <c r="AD505" s="572"/>
      <c r="AE505" s="572"/>
      <c r="AF505" s="572"/>
      <c r="AG505" s="572"/>
      <c r="AH505" s="572"/>
      <c r="AI505" s="572"/>
      <c r="AJ505" s="572"/>
      <c r="AK505" s="572"/>
      <c r="AL505" s="572"/>
      <c r="AM505" s="572"/>
      <c r="AN505" s="572"/>
      <c r="AO505" s="572"/>
      <c r="AP505" s="572"/>
      <c r="AQ505" s="572"/>
      <c r="AR505" s="572"/>
      <c r="AS505" s="572"/>
      <c r="AT505" s="572"/>
      <c r="AU505" s="572"/>
    </row>
    <row r="506" spans="1:47" ht="15.75" customHeight="1">
      <c r="A506" s="577">
        <v>44428</v>
      </c>
      <c r="B506" s="578" t="s">
        <v>6347</v>
      </c>
      <c r="C506" s="405" t="s">
        <v>2921</v>
      </c>
      <c r="D506" s="563" t="s">
        <v>6341</v>
      </c>
      <c r="E506" s="575">
        <v>70000</v>
      </c>
      <c r="F506" s="563" t="s">
        <v>3191</v>
      </c>
      <c r="G506" s="573" t="s">
        <v>2923</v>
      </c>
      <c r="H506" s="573" t="s">
        <v>20</v>
      </c>
      <c r="I506" s="573" t="s">
        <v>2924</v>
      </c>
      <c r="J506" s="573">
        <v>43703</v>
      </c>
      <c r="K506" s="576" t="s">
        <v>4188</v>
      </c>
      <c r="L506" s="572"/>
      <c r="M506" s="572"/>
      <c r="N506" s="572"/>
      <c r="O506" s="572"/>
      <c r="P506" s="572"/>
      <c r="Q506" s="572"/>
      <c r="R506" s="572"/>
      <c r="S506" s="572"/>
      <c r="T506" s="572"/>
      <c r="U506" s="572"/>
      <c r="V506" s="572"/>
      <c r="W506" s="572"/>
      <c r="X506" s="572"/>
      <c r="Y506" s="572"/>
      <c r="Z506" s="572"/>
      <c r="AA506" s="572"/>
      <c r="AB506" s="572"/>
      <c r="AC506" s="572"/>
      <c r="AD506" s="572"/>
      <c r="AE506" s="572"/>
      <c r="AF506" s="572"/>
      <c r="AG506" s="572"/>
      <c r="AH506" s="572"/>
      <c r="AI506" s="572"/>
      <c r="AJ506" s="572"/>
      <c r="AK506" s="572"/>
      <c r="AL506" s="572"/>
      <c r="AM506" s="572"/>
      <c r="AN506" s="572"/>
      <c r="AO506" s="572"/>
      <c r="AP506" s="572"/>
      <c r="AQ506" s="572"/>
      <c r="AR506" s="572"/>
      <c r="AS506" s="572"/>
      <c r="AT506" s="572"/>
      <c r="AU506" s="572"/>
    </row>
    <row r="507" spans="1:47" ht="15.75" customHeight="1">
      <c r="A507" s="577">
        <v>44428</v>
      </c>
      <c r="B507" s="578" t="s">
        <v>6470</v>
      </c>
      <c r="C507" s="405" t="s">
        <v>3785</v>
      </c>
      <c r="D507" s="563" t="s">
        <v>928</v>
      </c>
      <c r="E507" s="575">
        <v>56000</v>
      </c>
      <c r="F507" s="563" t="s">
        <v>5263</v>
      </c>
      <c r="G507" s="563" t="s">
        <v>19</v>
      </c>
      <c r="H507" s="563" t="s">
        <v>49</v>
      </c>
      <c r="I507" s="563" t="s">
        <v>328</v>
      </c>
      <c r="J507" s="573">
        <v>44291</v>
      </c>
      <c r="K507" s="579" t="s">
        <v>3809</v>
      </c>
      <c r="L507" s="572"/>
      <c r="M507" s="572"/>
      <c r="N507" s="572"/>
      <c r="O507" s="572"/>
      <c r="P507" s="572"/>
      <c r="Q507" s="572"/>
      <c r="R507" s="572"/>
      <c r="S507" s="572"/>
      <c r="T507" s="572"/>
      <c r="U507" s="572"/>
      <c r="V507" s="572"/>
      <c r="W507" s="572"/>
      <c r="X507" s="572"/>
      <c r="Y507" s="572"/>
      <c r="Z507" s="572"/>
      <c r="AA507" s="572"/>
      <c r="AB507" s="572"/>
      <c r="AC507" s="572"/>
      <c r="AD507" s="572"/>
      <c r="AE507" s="572"/>
      <c r="AF507" s="572"/>
      <c r="AG507" s="572"/>
      <c r="AH507" s="572"/>
      <c r="AI507" s="572"/>
      <c r="AJ507" s="572"/>
      <c r="AK507" s="572"/>
      <c r="AL507" s="572"/>
      <c r="AM507" s="572"/>
      <c r="AN507" s="572"/>
      <c r="AO507" s="572"/>
      <c r="AP507" s="572"/>
      <c r="AQ507" s="572"/>
      <c r="AR507" s="572"/>
      <c r="AS507" s="572"/>
      <c r="AT507" s="572"/>
      <c r="AU507" s="572"/>
    </row>
    <row r="508" spans="1:47" ht="15.75" customHeight="1">
      <c r="A508" s="577">
        <v>44431</v>
      </c>
      <c r="B508" s="578" t="s">
        <v>6536</v>
      </c>
      <c r="C508" s="405" t="s">
        <v>2921</v>
      </c>
      <c r="D508" s="563" t="s">
        <v>6341</v>
      </c>
      <c r="E508" s="575">
        <v>86000</v>
      </c>
      <c r="F508" s="563" t="s">
        <v>3554</v>
      </c>
      <c r="G508" s="573" t="s">
        <v>19</v>
      </c>
      <c r="H508" s="573" t="s">
        <v>34</v>
      </c>
      <c r="I508" s="573" t="s">
        <v>2971</v>
      </c>
      <c r="J508" s="573">
        <v>44267</v>
      </c>
      <c r="K508" s="576" t="s">
        <v>3795</v>
      </c>
      <c r="L508" s="572"/>
      <c r="M508" s="572"/>
      <c r="N508" s="572"/>
      <c r="O508" s="572"/>
      <c r="P508" s="572"/>
      <c r="Q508" s="572"/>
      <c r="R508" s="572"/>
      <c r="S508" s="572"/>
      <c r="T508" s="572"/>
      <c r="U508" s="572"/>
      <c r="V508" s="572"/>
      <c r="W508" s="572"/>
      <c r="X508" s="572"/>
      <c r="Y508" s="572"/>
      <c r="Z508" s="572"/>
      <c r="AA508" s="572"/>
      <c r="AB508" s="572"/>
      <c r="AC508" s="572"/>
      <c r="AD508" s="572"/>
      <c r="AE508" s="572"/>
      <c r="AF508" s="572"/>
      <c r="AG508" s="572"/>
      <c r="AH508" s="572"/>
      <c r="AI508" s="572"/>
      <c r="AJ508" s="572"/>
      <c r="AK508" s="572"/>
      <c r="AL508" s="572"/>
      <c r="AM508" s="572"/>
      <c r="AN508" s="572"/>
      <c r="AO508" s="572"/>
      <c r="AP508" s="572"/>
      <c r="AQ508" s="572"/>
      <c r="AR508" s="572"/>
      <c r="AS508" s="572"/>
      <c r="AT508" s="572"/>
      <c r="AU508" s="572"/>
    </row>
    <row r="509" spans="1:47" ht="15.75" customHeight="1">
      <c r="A509" s="577">
        <v>44431</v>
      </c>
      <c r="B509" s="578" t="s">
        <v>6363</v>
      </c>
      <c r="C509" s="405" t="s">
        <v>2921</v>
      </c>
      <c r="D509" s="563" t="s">
        <v>6341</v>
      </c>
      <c r="E509" s="575">
        <v>1000</v>
      </c>
      <c r="F509" s="563" t="s">
        <v>3445</v>
      </c>
      <c r="G509" s="573" t="s">
        <v>2923</v>
      </c>
      <c r="H509" s="573" t="s">
        <v>20</v>
      </c>
      <c r="I509" s="573" t="s">
        <v>2924</v>
      </c>
      <c r="J509" s="573">
        <v>43894</v>
      </c>
      <c r="K509" s="576" t="s">
        <v>3805</v>
      </c>
      <c r="L509" s="572"/>
      <c r="M509" s="572"/>
      <c r="N509" s="572"/>
      <c r="O509" s="572"/>
      <c r="P509" s="572"/>
      <c r="Q509" s="572"/>
      <c r="R509" s="572"/>
      <c r="S509" s="572"/>
      <c r="T509" s="572"/>
      <c r="U509" s="572"/>
      <c r="V509" s="572"/>
      <c r="W509" s="572"/>
      <c r="X509" s="572"/>
      <c r="Y509" s="572"/>
      <c r="Z509" s="572"/>
      <c r="AA509" s="572"/>
      <c r="AB509" s="572"/>
      <c r="AC509" s="572"/>
      <c r="AD509" s="572"/>
      <c r="AE509" s="572"/>
      <c r="AF509" s="572"/>
      <c r="AG509" s="572"/>
      <c r="AH509" s="572"/>
      <c r="AI509" s="572"/>
      <c r="AJ509" s="572"/>
      <c r="AK509" s="572"/>
      <c r="AL509" s="572"/>
      <c r="AM509" s="572"/>
      <c r="AN509" s="572"/>
      <c r="AO509" s="572"/>
      <c r="AP509" s="572"/>
      <c r="AQ509" s="572"/>
      <c r="AR509" s="572"/>
      <c r="AS509" s="572"/>
      <c r="AT509" s="572"/>
      <c r="AU509" s="572"/>
    </row>
    <row r="510" spans="1:47" ht="15.75" customHeight="1">
      <c r="A510" s="577">
        <v>44431</v>
      </c>
      <c r="B510" s="578" t="s">
        <v>6419</v>
      </c>
      <c r="C510" s="405" t="s">
        <v>3785</v>
      </c>
      <c r="D510" s="563" t="s">
        <v>6341</v>
      </c>
      <c r="E510" s="575">
        <v>10000</v>
      </c>
      <c r="F510" s="563" t="s">
        <v>4141</v>
      </c>
      <c r="G510" s="563" t="s">
        <v>19</v>
      </c>
      <c r="H510" s="563" t="s">
        <v>20</v>
      </c>
      <c r="I510" s="563" t="s">
        <v>4142</v>
      </c>
      <c r="J510" s="573">
        <v>44089</v>
      </c>
      <c r="K510" s="579" t="s">
        <v>3802</v>
      </c>
      <c r="L510" s="572"/>
      <c r="M510" s="572"/>
      <c r="N510" s="572"/>
      <c r="O510" s="572"/>
      <c r="P510" s="572"/>
      <c r="Q510" s="572"/>
      <c r="R510" s="572"/>
      <c r="S510" s="572"/>
      <c r="T510" s="572"/>
      <c r="U510" s="572"/>
      <c r="V510" s="572"/>
      <c r="W510" s="572"/>
      <c r="X510" s="572"/>
      <c r="Y510" s="572"/>
      <c r="Z510" s="572"/>
      <c r="AA510" s="572"/>
      <c r="AB510" s="572"/>
      <c r="AC510" s="572"/>
      <c r="AD510" s="572"/>
      <c r="AE510" s="572"/>
      <c r="AF510" s="572"/>
      <c r="AG510" s="572"/>
      <c r="AH510" s="572"/>
      <c r="AI510" s="572"/>
      <c r="AJ510" s="572"/>
      <c r="AK510" s="572"/>
      <c r="AL510" s="572"/>
      <c r="AM510" s="572"/>
      <c r="AN510" s="572"/>
      <c r="AO510" s="572"/>
      <c r="AP510" s="572"/>
      <c r="AQ510" s="572"/>
      <c r="AR510" s="572"/>
      <c r="AS510" s="572"/>
      <c r="AT510" s="572"/>
      <c r="AU510" s="572"/>
    </row>
    <row r="511" spans="1:47" ht="15.75" customHeight="1">
      <c r="A511" s="577">
        <v>44432</v>
      </c>
      <c r="B511" s="578" t="s">
        <v>6475</v>
      </c>
      <c r="C511" s="405" t="s">
        <v>2921</v>
      </c>
      <c r="D511" s="563" t="s">
        <v>6341</v>
      </c>
      <c r="E511" s="575">
        <v>15000</v>
      </c>
      <c r="F511" s="563" t="s">
        <v>3465</v>
      </c>
      <c r="G511" s="573" t="s">
        <v>19</v>
      </c>
      <c r="H511" s="573" t="s">
        <v>34</v>
      </c>
      <c r="I511" s="573" t="s">
        <v>262</v>
      </c>
      <c r="J511" s="573">
        <v>44319</v>
      </c>
      <c r="K511" s="576" t="s">
        <v>3795</v>
      </c>
      <c r="L511" s="572"/>
      <c r="M511" s="572"/>
      <c r="N511" s="572"/>
      <c r="O511" s="572"/>
      <c r="P511" s="572"/>
      <c r="Q511" s="572"/>
      <c r="R511" s="572"/>
      <c r="S511" s="572"/>
      <c r="T511" s="572"/>
      <c r="U511" s="572"/>
      <c r="V511" s="572"/>
      <c r="W511" s="572"/>
      <c r="X511" s="572"/>
      <c r="Y511" s="572"/>
      <c r="Z511" s="572"/>
      <c r="AA511" s="572"/>
      <c r="AB511" s="572"/>
      <c r="AC511" s="572"/>
      <c r="AD511" s="572"/>
      <c r="AE511" s="572"/>
      <c r="AF511" s="572"/>
      <c r="AG511" s="572"/>
      <c r="AH511" s="572"/>
      <c r="AI511" s="572"/>
      <c r="AJ511" s="572"/>
      <c r="AK511" s="572"/>
      <c r="AL511" s="572"/>
      <c r="AM511" s="572"/>
      <c r="AN511" s="572"/>
      <c r="AO511" s="572"/>
      <c r="AP511" s="572"/>
      <c r="AQ511" s="572"/>
      <c r="AR511" s="572"/>
      <c r="AS511" s="572"/>
      <c r="AT511" s="572"/>
      <c r="AU511" s="572"/>
    </row>
    <row r="512" spans="1:47" ht="15.75" customHeight="1">
      <c r="A512" s="577">
        <v>44432</v>
      </c>
      <c r="B512" s="578" t="s">
        <v>6537</v>
      </c>
      <c r="C512" s="405" t="s">
        <v>2921</v>
      </c>
      <c r="D512" s="563" t="s">
        <v>928</v>
      </c>
      <c r="E512" s="575">
        <v>50000</v>
      </c>
      <c r="F512" s="563" t="s">
        <v>3451</v>
      </c>
      <c r="G512" s="573" t="s">
        <v>19</v>
      </c>
      <c r="H512" s="573" t="s">
        <v>34</v>
      </c>
      <c r="I512" s="573" t="s">
        <v>262</v>
      </c>
      <c r="J512" s="573">
        <v>44279</v>
      </c>
      <c r="K512" s="576" t="s">
        <v>3795</v>
      </c>
      <c r="L512" s="572"/>
      <c r="M512" s="572"/>
      <c r="N512" s="572"/>
      <c r="O512" s="572"/>
      <c r="P512" s="572"/>
      <c r="Q512" s="572"/>
      <c r="R512" s="572"/>
      <c r="S512" s="572"/>
      <c r="T512" s="572"/>
      <c r="U512" s="572"/>
      <c r="V512" s="572"/>
      <c r="W512" s="572"/>
      <c r="X512" s="572"/>
      <c r="Y512" s="572"/>
      <c r="Z512" s="572"/>
      <c r="AA512" s="572"/>
      <c r="AB512" s="572"/>
      <c r="AC512" s="572"/>
      <c r="AD512" s="572"/>
      <c r="AE512" s="572"/>
      <c r="AF512" s="572"/>
      <c r="AG512" s="572"/>
      <c r="AH512" s="572"/>
      <c r="AI512" s="572"/>
      <c r="AJ512" s="572"/>
      <c r="AK512" s="572"/>
      <c r="AL512" s="572"/>
      <c r="AM512" s="572"/>
      <c r="AN512" s="572"/>
      <c r="AO512" s="572"/>
      <c r="AP512" s="572"/>
      <c r="AQ512" s="572"/>
      <c r="AR512" s="572"/>
      <c r="AS512" s="572"/>
      <c r="AT512" s="572"/>
      <c r="AU512" s="572"/>
    </row>
    <row r="513" spans="1:47" ht="15.75" customHeight="1">
      <c r="A513" s="577">
        <v>44432</v>
      </c>
      <c r="B513" s="578" t="s">
        <v>6478</v>
      </c>
      <c r="C513" s="405" t="s">
        <v>2921</v>
      </c>
      <c r="D513" s="563" t="s">
        <v>6341</v>
      </c>
      <c r="E513" s="575">
        <v>150000</v>
      </c>
      <c r="F513" s="563" t="s">
        <v>3080</v>
      </c>
      <c r="G513" s="573" t="s">
        <v>19</v>
      </c>
      <c r="H513" s="573" t="s">
        <v>34</v>
      </c>
      <c r="I513" s="573" t="s">
        <v>35</v>
      </c>
      <c r="J513" s="573">
        <v>44328</v>
      </c>
      <c r="K513" s="576" t="s">
        <v>3795</v>
      </c>
      <c r="L513" s="572"/>
      <c r="M513" s="572"/>
      <c r="N513" s="572"/>
      <c r="O513" s="572"/>
      <c r="P513" s="572"/>
      <c r="Q513" s="572"/>
      <c r="R513" s="572"/>
      <c r="S513" s="572"/>
      <c r="T513" s="572"/>
      <c r="U513" s="572"/>
      <c r="V513" s="572"/>
      <c r="W513" s="572"/>
      <c r="X513" s="572"/>
      <c r="Y513" s="572"/>
      <c r="Z513" s="572"/>
      <c r="AA513" s="572"/>
      <c r="AB513" s="572"/>
      <c r="AC513" s="572"/>
      <c r="AD513" s="572"/>
      <c r="AE513" s="572"/>
      <c r="AF513" s="572"/>
      <c r="AG513" s="572"/>
      <c r="AH513" s="572"/>
      <c r="AI513" s="572"/>
      <c r="AJ513" s="572"/>
      <c r="AK513" s="572"/>
      <c r="AL513" s="572"/>
      <c r="AM513" s="572"/>
      <c r="AN513" s="572"/>
      <c r="AO513" s="572"/>
      <c r="AP513" s="572"/>
      <c r="AQ513" s="572"/>
      <c r="AR513" s="572"/>
      <c r="AS513" s="572"/>
      <c r="AT513" s="572"/>
      <c r="AU513" s="572"/>
    </row>
    <row r="514" spans="1:47" ht="15.75" customHeight="1">
      <c r="A514" s="577">
        <v>44432</v>
      </c>
      <c r="B514" s="578" t="s">
        <v>6421</v>
      </c>
      <c r="C514" s="405" t="s">
        <v>3785</v>
      </c>
      <c r="D514" s="563" t="s">
        <v>6341</v>
      </c>
      <c r="E514" s="575">
        <v>130000</v>
      </c>
      <c r="F514" s="563" t="s">
        <v>3857</v>
      </c>
      <c r="G514" s="563" t="s">
        <v>2923</v>
      </c>
      <c r="H514" s="563" t="s">
        <v>20</v>
      </c>
      <c r="I514" s="563" t="s">
        <v>2923</v>
      </c>
      <c r="J514" s="573">
        <v>44180</v>
      </c>
      <c r="K514" s="579" t="s">
        <v>3795</v>
      </c>
      <c r="L514" s="572"/>
      <c r="M514" s="572"/>
      <c r="N514" s="572"/>
      <c r="O514" s="572"/>
      <c r="P514" s="572"/>
      <c r="Q514" s="572"/>
      <c r="R514" s="572"/>
      <c r="S514" s="572"/>
      <c r="T514" s="572"/>
      <c r="U514" s="572"/>
      <c r="V514" s="572"/>
      <c r="W514" s="572"/>
      <c r="X514" s="572"/>
      <c r="Y514" s="572"/>
      <c r="Z514" s="572"/>
      <c r="AA514" s="572"/>
      <c r="AB514" s="572"/>
      <c r="AC514" s="572"/>
      <c r="AD514" s="572"/>
      <c r="AE514" s="572"/>
      <c r="AF514" s="572"/>
      <c r="AG514" s="572"/>
      <c r="AH514" s="572"/>
      <c r="AI514" s="572"/>
      <c r="AJ514" s="572"/>
      <c r="AK514" s="572"/>
      <c r="AL514" s="572"/>
      <c r="AM514" s="572"/>
      <c r="AN514" s="572"/>
      <c r="AO514" s="572"/>
      <c r="AP514" s="572"/>
      <c r="AQ514" s="572"/>
      <c r="AR514" s="572"/>
      <c r="AS514" s="572"/>
      <c r="AT514" s="572"/>
      <c r="AU514" s="572"/>
    </row>
    <row r="515" spans="1:47" ht="15.75" customHeight="1">
      <c r="A515" s="577">
        <v>44433</v>
      </c>
      <c r="B515" s="578" t="s">
        <v>6421</v>
      </c>
      <c r="C515" s="405" t="s">
        <v>3785</v>
      </c>
      <c r="D515" s="563" t="s">
        <v>6341</v>
      </c>
      <c r="E515" s="575">
        <v>43000</v>
      </c>
      <c r="F515" s="563" t="s">
        <v>3857</v>
      </c>
      <c r="G515" s="563" t="s">
        <v>2923</v>
      </c>
      <c r="H515" s="563" t="s">
        <v>20</v>
      </c>
      <c r="I515" s="563" t="s">
        <v>2923</v>
      </c>
      <c r="J515" s="573">
        <v>44180</v>
      </c>
      <c r="K515" s="579" t="s">
        <v>3795</v>
      </c>
      <c r="L515" s="572"/>
      <c r="M515" s="572"/>
      <c r="N515" s="572"/>
      <c r="O515" s="572"/>
      <c r="P515" s="572"/>
      <c r="Q515" s="572"/>
      <c r="R515" s="572"/>
      <c r="S515" s="572"/>
      <c r="T515" s="572"/>
      <c r="U515" s="572"/>
      <c r="V515" s="572"/>
      <c r="W515" s="572"/>
      <c r="X515" s="572"/>
      <c r="Y515" s="572"/>
      <c r="Z515" s="572"/>
      <c r="AA515" s="572"/>
      <c r="AB515" s="572"/>
      <c r="AC515" s="572"/>
      <c r="AD515" s="572"/>
      <c r="AE515" s="572"/>
      <c r="AF515" s="572"/>
      <c r="AG515" s="572"/>
      <c r="AH515" s="572"/>
      <c r="AI515" s="572"/>
      <c r="AJ515" s="572"/>
      <c r="AK515" s="572"/>
      <c r="AL515" s="572"/>
      <c r="AM515" s="572"/>
      <c r="AN515" s="572"/>
      <c r="AO515" s="572"/>
      <c r="AP515" s="572"/>
      <c r="AQ515" s="572"/>
      <c r="AR515" s="572"/>
      <c r="AS515" s="572"/>
      <c r="AT515" s="572"/>
      <c r="AU515" s="572"/>
    </row>
    <row r="516" spans="1:47" ht="15.75" customHeight="1">
      <c r="A516" s="577">
        <v>44433</v>
      </c>
      <c r="B516" s="578" t="s">
        <v>6363</v>
      </c>
      <c r="C516" s="405" t="s">
        <v>2921</v>
      </c>
      <c r="D516" s="563" t="s">
        <v>6341</v>
      </c>
      <c r="E516" s="575">
        <v>40000</v>
      </c>
      <c r="F516" s="563" t="s">
        <v>3445</v>
      </c>
      <c r="G516" s="573" t="s">
        <v>2923</v>
      </c>
      <c r="H516" s="573" t="s">
        <v>20</v>
      </c>
      <c r="I516" s="573" t="s">
        <v>2924</v>
      </c>
      <c r="J516" s="573">
        <v>43894</v>
      </c>
      <c r="K516" s="576" t="s">
        <v>3805</v>
      </c>
      <c r="L516" s="572"/>
      <c r="M516" s="572"/>
      <c r="N516" s="572"/>
      <c r="O516" s="572"/>
      <c r="P516" s="572"/>
      <c r="Q516" s="572"/>
      <c r="R516" s="572"/>
      <c r="S516" s="572"/>
      <c r="T516" s="572"/>
      <c r="U516" s="572"/>
      <c r="V516" s="572"/>
      <c r="W516" s="572"/>
      <c r="X516" s="572"/>
      <c r="Y516" s="572"/>
      <c r="Z516" s="572"/>
      <c r="AA516" s="572"/>
      <c r="AB516" s="572"/>
      <c r="AC516" s="572"/>
      <c r="AD516" s="572"/>
      <c r="AE516" s="572"/>
      <c r="AF516" s="572"/>
      <c r="AG516" s="572"/>
      <c r="AH516" s="572"/>
      <c r="AI516" s="572"/>
      <c r="AJ516" s="572"/>
      <c r="AK516" s="572"/>
      <c r="AL516" s="572"/>
      <c r="AM516" s="572"/>
      <c r="AN516" s="572"/>
      <c r="AO516" s="572"/>
      <c r="AP516" s="572"/>
      <c r="AQ516" s="572"/>
      <c r="AR516" s="572"/>
      <c r="AS516" s="572"/>
      <c r="AT516" s="572"/>
      <c r="AU516" s="572"/>
    </row>
    <row r="517" spans="1:47" ht="15.75" customHeight="1">
      <c r="A517" s="577">
        <v>44433</v>
      </c>
      <c r="B517" s="578" t="s">
        <v>6349</v>
      </c>
      <c r="C517" s="405" t="s">
        <v>2921</v>
      </c>
      <c r="D517" s="563" t="s">
        <v>6341</v>
      </c>
      <c r="E517" s="575">
        <v>75000</v>
      </c>
      <c r="F517" s="563" t="s">
        <v>3228</v>
      </c>
      <c r="G517" s="573" t="s">
        <v>2923</v>
      </c>
      <c r="H517" s="573" t="s">
        <v>20</v>
      </c>
      <c r="I517" s="573" t="s">
        <v>2924</v>
      </c>
      <c r="J517" s="573">
        <v>43605</v>
      </c>
      <c r="K517" s="576" t="s">
        <v>3805</v>
      </c>
      <c r="L517" s="572"/>
      <c r="M517" s="572"/>
      <c r="N517" s="572"/>
      <c r="O517" s="572"/>
      <c r="P517" s="572"/>
      <c r="Q517" s="572"/>
      <c r="R517" s="572"/>
      <c r="S517" s="572"/>
      <c r="T517" s="572"/>
      <c r="U517" s="572"/>
      <c r="V517" s="572"/>
      <c r="W517" s="572"/>
      <c r="X517" s="572"/>
      <c r="Y517" s="572"/>
      <c r="Z517" s="572"/>
      <c r="AA517" s="572"/>
      <c r="AB517" s="572"/>
      <c r="AC517" s="572"/>
      <c r="AD517" s="572"/>
      <c r="AE517" s="572"/>
      <c r="AF517" s="572"/>
      <c r="AG517" s="572"/>
      <c r="AH517" s="572"/>
      <c r="AI517" s="572"/>
      <c r="AJ517" s="572"/>
      <c r="AK517" s="572"/>
      <c r="AL517" s="572"/>
      <c r="AM517" s="572"/>
      <c r="AN517" s="572"/>
      <c r="AO517" s="572"/>
      <c r="AP517" s="572"/>
      <c r="AQ517" s="572"/>
      <c r="AR517" s="572"/>
      <c r="AS517" s="572"/>
      <c r="AT517" s="572"/>
      <c r="AU517" s="572"/>
    </row>
    <row r="518" spans="1:47" ht="15.75" customHeight="1">
      <c r="A518" s="577">
        <v>44434</v>
      </c>
      <c r="B518" s="578" t="s">
        <v>6442</v>
      </c>
      <c r="C518" s="405" t="s">
        <v>3785</v>
      </c>
      <c r="D518" s="563" t="s">
        <v>6341</v>
      </c>
      <c r="E518" s="575">
        <v>3000</v>
      </c>
      <c r="F518" s="563" t="s">
        <v>5087</v>
      </c>
      <c r="G518" s="563" t="s">
        <v>64</v>
      </c>
      <c r="H518" s="563" t="s">
        <v>20</v>
      </c>
      <c r="I518" s="563" t="s">
        <v>4472</v>
      </c>
      <c r="J518" s="573">
        <v>44180</v>
      </c>
      <c r="K518" s="579" t="s">
        <v>3795</v>
      </c>
      <c r="L518" s="572"/>
      <c r="M518" s="572"/>
      <c r="N518" s="572"/>
      <c r="O518" s="572"/>
      <c r="P518" s="572"/>
      <c r="Q518" s="572"/>
      <c r="R518" s="572"/>
      <c r="S518" s="572"/>
      <c r="T518" s="572"/>
      <c r="U518" s="572"/>
      <c r="V518" s="572"/>
      <c r="W518" s="572"/>
      <c r="X518" s="572"/>
      <c r="Y518" s="572"/>
      <c r="Z518" s="572"/>
      <c r="AA518" s="572"/>
      <c r="AB518" s="572"/>
      <c r="AC518" s="572"/>
      <c r="AD518" s="572"/>
      <c r="AE518" s="572"/>
      <c r="AF518" s="572"/>
      <c r="AG518" s="572"/>
      <c r="AH518" s="572"/>
      <c r="AI518" s="572"/>
      <c r="AJ518" s="572"/>
      <c r="AK518" s="572"/>
      <c r="AL518" s="572"/>
      <c r="AM518" s="572"/>
      <c r="AN518" s="572"/>
      <c r="AO518" s="572"/>
      <c r="AP518" s="572"/>
      <c r="AQ518" s="572"/>
      <c r="AR518" s="572"/>
      <c r="AS518" s="572"/>
      <c r="AT518" s="572"/>
      <c r="AU518" s="572"/>
    </row>
    <row r="519" spans="1:47" ht="15.75" customHeight="1">
      <c r="A519" s="577">
        <v>44434</v>
      </c>
      <c r="B519" s="578" t="s">
        <v>6473</v>
      </c>
      <c r="C519" s="405" t="s">
        <v>2921</v>
      </c>
      <c r="D519" s="563" t="s">
        <v>6341</v>
      </c>
      <c r="E519" s="575">
        <v>2000</v>
      </c>
      <c r="F519" s="563" t="s">
        <v>3332</v>
      </c>
      <c r="G519" s="573" t="s">
        <v>19</v>
      </c>
      <c r="H519" s="573" t="s">
        <v>34</v>
      </c>
      <c r="I519" s="573" t="s">
        <v>262</v>
      </c>
      <c r="J519" s="573">
        <v>44322</v>
      </c>
      <c r="K519" s="576" t="s">
        <v>3795</v>
      </c>
      <c r="L519" s="572"/>
      <c r="M519" s="572"/>
      <c r="N519" s="572"/>
      <c r="O519" s="572"/>
      <c r="P519" s="572"/>
      <c r="Q519" s="572"/>
      <c r="R519" s="572"/>
      <c r="S519" s="572"/>
      <c r="T519" s="572"/>
      <c r="U519" s="572"/>
      <c r="V519" s="572"/>
      <c r="W519" s="572"/>
      <c r="X519" s="572"/>
      <c r="Y519" s="572"/>
      <c r="Z519" s="572"/>
      <c r="AA519" s="572"/>
      <c r="AB519" s="572"/>
      <c r="AC519" s="572"/>
      <c r="AD519" s="572"/>
      <c r="AE519" s="572"/>
      <c r="AF519" s="572"/>
      <c r="AG519" s="572"/>
      <c r="AH519" s="572"/>
      <c r="AI519" s="572"/>
      <c r="AJ519" s="572"/>
      <c r="AK519" s="572"/>
      <c r="AL519" s="572"/>
      <c r="AM519" s="572"/>
      <c r="AN519" s="572"/>
      <c r="AO519" s="572"/>
      <c r="AP519" s="572"/>
      <c r="AQ519" s="572"/>
      <c r="AR519" s="572"/>
      <c r="AS519" s="572"/>
      <c r="AT519" s="572"/>
      <c r="AU519" s="572"/>
    </row>
    <row r="520" spans="1:47" ht="15.75" customHeight="1">
      <c r="A520" s="573">
        <v>44435</v>
      </c>
      <c r="B520" s="574" t="s">
        <v>6436</v>
      </c>
      <c r="C520" s="563" t="s">
        <v>2921</v>
      </c>
      <c r="D520" s="563" t="s">
        <v>3110</v>
      </c>
      <c r="E520" s="575">
        <v>104633.35</v>
      </c>
      <c r="F520" s="563" t="s">
        <v>3038</v>
      </c>
      <c r="G520" s="573" t="s">
        <v>19</v>
      </c>
      <c r="H520" s="573" t="s">
        <v>34</v>
      </c>
      <c r="I520" s="573" t="s">
        <v>2971</v>
      </c>
      <c r="J520" s="573">
        <v>44273</v>
      </c>
      <c r="K520" s="576" t="s">
        <v>3795</v>
      </c>
      <c r="L520" s="572"/>
      <c r="M520" s="572"/>
      <c r="N520" s="572"/>
      <c r="O520" s="572"/>
      <c r="P520" s="572"/>
      <c r="Q520" s="572"/>
      <c r="R520" s="572"/>
      <c r="S520" s="572"/>
      <c r="T520" s="572"/>
      <c r="U520" s="572"/>
      <c r="V520" s="572"/>
      <c r="W520" s="572"/>
      <c r="X520" s="572"/>
      <c r="Y520" s="572"/>
      <c r="Z520" s="572"/>
      <c r="AA520" s="572"/>
      <c r="AB520" s="572"/>
      <c r="AC520" s="572"/>
      <c r="AD520" s="572"/>
      <c r="AE520" s="572"/>
      <c r="AF520" s="572"/>
      <c r="AG520" s="572"/>
      <c r="AH520" s="572"/>
      <c r="AI520" s="572"/>
      <c r="AJ520" s="572"/>
      <c r="AK520" s="572"/>
      <c r="AL520" s="572"/>
      <c r="AM520" s="572"/>
      <c r="AN520" s="572"/>
      <c r="AO520" s="572"/>
      <c r="AP520" s="572"/>
      <c r="AQ520" s="572"/>
      <c r="AR520" s="572"/>
      <c r="AS520" s="572"/>
      <c r="AT520" s="572"/>
      <c r="AU520" s="572"/>
    </row>
    <row r="521" spans="1:47" ht="15.75" customHeight="1">
      <c r="A521" s="573">
        <v>44438</v>
      </c>
      <c r="B521" s="574" t="s">
        <v>6533</v>
      </c>
      <c r="C521" s="563" t="s">
        <v>3785</v>
      </c>
      <c r="D521" s="563" t="s">
        <v>3110</v>
      </c>
      <c r="E521" s="575">
        <v>0</v>
      </c>
      <c r="F521" s="563" t="s">
        <v>5106</v>
      </c>
      <c r="G521" s="563" t="s">
        <v>19</v>
      </c>
      <c r="H521" s="563" t="s">
        <v>20</v>
      </c>
      <c r="I521" s="563" t="s">
        <v>3793</v>
      </c>
      <c r="J521" s="573">
        <v>44133</v>
      </c>
      <c r="K521" s="579" t="s">
        <v>3805</v>
      </c>
      <c r="L521" s="572"/>
      <c r="M521" s="572"/>
      <c r="N521" s="572"/>
      <c r="O521" s="572"/>
      <c r="P521" s="572"/>
      <c r="Q521" s="572"/>
      <c r="R521" s="572"/>
      <c r="S521" s="572"/>
      <c r="T521" s="572"/>
      <c r="U521" s="572"/>
      <c r="V521" s="572"/>
      <c r="W521" s="572"/>
      <c r="X521" s="572"/>
      <c r="Y521" s="572"/>
      <c r="Z521" s="572"/>
      <c r="AA521" s="572"/>
      <c r="AB521" s="572"/>
      <c r="AC521" s="572"/>
      <c r="AD521" s="572"/>
      <c r="AE521" s="572"/>
      <c r="AF521" s="572"/>
      <c r="AG521" s="572"/>
      <c r="AH521" s="572"/>
      <c r="AI521" s="572"/>
      <c r="AJ521" s="572"/>
      <c r="AK521" s="572"/>
      <c r="AL521" s="572"/>
      <c r="AM521" s="572"/>
      <c r="AN521" s="572"/>
      <c r="AO521" s="572"/>
      <c r="AP521" s="572"/>
      <c r="AQ521" s="572"/>
      <c r="AR521" s="572"/>
      <c r="AS521" s="572"/>
      <c r="AT521" s="572"/>
      <c r="AU521" s="572"/>
    </row>
    <row r="522" spans="1:47" ht="15.75" customHeight="1">
      <c r="A522" s="577">
        <v>44438</v>
      </c>
      <c r="B522" s="578" t="s">
        <v>6538</v>
      </c>
      <c r="C522" s="405" t="s">
        <v>2921</v>
      </c>
      <c r="D522" s="563" t="s">
        <v>6341</v>
      </c>
      <c r="E522" s="575">
        <v>50000</v>
      </c>
      <c r="F522" s="563" t="s">
        <v>1109</v>
      </c>
      <c r="G522" s="573" t="s">
        <v>19</v>
      </c>
      <c r="H522" s="573" t="s">
        <v>34</v>
      </c>
      <c r="I522" s="573" t="s">
        <v>35</v>
      </c>
      <c r="J522" s="573">
        <v>44340</v>
      </c>
      <c r="K522" s="576" t="s">
        <v>3805</v>
      </c>
      <c r="L522" s="572"/>
      <c r="M522" s="572"/>
      <c r="N522" s="572"/>
      <c r="O522" s="572"/>
      <c r="P522" s="572"/>
      <c r="Q522" s="572"/>
      <c r="R522" s="572"/>
      <c r="S522" s="572"/>
      <c r="T522" s="572"/>
      <c r="U522" s="572"/>
      <c r="V522" s="572"/>
      <c r="W522" s="572"/>
      <c r="X522" s="572"/>
      <c r="Y522" s="572"/>
      <c r="Z522" s="572"/>
      <c r="AA522" s="572"/>
      <c r="AB522" s="572"/>
      <c r="AC522" s="572"/>
      <c r="AD522" s="572"/>
      <c r="AE522" s="572"/>
      <c r="AF522" s="572"/>
      <c r="AG522" s="572"/>
      <c r="AH522" s="572"/>
      <c r="AI522" s="572"/>
      <c r="AJ522" s="572"/>
      <c r="AK522" s="572"/>
      <c r="AL522" s="572"/>
      <c r="AM522" s="572"/>
      <c r="AN522" s="572"/>
      <c r="AO522" s="572"/>
      <c r="AP522" s="572"/>
      <c r="AQ522" s="572"/>
      <c r="AR522" s="572"/>
      <c r="AS522" s="572"/>
      <c r="AT522" s="572"/>
      <c r="AU522" s="572"/>
    </row>
    <row r="523" spans="1:47" ht="15.75" customHeight="1">
      <c r="A523" s="573">
        <v>44439</v>
      </c>
      <c r="B523" s="574" t="s">
        <v>6539</v>
      </c>
      <c r="C523" s="563" t="s">
        <v>2921</v>
      </c>
      <c r="D523" s="563" t="s">
        <v>3110</v>
      </c>
      <c r="E523" s="575">
        <v>397214.14</v>
      </c>
      <c r="F523" s="563" t="s">
        <v>3492</v>
      </c>
      <c r="G523" s="573" t="s">
        <v>2923</v>
      </c>
      <c r="H523" s="573" t="s">
        <v>20</v>
      </c>
      <c r="I523" s="573" t="s">
        <v>2930</v>
      </c>
      <c r="J523" s="573">
        <v>43539</v>
      </c>
      <c r="K523" s="576" t="s">
        <v>3795</v>
      </c>
      <c r="L523" s="572"/>
      <c r="M523" s="572"/>
      <c r="N523" s="572"/>
      <c r="O523" s="572"/>
      <c r="P523" s="572"/>
      <c r="Q523" s="572"/>
      <c r="R523" s="572"/>
      <c r="S523" s="572"/>
      <c r="T523" s="572"/>
      <c r="U523" s="572"/>
      <c r="V523" s="572"/>
      <c r="W523" s="572"/>
      <c r="X523" s="572"/>
      <c r="Y523" s="572"/>
      <c r="Z523" s="572"/>
      <c r="AA523" s="572"/>
      <c r="AB523" s="572"/>
      <c r="AC523" s="572"/>
      <c r="AD523" s="572"/>
      <c r="AE523" s="572"/>
      <c r="AF523" s="572"/>
      <c r="AG523" s="572"/>
      <c r="AH523" s="572"/>
      <c r="AI523" s="572"/>
      <c r="AJ523" s="572"/>
      <c r="AK523" s="572"/>
      <c r="AL523" s="572"/>
      <c r="AM523" s="572"/>
      <c r="AN523" s="572"/>
      <c r="AO523" s="572"/>
      <c r="AP523" s="572"/>
      <c r="AQ523" s="572"/>
      <c r="AR523" s="572"/>
      <c r="AS523" s="572"/>
      <c r="AT523" s="572"/>
      <c r="AU523" s="572"/>
    </row>
    <row r="524" spans="1:47" ht="15.75" customHeight="1">
      <c r="A524" s="573">
        <v>44439</v>
      </c>
      <c r="B524" s="574" t="s">
        <v>6540</v>
      </c>
      <c r="C524" s="563" t="s">
        <v>2921</v>
      </c>
      <c r="D524" s="563" t="s">
        <v>3110</v>
      </c>
      <c r="E524" s="575">
        <v>40150.79</v>
      </c>
      <c r="F524" s="563" t="s">
        <v>3492</v>
      </c>
      <c r="G524" s="573" t="s">
        <v>2923</v>
      </c>
      <c r="H524" s="573" t="s">
        <v>20</v>
      </c>
      <c r="I524" s="573" t="s">
        <v>2930</v>
      </c>
      <c r="J524" s="573">
        <v>44397</v>
      </c>
      <c r="K524" s="576" t="s">
        <v>3842</v>
      </c>
      <c r="L524" s="572"/>
      <c r="M524" s="572"/>
      <c r="N524" s="572"/>
      <c r="O524" s="572"/>
      <c r="P524" s="572"/>
      <c r="Q524" s="572"/>
      <c r="R524" s="572"/>
      <c r="S524" s="572"/>
      <c r="T524" s="572"/>
      <c r="U524" s="572"/>
      <c r="V524" s="572"/>
      <c r="W524" s="572"/>
      <c r="X524" s="572"/>
      <c r="Y524" s="572"/>
      <c r="Z524" s="572"/>
      <c r="AA524" s="572"/>
      <c r="AB524" s="572"/>
      <c r="AC524" s="572"/>
      <c r="AD524" s="572"/>
      <c r="AE524" s="572"/>
      <c r="AF524" s="572"/>
      <c r="AG524" s="572"/>
      <c r="AH524" s="572"/>
      <c r="AI524" s="572"/>
      <c r="AJ524" s="572"/>
      <c r="AK524" s="572"/>
      <c r="AL524" s="572"/>
      <c r="AM524" s="572"/>
      <c r="AN524" s="572"/>
      <c r="AO524" s="572"/>
      <c r="AP524" s="572"/>
      <c r="AQ524" s="572"/>
      <c r="AR524" s="572"/>
      <c r="AS524" s="572"/>
      <c r="AT524" s="572"/>
      <c r="AU524" s="572"/>
    </row>
    <row r="525" spans="1:47" ht="15.75" customHeight="1">
      <c r="A525" s="577">
        <v>44439</v>
      </c>
      <c r="B525" s="578" t="s">
        <v>6505</v>
      </c>
      <c r="C525" s="405" t="s">
        <v>2921</v>
      </c>
      <c r="D525" s="563" t="s">
        <v>6341</v>
      </c>
      <c r="E525" s="575">
        <v>20000</v>
      </c>
      <c r="F525" s="563" t="s">
        <v>3381</v>
      </c>
      <c r="G525" s="573" t="s">
        <v>19</v>
      </c>
      <c r="H525" s="573" t="s">
        <v>34</v>
      </c>
      <c r="I525" s="573" t="s">
        <v>35</v>
      </c>
      <c r="J525" s="573">
        <v>44319</v>
      </c>
      <c r="K525" s="576" t="s">
        <v>3795</v>
      </c>
      <c r="L525" s="572"/>
      <c r="M525" s="572"/>
      <c r="N525" s="572"/>
      <c r="O525" s="572"/>
      <c r="P525" s="572"/>
      <c r="Q525" s="572"/>
      <c r="R525" s="572"/>
      <c r="S525" s="572"/>
      <c r="T525" s="572"/>
      <c r="U525" s="572"/>
      <c r="V525" s="572"/>
      <c r="W525" s="572"/>
      <c r="X525" s="572"/>
      <c r="Y525" s="572"/>
      <c r="Z525" s="572"/>
      <c r="AA525" s="572"/>
      <c r="AB525" s="572"/>
      <c r="AC525" s="572"/>
      <c r="AD525" s="572"/>
      <c r="AE525" s="572"/>
      <c r="AF525" s="572"/>
      <c r="AG525" s="572"/>
      <c r="AH525" s="572"/>
      <c r="AI525" s="572"/>
      <c r="AJ525" s="572"/>
      <c r="AK525" s="572"/>
      <c r="AL525" s="572"/>
      <c r="AM525" s="572"/>
      <c r="AN525" s="572"/>
      <c r="AO525" s="572"/>
      <c r="AP525" s="572"/>
      <c r="AQ525" s="572"/>
      <c r="AR525" s="572"/>
      <c r="AS525" s="572"/>
      <c r="AT525" s="572"/>
      <c r="AU525" s="572"/>
    </row>
    <row r="526" spans="1:47" ht="15.75" customHeight="1">
      <c r="A526" s="577">
        <v>44439</v>
      </c>
      <c r="B526" s="578" t="s">
        <v>6519</v>
      </c>
      <c r="C526" s="405" t="s">
        <v>2921</v>
      </c>
      <c r="D526" s="563" t="s">
        <v>6341</v>
      </c>
      <c r="E526" s="575">
        <v>130000</v>
      </c>
      <c r="F526" s="563" t="s">
        <v>745</v>
      </c>
      <c r="G526" s="573" t="s">
        <v>19</v>
      </c>
      <c r="H526" s="573" t="s">
        <v>34</v>
      </c>
      <c r="I526" s="573" t="s">
        <v>35</v>
      </c>
      <c r="J526" s="573">
        <v>44280</v>
      </c>
      <c r="K526" s="576" t="s">
        <v>3795</v>
      </c>
      <c r="L526" s="572"/>
      <c r="M526" s="572"/>
      <c r="N526" s="572"/>
      <c r="O526" s="572"/>
      <c r="P526" s="572"/>
      <c r="Q526" s="572"/>
      <c r="R526" s="572"/>
      <c r="S526" s="572"/>
      <c r="T526" s="572"/>
      <c r="U526" s="572"/>
      <c r="V526" s="572"/>
      <c r="W526" s="572"/>
      <c r="X526" s="572"/>
      <c r="Y526" s="572"/>
      <c r="Z526" s="572"/>
      <c r="AA526" s="572"/>
      <c r="AB526" s="572"/>
      <c r="AC526" s="572"/>
      <c r="AD526" s="572"/>
      <c r="AE526" s="572"/>
      <c r="AF526" s="572"/>
      <c r="AG526" s="572"/>
      <c r="AH526" s="572"/>
      <c r="AI526" s="572"/>
      <c r="AJ526" s="572"/>
      <c r="AK526" s="572"/>
      <c r="AL526" s="572"/>
      <c r="AM526" s="572"/>
      <c r="AN526" s="572"/>
      <c r="AO526" s="572"/>
      <c r="AP526" s="572"/>
      <c r="AQ526" s="572"/>
      <c r="AR526" s="572"/>
      <c r="AS526" s="572"/>
      <c r="AT526" s="572"/>
      <c r="AU526" s="572"/>
    </row>
    <row r="527" spans="1:47" ht="15.75" customHeight="1">
      <c r="A527" s="577">
        <v>44440</v>
      </c>
      <c r="B527" s="578" t="s">
        <v>6408</v>
      </c>
      <c r="C527" s="405" t="s">
        <v>2921</v>
      </c>
      <c r="D527" s="563" t="s">
        <v>6341</v>
      </c>
      <c r="E527" s="575">
        <v>20000</v>
      </c>
      <c r="F527" s="563" t="s">
        <v>859</v>
      </c>
      <c r="G527" s="573" t="s">
        <v>19</v>
      </c>
      <c r="H527" s="573" t="s">
        <v>34</v>
      </c>
      <c r="I527" s="573" t="s">
        <v>35</v>
      </c>
      <c r="J527" s="573">
        <v>44321</v>
      </c>
      <c r="K527" s="576" t="s">
        <v>3795</v>
      </c>
      <c r="L527" s="572"/>
      <c r="M527" s="572"/>
      <c r="N527" s="572"/>
      <c r="O527" s="572"/>
      <c r="P527" s="572"/>
      <c r="Q527" s="572"/>
      <c r="R527" s="572"/>
      <c r="S527" s="572"/>
      <c r="T527" s="572"/>
      <c r="U527" s="572"/>
      <c r="V527" s="572"/>
      <c r="W527" s="572"/>
      <c r="X527" s="572"/>
      <c r="Y527" s="572"/>
      <c r="Z527" s="572"/>
      <c r="AA527" s="572"/>
      <c r="AB527" s="572"/>
      <c r="AC527" s="572"/>
      <c r="AD527" s="572"/>
      <c r="AE527" s="572"/>
      <c r="AF527" s="572"/>
      <c r="AG527" s="572"/>
      <c r="AH527" s="572"/>
      <c r="AI527" s="572"/>
      <c r="AJ527" s="572"/>
      <c r="AK527" s="572"/>
      <c r="AL527" s="572"/>
      <c r="AM527" s="572"/>
      <c r="AN527" s="572"/>
      <c r="AO527" s="572"/>
      <c r="AP527" s="572"/>
      <c r="AQ527" s="572"/>
      <c r="AR527" s="572"/>
      <c r="AS527" s="572"/>
      <c r="AT527" s="572"/>
      <c r="AU527" s="572"/>
    </row>
    <row r="528" spans="1:47" ht="15.75" customHeight="1">
      <c r="A528" s="577">
        <v>44440</v>
      </c>
      <c r="B528" s="578" t="s">
        <v>6368</v>
      </c>
      <c r="C528" s="405" t="s">
        <v>2921</v>
      </c>
      <c r="D528" s="563" t="s">
        <v>6341</v>
      </c>
      <c r="E528" s="575">
        <v>300000</v>
      </c>
      <c r="F528" s="563" t="s">
        <v>3349</v>
      </c>
      <c r="G528" s="573" t="s">
        <v>2923</v>
      </c>
      <c r="H528" s="573" t="s">
        <v>20</v>
      </c>
      <c r="I528" s="573" t="s">
        <v>2924</v>
      </c>
      <c r="J528" s="573">
        <v>43564</v>
      </c>
      <c r="K528" s="576" t="s">
        <v>3809</v>
      </c>
      <c r="L528" s="572"/>
      <c r="M528" s="572"/>
      <c r="N528" s="572"/>
      <c r="O528" s="572"/>
      <c r="P528" s="572"/>
      <c r="Q528" s="572"/>
      <c r="R528" s="572"/>
      <c r="S528" s="572"/>
      <c r="T528" s="572"/>
      <c r="U528" s="572"/>
      <c r="V528" s="572"/>
      <c r="W528" s="572"/>
      <c r="X528" s="572"/>
      <c r="Y528" s="572"/>
      <c r="Z528" s="572"/>
      <c r="AA528" s="572"/>
      <c r="AB528" s="572"/>
      <c r="AC528" s="572"/>
      <c r="AD528" s="572"/>
      <c r="AE528" s="572"/>
      <c r="AF528" s="572"/>
      <c r="AG528" s="572"/>
      <c r="AH528" s="572"/>
      <c r="AI528" s="572"/>
      <c r="AJ528" s="572"/>
      <c r="AK528" s="572"/>
      <c r="AL528" s="572"/>
      <c r="AM528" s="572"/>
      <c r="AN528" s="572"/>
      <c r="AO528" s="572"/>
      <c r="AP528" s="572"/>
      <c r="AQ528" s="572"/>
      <c r="AR528" s="572"/>
      <c r="AS528" s="572"/>
      <c r="AT528" s="572"/>
      <c r="AU528" s="572"/>
    </row>
    <row r="529" spans="1:47" ht="15.75" customHeight="1">
      <c r="A529" s="577">
        <v>44441</v>
      </c>
      <c r="B529" s="578" t="s">
        <v>6412</v>
      </c>
      <c r="C529" s="405" t="s">
        <v>3785</v>
      </c>
      <c r="D529" s="563" t="s">
        <v>6341</v>
      </c>
      <c r="E529" s="575">
        <v>25000</v>
      </c>
      <c r="F529" s="563" t="s">
        <v>4373</v>
      </c>
      <c r="G529" s="563" t="s">
        <v>64</v>
      </c>
      <c r="H529" s="563" t="s">
        <v>20</v>
      </c>
      <c r="I529" s="563" t="s">
        <v>3862</v>
      </c>
      <c r="J529" s="573">
        <v>44263</v>
      </c>
      <c r="K529" s="579" t="s">
        <v>3795</v>
      </c>
      <c r="L529" s="572"/>
      <c r="M529" s="572"/>
      <c r="N529" s="572"/>
      <c r="O529" s="572"/>
      <c r="P529" s="572"/>
      <c r="Q529" s="572"/>
      <c r="R529" s="572"/>
      <c r="S529" s="572"/>
      <c r="T529" s="572"/>
      <c r="U529" s="572"/>
      <c r="V529" s="572"/>
      <c r="W529" s="572"/>
      <c r="X529" s="572"/>
      <c r="Y529" s="572"/>
      <c r="Z529" s="572"/>
      <c r="AA529" s="572"/>
      <c r="AB529" s="572"/>
      <c r="AC529" s="572"/>
      <c r="AD529" s="572"/>
      <c r="AE529" s="572"/>
      <c r="AF529" s="572"/>
      <c r="AG529" s="572"/>
      <c r="AH529" s="572"/>
      <c r="AI529" s="572"/>
      <c r="AJ529" s="572"/>
      <c r="AK529" s="572"/>
      <c r="AL529" s="572"/>
      <c r="AM529" s="572"/>
      <c r="AN529" s="572"/>
      <c r="AO529" s="572"/>
      <c r="AP529" s="572"/>
      <c r="AQ529" s="572"/>
      <c r="AR529" s="572"/>
      <c r="AS529" s="572"/>
      <c r="AT529" s="572"/>
      <c r="AU529" s="572"/>
    </row>
    <row r="530" spans="1:47" ht="15.75" customHeight="1">
      <c r="A530" s="577">
        <v>44441</v>
      </c>
      <c r="B530" s="578" t="s">
        <v>6349</v>
      </c>
      <c r="C530" s="405" t="s">
        <v>2921</v>
      </c>
      <c r="D530" s="563" t="s">
        <v>6341</v>
      </c>
      <c r="E530" s="575">
        <v>17000</v>
      </c>
      <c r="F530" s="563" t="s">
        <v>3228</v>
      </c>
      <c r="G530" s="573" t="s">
        <v>2923</v>
      </c>
      <c r="H530" s="573" t="s">
        <v>20</v>
      </c>
      <c r="I530" s="573" t="s">
        <v>2924</v>
      </c>
      <c r="J530" s="573">
        <v>43605</v>
      </c>
      <c r="K530" s="576" t="s">
        <v>3805</v>
      </c>
      <c r="L530" s="572"/>
      <c r="M530" s="572"/>
      <c r="N530" s="572"/>
      <c r="O530" s="572"/>
      <c r="P530" s="572"/>
      <c r="Q530" s="572"/>
      <c r="R530" s="572"/>
      <c r="S530" s="572"/>
      <c r="T530" s="572"/>
      <c r="U530" s="572"/>
      <c r="V530" s="572"/>
      <c r="W530" s="572"/>
      <c r="X530" s="572"/>
      <c r="Y530" s="572"/>
      <c r="Z530" s="572"/>
      <c r="AA530" s="572"/>
      <c r="AB530" s="572"/>
      <c r="AC530" s="572"/>
      <c r="AD530" s="572"/>
      <c r="AE530" s="572"/>
      <c r="AF530" s="572"/>
      <c r="AG530" s="572"/>
      <c r="AH530" s="572"/>
      <c r="AI530" s="572"/>
      <c r="AJ530" s="572"/>
      <c r="AK530" s="572"/>
      <c r="AL530" s="572"/>
      <c r="AM530" s="572"/>
      <c r="AN530" s="572"/>
      <c r="AO530" s="572"/>
      <c r="AP530" s="572"/>
      <c r="AQ530" s="572"/>
      <c r="AR530" s="572"/>
      <c r="AS530" s="572"/>
      <c r="AT530" s="572"/>
      <c r="AU530" s="572"/>
    </row>
    <row r="531" spans="1:47" ht="15.75" customHeight="1">
      <c r="A531" s="573">
        <v>44442</v>
      </c>
      <c r="B531" s="574" t="s">
        <v>6541</v>
      </c>
      <c r="C531" s="563" t="s">
        <v>3785</v>
      </c>
      <c r="D531" s="563" t="s">
        <v>3110</v>
      </c>
      <c r="E531" s="575">
        <v>0</v>
      </c>
      <c r="F531" s="563" t="s">
        <v>3886</v>
      </c>
      <c r="G531" s="563" t="s">
        <v>19</v>
      </c>
      <c r="H531" s="563" t="s">
        <v>20</v>
      </c>
      <c r="I531" s="563" t="s">
        <v>3793</v>
      </c>
      <c r="J531" s="573">
        <v>44245</v>
      </c>
      <c r="K531" s="579" t="s">
        <v>3795</v>
      </c>
      <c r="L531" s="572"/>
      <c r="M531" s="572"/>
      <c r="N531" s="572"/>
      <c r="O531" s="572"/>
      <c r="P531" s="572"/>
      <c r="Q531" s="572"/>
      <c r="R531" s="572"/>
      <c r="S531" s="572"/>
      <c r="T531" s="572"/>
      <c r="U531" s="572"/>
      <c r="V531" s="572"/>
      <c r="W531" s="572"/>
      <c r="X531" s="572"/>
      <c r="Y531" s="572"/>
      <c r="Z531" s="572"/>
      <c r="AA531" s="572"/>
      <c r="AB531" s="572"/>
      <c r="AC531" s="572"/>
      <c r="AD531" s="572"/>
      <c r="AE531" s="572"/>
      <c r="AF531" s="572"/>
      <c r="AG531" s="572"/>
      <c r="AH531" s="572"/>
      <c r="AI531" s="572"/>
      <c r="AJ531" s="572"/>
      <c r="AK531" s="572"/>
      <c r="AL531" s="572"/>
      <c r="AM531" s="572"/>
      <c r="AN531" s="572"/>
      <c r="AO531" s="572"/>
      <c r="AP531" s="572"/>
      <c r="AQ531" s="572"/>
      <c r="AR531" s="572"/>
      <c r="AS531" s="572"/>
      <c r="AT531" s="572"/>
      <c r="AU531" s="572"/>
    </row>
    <row r="532" spans="1:47" ht="15.75" customHeight="1">
      <c r="A532" s="577">
        <v>44442</v>
      </c>
      <c r="B532" s="578" t="s">
        <v>6542</v>
      </c>
      <c r="C532" s="405" t="s">
        <v>3785</v>
      </c>
      <c r="D532" s="563" t="s">
        <v>6341</v>
      </c>
      <c r="E532" s="575">
        <v>150000</v>
      </c>
      <c r="F532" s="563" t="s">
        <v>3800</v>
      </c>
      <c r="G532" s="563" t="s">
        <v>19</v>
      </c>
      <c r="H532" s="563" t="s">
        <v>20</v>
      </c>
      <c r="I532" s="563" t="s">
        <v>3793</v>
      </c>
      <c r="J532" s="573">
        <v>44326</v>
      </c>
      <c r="K532" s="579" t="s">
        <v>3802</v>
      </c>
      <c r="L532" s="572"/>
      <c r="M532" s="572"/>
      <c r="N532" s="572"/>
      <c r="O532" s="572"/>
      <c r="P532" s="572"/>
      <c r="Q532" s="572"/>
      <c r="R532" s="572"/>
      <c r="S532" s="572"/>
      <c r="T532" s="572"/>
      <c r="U532" s="572"/>
      <c r="V532" s="572"/>
      <c r="W532" s="572"/>
      <c r="X532" s="572"/>
      <c r="Y532" s="572"/>
      <c r="Z532" s="572"/>
      <c r="AA532" s="572"/>
      <c r="AB532" s="572"/>
      <c r="AC532" s="572"/>
      <c r="AD532" s="572"/>
      <c r="AE532" s="572"/>
      <c r="AF532" s="572"/>
      <c r="AG532" s="572"/>
      <c r="AH532" s="572"/>
      <c r="AI532" s="572"/>
      <c r="AJ532" s="572"/>
      <c r="AK532" s="572"/>
      <c r="AL532" s="572"/>
      <c r="AM532" s="572"/>
      <c r="AN532" s="572"/>
      <c r="AO532" s="572"/>
      <c r="AP532" s="572"/>
      <c r="AQ532" s="572"/>
      <c r="AR532" s="572"/>
      <c r="AS532" s="572"/>
      <c r="AT532" s="572"/>
      <c r="AU532" s="572"/>
    </row>
    <row r="533" spans="1:47" ht="15.75" customHeight="1">
      <c r="A533" s="577">
        <v>44442</v>
      </c>
      <c r="B533" s="578" t="s">
        <v>6543</v>
      </c>
      <c r="C533" s="405" t="s">
        <v>3785</v>
      </c>
      <c r="D533" s="563" t="s">
        <v>6341</v>
      </c>
      <c r="E533" s="575">
        <v>84278.97</v>
      </c>
      <c r="F533" s="563" t="s">
        <v>5253</v>
      </c>
      <c r="G533" s="563" t="s">
        <v>2923</v>
      </c>
      <c r="H533" s="563" t="s">
        <v>20</v>
      </c>
      <c r="I533" s="563" t="s">
        <v>2923</v>
      </c>
      <c r="J533" s="573">
        <v>44355</v>
      </c>
      <c r="K533" s="579" t="s">
        <v>3805</v>
      </c>
      <c r="L533" s="572"/>
      <c r="M533" s="572"/>
      <c r="N533" s="572"/>
      <c r="O533" s="572"/>
      <c r="P533" s="572"/>
      <c r="Q533" s="572"/>
      <c r="R533" s="572"/>
      <c r="S533" s="572"/>
      <c r="T533" s="572"/>
      <c r="U533" s="572"/>
      <c r="V533" s="572"/>
      <c r="W533" s="572"/>
      <c r="X533" s="572"/>
      <c r="Y533" s="572"/>
      <c r="Z533" s="572"/>
      <c r="AA533" s="572"/>
      <c r="AB533" s="572"/>
      <c r="AC533" s="572"/>
      <c r="AD533" s="572"/>
      <c r="AE533" s="572"/>
      <c r="AF533" s="572"/>
      <c r="AG533" s="572"/>
      <c r="AH533" s="572"/>
      <c r="AI533" s="572"/>
      <c r="AJ533" s="572"/>
      <c r="AK533" s="572"/>
      <c r="AL533" s="572"/>
      <c r="AM533" s="572"/>
      <c r="AN533" s="572"/>
      <c r="AO533" s="572"/>
      <c r="AP533" s="572"/>
      <c r="AQ533" s="572"/>
      <c r="AR533" s="572"/>
      <c r="AS533" s="572"/>
      <c r="AT533" s="572"/>
      <c r="AU533" s="572"/>
    </row>
    <row r="534" spans="1:47" ht="15.75" customHeight="1">
      <c r="A534" s="577">
        <v>44442</v>
      </c>
      <c r="B534" s="578" t="s">
        <v>6492</v>
      </c>
      <c r="C534" s="405" t="s">
        <v>2921</v>
      </c>
      <c r="D534" s="563" t="s">
        <v>6341</v>
      </c>
      <c r="E534" s="575">
        <v>130000</v>
      </c>
      <c r="F534" s="563" t="s">
        <v>3219</v>
      </c>
      <c r="G534" s="573" t="s">
        <v>19</v>
      </c>
      <c r="H534" s="573" t="s">
        <v>34</v>
      </c>
      <c r="I534" s="573" t="s">
        <v>35</v>
      </c>
      <c r="J534" s="573">
        <v>44313</v>
      </c>
      <c r="K534" s="576" t="s">
        <v>3795</v>
      </c>
      <c r="L534" s="572"/>
      <c r="M534" s="572"/>
      <c r="N534" s="572"/>
      <c r="O534" s="572"/>
      <c r="P534" s="572"/>
      <c r="Q534" s="572"/>
      <c r="R534" s="572"/>
      <c r="S534" s="572"/>
      <c r="T534" s="572"/>
      <c r="U534" s="572"/>
      <c r="V534" s="572"/>
      <c r="W534" s="572"/>
      <c r="X534" s="572"/>
      <c r="Y534" s="572"/>
      <c r="Z534" s="572"/>
      <c r="AA534" s="572"/>
      <c r="AB534" s="572"/>
      <c r="AC534" s="572"/>
      <c r="AD534" s="572"/>
      <c r="AE534" s="572"/>
      <c r="AF534" s="572"/>
      <c r="AG534" s="572"/>
      <c r="AH534" s="572"/>
      <c r="AI534" s="572"/>
      <c r="AJ534" s="572"/>
      <c r="AK534" s="572"/>
      <c r="AL534" s="572"/>
      <c r="AM534" s="572"/>
      <c r="AN534" s="572"/>
      <c r="AO534" s="572"/>
      <c r="AP534" s="572"/>
      <c r="AQ534" s="572"/>
      <c r="AR534" s="572"/>
      <c r="AS534" s="572"/>
      <c r="AT534" s="572"/>
      <c r="AU534" s="572"/>
    </row>
    <row r="535" spans="1:47" ht="15.75" customHeight="1">
      <c r="A535" s="573">
        <v>44445</v>
      </c>
      <c r="B535" s="574" t="s">
        <v>6544</v>
      </c>
      <c r="C535" s="563" t="s">
        <v>3785</v>
      </c>
      <c r="D535" s="563" t="s">
        <v>3110</v>
      </c>
      <c r="E535" s="575">
        <v>0</v>
      </c>
      <c r="F535" s="563" t="s">
        <v>4221</v>
      </c>
      <c r="G535" s="563" t="s">
        <v>19</v>
      </c>
      <c r="H535" s="563" t="s">
        <v>20</v>
      </c>
      <c r="I535" s="563" t="s">
        <v>3793</v>
      </c>
      <c r="J535" s="573">
        <v>44085</v>
      </c>
      <c r="K535" s="579" t="s">
        <v>3802</v>
      </c>
      <c r="L535" s="572"/>
      <c r="M535" s="572"/>
      <c r="N535" s="572"/>
      <c r="O535" s="572"/>
      <c r="P535" s="572"/>
      <c r="Q535" s="572"/>
      <c r="R535" s="572"/>
      <c r="S535" s="572"/>
      <c r="T535" s="572"/>
      <c r="U535" s="572"/>
      <c r="V535" s="572"/>
      <c r="W535" s="572"/>
      <c r="X535" s="572"/>
      <c r="Y535" s="572"/>
      <c r="Z535" s="572"/>
      <c r="AA535" s="572"/>
      <c r="AB535" s="572"/>
      <c r="AC535" s="572"/>
      <c r="AD535" s="572"/>
      <c r="AE535" s="572"/>
      <c r="AF535" s="572"/>
      <c r="AG535" s="572"/>
      <c r="AH535" s="572"/>
      <c r="AI535" s="572"/>
      <c r="AJ535" s="572"/>
      <c r="AK535" s="572"/>
      <c r="AL535" s="572"/>
      <c r="AM535" s="572"/>
      <c r="AN535" s="572"/>
      <c r="AO535" s="572"/>
      <c r="AP535" s="572"/>
      <c r="AQ535" s="572"/>
      <c r="AR535" s="572"/>
      <c r="AS535" s="572"/>
      <c r="AT535" s="572"/>
      <c r="AU535" s="572"/>
    </row>
    <row r="536" spans="1:47" ht="15.75" customHeight="1">
      <c r="A536" s="573">
        <v>44445</v>
      </c>
      <c r="B536" s="574" t="s">
        <v>6545</v>
      </c>
      <c r="C536" s="563" t="s">
        <v>3785</v>
      </c>
      <c r="D536" s="563" t="s">
        <v>3110</v>
      </c>
      <c r="E536" s="575">
        <v>0</v>
      </c>
      <c r="F536" s="563" t="s">
        <v>5092</v>
      </c>
      <c r="G536" s="563" t="s">
        <v>19</v>
      </c>
      <c r="H536" s="563" t="s">
        <v>20</v>
      </c>
      <c r="I536" s="563" t="s">
        <v>3793</v>
      </c>
      <c r="J536" s="573">
        <v>44147</v>
      </c>
      <c r="K536" s="579" t="s">
        <v>3805</v>
      </c>
      <c r="L536" s="572"/>
      <c r="M536" s="572"/>
      <c r="N536" s="572"/>
      <c r="O536" s="572"/>
      <c r="P536" s="572"/>
      <c r="Q536" s="572"/>
      <c r="R536" s="572"/>
      <c r="S536" s="572"/>
      <c r="T536" s="572"/>
      <c r="U536" s="572"/>
      <c r="V536" s="572"/>
      <c r="W536" s="572"/>
      <c r="X536" s="572"/>
      <c r="Y536" s="572"/>
      <c r="Z536" s="572"/>
      <c r="AA536" s="572"/>
      <c r="AB536" s="572"/>
      <c r="AC536" s="572"/>
      <c r="AD536" s="572"/>
      <c r="AE536" s="572"/>
      <c r="AF536" s="572"/>
      <c r="AG536" s="572"/>
      <c r="AH536" s="572"/>
      <c r="AI536" s="572"/>
      <c r="AJ536" s="572"/>
      <c r="AK536" s="572"/>
      <c r="AL536" s="572"/>
      <c r="AM536" s="572"/>
      <c r="AN536" s="572"/>
      <c r="AO536" s="572"/>
      <c r="AP536" s="572"/>
      <c r="AQ536" s="572"/>
      <c r="AR536" s="572"/>
      <c r="AS536" s="572"/>
      <c r="AT536" s="572"/>
      <c r="AU536" s="572"/>
    </row>
    <row r="537" spans="1:47" ht="15.75" customHeight="1">
      <c r="A537" s="577">
        <v>44445</v>
      </c>
      <c r="B537" s="578" t="s">
        <v>6474</v>
      </c>
      <c r="C537" s="405" t="s">
        <v>2921</v>
      </c>
      <c r="D537" s="563" t="s">
        <v>6341</v>
      </c>
      <c r="E537" s="575">
        <v>20000</v>
      </c>
      <c r="F537" s="563" t="s">
        <v>3238</v>
      </c>
      <c r="G537" s="573" t="s">
        <v>19</v>
      </c>
      <c r="H537" s="573" t="s">
        <v>34</v>
      </c>
      <c r="I537" s="573" t="s">
        <v>2971</v>
      </c>
      <c r="J537" s="573">
        <v>44266</v>
      </c>
      <c r="K537" s="576" t="s">
        <v>3805</v>
      </c>
      <c r="L537" s="572"/>
      <c r="M537" s="572"/>
      <c r="N537" s="572"/>
      <c r="O537" s="572"/>
      <c r="P537" s="572"/>
      <c r="Q537" s="572"/>
      <c r="R537" s="572"/>
      <c r="S537" s="572"/>
      <c r="T537" s="572"/>
      <c r="U537" s="572"/>
      <c r="V537" s="572"/>
      <c r="W537" s="572"/>
      <c r="X537" s="572"/>
      <c r="Y537" s="572"/>
      <c r="Z537" s="572"/>
      <c r="AA537" s="572"/>
      <c r="AB537" s="572"/>
      <c r="AC537" s="572"/>
      <c r="AD537" s="572"/>
      <c r="AE537" s="572"/>
      <c r="AF537" s="572"/>
      <c r="AG537" s="572"/>
      <c r="AH537" s="572"/>
      <c r="AI537" s="572"/>
      <c r="AJ537" s="572"/>
      <c r="AK537" s="572"/>
      <c r="AL537" s="572"/>
      <c r="AM537" s="572"/>
      <c r="AN537" s="572"/>
      <c r="AO537" s="572"/>
      <c r="AP537" s="572"/>
      <c r="AQ537" s="572"/>
      <c r="AR537" s="572"/>
      <c r="AS537" s="572"/>
      <c r="AT537" s="572"/>
      <c r="AU537" s="572"/>
    </row>
    <row r="538" spans="1:47" ht="15.75" customHeight="1">
      <c r="A538" s="573">
        <v>44447</v>
      </c>
      <c r="B538" s="574" t="s">
        <v>6546</v>
      </c>
      <c r="C538" s="563" t="s">
        <v>3785</v>
      </c>
      <c r="D538" s="563" t="s">
        <v>3110</v>
      </c>
      <c r="E538" s="575">
        <v>0</v>
      </c>
      <c r="F538" s="563" t="s">
        <v>5081</v>
      </c>
      <c r="G538" s="563" t="s">
        <v>19</v>
      </c>
      <c r="H538" s="563" t="s">
        <v>20</v>
      </c>
      <c r="I538" s="563" t="s">
        <v>6547</v>
      </c>
      <c r="J538" s="573">
        <v>44096</v>
      </c>
      <c r="K538" s="579" t="s">
        <v>3795</v>
      </c>
      <c r="L538" s="572"/>
      <c r="M538" s="572"/>
      <c r="N538" s="572"/>
      <c r="O538" s="572"/>
      <c r="P538" s="572"/>
      <c r="Q538" s="572"/>
      <c r="R538" s="572"/>
      <c r="S538" s="572"/>
      <c r="T538" s="572"/>
      <c r="U538" s="572"/>
      <c r="V538" s="572"/>
      <c r="W538" s="572"/>
      <c r="X538" s="572"/>
      <c r="Y538" s="572"/>
      <c r="Z538" s="572"/>
      <c r="AA538" s="572"/>
      <c r="AB538" s="572"/>
      <c r="AC538" s="572"/>
      <c r="AD538" s="572"/>
      <c r="AE538" s="572"/>
      <c r="AF538" s="572"/>
      <c r="AG538" s="572"/>
      <c r="AH538" s="572"/>
      <c r="AI538" s="572"/>
      <c r="AJ538" s="572"/>
      <c r="AK538" s="572"/>
      <c r="AL538" s="572"/>
      <c r="AM538" s="572"/>
      <c r="AN538" s="572"/>
      <c r="AO538" s="572"/>
      <c r="AP538" s="572"/>
      <c r="AQ538" s="572"/>
      <c r="AR538" s="572"/>
      <c r="AS538" s="572"/>
      <c r="AT538" s="572"/>
      <c r="AU538" s="572"/>
    </row>
    <row r="539" spans="1:47" ht="15.75" customHeight="1">
      <c r="A539" s="577">
        <v>44447</v>
      </c>
      <c r="B539" s="578" t="s">
        <v>6548</v>
      </c>
      <c r="C539" s="405" t="s">
        <v>2921</v>
      </c>
      <c r="D539" s="563" t="s">
        <v>6341</v>
      </c>
      <c r="E539" s="575">
        <v>300000</v>
      </c>
      <c r="F539" s="563" t="s">
        <v>3224</v>
      </c>
      <c r="G539" s="573" t="s">
        <v>2989</v>
      </c>
      <c r="H539" s="573" t="s">
        <v>20</v>
      </c>
      <c r="I539" s="573" t="s">
        <v>2989</v>
      </c>
      <c r="J539" s="573">
        <v>44021</v>
      </c>
      <c r="K539" s="576" t="s">
        <v>3795</v>
      </c>
      <c r="L539" s="572"/>
      <c r="M539" s="572"/>
      <c r="N539" s="572"/>
      <c r="O539" s="572"/>
      <c r="P539" s="572"/>
      <c r="Q539" s="572"/>
      <c r="R539" s="572"/>
      <c r="S539" s="572"/>
      <c r="T539" s="572"/>
      <c r="U539" s="572"/>
      <c r="V539" s="572"/>
      <c r="W539" s="572"/>
      <c r="X539" s="572"/>
      <c r="Y539" s="572"/>
      <c r="Z539" s="572"/>
      <c r="AA539" s="572"/>
      <c r="AB539" s="572"/>
      <c r="AC539" s="572"/>
      <c r="AD539" s="572"/>
      <c r="AE539" s="572"/>
      <c r="AF539" s="572"/>
      <c r="AG539" s="572"/>
      <c r="AH539" s="572"/>
      <c r="AI539" s="572"/>
      <c r="AJ539" s="572"/>
      <c r="AK539" s="572"/>
      <c r="AL539" s="572"/>
      <c r="AM539" s="572"/>
      <c r="AN539" s="572"/>
      <c r="AO539" s="572"/>
      <c r="AP539" s="572"/>
      <c r="AQ539" s="572"/>
      <c r="AR539" s="572"/>
      <c r="AS539" s="572"/>
      <c r="AT539" s="572"/>
      <c r="AU539" s="572"/>
    </row>
    <row r="540" spans="1:47" ht="15.75" customHeight="1">
      <c r="A540" s="577">
        <v>44447</v>
      </c>
      <c r="B540" s="578" t="s">
        <v>6459</v>
      </c>
      <c r="C540" s="405" t="s">
        <v>2921</v>
      </c>
      <c r="D540" s="563" t="s">
        <v>6341</v>
      </c>
      <c r="E540" s="575">
        <v>25000</v>
      </c>
      <c r="F540" s="563" t="s">
        <v>3447</v>
      </c>
      <c r="G540" s="573" t="s">
        <v>19</v>
      </c>
      <c r="H540" s="573" t="s">
        <v>34</v>
      </c>
      <c r="I540" s="573" t="s">
        <v>262</v>
      </c>
      <c r="J540" s="573">
        <v>44279</v>
      </c>
      <c r="K540" s="576" t="s">
        <v>3795</v>
      </c>
      <c r="L540" s="572"/>
      <c r="M540" s="572"/>
      <c r="N540" s="572"/>
      <c r="O540" s="572"/>
      <c r="P540" s="572"/>
      <c r="Q540" s="572"/>
      <c r="R540" s="572"/>
      <c r="S540" s="572"/>
      <c r="T540" s="572"/>
      <c r="U540" s="572"/>
      <c r="V540" s="572"/>
      <c r="W540" s="572"/>
      <c r="X540" s="572"/>
      <c r="Y540" s="572"/>
      <c r="Z540" s="572"/>
      <c r="AA540" s="572"/>
      <c r="AB540" s="572"/>
      <c r="AC540" s="572"/>
      <c r="AD540" s="572"/>
      <c r="AE540" s="572"/>
      <c r="AF540" s="572"/>
      <c r="AG540" s="572"/>
      <c r="AH540" s="572"/>
      <c r="AI540" s="572"/>
      <c r="AJ540" s="572"/>
      <c r="AK540" s="572"/>
      <c r="AL540" s="572"/>
      <c r="AM540" s="572"/>
      <c r="AN540" s="572"/>
      <c r="AO540" s="572"/>
      <c r="AP540" s="572"/>
      <c r="AQ540" s="572"/>
      <c r="AR540" s="572"/>
      <c r="AS540" s="572"/>
      <c r="AT540" s="572"/>
      <c r="AU540" s="572"/>
    </row>
    <row r="541" spans="1:47" ht="15.75" customHeight="1">
      <c r="A541" s="573">
        <v>44448</v>
      </c>
      <c r="B541" s="574" t="s">
        <v>6549</v>
      </c>
      <c r="C541" s="563" t="s">
        <v>2921</v>
      </c>
      <c r="D541" s="563" t="s">
        <v>3110</v>
      </c>
      <c r="E541" s="575">
        <v>130029.24</v>
      </c>
      <c r="F541" s="563" t="s">
        <v>3500</v>
      </c>
      <c r="G541" s="573" t="s">
        <v>2989</v>
      </c>
      <c r="H541" s="573" t="s">
        <v>20</v>
      </c>
      <c r="I541" s="573" t="s">
        <v>2989</v>
      </c>
      <c r="J541" s="573">
        <v>43441</v>
      </c>
      <c r="K541" s="576" t="s">
        <v>3809</v>
      </c>
      <c r="L541" s="572"/>
      <c r="M541" s="572"/>
      <c r="N541" s="572"/>
      <c r="O541" s="572"/>
      <c r="P541" s="572"/>
      <c r="Q541" s="572"/>
      <c r="R541" s="572"/>
      <c r="S541" s="572"/>
      <c r="T541" s="572"/>
      <c r="U541" s="572"/>
      <c r="V541" s="572"/>
      <c r="W541" s="572"/>
      <c r="X541" s="572"/>
      <c r="Y541" s="572"/>
      <c r="Z541" s="572"/>
      <c r="AA541" s="572"/>
      <c r="AB541" s="572"/>
      <c r="AC541" s="572"/>
      <c r="AD541" s="572"/>
      <c r="AE541" s="572"/>
      <c r="AF541" s="572"/>
      <c r="AG541" s="572"/>
      <c r="AH541" s="572"/>
      <c r="AI541" s="572"/>
      <c r="AJ541" s="572"/>
      <c r="AK541" s="572"/>
      <c r="AL541" s="572"/>
      <c r="AM541" s="572"/>
      <c r="AN541" s="572"/>
      <c r="AO541" s="572"/>
      <c r="AP541" s="572"/>
      <c r="AQ541" s="572"/>
      <c r="AR541" s="572"/>
      <c r="AS541" s="572"/>
      <c r="AT541" s="572"/>
      <c r="AU541" s="572"/>
    </row>
    <row r="542" spans="1:47" ht="15.75" customHeight="1">
      <c r="A542" s="573">
        <v>44448</v>
      </c>
      <c r="B542" s="574" t="s">
        <v>6367</v>
      </c>
      <c r="C542" s="563" t="s">
        <v>2921</v>
      </c>
      <c r="D542" s="563" t="s">
        <v>3110</v>
      </c>
      <c r="E542" s="575">
        <v>555581.43999999994</v>
      </c>
      <c r="F542" s="563" t="s">
        <v>3480</v>
      </c>
      <c r="G542" s="573" t="s">
        <v>2923</v>
      </c>
      <c r="H542" s="573" t="s">
        <v>20</v>
      </c>
      <c r="I542" s="573" t="s">
        <v>2930</v>
      </c>
      <c r="J542" s="573">
        <v>43607</v>
      </c>
      <c r="K542" s="576" t="s">
        <v>4188</v>
      </c>
      <c r="L542" s="572"/>
      <c r="M542" s="572"/>
      <c r="N542" s="572"/>
      <c r="O542" s="572"/>
      <c r="P542" s="572"/>
      <c r="Q542" s="572"/>
      <c r="R542" s="572"/>
      <c r="S542" s="572"/>
      <c r="T542" s="572"/>
      <c r="U542" s="572"/>
      <c r="V542" s="572"/>
      <c r="W542" s="572"/>
      <c r="X542" s="572"/>
      <c r="Y542" s="572"/>
      <c r="Z542" s="572"/>
      <c r="AA542" s="572"/>
      <c r="AB542" s="572"/>
      <c r="AC542" s="572"/>
      <c r="AD542" s="572"/>
      <c r="AE542" s="572"/>
      <c r="AF542" s="572"/>
      <c r="AG542" s="572"/>
      <c r="AH542" s="572"/>
      <c r="AI542" s="572"/>
      <c r="AJ542" s="572"/>
      <c r="AK542" s="572"/>
      <c r="AL542" s="572"/>
      <c r="AM542" s="572"/>
      <c r="AN542" s="572"/>
      <c r="AO542" s="572"/>
      <c r="AP542" s="572"/>
      <c r="AQ542" s="572"/>
      <c r="AR542" s="572"/>
      <c r="AS542" s="572"/>
      <c r="AT542" s="572"/>
      <c r="AU542" s="572"/>
    </row>
    <row r="543" spans="1:47" ht="15.75" customHeight="1">
      <c r="A543" s="577">
        <v>44448</v>
      </c>
      <c r="B543" s="578" t="s">
        <v>6550</v>
      </c>
      <c r="C543" s="405" t="s">
        <v>2921</v>
      </c>
      <c r="D543" s="563" t="s">
        <v>6341</v>
      </c>
      <c r="E543" s="575">
        <v>17000</v>
      </c>
      <c r="F543" s="563" t="s">
        <v>3502</v>
      </c>
      <c r="G543" s="573" t="s">
        <v>19</v>
      </c>
      <c r="H543" s="573" t="s">
        <v>34</v>
      </c>
      <c r="I543" s="573" t="s">
        <v>35</v>
      </c>
      <c r="J543" s="573">
        <v>44263</v>
      </c>
      <c r="K543" s="576" t="s">
        <v>3805</v>
      </c>
      <c r="L543" s="572"/>
      <c r="M543" s="572"/>
      <c r="N543" s="572"/>
      <c r="O543" s="572"/>
      <c r="P543" s="572"/>
      <c r="Q543" s="572"/>
      <c r="R543" s="572"/>
      <c r="S543" s="572"/>
      <c r="T543" s="572"/>
      <c r="U543" s="572"/>
      <c r="V543" s="572"/>
      <c r="W543" s="572"/>
      <c r="X543" s="572"/>
      <c r="Y543" s="572"/>
      <c r="Z543" s="572"/>
      <c r="AA543" s="572"/>
      <c r="AB543" s="572"/>
      <c r="AC543" s="572"/>
      <c r="AD543" s="572"/>
      <c r="AE543" s="572"/>
      <c r="AF543" s="572"/>
      <c r="AG543" s="572"/>
      <c r="AH543" s="572"/>
      <c r="AI543" s="572"/>
      <c r="AJ543" s="572"/>
      <c r="AK543" s="572"/>
      <c r="AL543" s="572"/>
      <c r="AM543" s="572"/>
      <c r="AN543" s="572"/>
      <c r="AO543" s="572"/>
      <c r="AP543" s="572"/>
      <c r="AQ543" s="572"/>
      <c r="AR543" s="572"/>
      <c r="AS543" s="572"/>
      <c r="AT543" s="572"/>
      <c r="AU543" s="572"/>
    </row>
    <row r="544" spans="1:47" ht="15.75" customHeight="1">
      <c r="A544" s="577">
        <v>44449</v>
      </c>
      <c r="B544" s="578" t="s">
        <v>6551</v>
      </c>
      <c r="C544" s="405" t="s">
        <v>2921</v>
      </c>
      <c r="D544" s="563" t="s">
        <v>6341</v>
      </c>
      <c r="E544" s="575">
        <v>2502500.1</v>
      </c>
      <c r="F544" s="563" t="s">
        <v>318</v>
      </c>
      <c r="G544" s="573" t="s">
        <v>19</v>
      </c>
      <c r="H544" s="573" t="s">
        <v>34</v>
      </c>
      <c r="I544" s="573" t="s">
        <v>35</v>
      </c>
      <c r="J544" s="573">
        <v>44266</v>
      </c>
      <c r="K544" s="576" t="s">
        <v>3789</v>
      </c>
      <c r="L544" s="572"/>
      <c r="M544" s="572"/>
      <c r="N544" s="572"/>
      <c r="O544" s="572"/>
      <c r="P544" s="572"/>
      <c r="Q544" s="572"/>
      <c r="R544" s="572"/>
      <c r="S544" s="572"/>
      <c r="T544" s="572"/>
      <c r="U544" s="572"/>
      <c r="V544" s="572"/>
      <c r="W544" s="572"/>
      <c r="X544" s="572"/>
      <c r="Y544" s="572"/>
      <c r="Z544" s="572"/>
      <c r="AA544" s="572"/>
      <c r="AB544" s="572"/>
      <c r="AC544" s="572"/>
      <c r="AD544" s="572"/>
      <c r="AE544" s="572"/>
      <c r="AF544" s="572"/>
      <c r="AG544" s="572"/>
      <c r="AH544" s="572"/>
      <c r="AI544" s="572"/>
      <c r="AJ544" s="572"/>
      <c r="AK544" s="572"/>
      <c r="AL544" s="572"/>
      <c r="AM544" s="572"/>
      <c r="AN544" s="572"/>
      <c r="AO544" s="572"/>
      <c r="AP544" s="572"/>
      <c r="AQ544" s="572"/>
      <c r="AR544" s="572"/>
      <c r="AS544" s="572"/>
      <c r="AT544" s="572"/>
      <c r="AU544" s="572"/>
    </row>
    <row r="545" spans="1:47" ht="15.75" customHeight="1">
      <c r="A545" s="577">
        <v>44449</v>
      </c>
      <c r="B545" s="578" t="s">
        <v>6552</v>
      </c>
      <c r="C545" s="405" t="s">
        <v>3785</v>
      </c>
      <c r="D545" s="563" t="s">
        <v>928</v>
      </c>
      <c r="E545" s="575">
        <v>0</v>
      </c>
      <c r="F545" s="563" t="s">
        <v>4206</v>
      </c>
      <c r="G545" s="563" t="s">
        <v>2923</v>
      </c>
      <c r="H545" s="563" t="s">
        <v>20</v>
      </c>
      <c r="I545" s="563" t="s">
        <v>2923</v>
      </c>
      <c r="J545" s="573">
        <v>43869</v>
      </c>
      <c r="K545" s="579" t="s">
        <v>3795</v>
      </c>
      <c r="L545" s="572"/>
      <c r="M545" s="572"/>
      <c r="N545" s="572"/>
      <c r="O545" s="572"/>
      <c r="P545" s="572"/>
      <c r="Q545" s="572"/>
      <c r="R545" s="572"/>
      <c r="S545" s="572"/>
      <c r="T545" s="572"/>
      <c r="U545" s="572"/>
      <c r="V545" s="572"/>
      <c r="W545" s="572"/>
      <c r="X545" s="572"/>
      <c r="Y545" s="572"/>
      <c r="Z545" s="572"/>
      <c r="AA545" s="572"/>
      <c r="AB545" s="572"/>
      <c r="AC545" s="572"/>
      <c r="AD545" s="572"/>
      <c r="AE545" s="572"/>
      <c r="AF545" s="572"/>
      <c r="AG545" s="572"/>
      <c r="AH545" s="572"/>
      <c r="AI545" s="572"/>
      <c r="AJ545" s="572"/>
      <c r="AK545" s="572"/>
      <c r="AL545" s="572"/>
      <c r="AM545" s="572"/>
      <c r="AN545" s="572"/>
      <c r="AO545" s="572"/>
      <c r="AP545" s="572"/>
      <c r="AQ545" s="572"/>
      <c r="AR545" s="572"/>
      <c r="AS545" s="572"/>
      <c r="AT545" s="572"/>
      <c r="AU545" s="572"/>
    </row>
    <row r="546" spans="1:47" ht="15.75" customHeight="1">
      <c r="A546" s="573">
        <v>44450</v>
      </c>
      <c r="B546" s="574" t="s">
        <v>6553</v>
      </c>
      <c r="C546" s="563" t="s">
        <v>3785</v>
      </c>
      <c r="D546" s="563" t="s">
        <v>3110</v>
      </c>
      <c r="E546" s="575">
        <v>0</v>
      </c>
      <c r="F546" s="563" t="s">
        <v>4252</v>
      </c>
      <c r="G546" s="563" t="s">
        <v>19</v>
      </c>
      <c r="H546" s="563" t="s">
        <v>20</v>
      </c>
      <c r="I546" s="563" t="s">
        <v>3793</v>
      </c>
      <c r="J546" s="573">
        <v>44203</v>
      </c>
      <c r="K546" s="579" t="s">
        <v>3795</v>
      </c>
      <c r="L546" s="572"/>
      <c r="M546" s="572"/>
      <c r="N546" s="572"/>
      <c r="O546" s="572"/>
      <c r="P546" s="572"/>
      <c r="Q546" s="572"/>
      <c r="R546" s="572"/>
      <c r="S546" s="572"/>
      <c r="T546" s="572"/>
      <c r="U546" s="572"/>
      <c r="V546" s="572"/>
      <c r="W546" s="572"/>
      <c r="X546" s="572"/>
      <c r="Y546" s="572"/>
      <c r="Z546" s="572"/>
      <c r="AA546" s="572"/>
      <c r="AB546" s="572"/>
      <c r="AC546" s="572"/>
      <c r="AD546" s="572"/>
      <c r="AE546" s="572"/>
      <c r="AF546" s="572"/>
      <c r="AG546" s="572"/>
      <c r="AH546" s="572"/>
      <c r="AI546" s="572"/>
      <c r="AJ546" s="572"/>
      <c r="AK546" s="572"/>
      <c r="AL546" s="572"/>
      <c r="AM546" s="572"/>
      <c r="AN546" s="572"/>
      <c r="AO546" s="572"/>
      <c r="AP546" s="572"/>
      <c r="AQ546" s="572"/>
      <c r="AR546" s="572"/>
      <c r="AS546" s="572"/>
      <c r="AT546" s="572"/>
      <c r="AU546" s="572"/>
    </row>
    <row r="547" spans="1:47" ht="15.75" customHeight="1">
      <c r="A547" s="573">
        <v>44450</v>
      </c>
      <c r="B547" s="574" t="s">
        <v>6554</v>
      </c>
      <c r="C547" s="563" t="s">
        <v>3785</v>
      </c>
      <c r="D547" s="563" t="s">
        <v>3110</v>
      </c>
      <c r="E547" s="575">
        <v>0</v>
      </c>
      <c r="F547" s="563" t="s">
        <v>4252</v>
      </c>
      <c r="G547" s="563" t="s">
        <v>19</v>
      </c>
      <c r="H547" s="563" t="s">
        <v>20</v>
      </c>
      <c r="I547" s="563" t="s">
        <v>3793</v>
      </c>
      <c r="J547" s="573">
        <v>44203</v>
      </c>
      <c r="K547" s="579" t="s">
        <v>3842</v>
      </c>
      <c r="L547" s="572"/>
      <c r="M547" s="572"/>
      <c r="N547" s="572"/>
      <c r="O547" s="572"/>
      <c r="P547" s="572"/>
      <c r="Q547" s="572"/>
      <c r="R547" s="572"/>
      <c r="S547" s="572"/>
      <c r="T547" s="572"/>
      <c r="U547" s="572"/>
      <c r="V547" s="572"/>
      <c r="W547" s="572"/>
      <c r="X547" s="572"/>
      <c r="Y547" s="572"/>
      <c r="Z547" s="572"/>
      <c r="AA547" s="572"/>
      <c r="AB547" s="572"/>
      <c r="AC547" s="572"/>
      <c r="AD547" s="572"/>
      <c r="AE547" s="572"/>
      <c r="AF547" s="572"/>
      <c r="AG547" s="572"/>
      <c r="AH547" s="572"/>
      <c r="AI547" s="572"/>
      <c r="AJ547" s="572"/>
      <c r="AK547" s="572"/>
      <c r="AL547" s="572"/>
      <c r="AM547" s="572"/>
      <c r="AN547" s="572"/>
      <c r="AO547" s="572"/>
      <c r="AP547" s="572"/>
      <c r="AQ547" s="572"/>
      <c r="AR547" s="572"/>
      <c r="AS547" s="572"/>
      <c r="AT547" s="572"/>
      <c r="AU547" s="572"/>
    </row>
    <row r="548" spans="1:47" ht="15.75" customHeight="1">
      <c r="A548" s="577">
        <v>44452</v>
      </c>
      <c r="B548" s="578" t="s">
        <v>6555</v>
      </c>
      <c r="C548" s="405" t="s">
        <v>3785</v>
      </c>
      <c r="D548" s="563" t="s">
        <v>6341</v>
      </c>
      <c r="E548" s="602">
        <v>4000</v>
      </c>
      <c r="F548" s="563" t="s">
        <v>3931</v>
      </c>
      <c r="G548" s="563" t="s">
        <v>64</v>
      </c>
      <c r="H548" s="563" t="s">
        <v>20</v>
      </c>
      <c r="I548" s="563" t="s">
        <v>3634</v>
      </c>
      <c r="J548" s="573">
        <v>44362</v>
      </c>
      <c r="K548" s="579" t="s">
        <v>3805</v>
      </c>
      <c r="L548" s="572"/>
      <c r="M548" s="572"/>
      <c r="N548" s="572"/>
      <c r="O548" s="572"/>
      <c r="P548" s="572"/>
      <c r="Q548" s="572"/>
      <c r="R548" s="572"/>
      <c r="S548" s="572"/>
      <c r="T548" s="572"/>
      <c r="U548" s="572"/>
      <c r="V548" s="572"/>
      <c r="W548" s="572"/>
      <c r="X548" s="572"/>
      <c r="Y548" s="572"/>
      <c r="Z548" s="572"/>
      <c r="AA548" s="572"/>
      <c r="AB548" s="572"/>
      <c r="AC548" s="572"/>
      <c r="AD548" s="572"/>
      <c r="AE548" s="572"/>
      <c r="AF548" s="572"/>
      <c r="AG548" s="572"/>
      <c r="AH548" s="572"/>
      <c r="AI548" s="572"/>
      <c r="AJ548" s="572"/>
      <c r="AK548" s="572"/>
      <c r="AL548" s="572"/>
      <c r="AM548" s="572"/>
      <c r="AN548" s="572"/>
      <c r="AO548" s="572"/>
      <c r="AP548" s="572"/>
      <c r="AQ548" s="572"/>
      <c r="AR548" s="572"/>
      <c r="AS548" s="572"/>
      <c r="AT548" s="572"/>
      <c r="AU548" s="572"/>
    </row>
    <row r="549" spans="1:47" ht="15.75" customHeight="1">
      <c r="A549" s="577">
        <v>44452</v>
      </c>
      <c r="B549" s="578" t="s">
        <v>6409</v>
      </c>
      <c r="C549" s="405" t="s">
        <v>2921</v>
      </c>
      <c r="D549" s="563" t="s">
        <v>6341</v>
      </c>
      <c r="E549" s="602">
        <v>20000</v>
      </c>
      <c r="F549" s="563" t="s">
        <v>3257</v>
      </c>
      <c r="G549" s="573" t="s">
        <v>19</v>
      </c>
      <c r="H549" s="573" t="s">
        <v>34</v>
      </c>
      <c r="I549" s="573" t="s">
        <v>35</v>
      </c>
      <c r="J549" s="573">
        <v>44295</v>
      </c>
      <c r="K549" s="576" t="s">
        <v>3802</v>
      </c>
      <c r="L549" s="572"/>
      <c r="M549" s="572"/>
      <c r="N549" s="572"/>
      <c r="O549" s="572"/>
      <c r="P549" s="572"/>
      <c r="Q549" s="572"/>
      <c r="R549" s="572"/>
      <c r="S549" s="572"/>
      <c r="T549" s="572"/>
      <c r="U549" s="572"/>
      <c r="V549" s="572"/>
      <c r="W549" s="572"/>
      <c r="X549" s="572"/>
      <c r="Y549" s="572"/>
      <c r="Z549" s="572"/>
      <c r="AA549" s="572"/>
      <c r="AB549" s="572"/>
      <c r="AC549" s="572"/>
      <c r="AD549" s="572"/>
      <c r="AE549" s="572"/>
      <c r="AF549" s="572"/>
      <c r="AG549" s="572"/>
      <c r="AH549" s="572"/>
      <c r="AI549" s="572"/>
      <c r="AJ549" s="572"/>
      <c r="AK549" s="572"/>
      <c r="AL549" s="572"/>
      <c r="AM549" s="572"/>
      <c r="AN549" s="572"/>
      <c r="AO549" s="572"/>
      <c r="AP549" s="572"/>
      <c r="AQ549" s="572"/>
      <c r="AR549" s="572"/>
      <c r="AS549" s="572"/>
      <c r="AT549" s="572"/>
      <c r="AU549" s="572"/>
    </row>
    <row r="550" spans="1:47" ht="15.75" customHeight="1">
      <c r="A550" s="577">
        <v>44452</v>
      </c>
      <c r="B550" s="578" t="s">
        <v>6475</v>
      </c>
      <c r="C550" s="405" t="s">
        <v>2921</v>
      </c>
      <c r="D550" s="563" t="s">
        <v>6341</v>
      </c>
      <c r="E550" s="602">
        <v>5000</v>
      </c>
      <c r="F550" s="563" t="s">
        <v>3465</v>
      </c>
      <c r="G550" s="573" t="s">
        <v>19</v>
      </c>
      <c r="H550" s="573" t="s">
        <v>34</v>
      </c>
      <c r="I550" s="573" t="s">
        <v>262</v>
      </c>
      <c r="J550" s="573">
        <v>44319</v>
      </c>
      <c r="K550" s="576" t="s">
        <v>3795</v>
      </c>
      <c r="L550" s="572"/>
      <c r="M550" s="572"/>
      <c r="N550" s="572"/>
      <c r="O550" s="572"/>
      <c r="P550" s="572"/>
      <c r="Q550" s="572"/>
      <c r="R550" s="572"/>
      <c r="S550" s="572"/>
      <c r="T550" s="572"/>
      <c r="U550" s="572"/>
      <c r="V550" s="572"/>
      <c r="W550" s="572"/>
      <c r="X550" s="572"/>
      <c r="Y550" s="572"/>
      <c r="Z550" s="572"/>
      <c r="AA550" s="572"/>
      <c r="AB550" s="572"/>
      <c r="AC550" s="572"/>
      <c r="AD550" s="572"/>
      <c r="AE550" s="572"/>
      <c r="AF550" s="572"/>
      <c r="AG550" s="572"/>
      <c r="AH550" s="572"/>
      <c r="AI550" s="572"/>
      <c r="AJ550" s="572"/>
      <c r="AK550" s="572"/>
      <c r="AL550" s="572"/>
      <c r="AM550" s="572"/>
      <c r="AN550" s="572"/>
      <c r="AO550" s="572"/>
      <c r="AP550" s="572"/>
      <c r="AQ550" s="572"/>
      <c r="AR550" s="572"/>
      <c r="AS550" s="572"/>
      <c r="AT550" s="572"/>
      <c r="AU550" s="572"/>
    </row>
    <row r="551" spans="1:47" ht="15.75" customHeight="1">
      <c r="A551" s="573">
        <v>44452</v>
      </c>
      <c r="B551" s="574" t="s">
        <v>6556</v>
      </c>
      <c r="C551" s="563" t="s">
        <v>3785</v>
      </c>
      <c r="D551" s="563" t="s">
        <v>3110</v>
      </c>
      <c r="E551" s="575">
        <v>0</v>
      </c>
      <c r="F551" s="563" t="s">
        <v>5182</v>
      </c>
      <c r="G551" s="563" t="s">
        <v>4058</v>
      </c>
      <c r="H551" s="563" t="s">
        <v>20</v>
      </c>
      <c r="I551" s="563" t="s">
        <v>64</v>
      </c>
      <c r="J551" s="573">
        <v>44250</v>
      </c>
      <c r="K551" s="579" t="s">
        <v>3842</v>
      </c>
      <c r="L551" s="572"/>
      <c r="M551" s="572"/>
      <c r="N551" s="572"/>
      <c r="O551" s="572"/>
      <c r="P551" s="572"/>
      <c r="Q551" s="572"/>
      <c r="R551" s="572"/>
      <c r="S551" s="572"/>
      <c r="T551" s="572"/>
      <c r="U551" s="572"/>
      <c r="V551" s="572"/>
      <c r="W551" s="572"/>
      <c r="X551" s="572"/>
      <c r="Y551" s="572"/>
      <c r="Z551" s="572"/>
      <c r="AA551" s="572"/>
      <c r="AB551" s="572"/>
      <c r="AC551" s="572"/>
      <c r="AD551" s="572"/>
      <c r="AE551" s="572"/>
      <c r="AF551" s="572"/>
      <c r="AG551" s="572"/>
      <c r="AH551" s="572"/>
      <c r="AI551" s="572"/>
      <c r="AJ551" s="572"/>
      <c r="AK551" s="572"/>
      <c r="AL551" s="572"/>
      <c r="AM551" s="572"/>
      <c r="AN551" s="572"/>
      <c r="AO551" s="572"/>
      <c r="AP551" s="572"/>
      <c r="AQ551" s="572"/>
      <c r="AR551" s="572"/>
      <c r="AS551" s="572"/>
      <c r="AT551" s="572"/>
      <c r="AU551" s="572"/>
    </row>
    <row r="552" spans="1:47" ht="15.75" customHeight="1">
      <c r="A552" s="573">
        <v>44452</v>
      </c>
      <c r="B552" s="574" t="s">
        <v>6557</v>
      </c>
      <c r="C552" s="563" t="s">
        <v>3785</v>
      </c>
      <c r="D552" s="563" t="s">
        <v>3110</v>
      </c>
      <c r="E552" s="575">
        <v>0</v>
      </c>
      <c r="F552" s="563" t="s">
        <v>5098</v>
      </c>
      <c r="G552" s="563" t="s">
        <v>19</v>
      </c>
      <c r="H552" s="563" t="s">
        <v>20</v>
      </c>
      <c r="I552" s="563" t="s">
        <v>3793</v>
      </c>
      <c r="J552" s="573">
        <v>44120</v>
      </c>
      <c r="K552" s="579" t="s">
        <v>3795</v>
      </c>
      <c r="L552" s="572"/>
      <c r="M552" s="572"/>
      <c r="N552" s="572"/>
      <c r="O552" s="572"/>
      <c r="P552" s="572"/>
      <c r="Q552" s="572"/>
      <c r="R552" s="572"/>
      <c r="S552" s="572"/>
      <c r="T552" s="572"/>
      <c r="U552" s="572"/>
      <c r="V552" s="572"/>
      <c r="W552" s="572"/>
      <c r="X552" s="572"/>
      <c r="Y552" s="572"/>
      <c r="Z552" s="572"/>
      <c r="AA552" s="572"/>
      <c r="AB552" s="572"/>
      <c r="AC552" s="572"/>
      <c r="AD552" s="572"/>
      <c r="AE552" s="572"/>
      <c r="AF552" s="572"/>
      <c r="AG552" s="572"/>
      <c r="AH552" s="572"/>
      <c r="AI552" s="572"/>
      <c r="AJ552" s="572"/>
      <c r="AK552" s="572"/>
      <c r="AL552" s="572"/>
      <c r="AM552" s="572"/>
      <c r="AN552" s="572"/>
      <c r="AO552" s="572"/>
      <c r="AP552" s="572"/>
      <c r="AQ552" s="572"/>
      <c r="AR552" s="572"/>
      <c r="AS552" s="572"/>
      <c r="AT552" s="572"/>
      <c r="AU552" s="572"/>
    </row>
    <row r="553" spans="1:47" ht="15.75" customHeight="1">
      <c r="A553" s="577">
        <v>44453</v>
      </c>
      <c r="B553" s="578" t="s">
        <v>6472</v>
      </c>
      <c r="C553" s="405" t="s">
        <v>2921</v>
      </c>
      <c r="D553" s="563" t="s">
        <v>6341</v>
      </c>
      <c r="E553" s="602">
        <v>10000</v>
      </c>
      <c r="F553" s="563" t="s">
        <v>2993</v>
      </c>
      <c r="G553" s="573" t="s">
        <v>19</v>
      </c>
      <c r="H553" s="573" t="s">
        <v>34</v>
      </c>
      <c r="I553" s="573" t="s">
        <v>262</v>
      </c>
      <c r="J553" s="573">
        <v>44295</v>
      </c>
      <c r="K553" s="576" t="s">
        <v>3789</v>
      </c>
      <c r="L553" s="572"/>
      <c r="M553" s="572"/>
      <c r="N553" s="572"/>
      <c r="O553" s="572"/>
      <c r="P553" s="572"/>
      <c r="Q553" s="572"/>
      <c r="R553" s="572"/>
      <c r="S553" s="572"/>
      <c r="T553" s="572"/>
      <c r="U553" s="572"/>
      <c r="V553" s="572"/>
      <c r="W553" s="572"/>
      <c r="X553" s="572"/>
      <c r="Y553" s="572"/>
      <c r="Z553" s="572"/>
      <c r="AA553" s="572"/>
      <c r="AB553" s="572"/>
      <c r="AC553" s="572"/>
      <c r="AD553" s="572"/>
      <c r="AE553" s="572"/>
      <c r="AF553" s="572"/>
      <c r="AG553" s="572"/>
      <c r="AH553" s="572"/>
      <c r="AI553" s="572"/>
      <c r="AJ553" s="572"/>
      <c r="AK553" s="572"/>
      <c r="AL553" s="572"/>
      <c r="AM553" s="572"/>
      <c r="AN553" s="572"/>
      <c r="AO553" s="572"/>
      <c r="AP553" s="572"/>
      <c r="AQ553" s="572"/>
      <c r="AR553" s="572"/>
      <c r="AS553" s="572"/>
      <c r="AT553" s="572"/>
      <c r="AU553" s="572"/>
    </row>
    <row r="554" spans="1:47" ht="15.75" customHeight="1">
      <c r="A554" s="577">
        <v>44453</v>
      </c>
      <c r="B554" s="578" t="s">
        <v>6548</v>
      </c>
      <c r="C554" s="405" t="s">
        <v>2921</v>
      </c>
      <c r="D554" s="563" t="s">
        <v>6341</v>
      </c>
      <c r="E554" s="602">
        <v>300000</v>
      </c>
      <c r="F554" s="563" t="s">
        <v>3224</v>
      </c>
      <c r="G554" s="573" t="s">
        <v>2989</v>
      </c>
      <c r="H554" s="573" t="s">
        <v>20</v>
      </c>
      <c r="I554" s="573" t="s">
        <v>2989</v>
      </c>
      <c r="J554" s="573">
        <v>44021</v>
      </c>
      <c r="K554" s="576" t="s">
        <v>3795</v>
      </c>
      <c r="L554" s="572"/>
      <c r="M554" s="572"/>
      <c r="N554" s="572"/>
      <c r="O554" s="572"/>
      <c r="P554" s="572"/>
      <c r="Q554" s="572"/>
      <c r="R554" s="572"/>
      <c r="S554" s="572"/>
      <c r="T554" s="572"/>
      <c r="U554" s="572"/>
      <c r="V554" s="572"/>
      <c r="W554" s="572"/>
      <c r="X554" s="572"/>
      <c r="Y554" s="572"/>
      <c r="Z554" s="572"/>
      <c r="AA554" s="572"/>
      <c r="AB554" s="572"/>
      <c r="AC554" s="572"/>
      <c r="AD554" s="572"/>
      <c r="AE554" s="572"/>
      <c r="AF554" s="572"/>
      <c r="AG554" s="572"/>
      <c r="AH554" s="572"/>
      <c r="AI554" s="572"/>
      <c r="AJ554" s="572"/>
      <c r="AK554" s="572"/>
      <c r="AL554" s="572"/>
      <c r="AM554" s="572"/>
      <c r="AN554" s="572"/>
      <c r="AO554" s="572"/>
      <c r="AP554" s="572"/>
      <c r="AQ554" s="572"/>
      <c r="AR554" s="572"/>
      <c r="AS554" s="572"/>
      <c r="AT554" s="572"/>
      <c r="AU554" s="572"/>
    </row>
    <row r="555" spans="1:47" ht="15.75" customHeight="1">
      <c r="A555" s="573">
        <v>44453</v>
      </c>
      <c r="B555" s="574" t="s">
        <v>6558</v>
      </c>
      <c r="C555" s="563" t="s">
        <v>3785</v>
      </c>
      <c r="D555" s="563" t="s">
        <v>3110</v>
      </c>
      <c r="E555" s="575">
        <v>0</v>
      </c>
      <c r="F555" s="563" t="s">
        <v>4257</v>
      </c>
      <c r="G555" s="563" t="s">
        <v>19</v>
      </c>
      <c r="H555" s="563" t="s">
        <v>20</v>
      </c>
      <c r="I555" s="563" t="s">
        <v>3793</v>
      </c>
      <c r="J555" s="573">
        <v>44202</v>
      </c>
      <c r="K555" s="579" t="s">
        <v>3795</v>
      </c>
      <c r="L555" s="572"/>
      <c r="M555" s="572"/>
      <c r="N555" s="572"/>
      <c r="O555" s="572"/>
      <c r="P555" s="572"/>
      <c r="Q555" s="572"/>
      <c r="R555" s="572"/>
      <c r="S555" s="572"/>
      <c r="T555" s="572"/>
      <c r="U555" s="572"/>
      <c r="V555" s="572"/>
      <c r="W555" s="572"/>
      <c r="X555" s="572"/>
      <c r="Y555" s="572"/>
      <c r="Z555" s="572"/>
      <c r="AA555" s="572"/>
      <c r="AB555" s="572"/>
      <c r="AC555" s="572"/>
      <c r="AD555" s="572"/>
      <c r="AE555" s="572"/>
      <c r="AF555" s="572"/>
      <c r="AG555" s="572"/>
      <c r="AH555" s="572"/>
      <c r="AI555" s="572"/>
      <c r="AJ555" s="572"/>
      <c r="AK555" s="572"/>
      <c r="AL555" s="572"/>
      <c r="AM555" s="572"/>
      <c r="AN555" s="572"/>
      <c r="AO555" s="572"/>
      <c r="AP555" s="572"/>
      <c r="AQ555" s="572"/>
      <c r="AR555" s="572"/>
      <c r="AS555" s="572"/>
      <c r="AT555" s="572"/>
      <c r="AU555" s="572"/>
    </row>
    <row r="556" spans="1:47" ht="15.75" customHeight="1">
      <c r="A556" s="577">
        <v>44455</v>
      </c>
      <c r="B556" s="574" t="s">
        <v>6559</v>
      </c>
      <c r="C556" s="405" t="s">
        <v>3785</v>
      </c>
      <c r="D556" s="563" t="s">
        <v>6341</v>
      </c>
      <c r="E556" s="602">
        <v>135728.28</v>
      </c>
      <c r="F556" s="563" t="s">
        <v>4009</v>
      </c>
      <c r="G556" s="563" t="s">
        <v>19</v>
      </c>
      <c r="H556" s="563" t="s">
        <v>49</v>
      </c>
      <c r="I556" s="563" t="s">
        <v>328</v>
      </c>
      <c r="J556" s="573">
        <v>44204</v>
      </c>
      <c r="K556" s="579" t="s">
        <v>3795</v>
      </c>
      <c r="L556" s="572"/>
      <c r="M556" s="572"/>
      <c r="N556" s="572"/>
      <c r="O556" s="572"/>
      <c r="P556" s="572"/>
      <c r="Q556" s="572"/>
      <c r="R556" s="572"/>
      <c r="S556" s="572"/>
      <c r="T556" s="572"/>
      <c r="U556" s="572"/>
      <c r="V556" s="572"/>
      <c r="W556" s="572"/>
      <c r="X556" s="572"/>
      <c r="Y556" s="572"/>
      <c r="Z556" s="572"/>
      <c r="AA556" s="572"/>
      <c r="AB556" s="572"/>
      <c r="AC556" s="572"/>
      <c r="AD556" s="572"/>
      <c r="AE556" s="572"/>
      <c r="AF556" s="572"/>
      <c r="AG556" s="572"/>
      <c r="AH556" s="572"/>
      <c r="AI556" s="572"/>
      <c r="AJ556" s="572"/>
      <c r="AK556" s="572"/>
      <c r="AL556" s="572"/>
      <c r="AM556" s="572"/>
      <c r="AN556" s="572"/>
      <c r="AO556" s="572"/>
      <c r="AP556" s="572"/>
      <c r="AQ556" s="572"/>
      <c r="AR556" s="572"/>
      <c r="AS556" s="572"/>
      <c r="AT556" s="572"/>
      <c r="AU556" s="572"/>
    </row>
    <row r="557" spans="1:47" ht="15.75" customHeight="1">
      <c r="A557" s="573">
        <v>44455</v>
      </c>
      <c r="B557" s="574" t="s">
        <v>6560</v>
      </c>
      <c r="C557" s="563" t="s">
        <v>2921</v>
      </c>
      <c r="D557" s="563" t="s">
        <v>3110</v>
      </c>
      <c r="E557" s="581">
        <v>107666.91</v>
      </c>
      <c r="F557" s="563" t="s">
        <v>3550</v>
      </c>
      <c r="G557" s="573" t="s">
        <v>2923</v>
      </c>
      <c r="H557" s="573" t="s">
        <v>20</v>
      </c>
      <c r="I557" s="573" t="s">
        <v>2924</v>
      </c>
      <c r="J557" s="573">
        <v>43843</v>
      </c>
      <c r="K557" s="576" t="s">
        <v>3805</v>
      </c>
      <c r="L557" s="572"/>
      <c r="M557" s="572"/>
      <c r="N557" s="572"/>
      <c r="O557" s="572"/>
      <c r="P557" s="572"/>
      <c r="Q557" s="572"/>
      <c r="R557" s="572"/>
      <c r="S557" s="572"/>
      <c r="T557" s="572"/>
      <c r="U557" s="572"/>
      <c r="V557" s="572"/>
      <c r="W557" s="572"/>
      <c r="X557" s="572"/>
      <c r="Y557" s="572"/>
      <c r="Z557" s="572"/>
      <c r="AA557" s="572"/>
      <c r="AB557" s="572"/>
      <c r="AC557" s="572"/>
      <c r="AD557" s="572"/>
      <c r="AE557" s="572"/>
      <c r="AF557" s="572"/>
      <c r="AG557" s="572"/>
      <c r="AH557" s="572"/>
      <c r="AI557" s="572"/>
      <c r="AJ557" s="572"/>
      <c r="AK557" s="572"/>
      <c r="AL557" s="572"/>
      <c r="AM557" s="572"/>
      <c r="AN557" s="572"/>
      <c r="AO557" s="572"/>
      <c r="AP557" s="572"/>
      <c r="AQ557" s="572"/>
      <c r="AR557" s="572"/>
      <c r="AS557" s="572"/>
      <c r="AT557" s="572"/>
      <c r="AU557" s="572"/>
    </row>
    <row r="558" spans="1:47" ht="15.75" customHeight="1">
      <c r="A558" s="573">
        <v>44455</v>
      </c>
      <c r="B558" s="578" t="s">
        <v>6561</v>
      </c>
      <c r="C558" s="563" t="s">
        <v>3785</v>
      </c>
      <c r="D558" s="563" t="s">
        <v>3110</v>
      </c>
      <c r="E558" s="575">
        <v>0</v>
      </c>
      <c r="F558" s="563" t="s">
        <v>4781</v>
      </c>
      <c r="G558" s="563" t="s">
        <v>19</v>
      </c>
      <c r="H558" s="563" t="s">
        <v>20</v>
      </c>
      <c r="I558" s="563" t="s">
        <v>3793</v>
      </c>
      <c r="J558" s="573">
        <v>44384</v>
      </c>
      <c r="K558" s="579" t="s">
        <v>3802</v>
      </c>
      <c r="L558" s="572"/>
      <c r="M558" s="572"/>
      <c r="N558" s="572"/>
      <c r="O558" s="572"/>
      <c r="P558" s="572"/>
      <c r="Q558" s="572"/>
      <c r="R558" s="572"/>
      <c r="S558" s="572"/>
      <c r="T558" s="572"/>
      <c r="U558" s="572"/>
      <c r="V558" s="572"/>
      <c r="W558" s="572"/>
      <c r="X558" s="572"/>
      <c r="Y558" s="572"/>
      <c r="Z558" s="572"/>
      <c r="AA558" s="572"/>
      <c r="AB558" s="572"/>
      <c r="AC558" s="572"/>
      <c r="AD558" s="572"/>
      <c r="AE558" s="572"/>
      <c r="AF558" s="572"/>
      <c r="AG558" s="572"/>
      <c r="AH558" s="572"/>
      <c r="AI558" s="572"/>
      <c r="AJ558" s="572"/>
      <c r="AK558" s="572"/>
      <c r="AL558" s="572"/>
      <c r="AM558" s="572"/>
      <c r="AN558" s="572"/>
      <c r="AO558" s="572"/>
      <c r="AP558" s="572"/>
      <c r="AQ558" s="572"/>
      <c r="AR558" s="572"/>
      <c r="AS558" s="572"/>
      <c r="AT558" s="572"/>
      <c r="AU558" s="572"/>
    </row>
    <row r="559" spans="1:47" ht="15.75" customHeight="1">
      <c r="A559" s="577">
        <v>44456</v>
      </c>
      <c r="B559" s="578" t="s">
        <v>6347</v>
      </c>
      <c r="C559" s="405" t="s">
        <v>2921</v>
      </c>
      <c r="D559" s="563" t="s">
        <v>6341</v>
      </c>
      <c r="E559" s="602">
        <v>7500</v>
      </c>
      <c r="F559" s="563" t="s">
        <v>3191</v>
      </c>
      <c r="G559" s="573" t="s">
        <v>2923</v>
      </c>
      <c r="H559" s="573" t="s">
        <v>20</v>
      </c>
      <c r="I559" s="573" t="s">
        <v>2924</v>
      </c>
      <c r="J559" s="573">
        <v>43703</v>
      </c>
      <c r="K559" s="576" t="s">
        <v>4188</v>
      </c>
      <c r="L559" s="572"/>
      <c r="M559" s="572"/>
      <c r="N559" s="572"/>
      <c r="O559" s="572"/>
      <c r="P559" s="572"/>
      <c r="Q559" s="572"/>
      <c r="R559" s="572"/>
      <c r="S559" s="572"/>
      <c r="T559" s="572"/>
      <c r="U559" s="572"/>
      <c r="V559" s="572"/>
      <c r="W559" s="572"/>
      <c r="X559" s="572"/>
      <c r="Y559" s="572"/>
      <c r="Z559" s="572"/>
      <c r="AA559" s="572"/>
      <c r="AB559" s="572"/>
      <c r="AC559" s="572"/>
      <c r="AD559" s="572"/>
      <c r="AE559" s="572"/>
      <c r="AF559" s="572"/>
      <c r="AG559" s="572"/>
      <c r="AH559" s="572"/>
      <c r="AI559" s="572"/>
      <c r="AJ559" s="572"/>
      <c r="AK559" s="572"/>
      <c r="AL559" s="572"/>
      <c r="AM559" s="572"/>
      <c r="AN559" s="572"/>
      <c r="AO559" s="572"/>
      <c r="AP559" s="572"/>
      <c r="AQ559" s="572"/>
      <c r="AR559" s="572"/>
      <c r="AS559" s="572"/>
      <c r="AT559" s="572"/>
      <c r="AU559" s="572"/>
    </row>
    <row r="560" spans="1:47" ht="15.75" customHeight="1">
      <c r="A560" s="573">
        <v>44456</v>
      </c>
      <c r="B560" s="574" t="s">
        <v>6562</v>
      </c>
      <c r="C560" s="563" t="s">
        <v>3785</v>
      </c>
      <c r="D560" s="563" t="s">
        <v>3110</v>
      </c>
      <c r="E560" s="575">
        <v>0</v>
      </c>
      <c r="F560" s="563" t="s">
        <v>3792</v>
      </c>
      <c r="G560" s="563" t="s">
        <v>19</v>
      </c>
      <c r="H560" s="563" t="s">
        <v>20</v>
      </c>
      <c r="I560" s="563" t="s">
        <v>3793</v>
      </c>
      <c r="J560" s="573">
        <v>44186</v>
      </c>
      <c r="K560" s="579" t="s">
        <v>3795</v>
      </c>
      <c r="L560" s="572"/>
      <c r="M560" s="572"/>
      <c r="N560" s="572"/>
      <c r="O560" s="572"/>
      <c r="P560" s="572"/>
      <c r="Q560" s="572"/>
      <c r="R560" s="572"/>
      <c r="S560" s="572"/>
      <c r="T560" s="572"/>
      <c r="U560" s="572"/>
      <c r="V560" s="572"/>
      <c r="W560" s="572"/>
      <c r="X560" s="572"/>
      <c r="Y560" s="572"/>
      <c r="Z560" s="572"/>
      <c r="AA560" s="572"/>
      <c r="AB560" s="572"/>
      <c r="AC560" s="572"/>
      <c r="AD560" s="572"/>
      <c r="AE560" s="572"/>
      <c r="AF560" s="572"/>
      <c r="AG560" s="572"/>
      <c r="AH560" s="572"/>
      <c r="AI560" s="572"/>
      <c r="AJ560" s="572"/>
      <c r="AK560" s="572"/>
      <c r="AL560" s="572"/>
      <c r="AM560" s="572"/>
      <c r="AN560" s="572"/>
      <c r="AO560" s="572"/>
      <c r="AP560" s="572"/>
      <c r="AQ560" s="572"/>
      <c r="AR560" s="572"/>
      <c r="AS560" s="572"/>
      <c r="AT560" s="572"/>
      <c r="AU560" s="572"/>
    </row>
    <row r="561" spans="1:47" ht="15.75" customHeight="1">
      <c r="A561" s="573">
        <v>44456</v>
      </c>
      <c r="B561" s="574" t="s">
        <v>6563</v>
      </c>
      <c r="C561" s="563" t="s">
        <v>3785</v>
      </c>
      <c r="D561" s="563" t="s">
        <v>3110</v>
      </c>
      <c r="E561" s="575">
        <v>0</v>
      </c>
      <c r="F561" s="563" t="s">
        <v>4612</v>
      </c>
      <c r="G561" s="563" t="s">
        <v>19</v>
      </c>
      <c r="H561" s="563" t="s">
        <v>20</v>
      </c>
      <c r="I561" s="563" t="s">
        <v>3793</v>
      </c>
      <c r="J561" s="573">
        <v>44456</v>
      </c>
      <c r="K561" s="579" t="s">
        <v>3842</v>
      </c>
      <c r="L561" s="572"/>
      <c r="M561" s="572"/>
      <c r="N561" s="572"/>
      <c r="O561" s="572"/>
      <c r="P561" s="572"/>
      <c r="Q561" s="572"/>
      <c r="R561" s="572"/>
      <c r="S561" s="572"/>
      <c r="T561" s="572"/>
      <c r="U561" s="572"/>
      <c r="V561" s="572"/>
      <c r="W561" s="572"/>
      <c r="X561" s="572"/>
      <c r="Y561" s="572"/>
      <c r="Z561" s="572"/>
      <c r="AA561" s="572"/>
      <c r="AB561" s="572"/>
      <c r="AC561" s="572"/>
      <c r="AD561" s="572"/>
      <c r="AE561" s="572"/>
      <c r="AF561" s="572"/>
      <c r="AG561" s="572"/>
      <c r="AH561" s="572"/>
      <c r="AI561" s="572"/>
      <c r="AJ561" s="572"/>
      <c r="AK561" s="572"/>
      <c r="AL561" s="572"/>
      <c r="AM561" s="572"/>
      <c r="AN561" s="572"/>
      <c r="AO561" s="572"/>
      <c r="AP561" s="572"/>
      <c r="AQ561" s="572"/>
      <c r="AR561" s="572"/>
      <c r="AS561" s="572"/>
      <c r="AT561" s="572"/>
      <c r="AU561" s="572"/>
    </row>
    <row r="562" spans="1:47" ht="15.75" customHeight="1">
      <c r="A562" s="577">
        <v>44459</v>
      </c>
      <c r="B562" s="578" t="s">
        <v>6493</v>
      </c>
      <c r="C562" s="405" t="s">
        <v>2921</v>
      </c>
      <c r="D562" s="563" t="s">
        <v>6341</v>
      </c>
      <c r="E562" s="587">
        <v>159337.69</v>
      </c>
      <c r="F562" s="563" t="s">
        <v>1389</v>
      </c>
      <c r="G562" s="573" t="s">
        <v>19</v>
      </c>
      <c r="H562" s="573" t="s">
        <v>34</v>
      </c>
      <c r="I562" s="573" t="s">
        <v>35</v>
      </c>
      <c r="J562" s="573">
        <v>44280</v>
      </c>
      <c r="K562" s="576" t="s">
        <v>3802</v>
      </c>
      <c r="L562" s="572"/>
      <c r="M562" s="572"/>
      <c r="N562" s="572"/>
      <c r="O562" s="572"/>
      <c r="P562" s="572"/>
      <c r="Q562" s="572"/>
      <c r="R562" s="572"/>
      <c r="S562" s="572"/>
      <c r="T562" s="572"/>
      <c r="U562" s="572"/>
      <c r="V562" s="572"/>
      <c r="W562" s="572"/>
      <c r="X562" s="572"/>
      <c r="Y562" s="572"/>
      <c r="Z562" s="572"/>
      <c r="AA562" s="572"/>
      <c r="AB562" s="572"/>
      <c r="AC562" s="572"/>
      <c r="AD562" s="572"/>
      <c r="AE562" s="572"/>
      <c r="AF562" s="572"/>
      <c r="AG562" s="572"/>
      <c r="AH562" s="572"/>
      <c r="AI562" s="572"/>
      <c r="AJ562" s="572"/>
      <c r="AK562" s="572"/>
      <c r="AL562" s="572"/>
      <c r="AM562" s="572"/>
      <c r="AN562" s="572"/>
      <c r="AO562" s="572"/>
      <c r="AP562" s="572"/>
      <c r="AQ562" s="572"/>
      <c r="AR562" s="572"/>
      <c r="AS562" s="572"/>
      <c r="AT562" s="572"/>
      <c r="AU562" s="572"/>
    </row>
    <row r="563" spans="1:47" ht="15.75" customHeight="1">
      <c r="A563" s="577">
        <v>44459</v>
      </c>
      <c r="B563" s="578" t="s">
        <v>6564</v>
      </c>
      <c r="C563" s="405" t="s">
        <v>2921</v>
      </c>
      <c r="D563" s="563" t="s">
        <v>6341</v>
      </c>
      <c r="E563" s="602">
        <v>20000</v>
      </c>
      <c r="F563" s="563" t="s">
        <v>3186</v>
      </c>
      <c r="G563" s="573" t="s">
        <v>19</v>
      </c>
      <c r="H563" s="573" t="s">
        <v>34</v>
      </c>
      <c r="I563" s="573" t="s">
        <v>262</v>
      </c>
      <c r="J563" s="573">
        <v>44319</v>
      </c>
      <c r="K563" s="576" t="s">
        <v>3789</v>
      </c>
      <c r="L563" s="572"/>
      <c r="M563" s="572"/>
      <c r="N563" s="572"/>
      <c r="O563" s="572"/>
      <c r="P563" s="572"/>
      <c r="Q563" s="572"/>
      <c r="R563" s="572"/>
      <c r="S563" s="572"/>
      <c r="T563" s="572"/>
      <c r="U563" s="572"/>
      <c r="V563" s="572"/>
      <c r="W563" s="572"/>
      <c r="X563" s="572"/>
      <c r="Y563" s="572"/>
      <c r="Z563" s="572"/>
      <c r="AA563" s="572"/>
      <c r="AB563" s="572"/>
      <c r="AC563" s="572"/>
      <c r="AD563" s="572"/>
      <c r="AE563" s="572"/>
      <c r="AF563" s="572"/>
      <c r="AG563" s="572"/>
      <c r="AH563" s="572"/>
      <c r="AI563" s="572"/>
      <c r="AJ563" s="572"/>
      <c r="AK563" s="572"/>
      <c r="AL563" s="572"/>
      <c r="AM563" s="572"/>
      <c r="AN563" s="572"/>
      <c r="AO563" s="572"/>
      <c r="AP563" s="572"/>
      <c r="AQ563" s="572"/>
      <c r="AR563" s="572"/>
      <c r="AS563" s="572"/>
      <c r="AT563" s="572"/>
      <c r="AU563" s="572"/>
    </row>
    <row r="564" spans="1:47" ht="15.75" customHeight="1">
      <c r="A564" s="577">
        <v>44459</v>
      </c>
      <c r="B564" s="578" t="s">
        <v>6478</v>
      </c>
      <c r="C564" s="405" t="s">
        <v>2921</v>
      </c>
      <c r="D564" s="563" t="s">
        <v>6341</v>
      </c>
      <c r="E564" s="602">
        <v>271802.71999999997</v>
      </c>
      <c r="F564" s="563" t="s">
        <v>3080</v>
      </c>
      <c r="G564" s="573" t="s">
        <v>19</v>
      </c>
      <c r="H564" s="573" t="s">
        <v>34</v>
      </c>
      <c r="I564" s="573" t="s">
        <v>35</v>
      </c>
      <c r="J564" s="573">
        <v>44328</v>
      </c>
      <c r="K564" s="576" t="s">
        <v>3795</v>
      </c>
      <c r="L564" s="572"/>
      <c r="M564" s="572"/>
      <c r="N564" s="572"/>
      <c r="O564" s="572"/>
      <c r="P564" s="572"/>
      <c r="Q564" s="572"/>
      <c r="R564" s="572"/>
      <c r="S564" s="572"/>
      <c r="T564" s="572"/>
      <c r="U564" s="572"/>
      <c r="V564" s="572"/>
      <c r="W564" s="572"/>
      <c r="X564" s="572"/>
      <c r="Y564" s="572"/>
      <c r="Z564" s="572"/>
      <c r="AA564" s="572"/>
      <c r="AB564" s="572"/>
      <c r="AC564" s="572"/>
      <c r="AD564" s="572"/>
      <c r="AE564" s="572"/>
      <c r="AF564" s="572"/>
      <c r="AG564" s="572"/>
      <c r="AH564" s="572"/>
      <c r="AI564" s="572"/>
      <c r="AJ564" s="572"/>
      <c r="AK564" s="572"/>
      <c r="AL564" s="572"/>
      <c r="AM564" s="572"/>
      <c r="AN564" s="572"/>
      <c r="AO564" s="572"/>
      <c r="AP564" s="572"/>
      <c r="AQ564" s="572"/>
      <c r="AR564" s="572"/>
      <c r="AS564" s="572"/>
      <c r="AT564" s="572"/>
      <c r="AU564" s="572"/>
    </row>
    <row r="565" spans="1:47" ht="15.75" customHeight="1">
      <c r="A565" s="573">
        <v>44459</v>
      </c>
      <c r="B565" s="578" t="s">
        <v>6513</v>
      </c>
      <c r="C565" s="563" t="s">
        <v>3785</v>
      </c>
      <c r="D565" s="563" t="s">
        <v>3110</v>
      </c>
      <c r="E565" s="575">
        <v>0</v>
      </c>
      <c r="F565" s="563" t="s">
        <v>4351</v>
      </c>
      <c r="G565" s="563" t="s">
        <v>19</v>
      </c>
      <c r="H565" s="563" t="s">
        <v>20</v>
      </c>
      <c r="I565" s="563" t="s">
        <v>3683</v>
      </c>
      <c r="J565" s="573"/>
      <c r="K565" s="579" t="s">
        <v>3809</v>
      </c>
      <c r="L565" s="572"/>
      <c r="M565" s="572"/>
      <c r="N565" s="572"/>
      <c r="O565" s="572"/>
      <c r="P565" s="572"/>
      <c r="Q565" s="572"/>
      <c r="R565" s="572"/>
      <c r="S565" s="572"/>
      <c r="T565" s="572"/>
      <c r="U565" s="572"/>
      <c r="V565" s="572"/>
      <c r="W565" s="572"/>
      <c r="X565" s="572"/>
      <c r="Y565" s="572"/>
      <c r="Z565" s="572"/>
      <c r="AA565" s="572"/>
      <c r="AB565" s="572"/>
      <c r="AC565" s="572"/>
      <c r="AD565" s="572"/>
      <c r="AE565" s="572"/>
      <c r="AF565" s="572"/>
      <c r="AG565" s="572"/>
      <c r="AH565" s="572"/>
      <c r="AI565" s="572"/>
      <c r="AJ565" s="572"/>
      <c r="AK565" s="572"/>
      <c r="AL565" s="572"/>
      <c r="AM565" s="572"/>
      <c r="AN565" s="572"/>
      <c r="AO565" s="572"/>
      <c r="AP565" s="572"/>
      <c r="AQ565" s="572"/>
      <c r="AR565" s="572"/>
      <c r="AS565" s="572"/>
      <c r="AT565" s="572"/>
      <c r="AU565" s="572"/>
    </row>
    <row r="566" spans="1:47" ht="15.75" customHeight="1">
      <c r="A566" s="577">
        <v>44460</v>
      </c>
      <c r="B566" s="578" t="s">
        <v>6551</v>
      </c>
      <c r="C566" s="405" t="s">
        <v>2921</v>
      </c>
      <c r="D566" s="563" t="s">
        <v>6341</v>
      </c>
      <c r="E566" s="602">
        <v>100000</v>
      </c>
      <c r="F566" s="563" t="s">
        <v>318</v>
      </c>
      <c r="G566" s="573" t="s">
        <v>19</v>
      </c>
      <c r="H566" s="573" t="s">
        <v>34</v>
      </c>
      <c r="I566" s="573" t="s">
        <v>35</v>
      </c>
      <c r="J566" s="573">
        <v>44266</v>
      </c>
      <c r="K566" s="576" t="s">
        <v>3789</v>
      </c>
      <c r="L566" s="572"/>
      <c r="M566" s="572"/>
      <c r="N566" s="572"/>
      <c r="O566" s="572"/>
      <c r="P566" s="572"/>
      <c r="Q566" s="572"/>
      <c r="R566" s="572"/>
      <c r="S566" s="572"/>
      <c r="T566" s="572"/>
      <c r="U566" s="572"/>
      <c r="V566" s="572"/>
      <c r="W566" s="572"/>
      <c r="X566" s="572"/>
      <c r="Y566" s="572"/>
      <c r="Z566" s="572"/>
      <c r="AA566" s="572"/>
      <c r="AB566" s="572"/>
      <c r="AC566" s="572"/>
      <c r="AD566" s="572"/>
      <c r="AE566" s="572"/>
      <c r="AF566" s="572"/>
      <c r="AG566" s="572"/>
      <c r="AH566" s="572"/>
      <c r="AI566" s="572"/>
      <c r="AJ566" s="572"/>
      <c r="AK566" s="572"/>
      <c r="AL566" s="572"/>
      <c r="AM566" s="572"/>
      <c r="AN566" s="572"/>
      <c r="AO566" s="572"/>
      <c r="AP566" s="572"/>
      <c r="AQ566" s="572"/>
      <c r="AR566" s="572"/>
      <c r="AS566" s="572"/>
      <c r="AT566" s="572"/>
      <c r="AU566" s="572"/>
    </row>
    <row r="567" spans="1:47" ht="15.75" customHeight="1">
      <c r="A567" s="577">
        <v>44460</v>
      </c>
      <c r="B567" s="574" t="s">
        <v>6565</v>
      </c>
      <c r="C567" s="405" t="s">
        <v>3785</v>
      </c>
      <c r="D567" s="563" t="s">
        <v>928</v>
      </c>
      <c r="E567" s="575">
        <v>157308.25</v>
      </c>
      <c r="F567" s="563" t="s">
        <v>5077</v>
      </c>
      <c r="G567" s="563" t="s">
        <v>2923</v>
      </c>
      <c r="H567" s="563" t="s">
        <v>20</v>
      </c>
      <c r="I567" s="563" t="s">
        <v>2923</v>
      </c>
      <c r="J567" s="573">
        <v>44250</v>
      </c>
      <c r="K567" s="579" t="s">
        <v>3795</v>
      </c>
      <c r="L567" s="572"/>
      <c r="M567" s="572"/>
      <c r="N567" s="572"/>
      <c r="O567" s="572"/>
      <c r="P567" s="572"/>
      <c r="Q567" s="572"/>
      <c r="R567" s="572"/>
      <c r="S567" s="572"/>
      <c r="T567" s="572"/>
      <c r="U567" s="572"/>
      <c r="V567" s="572"/>
      <c r="W567" s="572"/>
      <c r="X567" s="572"/>
      <c r="Y567" s="572"/>
      <c r="Z567" s="572"/>
      <c r="AA567" s="572"/>
      <c r="AB567" s="572"/>
      <c r="AC567" s="572"/>
      <c r="AD567" s="572"/>
      <c r="AE567" s="572"/>
      <c r="AF567" s="572"/>
      <c r="AG567" s="572"/>
      <c r="AH567" s="572"/>
      <c r="AI567" s="572"/>
      <c r="AJ567" s="572"/>
      <c r="AK567" s="572"/>
      <c r="AL567" s="572"/>
      <c r="AM567" s="572"/>
      <c r="AN567" s="572"/>
      <c r="AO567" s="572"/>
      <c r="AP567" s="572"/>
      <c r="AQ567" s="572"/>
      <c r="AR567" s="572"/>
      <c r="AS567" s="572"/>
      <c r="AT567" s="572"/>
      <c r="AU567" s="572"/>
    </row>
    <row r="568" spans="1:47" ht="15.75" customHeight="1">
      <c r="A568" s="573">
        <v>44460</v>
      </c>
      <c r="B568" s="574" t="s">
        <v>6566</v>
      </c>
      <c r="C568" s="563" t="s">
        <v>3785</v>
      </c>
      <c r="D568" s="563" t="s">
        <v>3110</v>
      </c>
      <c r="E568" s="575">
        <v>0</v>
      </c>
      <c r="F568" s="563" t="s">
        <v>5363</v>
      </c>
      <c r="G568" s="563" t="s">
        <v>19</v>
      </c>
      <c r="H568" s="563" t="s">
        <v>20</v>
      </c>
      <c r="I568" s="563" t="s">
        <v>3793</v>
      </c>
      <c r="J568" s="573">
        <v>44088</v>
      </c>
      <c r="K568" s="579" t="s">
        <v>3809</v>
      </c>
      <c r="L568" s="572"/>
      <c r="M568" s="572"/>
      <c r="N568" s="572"/>
      <c r="O568" s="572"/>
      <c r="P568" s="572"/>
      <c r="Q568" s="572"/>
      <c r="R568" s="572"/>
      <c r="S568" s="572"/>
      <c r="T568" s="572"/>
      <c r="U568" s="572"/>
      <c r="V568" s="572"/>
      <c r="W568" s="572"/>
      <c r="X568" s="572"/>
      <c r="Y568" s="572"/>
      <c r="Z568" s="572"/>
      <c r="AA568" s="572"/>
      <c r="AB568" s="572"/>
      <c r="AC568" s="572"/>
      <c r="AD568" s="572"/>
      <c r="AE568" s="572"/>
      <c r="AF568" s="572"/>
      <c r="AG568" s="572"/>
      <c r="AH568" s="572"/>
      <c r="AI568" s="572"/>
      <c r="AJ568" s="572"/>
      <c r="AK568" s="572"/>
      <c r="AL568" s="572"/>
      <c r="AM568" s="572"/>
      <c r="AN568" s="572"/>
      <c r="AO568" s="572"/>
      <c r="AP568" s="572"/>
      <c r="AQ568" s="572"/>
      <c r="AR568" s="572"/>
      <c r="AS568" s="572"/>
      <c r="AT568" s="572"/>
      <c r="AU568" s="572"/>
    </row>
    <row r="569" spans="1:47" ht="15.75" customHeight="1">
      <c r="A569" s="577">
        <v>44461</v>
      </c>
      <c r="B569" s="578" t="s">
        <v>3623</v>
      </c>
      <c r="C569" s="405" t="s">
        <v>3607</v>
      </c>
      <c r="D569" s="563" t="s">
        <v>6341</v>
      </c>
      <c r="E569" s="602">
        <v>50000</v>
      </c>
      <c r="F569" s="563" t="s">
        <v>510</v>
      </c>
      <c r="G569" s="573" t="s">
        <v>19</v>
      </c>
      <c r="H569" s="573" t="s">
        <v>20</v>
      </c>
      <c r="I569" s="573" t="s">
        <v>3072</v>
      </c>
      <c r="J569" s="573">
        <v>43934</v>
      </c>
      <c r="K569" s="576" t="s">
        <v>3789</v>
      </c>
      <c r="L569" s="572"/>
      <c r="M569" s="572"/>
      <c r="N569" s="572"/>
      <c r="O569" s="572"/>
      <c r="P569" s="572"/>
      <c r="Q569" s="572"/>
      <c r="R569" s="572"/>
      <c r="S569" s="572"/>
      <c r="T569" s="572"/>
      <c r="U569" s="572"/>
      <c r="V569" s="572"/>
      <c r="W569" s="572"/>
      <c r="X569" s="572"/>
      <c r="Y569" s="572"/>
      <c r="Z569" s="572"/>
      <c r="AA569" s="572"/>
      <c r="AB569" s="572"/>
      <c r="AC569" s="572"/>
      <c r="AD569" s="572"/>
      <c r="AE569" s="572"/>
      <c r="AF569" s="572"/>
      <c r="AG569" s="572"/>
      <c r="AH569" s="572"/>
      <c r="AI569" s="572"/>
      <c r="AJ569" s="572"/>
      <c r="AK569" s="572"/>
      <c r="AL569" s="572"/>
      <c r="AM569" s="572"/>
      <c r="AN569" s="572"/>
      <c r="AO569" s="572"/>
      <c r="AP569" s="572"/>
      <c r="AQ569" s="572"/>
      <c r="AR569" s="572"/>
      <c r="AS569" s="572"/>
      <c r="AT569" s="572"/>
      <c r="AU569" s="572"/>
    </row>
    <row r="570" spans="1:47" ht="15.75" customHeight="1">
      <c r="A570" s="577">
        <v>44461</v>
      </c>
      <c r="B570" s="578" t="s">
        <v>6567</v>
      </c>
      <c r="C570" s="405" t="s">
        <v>2921</v>
      </c>
      <c r="D570" s="563" t="s">
        <v>6341</v>
      </c>
      <c r="E570" s="602">
        <v>30000</v>
      </c>
      <c r="F570" s="563" t="s">
        <v>3231</v>
      </c>
      <c r="G570" s="573" t="s">
        <v>19</v>
      </c>
      <c r="H570" s="573" t="s">
        <v>34</v>
      </c>
      <c r="I570" s="573" t="s">
        <v>35</v>
      </c>
      <c r="J570" s="573">
        <v>44319</v>
      </c>
      <c r="K570" s="576" t="s">
        <v>3795</v>
      </c>
      <c r="L570" s="572"/>
      <c r="M570" s="572"/>
      <c r="N570" s="572"/>
      <c r="O570" s="572"/>
      <c r="P570" s="572"/>
      <c r="Q570" s="572"/>
      <c r="R570" s="572"/>
      <c r="S570" s="572"/>
      <c r="T570" s="572"/>
      <c r="U570" s="572"/>
      <c r="V570" s="572"/>
      <c r="W570" s="572"/>
      <c r="X570" s="572"/>
      <c r="Y570" s="572"/>
      <c r="Z570" s="572"/>
      <c r="AA570" s="572"/>
      <c r="AB570" s="572"/>
      <c r="AC570" s="572"/>
      <c r="AD570" s="572"/>
      <c r="AE570" s="572"/>
      <c r="AF570" s="572"/>
      <c r="AG570" s="572"/>
      <c r="AH570" s="572"/>
      <c r="AI570" s="572"/>
      <c r="AJ570" s="572"/>
      <c r="AK570" s="572"/>
      <c r="AL570" s="572"/>
      <c r="AM570" s="572"/>
      <c r="AN570" s="572"/>
      <c r="AO570" s="572"/>
      <c r="AP570" s="572"/>
      <c r="AQ570" s="572"/>
      <c r="AR570" s="572"/>
      <c r="AS570" s="572"/>
      <c r="AT570" s="572"/>
      <c r="AU570" s="572"/>
    </row>
    <row r="571" spans="1:47" ht="15.75" customHeight="1">
      <c r="A571" s="577">
        <v>44462</v>
      </c>
      <c r="B571" s="574" t="s">
        <v>6442</v>
      </c>
      <c r="C571" s="405" t="s">
        <v>3785</v>
      </c>
      <c r="D571" s="563" t="s">
        <v>6341</v>
      </c>
      <c r="E571" s="602">
        <v>20000</v>
      </c>
      <c r="F571" s="563" t="s">
        <v>5087</v>
      </c>
      <c r="G571" s="563" t="s">
        <v>64</v>
      </c>
      <c r="H571" s="563" t="s">
        <v>20</v>
      </c>
      <c r="I571" s="563" t="s">
        <v>4472</v>
      </c>
      <c r="J571" s="573">
        <v>44180</v>
      </c>
      <c r="K571" s="579" t="s">
        <v>3795</v>
      </c>
      <c r="L571" s="572"/>
      <c r="M571" s="572"/>
      <c r="N571" s="572"/>
      <c r="O571" s="572"/>
      <c r="P571" s="572"/>
      <c r="Q571" s="572"/>
      <c r="R571" s="572"/>
      <c r="S571" s="572"/>
      <c r="T571" s="572"/>
      <c r="U571" s="572"/>
      <c r="V571" s="572"/>
      <c r="W571" s="572"/>
      <c r="X571" s="572"/>
      <c r="Y571" s="572"/>
      <c r="Z571" s="572"/>
      <c r="AA571" s="572"/>
      <c r="AB571" s="572"/>
      <c r="AC571" s="572"/>
      <c r="AD571" s="572"/>
      <c r="AE571" s="572"/>
      <c r="AF571" s="572"/>
      <c r="AG571" s="572"/>
      <c r="AH571" s="572"/>
      <c r="AI571" s="572"/>
      <c r="AJ571" s="572"/>
      <c r="AK571" s="572"/>
      <c r="AL571" s="572"/>
      <c r="AM571" s="572"/>
      <c r="AN571" s="572"/>
      <c r="AO571" s="572"/>
      <c r="AP571" s="572"/>
      <c r="AQ571" s="572"/>
      <c r="AR571" s="572"/>
      <c r="AS571" s="572"/>
      <c r="AT571" s="572"/>
      <c r="AU571" s="572"/>
    </row>
    <row r="572" spans="1:47" ht="15.75" customHeight="1">
      <c r="A572" s="577">
        <v>44462</v>
      </c>
      <c r="B572" s="574" t="s">
        <v>6568</v>
      </c>
      <c r="C572" s="405" t="s">
        <v>2921</v>
      </c>
      <c r="D572" s="563" t="s">
        <v>928</v>
      </c>
      <c r="E572" s="602">
        <v>1421504</v>
      </c>
      <c r="F572" s="563" t="s">
        <v>3005</v>
      </c>
      <c r="G572" s="573" t="s">
        <v>19</v>
      </c>
      <c r="H572" s="573" t="s">
        <v>34</v>
      </c>
      <c r="I572" s="573" t="s">
        <v>35</v>
      </c>
      <c r="J572" s="573">
        <v>44280</v>
      </c>
      <c r="K572" s="576" t="s">
        <v>3809</v>
      </c>
      <c r="L572" s="572"/>
      <c r="M572" s="572"/>
      <c r="N572" s="572"/>
      <c r="O572" s="572"/>
      <c r="P572" s="572"/>
      <c r="Q572" s="572"/>
      <c r="R572" s="572"/>
      <c r="S572" s="572"/>
      <c r="T572" s="572"/>
      <c r="U572" s="572"/>
      <c r="V572" s="572"/>
      <c r="W572" s="572"/>
      <c r="X572" s="572"/>
      <c r="Y572" s="572"/>
      <c r="Z572" s="572"/>
      <c r="AA572" s="572"/>
      <c r="AB572" s="572"/>
      <c r="AC572" s="572"/>
      <c r="AD572" s="572"/>
      <c r="AE572" s="572"/>
      <c r="AF572" s="572"/>
      <c r="AG572" s="572"/>
      <c r="AH572" s="572"/>
      <c r="AI572" s="572"/>
      <c r="AJ572" s="572"/>
      <c r="AK572" s="572"/>
      <c r="AL572" s="572"/>
      <c r="AM572" s="572"/>
      <c r="AN572" s="572"/>
      <c r="AO572" s="572"/>
      <c r="AP572" s="572"/>
      <c r="AQ572" s="572"/>
      <c r="AR572" s="572"/>
      <c r="AS572" s="572"/>
      <c r="AT572" s="572"/>
      <c r="AU572" s="572"/>
    </row>
    <row r="573" spans="1:47" ht="15.75" customHeight="1">
      <c r="A573" s="577">
        <v>44463</v>
      </c>
      <c r="B573" s="603" t="s">
        <v>6569</v>
      </c>
      <c r="C573" s="405" t="s">
        <v>2921</v>
      </c>
      <c r="D573" s="563" t="s">
        <v>6341</v>
      </c>
      <c r="E573" s="602">
        <v>8000</v>
      </c>
      <c r="F573" s="563" t="s">
        <v>3191</v>
      </c>
      <c r="G573" s="573" t="s">
        <v>2923</v>
      </c>
      <c r="H573" s="573" t="s">
        <v>20</v>
      </c>
      <c r="I573" s="573" t="s">
        <v>2924</v>
      </c>
      <c r="J573" s="573">
        <v>43704</v>
      </c>
      <c r="K573" s="576" t="s">
        <v>3805</v>
      </c>
      <c r="L573" s="572"/>
      <c r="M573" s="572"/>
      <c r="N573" s="572"/>
      <c r="O573" s="572"/>
      <c r="P573" s="572"/>
      <c r="Q573" s="572"/>
      <c r="R573" s="572"/>
      <c r="S573" s="572"/>
      <c r="T573" s="572"/>
      <c r="U573" s="572"/>
      <c r="V573" s="572"/>
      <c r="W573" s="572"/>
      <c r="X573" s="572"/>
      <c r="Y573" s="572"/>
      <c r="Z573" s="572"/>
      <c r="AA573" s="572"/>
      <c r="AB573" s="572"/>
      <c r="AC573" s="572"/>
      <c r="AD573" s="572"/>
      <c r="AE573" s="572"/>
      <c r="AF573" s="572"/>
      <c r="AG573" s="572"/>
      <c r="AH573" s="572"/>
      <c r="AI573" s="572"/>
      <c r="AJ573" s="572"/>
      <c r="AK573" s="572"/>
      <c r="AL573" s="572"/>
      <c r="AM573" s="572"/>
      <c r="AN573" s="572"/>
      <c r="AO573" s="572"/>
      <c r="AP573" s="572"/>
      <c r="AQ573" s="572"/>
      <c r="AR573" s="572"/>
      <c r="AS573" s="572"/>
      <c r="AT573" s="572"/>
      <c r="AU573" s="572"/>
    </row>
    <row r="574" spans="1:47" ht="15.75" customHeight="1">
      <c r="A574" s="577">
        <v>44463</v>
      </c>
      <c r="B574" s="603" t="s">
        <v>6473</v>
      </c>
      <c r="C574" s="405" t="s">
        <v>2921</v>
      </c>
      <c r="D574" s="563" t="s">
        <v>6341</v>
      </c>
      <c r="E574" s="602">
        <v>20000</v>
      </c>
      <c r="F574" s="563" t="s">
        <v>3332</v>
      </c>
      <c r="G574" s="573" t="s">
        <v>19</v>
      </c>
      <c r="H574" s="573" t="s">
        <v>34</v>
      </c>
      <c r="I574" s="573" t="s">
        <v>262</v>
      </c>
      <c r="J574" s="573">
        <v>44322</v>
      </c>
      <c r="K574" s="576" t="s">
        <v>3795</v>
      </c>
      <c r="L574" s="572"/>
      <c r="M574" s="572"/>
      <c r="N574" s="572"/>
      <c r="O574" s="572"/>
      <c r="P574" s="572"/>
      <c r="Q574" s="572"/>
      <c r="R574" s="572"/>
      <c r="S574" s="572"/>
      <c r="T574" s="572"/>
      <c r="U574" s="572"/>
      <c r="V574" s="572"/>
      <c r="W574" s="572"/>
      <c r="X574" s="572"/>
      <c r="Y574" s="572"/>
      <c r="Z574" s="572"/>
      <c r="AA574" s="572"/>
      <c r="AB574" s="572"/>
      <c r="AC574" s="572"/>
      <c r="AD574" s="572"/>
      <c r="AE574" s="572"/>
      <c r="AF574" s="572"/>
      <c r="AG574" s="572"/>
      <c r="AH574" s="572"/>
      <c r="AI574" s="572"/>
      <c r="AJ574" s="572"/>
      <c r="AK574" s="572"/>
      <c r="AL574" s="572"/>
      <c r="AM574" s="572"/>
      <c r="AN574" s="572"/>
      <c r="AO574" s="572"/>
      <c r="AP574" s="572"/>
      <c r="AQ574" s="572"/>
      <c r="AR574" s="572"/>
      <c r="AS574" s="572"/>
      <c r="AT574" s="572"/>
      <c r="AU574" s="572"/>
    </row>
    <row r="575" spans="1:47" ht="15.75" customHeight="1">
      <c r="A575" s="577">
        <v>44463</v>
      </c>
      <c r="B575" s="578" t="s">
        <v>6551</v>
      </c>
      <c r="C575" s="405" t="s">
        <v>2921</v>
      </c>
      <c r="D575" s="563" t="s">
        <v>6341</v>
      </c>
      <c r="E575" s="602">
        <v>300000</v>
      </c>
      <c r="F575" s="563" t="s">
        <v>318</v>
      </c>
      <c r="G575" s="573" t="s">
        <v>19</v>
      </c>
      <c r="H575" s="573" t="s">
        <v>34</v>
      </c>
      <c r="I575" s="573" t="s">
        <v>35</v>
      </c>
      <c r="J575" s="573">
        <v>44266</v>
      </c>
      <c r="K575" s="576" t="s">
        <v>3789</v>
      </c>
      <c r="L575" s="572"/>
      <c r="M575" s="572"/>
      <c r="N575" s="572"/>
      <c r="O575" s="572"/>
      <c r="P575" s="572"/>
      <c r="Q575" s="572"/>
      <c r="R575" s="572"/>
      <c r="S575" s="572"/>
      <c r="T575" s="572"/>
      <c r="U575" s="572"/>
      <c r="V575" s="572"/>
      <c r="W575" s="572"/>
      <c r="X575" s="572"/>
      <c r="Y575" s="572"/>
      <c r="Z575" s="572"/>
      <c r="AA575" s="572"/>
      <c r="AB575" s="572"/>
      <c r="AC575" s="572"/>
      <c r="AD575" s="572"/>
      <c r="AE575" s="572"/>
      <c r="AF575" s="572"/>
      <c r="AG575" s="572"/>
      <c r="AH575" s="572"/>
      <c r="AI575" s="572"/>
      <c r="AJ575" s="572"/>
      <c r="AK575" s="572"/>
      <c r="AL575" s="572"/>
      <c r="AM575" s="572"/>
      <c r="AN575" s="572"/>
      <c r="AO575" s="572"/>
      <c r="AP575" s="572"/>
      <c r="AQ575" s="572"/>
      <c r="AR575" s="572"/>
      <c r="AS575" s="572"/>
      <c r="AT575" s="572"/>
      <c r="AU575" s="572"/>
    </row>
    <row r="576" spans="1:47" ht="15.75" customHeight="1">
      <c r="A576" s="577">
        <v>44466</v>
      </c>
      <c r="B576" s="603" t="s">
        <v>6475</v>
      </c>
      <c r="C576" s="405" t="s">
        <v>2921</v>
      </c>
      <c r="D576" s="563" t="s">
        <v>6341</v>
      </c>
      <c r="E576" s="602">
        <v>10000</v>
      </c>
      <c r="F576" s="563" t="s">
        <v>3465</v>
      </c>
      <c r="G576" s="573" t="s">
        <v>19</v>
      </c>
      <c r="H576" s="573" t="s">
        <v>34</v>
      </c>
      <c r="I576" s="573" t="s">
        <v>262</v>
      </c>
      <c r="J576" s="573">
        <v>44319</v>
      </c>
      <c r="K576" s="576" t="s">
        <v>3795</v>
      </c>
      <c r="L576" s="572"/>
      <c r="M576" s="572"/>
      <c r="N576" s="572"/>
      <c r="O576" s="572"/>
      <c r="P576" s="572"/>
      <c r="Q576" s="572"/>
      <c r="R576" s="572"/>
      <c r="S576" s="572"/>
      <c r="T576" s="572"/>
      <c r="U576" s="572"/>
      <c r="V576" s="572"/>
      <c r="W576" s="572"/>
      <c r="X576" s="572"/>
      <c r="Y576" s="572"/>
      <c r="Z576" s="572"/>
      <c r="AA576" s="572"/>
      <c r="AB576" s="572"/>
      <c r="AC576" s="572"/>
      <c r="AD576" s="572"/>
      <c r="AE576" s="572"/>
      <c r="AF576" s="572"/>
      <c r="AG576" s="572"/>
      <c r="AH576" s="572"/>
      <c r="AI576" s="572"/>
      <c r="AJ576" s="572"/>
      <c r="AK576" s="572"/>
      <c r="AL576" s="572"/>
      <c r="AM576" s="572"/>
      <c r="AN576" s="572"/>
      <c r="AO576" s="572"/>
      <c r="AP576" s="572"/>
      <c r="AQ576" s="572"/>
      <c r="AR576" s="572"/>
      <c r="AS576" s="572"/>
      <c r="AT576" s="572"/>
      <c r="AU576" s="572"/>
    </row>
    <row r="577" spans="1:47" ht="15.75" customHeight="1">
      <c r="A577" s="577">
        <v>44466</v>
      </c>
      <c r="B577" s="574" t="s">
        <v>6349</v>
      </c>
      <c r="C577" s="405" t="s">
        <v>2921</v>
      </c>
      <c r="D577" s="563" t="s">
        <v>6341</v>
      </c>
      <c r="E577" s="602">
        <v>12000</v>
      </c>
      <c r="F577" s="563" t="s">
        <v>3228</v>
      </c>
      <c r="G577" s="573" t="s">
        <v>2923</v>
      </c>
      <c r="H577" s="573" t="s">
        <v>20</v>
      </c>
      <c r="I577" s="573" t="s">
        <v>2924</v>
      </c>
      <c r="J577" s="573">
        <v>43605</v>
      </c>
      <c r="K577" s="576" t="s">
        <v>3805</v>
      </c>
      <c r="L577" s="572"/>
      <c r="M577" s="572"/>
      <c r="N577" s="572"/>
      <c r="O577" s="572"/>
      <c r="P577" s="572"/>
      <c r="Q577" s="572"/>
      <c r="R577" s="572"/>
      <c r="S577" s="572"/>
      <c r="T577" s="572"/>
      <c r="U577" s="572"/>
      <c r="V577" s="572"/>
      <c r="W577" s="572"/>
      <c r="X577" s="572"/>
      <c r="Y577" s="572"/>
      <c r="Z577" s="572"/>
      <c r="AA577" s="572"/>
      <c r="AB577" s="572"/>
      <c r="AC577" s="572"/>
      <c r="AD577" s="572"/>
      <c r="AE577" s="572"/>
      <c r="AF577" s="572"/>
      <c r="AG577" s="572"/>
      <c r="AH577" s="572"/>
      <c r="AI577" s="572"/>
      <c r="AJ577" s="572"/>
      <c r="AK577" s="572"/>
      <c r="AL577" s="572"/>
      <c r="AM577" s="572"/>
      <c r="AN577" s="572"/>
      <c r="AO577" s="572"/>
      <c r="AP577" s="572"/>
      <c r="AQ577" s="572"/>
      <c r="AR577" s="572"/>
      <c r="AS577" s="572"/>
      <c r="AT577" s="572"/>
      <c r="AU577" s="572"/>
    </row>
    <row r="578" spans="1:47" ht="15.75" customHeight="1">
      <c r="A578" s="577">
        <v>44466</v>
      </c>
      <c r="B578" s="603" t="s">
        <v>6570</v>
      </c>
      <c r="C578" s="405" t="s">
        <v>2921</v>
      </c>
      <c r="D578" s="563" t="s">
        <v>6341</v>
      </c>
      <c r="E578" s="602">
        <v>100000</v>
      </c>
      <c r="F578" s="563" t="s">
        <v>837</v>
      </c>
      <c r="G578" s="573" t="s">
        <v>19</v>
      </c>
      <c r="H578" s="573" t="s">
        <v>34</v>
      </c>
      <c r="I578" s="573" t="s">
        <v>2971</v>
      </c>
      <c r="J578" s="573">
        <v>44299</v>
      </c>
      <c r="K578" s="576" t="s">
        <v>3795</v>
      </c>
      <c r="L578" s="572"/>
      <c r="M578" s="572"/>
      <c r="N578" s="572"/>
      <c r="O578" s="572"/>
      <c r="P578" s="572"/>
      <c r="Q578" s="572"/>
      <c r="R578" s="572"/>
      <c r="S578" s="572"/>
      <c r="T578" s="572"/>
      <c r="U578" s="572"/>
      <c r="V578" s="572"/>
      <c r="W578" s="572"/>
      <c r="X578" s="572"/>
      <c r="Y578" s="572"/>
      <c r="Z578" s="572"/>
      <c r="AA578" s="572"/>
      <c r="AB578" s="572"/>
      <c r="AC578" s="572"/>
      <c r="AD578" s="572"/>
      <c r="AE578" s="572"/>
      <c r="AF578" s="572"/>
      <c r="AG578" s="572"/>
      <c r="AH578" s="572"/>
      <c r="AI578" s="572"/>
      <c r="AJ578" s="572"/>
      <c r="AK578" s="572"/>
      <c r="AL578" s="572"/>
      <c r="AM578" s="572"/>
      <c r="AN578" s="572"/>
      <c r="AO578" s="572"/>
      <c r="AP578" s="572"/>
      <c r="AQ578" s="572"/>
      <c r="AR578" s="572"/>
      <c r="AS578" s="572"/>
      <c r="AT578" s="572"/>
      <c r="AU578" s="572"/>
    </row>
    <row r="579" spans="1:47" ht="15.75" customHeight="1">
      <c r="A579" s="573">
        <v>44467</v>
      </c>
      <c r="B579" s="578" t="s">
        <v>6571</v>
      </c>
      <c r="C579" s="563" t="s">
        <v>3785</v>
      </c>
      <c r="D579" s="563" t="s">
        <v>3110</v>
      </c>
      <c r="E579" s="575">
        <v>0</v>
      </c>
      <c r="F579" s="563" t="s">
        <v>4696</v>
      </c>
      <c r="G579" s="563" t="s">
        <v>64</v>
      </c>
      <c r="H579" s="563" t="s">
        <v>20</v>
      </c>
      <c r="I579" s="563" t="s">
        <v>6429</v>
      </c>
      <c r="J579" s="573">
        <v>44917</v>
      </c>
      <c r="K579" s="579" t="s">
        <v>3789</v>
      </c>
      <c r="L579" s="572"/>
      <c r="M579" s="572"/>
      <c r="N579" s="572"/>
      <c r="O579" s="572"/>
      <c r="P579" s="572"/>
      <c r="Q579" s="572"/>
      <c r="R579" s="572"/>
      <c r="S579" s="572"/>
      <c r="T579" s="572"/>
      <c r="U579" s="572"/>
      <c r="V579" s="572"/>
      <c r="W579" s="572"/>
      <c r="X579" s="572"/>
      <c r="Y579" s="572"/>
      <c r="Z579" s="572"/>
      <c r="AA579" s="572"/>
      <c r="AB579" s="572"/>
      <c r="AC579" s="572"/>
      <c r="AD579" s="572"/>
      <c r="AE579" s="572"/>
      <c r="AF579" s="572"/>
      <c r="AG579" s="572"/>
      <c r="AH579" s="572"/>
      <c r="AI579" s="572"/>
      <c r="AJ579" s="572"/>
      <c r="AK579" s="572"/>
      <c r="AL579" s="572"/>
      <c r="AM579" s="572"/>
      <c r="AN579" s="572"/>
      <c r="AO579" s="572"/>
      <c r="AP579" s="572"/>
      <c r="AQ579" s="572"/>
      <c r="AR579" s="572"/>
      <c r="AS579" s="572"/>
      <c r="AT579" s="572"/>
      <c r="AU579" s="572"/>
    </row>
    <row r="580" spans="1:47" ht="15.75" customHeight="1">
      <c r="A580" s="577">
        <v>44468</v>
      </c>
      <c r="B580" s="603" t="s">
        <v>6572</v>
      </c>
      <c r="C580" s="405" t="s">
        <v>2921</v>
      </c>
      <c r="D580" s="563" t="s">
        <v>6341</v>
      </c>
      <c r="E580" s="602" t="s">
        <v>6573</v>
      </c>
      <c r="F580" s="563" t="s">
        <v>3396</v>
      </c>
      <c r="G580" s="573" t="s">
        <v>19</v>
      </c>
      <c r="H580" s="573" t="s">
        <v>34</v>
      </c>
      <c r="I580" s="573" t="s">
        <v>262</v>
      </c>
      <c r="J580" s="573">
        <v>44391</v>
      </c>
      <c r="K580" s="576" t="s">
        <v>3795</v>
      </c>
      <c r="L580" s="572"/>
      <c r="M580" s="572"/>
      <c r="N580" s="572"/>
      <c r="O580" s="572"/>
      <c r="P580" s="572"/>
      <c r="Q580" s="572"/>
      <c r="R580" s="572"/>
      <c r="S580" s="572"/>
      <c r="T580" s="572"/>
      <c r="U580" s="572"/>
      <c r="V580" s="572"/>
      <c r="W580" s="572"/>
      <c r="X580" s="572"/>
      <c r="Y580" s="572"/>
      <c r="Z580" s="572"/>
      <c r="AA580" s="572"/>
      <c r="AB580" s="572"/>
      <c r="AC580" s="572"/>
      <c r="AD580" s="572"/>
      <c r="AE580" s="572"/>
      <c r="AF580" s="572"/>
      <c r="AG580" s="572"/>
      <c r="AH580" s="572"/>
      <c r="AI580" s="572"/>
      <c r="AJ580" s="572"/>
      <c r="AK580" s="572"/>
      <c r="AL580" s="572"/>
      <c r="AM580" s="572"/>
      <c r="AN580" s="572"/>
      <c r="AO580" s="572"/>
      <c r="AP580" s="572"/>
      <c r="AQ580" s="572"/>
      <c r="AR580" s="572"/>
      <c r="AS580" s="572"/>
      <c r="AT580" s="572"/>
      <c r="AU580" s="572"/>
    </row>
    <row r="581" spans="1:47" ht="15.75" customHeight="1">
      <c r="A581" s="577">
        <v>44468</v>
      </c>
      <c r="B581" s="603" t="s">
        <v>6485</v>
      </c>
      <c r="C581" s="405" t="s">
        <v>2921</v>
      </c>
      <c r="D581" s="563" t="s">
        <v>6341</v>
      </c>
      <c r="E581" s="602">
        <v>30000</v>
      </c>
      <c r="F581" s="563" t="s">
        <v>1323</v>
      </c>
      <c r="G581" s="573" t="s">
        <v>19</v>
      </c>
      <c r="H581" s="573" t="s">
        <v>34</v>
      </c>
      <c r="I581" s="573" t="s">
        <v>35</v>
      </c>
      <c r="J581" s="573">
        <v>44319</v>
      </c>
      <c r="K581" s="576" t="s">
        <v>3795</v>
      </c>
      <c r="L581" s="572"/>
      <c r="M581" s="572"/>
      <c r="N581" s="572"/>
      <c r="O581" s="572"/>
      <c r="P581" s="572"/>
      <c r="Q581" s="572"/>
      <c r="R581" s="572"/>
      <c r="S581" s="572"/>
      <c r="T581" s="572"/>
      <c r="U581" s="572"/>
      <c r="V581" s="572"/>
      <c r="W581" s="572"/>
      <c r="X581" s="572"/>
      <c r="Y581" s="572"/>
      <c r="Z581" s="572"/>
      <c r="AA581" s="572"/>
      <c r="AB581" s="572"/>
      <c r="AC581" s="572"/>
      <c r="AD581" s="572"/>
      <c r="AE581" s="572"/>
      <c r="AF581" s="572"/>
      <c r="AG581" s="572"/>
      <c r="AH581" s="572"/>
      <c r="AI581" s="572"/>
      <c r="AJ581" s="572"/>
      <c r="AK581" s="572"/>
      <c r="AL581" s="572"/>
      <c r="AM581" s="572"/>
      <c r="AN581" s="572"/>
      <c r="AO581" s="572"/>
      <c r="AP581" s="572"/>
      <c r="AQ581" s="572"/>
      <c r="AR581" s="572"/>
      <c r="AS581" s="572"/>
      <c r="AT581" s="572"/>
      <c r="AU581" s="572"/>
    </row>
    <row r="582" spans="1:47" ht="15.75" customHeight="1">
      <c r="A582" s="577">
        <v>44468</v>
      </c>
      <c r="B582" s="603" t="s">
        <v>6459</v>
      </c>
      <c r="C582" s="405" t="s">
        <v>2921</v>
      </c>
      <c r="D582" s="563" t="s">
        <v>6341</v>
      </c>
      <c r="E582" s="602">
        <v>100000</v>
      </c>
      <c r="F582" s="563" t="s">
        <v>3447</v>
      </c>
      <c r="G582" s="573" t="s">
        <v>19</v>
      </c>
      <c r="H582" s="573" t="s">
        <v>34</v>
      </c>
      <c r="I582" s="573" t="s">
        <v>262</v>
      </c>
      <c r="J582" s="573">
        <v>44279</v>
      </c>
      <c r="K582" s="576" t="s">
        <v>3795</v>
      </c>
      <c r="L582" s="572"/>
      <c r="M582" s="572"/>
      <c r="N582" s="572"/>
      <c r="O582" s="572"/>
      <c r="P582" s="572"/>
      <c r="Q582" s="572"/>
      <c r="R582" s="572"/>
      <c r="S582" s="572"/>
      <c r="T582" s="572"/>
      <c r="U582" s="572"/>
      <c r="V582" s="572"/>
      <c r="W582" s="572"/>
      <c r="X582" s="572"/>
      <c r="Y582" s="572"/>
      <c r="Z582" s="572"/>
      <c r="AA582" s="572"/>
      <c r="AB582" s="572"/>
      <c r="AC582" s="572"/>
      <c r="AD582" s="572"/>
      <c r="AE582" s="572"/>
      <c r="AF582" s="572"/>
      <c r="AG582" s="572"/>
      <c r="AH582" s="572"/>
      <c r="AI582" s="572"/>
      <c r="AJ582" s="572"/>
      <c r="AK582" s="572"/>
      <c r="AL582" s="572"/>
      <c r="AM582" s="572"/>
      <c r="AN582" s="572"/>
      <c r="AO582" s="572"/>
      <c r="AP582" s="572"/>
      <c r="AQ582" s="572"/>
      <c r="AR582" s="572"/>
      <c r="AS582" s="572"/>
      <c r="AT582" s="572"/>
      <c r="AU582" s="572"/>
    </row>
    <row r="583" spans="1:47" ht="15.75" customHeight="1">
      <c r="A583" s="577">
        <v>44468</v>
      </c>
      <c r="B583" s="603" t="s">
        <v>6574</v>
      </c>
      <c r="C583" s="405" t="s">
        <v>2921</v>
      </c>
      <c r="D583" s="563" t="s">
        <v>6341</v>
      </c>
      <c r="E583" s="602">
        <v>120000</v>
      </c>
      <c r="F583" s="563" t="s">
        <v>3334</v>
      </c>
      <c r="G583" s="573" t="s">
        <v>19</v>
      </c>
      <c r="H583" s="573" t="s">
        <v>34</v>
      </c>
      <c r="I583" s="573" t="s">
        <v>2971</v>
      </c>
      <c r="J583" s="573">
        <v>44279</v>
      </c>
      <c r="K583" s="576" t="s">
        <v>3789</v>
      </c>
      <c r="L583" s="572"/>
      <c r="M583" s="572"/>
      <c r="N583" s="572"/>
      <c r="O583" s="572"/>
      <c r="P583" s="572"/>
      <c r="Q583" s="572"/>
      <c r="R583" s="572"/>
      <c r="S583" s="572"/>
      <c r="T583" s="572"/>
      <c r="U583" s="572"/>
      <c r="V583" s="572"/>
      <c r="W583" s="572"/>
      <c r="X583" s="572"/>
      <c r="Y583" s="572"/>
      <c r="Z583" s="572"/>
      <c r="AA583" s="572"/>
      <c r="AB583" s="572"/>
      <c r="AC583" s="572"/>
      <c r="AD583" s="572"/>
      <c r="AE583" s="572"/>
      <c r="AF583" s="572"/>
      <c r="AG583" s="572"/>
      <c r="AH583" s="572"/>
      <c r="AI583" s="572"/>
      <c r="AJ583" s="572"/>
      <c r="AK583" s="572"/>
      <c r="AL583" s="572"/>
      <c r="AM583" s="572"/>
      <c r="AN583" s="572"/>
      <c r="AO583" s="572"/>
      <c r="AP583" s="572"/>
      <c r="AQ583" s="572"/>
      <c r="AR583" s="572"/>
      <c r="AS583" s="572"/>
      <c r="AT583" s="572"/>
      <c r="AU583" s="572"/>
    </row>
    <row r="584" spans="1:47" ht="15.75" customHeight="1">
      <c r="A584" s="577">
        <v>44469</v>
      </c>
      <c r="B584" s="574" t="s">
        <v>6575</v>
      </c>
      <c r="C584" s="405" t="s">
        <v>3785</v>
      </c>
      <c r="D584" s="563" t="s">
        <v>928</v>
      </c>
      <c r="E584" s="575">
        <v>456422.62</v>
      </c>
      <c r="F584" s="563" t="s">
        <v>4540</v>
      </c>
      <c r="G584" s="563" t="s">
        <v>64</v>
      </c>
      <c r="H584" s="563" t="s">
        <v>20</v>
      </c>
      <c r="I584" s="563" t="s">
        <v>73</v>
      </c>
      <c r="J584" s="573">
        <v>44130</v>
      </c>
      <c r="K584" s="579" t="s">
        <v>3795</v>
      </c>
      <c r="L584" s="572"/>
      <c r="M584" s="572"/>
      <c r="N584" s="572"/>
      <c r="O584" s="572"/>
      <c r="P584" s="572"/>
      <c r="Q584" s="572"/>
      <c r="R584" s="572"/>
      <c r="S584" s="572"/>
      <c r="T584" s="572"/>
      <c r="U584" s="572"/>
      <c r="V584" s="572"/>
      <c r="W584" s="572"/>
      <c r="X584" s="572"/>
      <c r="Y584" s="572"/>
      <c r="Z584" s="572"/>
      <c r="AA584" s="572"/>
      <c r="AB584" s="572"/>
      <c r="AC584" s="572"/>
      <c r="AD584" s="572"/>
      <c r="AE584" s="572"/>
      <c r="AF584" s="572"/>
      <c r="AG584" s="572"/>
      <c r="AH584" s="572"/>
      <c r="AI584" s="572"/>
      <c r="AJ584" s="572"/>
      <c r="AK584" s="572"/>
      <c r="AL584" s="572"/>
      <c r="AM584" s="572"/>
      <c r="AN584" s="572"/>
      <c r="AO584" s="572"/>
      <c r="AP584" s="572"/>
      <c r="AQ584" s="572"/>
      <c r="AR584" s="572"/>
      <c r="AS584" s="572"/>
      <c r="AT584" s="572"/>
      <c r="AU584" s="572"/>
    </row>
    <row r="585" spans="1:47" ht="15.75" customHeight="1">
      <c r="A585" s="577">
        <v>44469</v>
      </c>
      <c r="B585" s="603" t="s">
        <v>6504</v>
      </c>
      <c r="C585" s="405" t="s">
        <v>2921</v>
      </c>
      <c r="D585" s="563" t="s">
        <v>6341</v>
      </c>
      <c r="E585" s="602">
        <v>100000</v>
      </c>
      <c r="F585" s="563" t="s">
        <v>2933</v>
      </c>
      <c r="G585" s="573" t="s">
        <v>19</v>
      </c>
      <c r="H585" s="573" t="s">
        <v>34</v>
      </c>
      <c r="I585" s="573" t="s">
        <v>262</v>
      </c>
      <c r="J585" s="573">
        <v>44321</v>
      </c>
      <c r="K585" s="576" t="s">
        <v>3805</v>
      </c>
      <c r="L585" s="572"/>
      <c r="M585" s="572"/>
      <c r="N585" s="572"/>
      <c r="O585" s="572"/>
      <c r="P585" s="572"/>
      <c r="Q585" s="572"/>
      <c r="R585" s="572"/>
      <c r="S585" s="572"/>
      <c r="T585" s="572"/>
      <c r="U585" s="572"/>
      <c r="V585" s="572"/>
      <c r="W585" s="572"/>
      <c r="X585" s="572"/>
      <c r="Y585" s="572"/>
      <c r="Z585" s="572"/>
      <c r="AA585" s="572"/>
      <c r="AB585" s="572"/>
      <c r="AC585" s="572"/>
      <c r="AD585" s="572"/>
      <c r="AE585" s="572"/>
      <c r="AF585" s="572"/>
      <c r="AG585" s="572"/>
      <c r="AH585" s="572"/>
      <c r="AI585" s="572"/>
      <c r="AJ585" s="572"/>
      <c r="AK585" s="572"/>
      <c r="AL585" s="572"/>
      <c r="AM585" s="572"/>
      <c r="AN585" s="572"/>
      <c r="AO585" s="572"/>
      <c r="AP585" s="572"/>
      <c r="AQ585" s="572"/>
      <c r="AR585" s="572"/>
      <c r="AS585" s="572"/>
      <c r="AT585" s="572"/>
      <c r="AU585" s="572"/>
    </row>
    <row r="586" spans="1:47" ht="15.75" customHeight="1">
      <c r="A586" s="577">
        <v>44470</v>
      </c>
      <c r="B586" s="578" t="s">
        <v>6465</v>
      </c>
      <c r="C586" s="405" t="s">
        <v>2921</v>
      </c>
      <c r="D586" s="563" t="s">
        <v>6341</v>
      </c>
      <c r="E586" s="602">
        <v>14000</v>
      </c>
      <c r="F586" s="563" t="s">
        <v>2301</v>
      </c>
      <c r="G586" s="573" t="s">
        <v>19</v>
      </c>
      <c r="H586" s="573" t="s">
        <v>34</v>
      </c>
      <c r="I586" s="573" t="s">
        <v>35</v>
      </c>
      <c r="J586" s="573">
        <v>44280</v>
      </c>
      <c r="K586" s="576" t="s">
        <v>3795</v>
      </c>
      <c r="L586" s="572"/>
      <c r="M586" s="572"/>
      <c r="N586" s="572"/>
      <c r="O586" s="572"/>
      <c r="P586" s="572"/>
      <c r="Q586" s="572"/>
      <c r="R586" s="572"/>
      <c r="S586" s="572"/>
      <c r="T586" s="572"/>
      <c r="U586" s="572"/>
      <c r="V586" s="572"/>
      <c r="W586" s="572"/>
      <c r="X586" s="572"/>
      <c r="Y586" s="572"/>
      <c r="Z586" s="572"/>
      <c r="AA586" s="572"/>
      <c r="AB586" s="572"/>
      <c r="AC586" s="572"/>
      <c r="AD586" s="572"/>
      <c r="AE586" s="572"/>
      <c r="AF586" s="572"/>
      <c r="AG586" s="572"/>
      <c r="AH586" s="572"/>
      <c r="AI586" s="572"/>
      <c r="AJ586" s="572"/>
      <c r="AK586" s="572"/>
      <c r="AL586" s="572"/>
      <c r="AM586" s="572"/>
      <c r="AN586" s="572"/>
      <c r="AO586" s="572"/>
      <c r="AP586" s="572"/>
      <c r="AQ586" s="572"/>
      <c r="AR586" s="572"/>
      <c r="AS586" s="572"/>
      <c r="AT586" s="572"/>
      <c r="AU586" s="572"/>
    </row>
    <row r="587" spans="1:47" ht="15.75" customHeight="1">
      <c r="A587" s="577">
        <v>44470</v>
      </c>
      <c r="B587" s="603" t="s">
        <v>6474</v>
      </c>
      <c r="C587" s="405" t="s">
        <v>2921</v>
      </c>
      <c r="D587" s="563" t="s">
        <v>6341</v>
      </c>
      <c r="E587" s="602">
        <v>45000</v>
      </c>
      <c r="F587" s="563" t="s">
        <v>3238</v>
      </c>
      <c r="G587" s="573" t="s">
        <v>19</v>
      </c>
      <c r="H587" s="573" t="s">
        <v>34</v>
      </c>
      <c r="I587" s="573" t="s">
        <v>2971</v>
      </c>
      <c r="J587" s="573">
        <v>44266</v>
      </c>
      <c r="K587" s="576" t="s">
        <v>3805</v>
      </c>
      <c r="L587" s="572"/>
      <c r="M587" s="572"/>
      <c r="N587" s="572"/>
      <c r="O587" s="572"/>
      <c r="P587" s="572"/>
      <c r="Q587" s="572"/>
      <c r="R587" s="572"/>
      <c r="S587" s="572"/>
      <c r="T587" s="572"/>
      <c r="U587" s="572"/>
      <c r="V587" s="572"/>
      <c r="W587" s="572"/>
      <c r="X587" s="572"/>
      <c r="Y587" s="572"/>
      <c r="Z587" s="572"/>
      <c r="AA587" s="572"/>
      <c r="AB587" s="572"/>
      <c r="AC587" s="572"/>
      <c r="AD587" s="572"/>
      <c r="AE587" s="572"/>
      <c r="AF587" s="572"/>
      <c r="AG587" s="572"/>
      <c r="AH587" s="572"/>
      <c r="AI587" s="572"/>
      <c r="AJ587" s="572"/>
      <c r="AK587" s="572"/>
      <c r="AL587" s="572"/>
      <c r="AM587" s="572"/>
      <c r="AN587" s="572"/>
      <c r="AO587" s="572"/>
      <c r="AP587" s="572"/>
      <c r="AQ587" s="572"/>
      <c r="AR587" s="572"/>
      <c r="AS587" s="572"/>
      <c r="AT587" s="572"/>
      <c r="AU587" s="572"/>
    </row>
    <row r="588" spans="1:47" ht="15.75" customHeight="1">
      <c r="A588" s="577">
        <v>44470</v>
      </c>
      <c r="B588" s="603" t="s">
        <v>6479</v>
      </c>
      <c r="C588" s="405" t="s">
        <v>2921</v>
      </c>
      <c r="D588" s="563" t="s">
        <v>6341</v>
      </c>
      <c r="E588" s="602">
        <v>10000</v>
      </c>
      <c r="F588" s="563" t="s">
        <v>3033</v>
      </c>
      <c r="G588" s="573" t="s">
        <v>19</v>
      </c>
      <c r="H588" s="573" t="s">
        <v>34</v>
      </c>
      <c r="I588" s="573" t="s">
        <v>2971</v>
      </c>
      <c r="J588" s="573">
        <v>44260</v>
      </c>
      <c r="K588" s="576" t="s">
        <v>3795</v>
      </c>
      <c r="L588" s="572"/>
      <c r="M588" s="572"/>
      <c r="N588" s="572"/>
      <c r="O588" s="572"/>
      <c r="P588" s="572"/>
      <c r="Q588" s="572"/>
      <c r="R588" s="572"/>
      <c r="S588" s="572"/>
      <c r="T588" s="572"/>
      <c r="U588" s="572"/>
      <c r="V588" s="572"/>
      <c r="W588" s="572"/>
      <c r="X588" s="572"/>
      <c r="Y588" s="572"/>
      <c r="Z588" s="572"/>
      <c r="AA588" s="572"/>
      <c r="AB588" s="572"/>
      <c r="AC588" s="572"/>
      <c r="AD588" s="572"/>
      <c r="AE588" s="572"/>
      <c r="AF588" s="572"/>
      <c r="AG588" s="572"/>
      <c r="AH588" s="572"/>
      <c r="AI588" s="572"/>
      <c r="AJ588" s="572"/>
      <c r="AK588" s="572"/>
      <c r="AL588" s="572"/>
      <c r="AM588" s="572"/>
      <c r="AN588" s="572"/>
      <c r="AO588" s="572"/>
      <c r="AP588" s="572"/>
      <c r="AQ588" s="572"/>
      <c r="AR588" s="572"/>
      <c r="AS588" s="572"/>
      <c r="AT588" s="572"/>
      <c r="AU588" s="572"/>
    </row>
    <row r="589" spans="1:47" ht="15.75" customHeight="1">
      <c r="A589" s="577">
        <v>44470</v>
      </c>
      <c r="B589" s="603" t="s">
        <v>6576</v>
      </c>
      <c r="C589" s="405" t="s">
        <v>2921</v>
      </c>
      <c r="D589" s="563" t="s">
        <v>6341</v>
      </c>
      <c r="E589" s="602">
        <v>100000</v>
      </c>
      <c r="F589" s="563" t="s">
        <v>3085</v>
      </c>
      <c r="G589" s="573" t="s">
        <v>19</v>
      </c>
      <c r="H589" s="573" t="s">
        <v>34</v>
      </c>
      <c r="I589" s="573" t="s">
        <v>262</v>
      </c>
      <c r="J589" s="573">
        <v>44393</v>
      </c>
      <c r="K589" s="576" t="s">
        <v>4332</v>
      </c>
      <c r="L589" s="572"/>
      <c r="M589" s="572"/>
      <c r="N589" s="572"/>
      <c r="O589" s="572"/>
      <c r="P589" s="572"/>
      <c r="Q589" s="572"/>
      <c r="R589" s="572"/>
      <c r="S589" s="572"/>
      <c r="T589" s="572"/>
      <c r="U589" s="572"/>
      <c r="V589" s="572"/>
      <c r="W589" s="572"/>
      <c r="X589" s="572"/>
      <c r="Y589" s="572"/>
      <c r="Z589" s="572"/>
      <c r="AA589" s="572"/>
      <c r="AB589" s="572"/>
      <c r="AC589" s="572"/>
      <c r="AD589" s="572"/>
      <c r="AE589" s="572"/>
      <c r="AF589" s="572"/>
      <c r="AG589" s="572"/>
      <c r="AH589" s="572"/>
      <c r="AI589" s="572"/>
      <c r="AJ589" s="572"/>
      <c r="AK589" s="572"/>
      <c r="AL589" s="572"/>
      <c r="AM589" s="572"/>
      <c r="AN589" s="572"/>
      <c r="AO589" s="572"/>
      <c r="AP589" s="572"/>
      <c r="AQ589" s="572"/>
      <c r="AR589" s="572"/>
      <c r="AS589" s="572"/>
      <c r="AT589" s="572"/>
      <c r="AU589" s="572"/>
    </row>
    <row r="590" spans="1:47" ht="15.75" customHeight="1">
      <c r="A590" s="573">
        <v>44470</v>
      </c>
      <c r="B590" s="594" t="s">
        <v>6479</v>
      </c>
      <c r="C590" s="563" t="s">
        <v>2921</v>
      </c>
      <c r="D590" s="563" t="s">
        <v>3110</v>
      </c>
      <c r="E590" s="575">
        <v>151371.24</v>
      </c>
      <c r="F590" s="563" t="s">
        <v>3033</v>
      </c>
      <c r="G590" s="573" t="s">
        <v>19</v>
      </c>
      <c r="H590" s="573" t="s">
        <v>34</v>
      </c>
      <c r="I590" s="573" t="s">
        <v>2971</v>
      </c>
      <c r="J590" s="573">
        <v>44260</v>
      </c>
      <c r="K590" s="576" t="s">
        <v>3795</v>
      </c>
      <c r="L590" s="572"/>
      <c r="M590" s="572"/>
      <c r="N590" s="572"/>
      <c r="O590" s="572"/>
      <c r="P590" s="572"/>
      <c r="Q590" s="572"/>
      <c r="R590" s="572"/>
      <c r="S590" s="572"/>
      <c r="T590" s="572"/>
      <c r="U590" s="572"/>
      <c r="V590" s="572"/>
      <c r="W590" s="572"/>
      <c r="X590" s="572"/>
      <c r="Y590" s="572"/>
      <c r="Z590" s="572"/>
      <c r="AA590" s="572"/>
      <c r="AB590" s="572"/>
      <c r="AC590" s="572"/>
      <c r="AD590" s="572"/>
      <c r="AE590" s="572"/>
      <c r="AF590" s="572"/>
      <c r="AG590" s="572"/>
      <c r="AH590" s="572"/>
      <c r="AI590" s="572"/>
      <c r="AJ590" s="572"/>
      <c r="AK590" s="572"/>
      <c r="AL590" s="572"/>
      <c r="AM590" s="572"/>
      <c r="AN590" s="572"/>
      <c r="AO590" s="572"/>
      <c r="AP590" s="572"/>
      <c r="AQ590" s="572"/>
      <c r="AR590" s="572"/>
      <c r="AS590" s="572"/>
      <c r="AT590" s="572"/>
      <c r="AU590" s="572"/>
    </row>
    <row r="591" spans="1:47" ht="15.75" customHeight="1">
      <c r="A591" s="577">
        <v>44473</v>
      </c>
      <c r="B591" s="574" t="s">
        <v>6574</v>
      </c>
      <c r="C591" s="405" t="s">
        <v>2921</v>
      </c>
      <c r="D591" s="563" t="s">
        <v>6341</v>
      </c>
      <c r="E591" s="602">
        <v>80000</v>
      </c>
      <c r="F591" s="563" t="s">
        <v>3334</v>
      </c>
      <c r="G591" s="573" t="s">
        <v>19</v>
      </c>
      <c r="H591" s="573" t="s">
        <v>34</v>
      </c>
      <c r="I591" s="573" t="s">
        <v>2971</v>
      </c>
      <c r="J591" s="573">
        <v>44279</v>
      </c>
      <c r="K591" s="576" t="s">
        <v>3789</v>
      </c>
      <c r="L591" s="572"/>
      <c r="M591" s="572"/>
      <c r="N591" s="572"/>
      <c r="O591" s="572"/>
      <c r="P591" s="572"/>
      <c r="Q591" s="572"/>
      <c r="R591" s="572"/>
      <c r="S591" s="572"/>
      <c r="T591" s="572"/>
      <c r="U591" s="572"/>
      <c r="V591" s="572"/>
      <c r="W591" s="572"/>
      <c r="X591" s="572"/>
      <c r="Y591" s="572"/>
      <c r="Z591" s="572"/>
      <c r="AA591" s="572"/>
      <c r="AB591" s="572"/>
      <c r="AC591" s="572"/>
      <c r="AD591" s="572"/>
      <c r="AE591" s="572"/>
      <c r="AF591" s="572"/>
      <c r="AG591" s="572"/>
      <c r="AH591" s="572"/>
      <c r="AI591" s="572"/>
      <c r="AJ591" s="572"/>
      <c r="AK591" s="572"/>
      <c r="AL591" s="572"/>
      <c r="AM591" s="572"/>
      <c r="AN591" s="572"/>
      <c r="AO591" s="572"/>
      <c r="AP591" s="572"/>
      <c r="AQ591" s="572"/>
      <c r="AR591" s="572"/>
      <c r="AS591" s="572"/>
      <c r="AT591" s="572"/>
      <c r="AU591" s="572"/>
    </row>
    <row r="592" spans="1:47" ht="15.75" customHeight="1">
      <c r="A592" s="573">
        <v>44473</v>
      </c>
      <c r="B592" s="578" t="s">
        <v>6526</v>
      </c>
      <c r="C592" s="563" t="s">
        <v>3785</v>
      </c>
      <c r="D592" s="563" t="s">
        <v>3110</v>
      </c>
      <c r="E592" s="575">
        <v>0</v>
      </c>
      <c r="F592" s="563" t="s">
        <v>5351</v>
      </c>
      <c r="G592" s="563" t="s">
        <v>64</v>
      </c>
      <c r="H592" s="563" t="s">
        <v>20</v>
      </c>
      <c r="I592" s="563" t="s">
        <v>4451</v>
      </c>
      <c r="J592" s="573">
        <v>44397</v>
      </c>
      <c r="K592" s="579" t="s">
        <v>3805</v>
      </c>
      <c r="L592" s="572"/>
      <c r="M592" s="572"/>
      <c r="N592" s="572"/>
      <c r="O592" s="572"/>
      <c r="P592" s="572"/>
      <c r="Q592" s="572"/>
      <c r="R592" s="572"/>
      <c r="S592" s="572"/>
      <c r="T592" s="572"/>
      <c r="U592" s="572"/>
      <c r="V592" s="572"/>
      <c r="W592" s="572"/>
      <c r="X592" s="572"/>
      <c r="Y592" s="572"/>
      <c r="Z592" s="572"/>
      <c r="AA592" s="572"/>
      <c r="AB592" s="572"/>
      <c r="AC592" s="572"/>
      <c r="AD592" s="572"/>
      <c r="AE592" s="572"/>
      <c r="AF592" s="572"/>
      <c r="AG592" s="572"/>
      <c r="AH592" s="572"/>
      <c r="AI592" s="572"/>
      <c r="AJ592" s="572"/>
      <c r="AK592" s="572"/>
      <c r="AL592" s="572"/>
      <c r="AM592" s="572"/>
      <c r="AN592" s="572"/>
      <c r="AO592" s="572"/>
      <c r="AP592" s="572"/>
      <c r="AQ592" s="572"/>
      <c r="AR592" s="572"/>
      <c r="AS592" s="572"/>
      <c r="AT592" s="572"/>
      <c r="AU592" s="572"/>
    </row>
    <row r="593" spans="1:47" ht="15.75" customHeight="1">
      <c r="A593" s="573">
        <v>44473</v>
      </c>
      <c r="B593" s="578" t="s">
        <v>6577</v>
      </c>
      <c r="C593" s="563" t="s">
        <v>3785</v>
      </c>
      <c r="D593" s="563" t="s">
        <v>3110</v>
      </c>
      <c r="E593" s="575">
        <v>0</v>
      </c>
      <c r="F593" s="563" t="s">
        <v>3825</v>
      </c>
      <c r="G593" s="563" t="s">
        <v>19</v>
      </c>
      <c r="H593" s="563" t="s">
        <v>20</v>
      </c>
      <c r="I593" s="563" t="s">
        <v>3683</v>
      </c>
      <c r="J593" s="573">
        <v>44302</v>
      </c>
      <c r="K593" s="579" t="s">
        <v>3809</v>
      </c>
      <c r="L593" s="572"/>
      <c r="M593" s="572"/>
      <c r="N593" s="572"/>
      <c r="O593" s="572"/>
      <c r="P593" s="572"/>
      <c r="Q593" s="572"/>
      <c r="R593" s="572"/>
      <c r="S593" s="572"/>
      <c r="T593" s="572"/>
      <c r="U593" s="572"/>
      <c r="V593" s="572"/>
      <c r="W593" s="572"/>
      <c r="X593" s="572"/>
      <c r="Y593" s="572"/>
      <c r="Z593" s="572"/>
      <c r="AA593" s="572"/>
      <c r="AB593" s="572"/>
      <c r="AC593" s="572"/>
      <c r="AD593" s="572"/>
      <c r="AE593" s="572"/>
      <c r="AF593" s="572"/>
      <c r="AG593" s="572"/>
      <c r="AH593" s="572"/>
      <c r="AI593" s="572"/>
      <c r="AJ593" s="572"/>
      <c r="AK593" s="572"/>
      <c r="AL593" s="572"/>
      <c r="AM593" s="572"/>
      <c r="AN593" s="572"/>
      <c r="AO593" s="572"/>
      <c r="AP593" s="572"/>
      <c r="AQ593" s="572"/>
      <c r="AR593" s="572"/>
      <c r="AS593" s="572"/>
      <c r="AT593" s="572"/>
      <c r="AU593" s="572"/>
    </row>
    <row r="594" spans="1:47" ht="15.75" customHeight="1">
      <c r="A594" s="573">
        <v>44473</v>
      </c>
      <c r="B594" s="574" t="s">
        <v>6578</v>
      </c>
      <c r="C594" s="563" t="s">
        <v>2921</v>
      </c>
      <c r="D594" s="563" t="s">
        <v>3110</v>
      </c>
      <c r="E594" s="575">
        <v>172836.33</v>
      </c>
      <c r="F594" s="563" t="s">
        <v>3049</v>
      </c>
      <c r="G594" s="573" t="s">
        <v>2923</v>
      </c>
      <c r="H594" s="573" t="s">
        <v>20</v>
      </c>
      <c r="I594" s="573" t="s">
        <v>2924</v>
      </c>
      <c r="J594" s="573">
        <v>43865</v>
      </c>
      <c r="K594" s="576" t="s">
        <v>3795</v>
      </c>
      <c r="L594" s="572"/>
      <c r="M594" s="572"/>
      <c r="N594" s="572"/>
      <c r="O594" s="572"/>
      <c r="P594" s="572"/>
      <c r="Q594" s="572"/>
      <c r="R594" s="572"/>
      <c r="S594" s="572"/>
      <c r="T594" s="572"/>
      <c r="U594" s="572"/>
      <c r="V594" s="572"/>
      <c r="W594" s="572"/>
      <c r="X594" s="572"/>
      <c r="Y594" s="572"/>
      <c r="Z594" s="572"/>
      <c r="AA594" s="572"/>
      <c r="AB594" s="572"/>
      <c r="AC594" s="572"/>
      <c r="AD594" s="572"/>
      <c r="AE594" s="572"/>
      <c r="AF594" s="572"/>
      <c r="AG594" s="572"/>
      <c r="AH594" s="572"/>
      <c r="AI594" s="572"/>
      <c r="AJ594" s="572"/>
      <c r="AK594" s="572"/>
      <c r="AL594" s="572"/>
      <c r="AM594" s="572"/>
      <c r="AN594" s="572"/>
      <c r="AO594" s="572"/>
      <c r="AP594" s="572"/>
      <c r="AQ594" s="572"/>
      <c r="AR594" s="572"/>
      <c r="AS594" s="572"/>
      <c r="AT594" s="572"/>
      <c r="AU594" s="572"/>
    </row>
    <row r="595" spans="1:47" ht="15.75" customHeight="1">
      <c r="A595" s="573">
        <v>44473</v>
      </c>
      <c r="B595" s="578" t="s">
        <v>6402</v>
      </c>
      <c r="C595" s="563" t="s">
        <v>2921</v>
      </c>
      <c r="D595" s="563" t="s">
        <v>3110</v>
      </c>
      <c r="E595" s="575">
        <v>154589.26999999999</v>
      </c>
      <c r="F595" s="563" t="s">
        <v>3362</v>
      </c>
      <c r="G595" s="573" t="s">
        <v>2923</v>
      </c>
      <c r="H595" s="573" t="s">
        <v>20</v>
      </c>
      <c r="I595" s="573" t="s">
        <v>2924</v>
      </c>
      <c r="J595" s="573">
        <v>43873</v>
      </c>
      <c r="K595" s="576" t="s">
        <v>3795</v>
      </c>
      <c r="L595" s="572"/>
      <c r="M595" s="572"/>
      <c r="N595" s="572"/>
      <c r="O595" s="572"/>
      <c r="P595" s="572"/>
      <c r="Q595" s="572"/>
      <c r="R595" s="572"/>
      <c r="S595" s="572"/>
      <c r="T595" s="572"/>
      <c r="U595" s="572"/>
      <c r="V595" s="572"/>
      <c r="W595" s="572"/>
      <c r="X595" s="572"/>
      <c r="Y595" s="572"/>
      <c r="Z595" s="572"/>
      <c r="AA595" s="572"/>
      <c r="AB595" s="572"/>
      <c r="AC595" s="572"/>
      <c r="AD595" s="572"/>
      <c r="AE595" s="572"/>
      <c r="AF595" s="572"/>
      <c r="AG595" s="572"/>
      <c r="AH595" s="572"/>
      <c r="AI595" s="572"/>
      <c r="AJ595" s="572"/>
      <c r="AK595" s="572"/>
      <c r="AL595" s="572"/>
      <c r="AM595" s="572"/>
      <c r="AN595" s="572"/>
      <c r="AO595" s="572"/>
      <c r="AP595" s="572"/>
      <c r="AQ595" s="572"/>
      <c r="AR595" s="572"/>
      <c r="AS595" s="572"/>
      <c r="AT595" s="572"/>
      <c r="AU595" s="572"/>
    </row>
    <row r="596" spans="1:47" ht="15.75" customHeight="1">
      <c r="A596" s="573">
        <v>44473</v>
      </c>
      <c r="B596" s="594" t="s">
        <v>6574</v>
      </c>
      <c r="C596" s="563" t="s">
        <v>2921</v>
      </c>
      <c r="D596" s="563" t="s">
        <v>3110</v>
      </c>
      <c r="E596" s="575">
        <v>237009.79</v>
      </c>
      <c r="F596" s="563" t="s">
        <v>3334</v>
      </c>
      <c r="G596" s="573" t="s">
        <v>19</v>
      </c>
      <c r="H596" s="573" t="s">
        <v>34</v>
      </c>
      <c r="I596" s="573" t="s">
        <v>2971</v>
      </c>
      <c r="J596" s="573">
        <v>44279</v>
      </c>
      <c r="K596" s="576" t="s">
        <v>3789</v>
      </c>
      <c r="L596" s="572"/>
      <c r="M596" s="572"/>
      <c r="N596" s="572"/>
      <c r="O596" s="572"/>
      <c r="P596" s="572"/>
      <c r="Q596" s="572"/>
      <c r="R596" s="572"/>
      <c r="S596" s="572"/>
      <c r="T596" s="572"/>
      <c r="U596" s="572"/>
      <c r="V596" s="572"/>
      <c r="W596" s="572"/>
      <c r="X596" s="572"/>
      <c r="Y596" s="572"/>
      <c r="Z596" s="572"/>
      <c r="AA596" s="572"/>
      <c r="AB596" s="572"/>
      <c r="AC596" s="572"/>
      <c r="AD596" s="572"/>
      <c r="AE596" s="572"/>
      <c r="AF596" s="572"/>
      <c r="AG596" s="572"/>
      <c r="AH596" s="572"/>
      <c r="AI596" s="572"/>
      <c r="AJ596" s="572"/>
      <c r="AK596" s="572"/>
      <c r="AL596" s="572"/>
      <c r="AM596" s="572"/>
      <c r="AN596" s="572"/>
      <c r="AO596" s="572"/>
      <c r="AP596" s="572"/>
      <c r="AQ596" s="572"/>
      <c r="AR596" s="572"/>
      <c r="AS596" s="572"/>
      <c r="AT596" s="572"/>
      <c r="AU596" s="572"/>
    </row>
    <row r="597" spans="1:47" ht="15.75" customHeight="1">
      <c r="A597" s="577">
        <v>44474</v>
      </c>
      <c r="B597" s="578" t="s">
        <v>6479</v>
      </c>
      <c r="C597" s="405" t="s">
        <v>2921</v>
      </c>
      <c r="D597" s="563" t="s">
        <v>6341</v>
      </c>
      <c r="E597" s="587">
        <v>49307.71</v>
      </c>
      <c r="F597" s="563" t="s">
        <v>3033</v>
      </c>
      <c r="G597" s="573" t="s">
        <v>19</v>
      </c>
      <c r="H597" s="573" t="s">
        <v>34</v>
      </c>
      <c r="I597" s="573" t="s">
        <v>2971</v>
      </c>
      <c r="J597" s="573">
        <v>44260</v>
      </c>
      <c r="K597" s="576" t="s">
        <v>3795</v>
      </c>
      <c r="L597" s="572"/>
      <c r="M597" s="572"/>
      <c r="N597" s="572"/>
      <c r="O597" s="572"/>
      <c r="P597" s="572"/>
      <c r="Q597" s="572"/>
      <c r="R597" s="572"/>
      <c r="S597" s="572"/>
      <c r="T597" s="572"/>
      <c r="U597" s="572"/>
      <c r="V597" s="572"/>
      <c r="W597" s="572"/>
      <c r="X597" s="572"/>
      <c r="Y597" s="572"/>
      <c r="Z597" s="572"/>
      <c r="AA597" s="572"/>
      <c r="AB597" s="572"/>
      <c r="AC597" s="572"/>
      <c r="AD597" s="572"/>
      <c r="AE597" s="572"/>
      <c r="AF597" s="572"/>
      <c r="AG597" s="572"/>
      <c r="AH597" s="572"/>
      <c r="AI597" s="572"/>
      <c r="AJ597" s="572"/>
      <c r="AK597" s="572"/>
      <c r="AL597" s="572"/>
      <c r="AM597" s="572"/>
      <c r="AN597" s="572"/>
      <c r="AO597" s="572"/>
      <c r="AP597" s="572"/>
      <c r="AQ597" s="572"/>
      <c r="AR597" s="572"/>
      <c r="AS597" s="572"/>
      <c r="AT597" s="572"/>
      <c r="AU597" s="572"/>
    </row>
    <row r="598" spans="1:47" ht="15.75" customHeight="1">
      <c r="A598" s="577">
        <v>44474</v>
      </c>
      <c r="B598" s="578" t="s">
        <v>6493</v>
      </c>
      <c r="C598" s="405" t="s">
        <v>2921</v>
      </c>
      <c r="D598" s="563" t="s">
        <v>6341</v>
      </c>
      <c r="E598" s="602">
        <v>56000</v>
      </c>
      <c r="F598" s="563" t="s">
        <v>1389</v>
      </c>
      <c r="G598" s="573" t="s">
        <v>19</v>
      </c>
      <c r="H598" s="573" t="s">
        <v>34</v>
      </c>
      <c r="I598" s="573" t="s">
        <v>35</v>
      </c>
      <c r="J598" s="573">
        <v>44280</v>
      </c>
      <c r="K598" s="576" t="s">
        <v>3802</v>
      </c>
      <c r="L598" s="572"/>
      <c r="M598" s="572"/>
      <c r="N598" s="572"/>
      <c r="O598" s="572"/>
      <c r="P598" s="572"/>
      <c r="Q598" s="572"/>
      <c r="R598" s="572"/>
      <c r="S598" s="572"/>
      <c r="T598" s="572"/>
      <c r="U598" s="572"/>
      <c r="V598" s="572"/>
      <c r="W598" s="572"/>
      <c r="X598" s="572"/>
      <c r="Y598" s="572"/>
      <c r="Z598" s="572"/>
      <c r="AA598" s="572"/>
      <c r="AB598" s="572"/>
      <c r="AC598" s="572"/>
      <c r="AD598" s="572"/>
      <c r="AE598" s="572"/>
      <c r="AF598" s="572"/>
      <c r="AG598" s="572"/>
      <c r="AH598" s="572"/>
      <c r="AI598" s="572"/>
      <c r="AJ598" s="572"/>
      <c r="AK598" s="572"/>
      <c r="AL598" s="572"/>
      <c r="AM598" s="572"/>
      <c r="AN598" s="572"/>
      <c r="AO598" s="572"/>
      <c r="AP598" s="572"/>
      <c r="AQ598" s="572"/>
      <c r="AR598" s="572"/>
      <c r="AS598" s="572"/>
      <c r="AT598" s="572"/>
      <c r="AU598" s="572"/>
    </row>
    <row r="599" spans="1:47" ht="15.75" customHeight="1">
      <c r="A599" s="577">
        <v>44474</v>
      </c>
      <c r="B599" s="578" t="s">
        <v>6564</v>
      </c>
      <c r="C599" s="405" t="s">
        <v>2921</v>
      </c>
      <c r="D599" s="563" t="s">
        <v>6341</v>
      </c>
      <c r="E599" s="602">
        <v>5500</v>
      </c>
      <c r="F599" s="563" t="s">
        <v>3186</v>
      </c>
      <c r="G599" s="573" t="s">
        <v>19</v>
      </c>
      <c r="H599" s="573" t="s">
        <v>34</v>
      </c>
      <c r="I599" s="573" t="s">
        <v>262</v>
      </c>
      <c r="J599" s="573">
        <v>44319</v>
      </c>
      <c r="K599" s="576" t="s">
        <v>3789</v>
      </c>
      <c r="L599" s="572"/>
      <c r="M599" s="572"/>
      <c r="N599" s="572"/>
      <c r="O599" s="572"/>
      <c r="P599" s="572"/>
      <c r="Q599" s="572"/>
      <c r="R599" s="572"/>
      <c r="S599" s="572"/>
      <c r="T599" s="572"/>
      <c r="U599" s="572"/>
      <c r="V599" s="572"/>
      <c r="W599" s="572"/>
      <c r="X599" s="572"/>
      <c r="Y599" s="572"/>
      <c r="Z599" s="572"/>
      <c r="AA599" s="572"/>
      <c r="AB599" s="572"/>
      <c r="AC599" s="572"/>
      <c r="AD599" s="572"/>
      <c r="AE599" s="572"/>
      <c r="AF599" s="572"/>
      <c r="AG599" s="572"/>
      <c r="AH599" s="572"/>
      <c r="AI599" s="572"/>
      <c r="AJ599" s="572"/>
      <c r="AK599" s="572"/>
      <c r="AL599" s="572"/>
      <c r="AM599" s="572"/>
      <c r="AN599" s="572"/>
      <c r="AO599" s="572"/>
      <c r="AP599" s="572"/>
      <c r="AQ599" s="572"/>
      <c r="AR599" s="572"/>
      <c r="AS599" s="572"/>
      <c r="AT599" s="572"/>
      <c r="AU599" s="572"/>
    </row>
    <row r="600" spans="1:47" ht="15.75" customHeight="1">
      <c r="A600" s="577">
        <v>44474</v>
      </c>
      <c r="B600" s="578" t="s">
        <v>6492</v>
      </c>
      <c r="C600" s="405" t="s">
        <v>2921</v>
      </c>
      <c r="D600" s="563" t="s">
        <v>6341</v>
      </c>
      <c r="E600" s="602">
        <v>175000</v>
      </c>
      <c r="F600" s="563" t="s">
        <v>3219</v>
      </c>
      <c r="G600" s="573" t="s">
        <v>19</v>
      </c>
      <c r="H600" s="573" t="s">
        <v>34</v>
      </c>
      <c r="I600" s="573" t="s">
        <v>35</v>
      </c>
      <c r="J600" s="573">
        <v>44313</v>
      </c>
      <c r="K600" s="576" t="s">
        <v>3795</v>
      </c>
      <c r="L600" s="572"/>
      <c r="M600" s="572"/>
      <c r="N600" s="572"/>
      <c r="O600" s="572"/>
      <c r="P600" s="572"/>
      <c r="Q600" s="572"/>
      <c r="R600" s="572"/>
      <c r="S600" s="572"/>
      <c r="T600" s="572"/>
      <c r="U600" s="572"/>
      <c r="V600" s="572"/>
      <c r="W600" s="572"/>
      <c r="X600" s="572"/>
      <c r="Y600" s="572"/>
      <c r="Z600" s="572"/>
      <c r="AA600" s="572"/>
      <c r="AB600" s="572"/>
      <c r="AC600" s="572"/>
      <c r="AD600" s="572"/>
      <c r="AE600" s="572"/>
      <c r="AF600" s="572"/>
      <c r="AG600" s="572"/>
      <c r="AH600" s="572"/>
      <c r="AI600" s="572"/>
      <c r="AJ600" s="572"/>
      <c r="AK600" s="572"/>
      <c r="AL600" s="572"/>
      <c r="AM600" s="572"/>
      <c r="AN600" s="572"/>
      <c r="AO600" s="572"/>
      <c r="AP600" s="572"/>
      <c r="AQ600" s="572"/>
      <c r="AR600" s="572"/>
      <c r="AS600" s="572"/>
      <c r="AT600" s="572"/>
      <c r="AU600" s="572"/>
    </row>
    <row r="601" spans="1:47" ht="15.75" customHeight="1">
      <c r="A601" s="577">
        <v>44474</v>
      </c>
      <c r="B601" s="578" t="s">
        <v>6579</v>
      </c>
      <c r="C601" s="405" t="s">
        <v>2921</v>
      </c>
      <c r="D601" s="563" t="s">
        <v>6341</v>
      </c>
      <c r="E601" s="602">
        <v>10000</v>
      </c>
      <c r="F601" s="563" t="s">
        <v>480</v>
      </c>
      <c r="G601" s="573" t="s">
        <v>19</v>
      </c>
      <c r="H601" s="573" t="s">
        <v>34</v>
      </c>
      <c r="I601" s="573" t="s">
        <v>35</v>
      </c>
      <c r="J601" s="573">
        <v>44421</v>
      </c>
      <c r="K601" s="576" t="s">
        <v>3795</v>
      </c>
      <c r="L601" s="572"/>
      <c r="M601" s="572"/>
      <c r="N601" s="572"/>
      <c r="O601" s="572"/>
      <c r="P601" s="572"/>
      <c r="Q601" s="572"/>
      <c r="R601" s="572"/>
      <c r="S601" s="572"/>
      <c r="T601" s="572"/>
      <c r="U601" s="572"/>
      <c r="V601" s="572"/>
      <c r="W601" s="572"/>
      <c r="X601" s="572"/>
      <c r="Y601" s="572"/>
      <c r="Z601" s="572"/>
      <c r="AA601" s="572"/>
      <c r="AB601" s="572"/>
      <c r="AC601" s="572"/>
      <c r="AD601" s="572"/>
      <c r="AE601" s="572"/>
      <c r="AF601" s="572"/>
      <c r="AG601" s="572"/>
      <c r="AH601" s="572"/>
      <c r="AI601" s="572"/>
      <c r="AJ601" s="572"/>
      <c r="AK601" s="572"/>
      <c r="AL601" s="572"/>
      <c r="AM601" s="572"/>
      <c r="AN601" s="572"/>
      <c r="AO601" s="572"/>
      <c r="AP601" s="572"/>
      <c r="AQ601" s="572"/>
      <c r="AR601" s="572"/>
      <c r="AS601" s="572"/>
      <c r="AT601" s="572"/>
      <c r="AU601" s="572"/>
    </row>
    <row r="602" spans="1:47" ht="15.75" customHeight="1">
      <c r="A602" s="577">
        <v>44474</v>
      </c>
      <c r="B602" s="578" t="s">
        <v>6519</v>
      </c>
      <c r="C602" s="405" t="s">
        <v>2921</v>
      </c>
      <c r="D602" s="563" t="s">
        <v>6341</v>
      </c>
      <c r="E602" s="602">
        <v>10000</v>
      </c>
      <c r="F602" s="563" t="s">
        <v>745</v>
      </c>
      <c r="G602" s="573" t="s">
        <v>19</v>
      </c>
      <c r="H602" s="573" t="s">
        <v>34</v>
      </c>
      <c r="I602" s="573" t="s">
        <v>35</v>
      </c>
      <c r="J602" s="573">
        <v>44280</v>
      </c>
      <c r="K602" s="576" t="s">
        <v>3795</v>
      </c>
      <c r="L602" s="572"/>
      <c r="M602" s="572"/>
      <c r="N602" s="572"/>
      <c r="O602" s="572"/>
      <c r="P602" s="572"/>
      <c r="Q602" s="572"/>
      <c r="R602" s="572"/>
      <c r="S602" s="572"/>
      <c r="T602" s="572"/>
      <c r="U602" s="572"/>
      <c r="V602" s="572"/>
      <c r="W602" s="572"/>
      <c r="X602" s="572"/>
      <c r="Y602" s="572"/>
      <c r="Z602" s="572"/>
      <c r="AA602" s="572"/>
      <c r="AB602" s="572"/>
      <c r="AC602" s="572"/>
      <c r="AD602" s="572"/>
      <c r="AE602" s="572"/>
      <c r="AF602" s="572"/>
      <c r="AG602" s="572"/>
      <c r="AH602" s="572"/>
      <c r="AI602" s="572"/>
      <c r="AJ602" s="572"/>
      <c r="AK602" s="572"/>
      <c r="AL602" s="572"/>
      <c r="AM602" s="572"/>
      <c r="AN602" s="572"/>
      <c r="AO602" s="572"/>
      <c r="AP602" s="572"/>
      <c r="AQ602" s="572"/>
      <c r="AR602" s="572"/>
      <c r="AS602" s="572"/>
      <c r="AT602" s="572"/>
      <c r="AU602" s="572"/>
    </row>
    <row r="603" spans="1:47" ht="15.75" customHeight="1">
      <c r="A603" s="577">
        <v>44474</v>
      </c>
      <c r="B603" s="578" t="s">
        <v>6347</v>
      </c>
      <c r="C603" s="405" t="s">
        <v>2921</v>
      </c>
      <c r="D603" s="563" t="s">
        <v>6341</v>
      </c>
      <c r="E603" s="602">
        <v>10000</v>
      </c>
      <c r="F603" s="563" t="s">
        <v>3191</v>
      </c>
      <c r="G603" s="573" t="s">
        <v>2923</v>
      </c>
      <c r="H603" s="573" t="s">
        <v>20</v>
      </c>
      <c r="I603" s="573" t="s">
        <v>2924</v>
      </c>
      <c r="J603" s="573">
        <v>43703</v>
      </c>
      <c r="K603" s="576" t="s">
        <v>4188</v>
      </c>
      <c r="L603" s="572"/>
      <c r="M603" s="572"/>
      <c r="N603" s="572"/>
      <c r="O603" s="572"/>
      <c r="P603" s="572"/>
      <c r="Q603" s="572"/>
      <c r="R603" s="572"/>
      <c r="S603" s="572"/>
      <c r="T603" s="572"/>
      <c r="U603" s="572"/>
      <c r="V603" s="572"/>
      <c r="W603" s="572"/>
      <c r="X603" s="572"/>
      <c r="Y603" s="572"/>
      <c r="Z603" s="572"/>
      <c r="AA603" s="572"/>
      <c r="AB603" s="572"/>
      <c r="AC603" s="572"/>
      <c r="AD603" s="572"/>
      <c r="AE603" s="572"/>
      <c r="AF603" s="572"/>
      <c r="AG603" s="572"/>
      <c r="AH603" s="572"/>
      <c r="AI603" s="572"/>
      <c r="AJ603" s="572"/>
      <c r="AK603" s="572"/>
      <c r="AL603" s="572"/>
      <c r="AM603" s="572"/>
      <c r="AN603" s="572"/>
      <c r="AO603" s="572"/>
      <c r="AP603" s="572"/>
      <c r="AQ603" s="572"/>
      <c r="AR603" s="572"/>
      <c r="AS603" s="572"/>
      <c r="AT603" s="572"/>
      <c r="AU603" s="572"/>
    </row>
    <row r="604" spans="1:47" ht="15.75" customHeight="1">
      <c r="A604" s="577">
        <v>44474</v>
      </c>
      <c r="B604" s="578" t="s">
        <v>6408</v>
      </c>
      <c r="C604" s="405" t="s">
        <v>2921</v>
      </c>
      <c r="D604" s="563" t="s">
        <v>6341</v>
      </c>
      <c r="E604" s="602">
        <v>40000</v>
      </c>
      <c r="F604" s="563" t="s">
        <v>859</v>
      </c>
      <c r="G604" s="573" t="s">
        <v>19</v>
      </c>
      <c r="H604" s="573" t="s">
        <v>34</v>
      </c>
      <c r="I604" s="573" t="s">
        <v>35</v>
      </c>
      <c r="J604" s="573">
        <v>44321</v>
      </c>
      <c r="K604" s="576" t="s">
        <v>3795</v>
      </c>
      <c r="L604" s="572"/>
      <c r="M604" s="572"/>
      <c r="N604" s="572"/>
      <c r="O604" s="572"/>
      <c r="P604" s="572"/>
      <c r="Q604" s="572"/>
      <c r="R604" s="572"/>
      <c r="S604" s="572"/>
      <c r="T604" s="572"/>
      <c r="U604" s="572"/>
      <c r="V604" s="572"/>
      <c r="W604" s="572"/>
      <c r="X604" s="572"/>
      <c r="Y604" s="572"/>
      <c r="Z604" s="572"/>
      <c r="AA604" s="572"/>
      <c r="AB604" s="572"/>
      <c r="AC604" s="572"/>
      <c r="AD604" s="572"/>
      <c r="AE604" s="572"/>
      <c r="AF604" s="572"/>
      <c r="AG604" s="572"/>
      <c r="AH604" s="572"/>
      <c r="AI604" s="572"/>
      <c r="AJ604" s="572"/>
      <c r="AK604" s="572"/>
      <c r="AL604" s="572"/>
      <c r="AM604" s="572"/>
      <c r="AN604" s="572"/>
      <c r="AO604" s="572"/>
      <c r="AP604" s="572"/>
      <c r="AQ604" s="572"/>
      <c r="AR604" s="572"/>
      <c r="AS604" s="572"/>
      <c r="AT604" s="572"/>
      <c r="AU604" s="572"/>
    </row>
    <row r="605" spans="1:47" ht="15.75" customHeight="1">
      <c r="A605" s="577">
        <v>44474</v>
      </c>
      <c r="B605" s="578" t="s">
        <v>6580</v>
      </c>
      <c r="C605" s="405" t="s">
        <v>2921</v>
      </c>
      <c r="D605" s="563" t="s">
        <v>6341</v>
      </c>
      <c r="E605" s="602">
        <v>150000</v>
      </c>
      <c r="F605" s="563" t="s">
        <v>3261</v>
      </c>
      <c r="G605" s="573" t="s">
        <v>2923</v>
      </c>
      <c r="H605" s="573" t="s">
        <v>20</v>
      </c>
      <c r="I605" s="573" t="s">
        <v>2924</v>
      </c>
      <c r="J605" s="573">
        <v>43879</v>
      </c>
      <c r="K605" s="576" t="s">
        <v>3795</v>
      </c>
      <c r="L605" s="572"/>
      <c r="M605" s="572"/>
      <c r="N605" s="572"/>
      <c r="O605" s="572"/>
      <c r="P605" s="572"/>
      <c r="Q605" s="572"/>
      <c r="R605" s="572"/>
      <c r="S605" s="572"/>
      <c r="T605" s="572"/>
      <c r="U605" s="572"/>
      <c r="V605" s="572"/>
      <c r="W605" s="572"/>
      <c r="X605" s="572"/>
      <c r="Y605" s="572"/>
      <c r="Z605" s="572"/>
      <c r="AA605" s="572"/>
      <c r="AB605" s="572"/>
      <c r="AC605" s="572"/>
      <c r="AD605" s="572"/>
      <c r="AE605" s="572"/>
      <c r="AF605" s="572"/>
      <c r="AG605" s="572"/>
      <c r="AH605" s="572"/>
      <c r="AI605" s="572"/>
      <c r="AJ605" s="572"/>
      <c r="AK605" s="572"/>
      <c r="AL605" s="572"/>
      <c r="AM605" s="572"/>
      <c r="AN605" s="572"/>
      <c r="AO605" s="572"/>
      <c r="AP605" s="572"/>
      <c r="AQ605" s="572"/>
      <c r="AR605" s="572"/>
      <c r="AS605" s="572"/>
      <c r="AT605" s="572"/>
      <c r="AU605" s="572"/>
    </row>
    <row r="606" spans="1:47" ht="15.75" customHeight="1">
      <c r="A606" s="577">
        <v>44475</v>
      </c>
      <c r="B606" s="578" t="s">
        <v>6574</v>
      </c>
      <c r="C606" s="405" t="s">
        <v>2921</v>
      </c>
      <c r="D606" s="563" t="s">
        <v>6341</v>
      </c>
      <c r="E606" s="602">
        <v>30000</v>
      </c>
      <c r="F606" s="563" t="s">
        <v>3334</v>
      </c>
      <c r="G606" s="573" t="s">
        <v>19</v>
      </c>
      <c r="H606" s="573" t="s">
        <v>34</v>
      </c>
      <c r="I606" s="573" t="s">
        <v>2971</v>
      </c>
      <c r="J606" s="573">
        <v>44279</v>
      </c>
      <c r="K606" s="576" t="s">
        <v>3789</v>
      </c>
      <c r="L606" s="572"/>
      <c r="M606" s="572"/>
      <c r="N606" s="572"/>
      <c r="O606" s="572"/>
      <c r="P606" s="572"/>
      <c r="Q606" s="572"/>
      <c r="R606" s="572"/>
      <c r="S606" s="572"/>
      <c r="T606" s="572"/>
      <c r="U606" s="572"/>
      <c r="V606" s="572"/>
      <c r="W606" s="572"/>
      <c r="X606" s="572"/>
      <c r="Y606" s="572"/>
      <c r="Z606" s="572"/>
      <c r="AA606" s="572"/>
      <c r="AB606" s="572"/>
      <c r="AC606" s="572"/>
      <c r="AD606" s="572"/>
      <c r="AE606" s="572"/>
      <c r="AF606" s="572"/>
      <c r="AG606" s="572"/>
      <c r="AH606" s="572"/>
      <c r="AI606" s="572"/>
      <c r="AJ606" s="572"/>
      <c r="AK606" s="572"/>
      <c r="AL606" s="572"/>
      <c r="AM606" s="572"/>
      <c r="AN606" s="572"/>
      <c r="AO606" s="572"/>
      <c r="AP606" s="572"/>
      <c r="AQ606" s="572"/>
      <c r="AR606" s="572"/>
      <c r="AS606" s="572"/>
      <c r="AT606" s="572"/>
      <c r="AU606" s="572"/>
    </row>
    <row r="607" spans="1:47" ht="15.75" customHeight="1">
      <c r="A607" s="577">
        <v>44475</v>
      </c>
      <c r="B607" s="578" t="s">
        <v>6473</v>
      </c>
      <c r="C607" s="405" t="s">
        <v>2921</v>
      </c>
      <c r="D607" s="563" t="s">
        <v>6341</v>
      </c>
      <c r="E607" s="602">
        <v>20000</v>
      </c>
      <c r="F607" s="563" t="s">
        <v>3332</v>
      </c>
      <c r="G607" s="573" t="s">
        <v>19</v>
      </c>
      <c r="H607" s="573" t="s">
        <v>34</v>
      </c>
      <c r="I607" s="573" t="s">
        <v>262</v>
      </c>
      <c r="J607" s="573">
        <v>44322</v>
      </c>
      <c r="K607" s="576" t="s">
        <v>3795</v>
      </c>
      <c r="L607" s="572"/>
      <c r="M607" s="572"/>
      <c r="N607" s="572"/>
      <c r="O607" s="572"/>
      <c r="P607" s="572"/>
      <c r="Q607" s="572"/>
      <c r="R607" s="572"/>
      <c r="S607" s="572"/>
      <c r="T607" s="572"/>
      <c r="U607" s="572"/>
      <c r="V607" s="572"/>
      <c r="W607" s="572"/>
      <c r="X607" s="572"/>
      <c r="Y607" s="572"/>
      <c r="Z607" s="572"/>
      <c r="AA607" s="572"/>
      <c r="AB607" s="572"/>
      <c r="AC607" s="572"/>
      <c r="AD607" s="572"/>
      <c r="AE607" s="572"/>
      <c r="AF607" s="572"/>
      <c r="AG607" s="572"/>
      <c r="AH607" s="572"/>
      <c r="AI607" s="572"/>
      <c r="AJ607" s="572"/>
      <c r="AK607" s="572"/>
      <c r="AL607" s="572"/>
      <c r="AM607" s="572"/>
      <c r="AN607" s="572"/>
      <c r="AO607" s="572"/>
      <c r="AP607" s="572"/>
      <c r="AQ607" s="572"/>
      <c r="AR607" s="572"/>
      <c r="AS607" s="572"/>
      <c r="AT607" s="572"/>
      <c r="AU607" s="572"/>
    </row>
    <row r="608" spans="1:47" ht="15.75" customHeight="1">
      <c r="A608" s="577">
        <v>44476</v>
      </c>
      <c r="B608" s="578" t="s">
        <v>6581</v>
      </c>
      <c r="C608" s="405" t="s">
        <v>2921</v>
      </c>
      <c r="D608" s="563" t="s">
        <v>928</v>
      </c>
      <c r="E608" s="575">
        <v>121689.31</v>
      </c>
      <c r="F608" s="563" t="s">
        <v>3177</v>
      </c>
      <c r="G608" s="573" t="s">
        <v>19</v>
      </c>
      <c r="H608" s="573" t="s">
        <v>34</v>
      </c>
      <c r="I608" s="573" t="s">
        <v>35</v>
      </c>
      <c r="J608" s="573">
        <v>44333</v>
      </c>
      <c r="K608" s="576" t="s">
        <v>3795</v>
      </c>
      <c r="L608" s="572"/>
      <c r="M608" s="572"/>
      <c r="N608" s="572"/>
      <c r="O608" s="572"/>
      <c r="P608" s="572"/>
      <c r="Q608" s="572"/>
      <c r="R608" s="572"/>
      <c r="S608" s="572"/>
      <c r="T608" s="572"/>
      <c r="U608" s="572"/>
      <c r="V608" s="572"/>
      <c r="W608" s="572"/>
      <c r="X608" s="572"/>
      <c r="Y608" s="572"/>
      <c r="Z608" s="572"/>
      <c r="AA608" s="572"/>
      <c r="AB608" s="572"/>
      <c r="AC608" s="572"/>
      <c r="AD608" s="572"/>
      <c r="AE608" s="572"/>
      <c r="AF608" s="572"/>
      <c r="AG608" s="572"/>
      <c r="AH608" s="572"/>
      <c r="AI608" s="572"/>
      <c r="AJ608" s="572"/>
      <c r="AK608" s="572"/>
      <c r="AL608" s="572"/>
      <c r="AM608" s="572"/>
      <c r="AN608" s="572"/>
      <c r="AO608" s="572"/>
      <c r="AP608" s="572"/>
      <c r="AQ608" s="572"/>
      <c r="AR608" s="572"/>
      <c r="AS608" s="572"/>
      <c r="AT608" s="572"/>
      <c r="AU608" s="572"/>
    </row>
    <row r="609" spans="1:47" ht="15.75" customHeight="1">
      <c r="A609" s="577">
        <v>44477</v>
      </c>
      <c r="B609" s="604" t="s">
        <v>6435</v>
      </c>
      <c r="C609" s="405" t="s">
        <v>3785</v>
      </c>
      <c r="D609" s="563" t="s">
        <v>928</v>
      </c>
      <c r="E609" s="575">
        <v>94947.93</v>
      </c>
      <c r="F609" s="563" t="s">
        <v>5237</v>
      </c>
      <c r="G609" s="563" t="s">
        <v>64</v>
      </c>
      <c r="H609" s="563" t="s">
        <v>20</v>
      </c>
      <c r="I609" s="563" t="s">
        <v>5238</v>
      </c>
      <c r="J609" s="573">
        <v>44105</v>
      </c>
      <c r="K609" s="579" t="s">
        <v>3809</v>
      </c>
      <c r="L609" s="572"/>
      <c r="M609" s="572"/>
      <c r="N609" s="572"/>
      <c r="O609" s="572"/>
      <c r="P609" s="572"/>
      <c r="Q609" s="572"/>
      <c r="R609" s="572"/>
      <c r="S609" s="572"/>
      <c r="T609" s="572"/>
      <c r="U609" s="572"/>
      <c r="V609" s="572"/>
      <c r="W609" s="572"/>
      <c r="X609" s="572"/>
      <c r="Y609" s="572"/>
      <c r="Z609" s="572"/>
      <c r="AA609" s="572"/>
      <c r="AB609" s="572"/>
      <c r="AC609" s="572"/>
      <c r="AD609" s="572"/>
      <c r="AE609" s="572"/>
      <c r="AF609" s="572"/>
      <c r="AG609" s="572"/>
      <c r="AH609" s="572"/>
      <c r="AI609" s="572"/>
      <c r="AJ609" s="572"/>
      <c r="AK609" s="572"/>
      <c r="AL609" s="572"/>
      <c r="AM609" s="572"/>
      <c r="AN609" s="572"/>
      <c r="AO609" s="572"/>
      <c r="AP609" s="572"/>
      <c r="AQ609" s="572"/>
      <c r="AR609" s="572"/>
      <c r="AS609" s="572"/>
      <c r="AT609" s="572"/>
      <c r="AU609" s="572"/>
    </row>
    <row r="610" spans="1:47" ht="15.75" customHeight="1">
      <c r="A610" s="573">
        <v>44477</v>
      </c>
      <c r="B610" s="574" t="s">
        <v>6582</v>
      </c>
      <c r="C610" s="563" t="s">
        <v>3785</v>
      </c>
      <c r="D610" s="563" t="s">
        <v>3110</v>
      </c>
      <c r="E610" s="575">
        <v>0</v>
      </c>
      <c r="F610" s="563" t="s">
        <v>4389</v>
      </c>
      <c r="G610" s="563" t="s">
        <v>64</v>
      </c>
      <c r="H610" s="563" t="s">
        <v>20</v>
      </c>
      <c r="I610" s="563" t="s">
        <v>3634</v>
      </c>
      <c r="J610" s="573">
        <v>44238</v>
      </c>
      <c r="K610" s="579" t="s">
        <v>3789</v>
      </c>
      <c r="L610" s="572"/>
      <c r="M610" s="572"/>
      <c r="N610" s="572"/>
      <c r="O610" s="572"/>
      <c r="P610" s="572"/>
      <c r="Q610" s="572"/>
      <c r="R610" s="572"/>
      <c r="S610" s="572"/>
      <c r="T610" s="572"/>
      <c r="U610" s="572"/>
      <c r="V610" s="572"/>
      <c r="W610" s="572"/>
      <c r="X610" s="572"/>
      <c r="Y610" s="572"/>
      <c r="Z610" s="572"/>
      <c r="AA610" s="572"/>
      <c r="AB610" s="572"/>
      <c r="AC610" s="572"/>
      <c r="AD610" s="572"/>
      <c r="AE610" s="572"/>
      <c r="AF610" s="572"/>
      <c r="AG610" s="572"/>
      <c r="AH610" s="572"/>
      <c r="AI610" s="572"/>
      <c r="AJ610" s="572"/>
      <c r="AK610" s="572"/>
      <c r="AL610" s="572"/>
      <c r="AM610" s="572"/>
      <c r="AN610" s="572"/>
      <c r="AO610" s="572"/>
      <c r="AP610" s="572"/>
      <c r="AQ610" s="572"/>
      <c r="AR610" s="572"/>
      <c r="AS610" s="572"/>
      <c r="AT610" s="572"/>
      <c r="AU610" s="572"/>
    </row>
    <row r="611" spans="1:47" ht="15.75" customHeight="1">
      <c r="A611" s="577">
        <v>44480</v>
      </c>
      <c r="B611" s="603" t="s">
        <v>6550</v>
      </c>
      <c r="C611" s="405" t="s">
        <v>2921</v>
      </c>
      <c r="D611" s="563" t="s">
        <v>6341</v>
      </c>
      <c r="E611" s="602">
        <v>20000</v>
      </c>
      <c r="F611" s="563" t="s">
        <v>3502</v>
      </c>
      <c r="G611" s="573" t="s">
        <v>19</v>
      </c>
      <c r="H611" s="573" t="s">
        <v>34</v>
      </c>
      <c r="I611" s="573" t="s">
        <v>35</v>
      </c>
      <c r="J611" s="573">
        <v>44263</v>
      </c>
      <c r="K611" s="576" t="s">
        <v>3805</v>
      </c>
      <c r="L611" s="572"/>
      <c r="M611" s="572"/>
      <c r="N611" s="572"/>
      <c r="O611" s="572"/>
      <c r="P611" s="572"/>
      <c r="Q611" s="572"/>
      <c r="R611" s="572"/>
      <c r="S611" s="572"/>
      <c r="T611" s="572"/>
      <c r="U611" s="572"/>
      <c r="V611" s="572"/>
      <c r="W611" s="572"/>
      <c r="X611" s="572"/>
      <c r="Y611" s="572"/>
      <c r="Z611" s="572"/>
      <c r="AA611" s="572"/>
      <c r="AB611" s="572"/>
      <c r="AC611" s="572"/>
      <c r="AD611" s="572"/>
      <c r="AE611" s="572"/>
      <c r="AF611" s="572"/>
      <c r="AG611" s="572"/>
      <c r="AH611" s="572"/>
      <c r="AI611" s="572"/>
      <c r="AJ611" s="572"/>
      <c r="AK611" s="572"/>
      <c r="AL611" s="572"/>
      <c r="AM611" s="572"/>
      <c r="AN611" s="572"/>
      <c r="AO611" s="572"/>
      <c r="AP611" s="572"/>
      <c r="AQ611" s="572"/>
      <c r="AR611" s="572"/>
      <c r="AS611" s="572"/>
      <c r="AT611" s="572"/>
      <c r="AU611" s="572"/>
    </row>
    <row r="612" spans="1:47" ht="15.75" customHeight="1">
      <c r="A612" s="573">
        <v>44480</v>
      </c>
      <c r="B612" s="594" t="s">
        <v>6583</v>
      </c>
      <c r="C612" s="563" t="s">
        <v>2921</v>
      </c>
      <c r="D612" s="563" t="s">
        <v>3110</v>
      </c>
      <c r="E612" s="575">
        <v>489398.81</v>
      </c>
      <c r="F612" s="563" t="s">
        <v>3371</v>
      </c>
      <c r="G612" s="573" t="s">
        <v>19</v>
      </c>
      <c r="H612" s="573" t="s">
        <v>34</v>
      </c>
      <c r="I612" s="573" t="s">
        <v>262</v>
      </c>
      <c r="J612" s="573">
        <v>44280</v>
      </c>
      <c r="K612" s="576" t="s">
        <v>3789</v>
      </c>
      <c r="L612" s="572"/>
      <c r="M612" s="572"/>
      <c r="N612" s="572"/>
      <c r="O612" s="572"/>
      <c r="P612" s="572"/>
      <c r="Q612" s="572"/>
      <c r="R612" s="572"/>
      <c r="S612" s="572"/>
      <c r="T612" s="572"/>
      <c r="U612" s="572"/>
      <c r="V612" s="572"/>
      <c r="W612" s="572"/>
      <c r="X612" s="572"/>
      <c r="Y612" s="572"/>
      <c r="Z612" s="572"/>
      <c r="AA612" s="572"/>
      <c r="AB612" s="572"/>
      <c r="AC612" s="572"/>
      <c r="AD612" s="572"/>
      <c r="AE612" s="572"/>
      <c r="AF612" s="572"/>
      <c r="AG612" s="572"/>
      <c r="AH612" s="572"/>
      <c r="AI612" s="572"/>
      <c r="AJ612" s="572"/>
      <c r="AK612" s="572"/>
      <c r="AL612" s="572"/>
      <c r="AM612" s="572"/>
      <c r="AN612" s="572"/>
      <c r="AO612" s="572"/>
      <c r="AP612" s="572"/>
      <c r="AQ612" s="572"/>
      <c r="AR612" s="572"/>
      <c r="AS612" s="572"/>
      <c r="AT612" s="572"/>
      <c r="AU612" s="572"/>
    </row>
    <row r="613" spans="1:47" ht="15.75" customHeight="1">
      <c r="A613" s="577">
        <v>44482</v>
      </c>
      <c r="B613" s="578" t="s">
        <v>6584</v>
      </c>
      <c r="C613" s="405" t="s">
        <v>3785</v>
      </c>
      <c r="D613" s="563" t="s">
        <v>928</v>
      </c>
      <c r="E613" s="575">
        <v>274363.67</v>
      </c>
      <c r="F613" s="563" t="s">
        <v>5257</v>
      </c>
      <c r="G613" s="563" t="s">
        <v>19</v>
      </c>
      <c r="H613" s="563" t="s">
        <v>49</v>
      </c>
      <c r="I613" s="563" t="s">
        <v>5258</v>
      </c>
      <c r="J613" s="573">
        <v>44356</v>
      </c>
      <c r="K613" s="579" t="s">
        <v>3805</v>
      </c>
      <c r="L613" s="572"/>
      <c r="M613" s="572"/>
      <c r="N613" s="572"/>
      <c r="O613" s="572"/>
      <c r="P613" s="572"/>
      <c r="Q613" s="572"/>
      <c r="R613" s="572"/>
      <c r="S613" s="572"/>
      <c r="T613" s="572"/>
      <c r="U613" s="572"/>
      <c r="V613" s="572"/>
      <c r="W613" s="572"/>
      <c r="X613" s="572"/>
      <c r="Y613" s="572"/>
      <c r="Z613" s="572"/>
      <c r="AA613" s="572"/>
      <c r="AB613" s="572"/>
      <c r="AC613" s="572"/>
      <c r="AD613" s="572"/>
      <c r="AE613" s="572"/>
      <c r="AF613" s="572"/>
      <c r="AG613" s="572"/>
      <c r="AH613" s="572"/>
      <c r="AI613" s="572"/>
      <c r="AJ613" s="572"/>
      <c r="AK613" s="572"/>
      <c r="AL613" s="572"/>
      <c r="AM613" s="572"/>
      <c r="AN613" s="572"/>
      <c r="AO613" s="572"/>
      <c r="AP613" s="572"/>
      <c r="AQ613" s="572"/>
      <c r="AR613" s="572"/>
      <c r="AS613" s="572"/>
      <c r="AT613" s="572"/>
      <c r="AU613" s="572"/>
    </row>
    <row r="614" spans="1:47" ht="15.75" customHeight="1">
      <c r="A614" s="577">
        <v>44482</v>
      </c>
      <c r="B614" s="574" t="s">
        <v>6585</v>
      </c>
      <c r="C614" s="405" t="s">
        <v>3785</v>
      </c>
      <c r="D614" s="563" t="s">
        <v>6341</v>
      </c>
      <c r="E614" s="575">
        <v>150000</v>
      </c>
      <c r="F614" s="563" t="s">
        <v>4575</v>
      </c>
      <c r="G614" s="563" t="s">
        <v>2923</v>
      </c>
      <c r="H614" s="563" t="s">
        <v>20</v>
      </c>
      <c r="I614" s="563" t="s">
        <v>2923</v>
      </c>
      <c r="J614" s="573">
        <v>44118</v>
      </c>
      <c r="K614" s="579" t="s">
        <v>3809</v>
      </c>
      <c r="L614" s="572"/>
      <c r="M614" s="572"/>
      <c r="N614" s="572"/>
      <c r="O614" s="572"/>
      <c r="P614" s="572"/>
      <c r="Q614" s="572"/>
      <c r="R614" s="572"/>
      <c r="S614" s="572"/>
      <c r="T614" s="572"/>
      <c r="U614" s="572"/>
      <c r="V614" s="572"/>
      <c r="W614" s="572"/>
      <c r="X614" s="572"/>
      <c r="Y614" s="572"/>
      <c r="Z614" s="572"/>
      <c r="AA614" s="572"/>
      <c r="AB614" s="572"/>
      <c r="AC614" s="572"/>
      <c r="AD614" s="572"/>
      <c r="AE614" s="572"/>
      <c r="AF614" s="572"/>
      <c r="AG614" s="572"/>
      <c r="AH614" s="572"/>
      <c r="AI614" s="572"/>
      <c r="AJ614" s="572"/>
      <c r="AK614" s="572"/>
      <c r="AL614" s="572"/>
      <c r="AM614" s="572"/>
      <c r="AN614" s="572"/>
      <c r="AO614" s="572"/>
      <c r="AP614" s="572"/>
      <c r="AQ614" s="572"/>
      <c r="AR614" s="572"/>
      <c r="AS614" s="572"/>
      <c r="AT614" s="572"/>
      <c r="AU614" s="572"/>
    </row>
    <row r="615" spans="1:47" ht="15.75" customHeight="1">
      <c r="A615" s="573">
        <v>44482</v>
      </c>
      <c r="B615" s="574" t="s">
        <v>6355</v>
      </c>
      <c r="C615" s="563" t="s">
        <v>2921</v>
      </c>
      <c r="D615" s="563" t="s">
        <v>3110</v>
      </c>
      <c r="E615" s="575">
        <v>15.64</v>
      </c>
      <c r="F615" s="563" t="s">
        <v>3236</v>
      </c>
      <c r="G615" s="573" t="s">
        <v>2923</v>
      </c>
      <c r="H615" s="573" t="s">
        <v>20</v>
      </c>
      <c r="I615" s="573" t="s">
        <v>2930</v>
      </c>
      <c r="J615" s="573">
        <v>43559</v>
      </c>
      <c r="K615" s="576" t="s">
        <v>4188</v>
      </c>
      <c r="L615" s="572"/>
      <c r="M615" s="572"/>
      <c r="N615" s="572"/>
      <c r="O615" s="572"/>
      <c r="P615" s="572"/>
      <c r="Q615" s="572"/>
      <c r="R615" s="572"/>
      <c r="S615" s="572"/>
      <c r="T615" s="572"/>
      <c r="U615" s="572"/>
      <c r="V615" s="572"/>
      <c r="W615" s="572"/>
      <c r="X615" s="572"/>
      <c r="Y615" s="572"/>
      <c r="Z615" s="572"/>
      <c r="AA615" s="572"/>
      <c r="AB615" s="572"/>
      <c r="AC615" s="572"/>
      <c r="AD615" s="572"/>
      <c r="AE615" s="572"/>
      <c r="AF615" s="572"/>
      <c r="AG615" s="572"/>
      <c r="AH615" s="572"/>
      <c r="AI615" s="572"/>
      <c r="AJ615" s="572"/>
      <c r="AK615" s="572"/>
      <c r="AL615" s="572"/>
      <c r="AM615" s="572"/>
      <c r="AN615" s="572"/>
      <c r="AO615" s="572"/>
      <c r="AP615" s="572"/>
      <c r="AQ615" s="572"/>
      <c r="AR615" s="572"/>
      <c r="AS615" s="572"/>
      <c r="AT615" s="572"/>
      <c r="AU615" s="572"/>
    </row>
    <row r="616" spans="1:47" ht="15.75" customHeight="1">
      <c r="A616" s="573">
        <v>44482</v>
      </c>
      <c r="B616" s="574" t="s">
        <v>6375</v>
      </c>
      <c r="C616" s="563" t="s">
        <v>2921</v>
      </c>
      <c r="D616" s="563" t="s">
        <v>3110</v>
      </c>
      <c r="E616" s="575">
        <v>115.28</v>
      </c>
      <c r="F616" s="563" t="s">
        <v>3217</v>
      </c>
      <c r="G616" s="573" t="s">
        <v>2923</v>
      </c>
      <c r="H616" s="573" t="s">
        <v>20</v>
      </c>
      <c r="I616" s="573" t="s">
        <v>2924</v>
      </c>
      <c r="J616" s="573">
        <v>43620</v>
      </c>
      <c r="K616" s="576" t="s">
        <v>3809</v>
      </c>
      <c r="L616" s="572"/>
      <c r="M616" s="572"/>
      <c r="N616" s="572"/>
      <c r="O616" s="572"/>
      <c r="P616" s="572"/>
      <c r="Q616" s="572"/>
      <c r="R616" s="572"/>
      <c r="S616" s="572"/>
      <c r="T616" s="572"/>
      <c r="U616" s="572"/>
      <c r="V616" s="572"/>
      <c r="W616" s="572"/>
      <c r="X616" s="572"/>
      <c r="Y616" s="572"/>
      <c r="Z616" s="572"/>
      <c r="AA616" s="572"/>
      <c r="AB616" s="572"/>
      <c r="AC616" s="572"/>
      <c r="AD616" s="572"/>
      <c r="AE616" s="572"/>
      <c r="AF616" s="572"/>
      <c r="AG616" s="572"/>
      <c r="AH616" s="572"/>
      <c r="AI616" s="572"/>
      <c r="AJ616" s="572"/>
      <c r="AK616" s="572"/>
      <c r="AL616" s="572"/>
      <c r="AM616" s="572"/>
      <c r="AN616" s="572"/>
      <c r="AO616" s="572"/>
      <c r="AP616" s="572"/>
      <c r="AQ616" s="572"/>
      <c r="AR616" s="572"/>
      <c r="AS616" s="572"/>
      <c r="AT616" s="572"/>
      <c r="AU616" s="572"/>
    </row>
    <row r="617" spans="1:47" ht="15.75" customHeight="1">
      <c r="A617" s="573">
        <v>44482</v>
      </c>
      <c r="B617" s="574" t="s">
        <v>6386</v>
      </c>
      <c r="C617" s="563" t="s">
        <v>2921</v>
      </c>
      <c r="D617" s="563" t="s">
        <v>3110</v>
      </c>
      <c r="E617" s="575">
        <v>13.08</v>
      </c>
      <c r="F617" s="563" t="s">
        <v>3123</v>
      </c>
      <c r="G617" s="573" t="s">
        <v>2923</v>
      </c>
      <c r="H617" s="573" t="s">
        <v>20</v>
      </c>
      <c r="I617" s="573" t="s">
        <v>2924</v>
      </c>
      <c r="J617" s="573">
        <v>43675</v>
      </c>
      <c r="K617" s="576" t="s">
        <v>4188</v>
      </c>
      <c r="L617" s="572"/>
      <c r="M617" s="572"/>
      <c r="N617" s="572"/>
      <c r="O617" s="572"/>
      <c r="P617" s="572"/>
      <c r="Q617" s="572"/>
      <c r="R617" s="572"/>
      <c r="S617" s="572"/>
      <c r="T617" s="572"/>
      <c r="U617" s="572"/>
      <c r="V617" s="572"/>
      <c r="W617" s="572"/>
      <c r="X617" s="572"/>
      <c r="Y617" s="572"/>
      <c r="Z617" s="572"/>
      <c r="AA617" s="572"/>
      <c r="AB617" s="572"/>
      <c r="AC617" s="572"/>
      <c r="AD617" s="572"/>
      <c r="AE617" s="572"/>
      <c r="AF617" s="572"/>
      <c r="AG617" s="572"/>
      <c r="AH617" s="572"/>
      <c r="AI617" s="572"/>
      <c r="AJ617" s="572"/>
      <c r="AK617" s="572"/>
      <c r="AL617" s="572"/>
      <c r="AM617" s="572"/>
      <c r="AN617" s="572"/>
      <c r="AO617" s="572"/>
      <c r="AP617" s="572"/>
      <c r="AQ617" s="572"/>
      <c r="AR617" s="572"/>
      <c r="AS617" s="572"/>
      <c r="AT617" s="572"/>
      <c r="AU617" s="572"/>
    </row>
    <row r="618" spans="1:47" ht="15.75" customHeight="1">
      <c r="A618" s="573">
        <v>44482</v>
      </c>
      <c r="B618" s="574" t="s">
        <v>6586</v>
      </c>
      <c r="C618" s="563" t="s">
        <v>2921</v>
      </c>
      <c r="D618" s="563" t="s">
        <v>3110</v>
      </c>
      <c r="E618" s="575"/>
      <c r="F618" s="563" t="s">
        <v>3104</v>
      </c>
      <c r="G618" s="573" t="s">
        <v>2923</v>
      </c>
      <c r="H618" s="573" t="s">
        <v>20</v>
      </c>
      <c r="I618" s="573" t="s">
        <v>2923</v>
      </c>
      <c r="J618" s="573" t="s">
        <v>3638</v>
      </c>
      <c r="K618" s="576" t="s">
        <v>3795</v>
      </c>
      <c r="L618" s="572"/>
      <c r="M618" s="572"/>
      <c r="N618" s="572"/>
      <c r="O618" s="572"/>
      <c r="P618" s="572"/>
      <c r="Q618" s="572"/>
      <c r="R618" s="572"/>
      <c r="S618" s="572"/>
      <c r="T618" s="572"/>
      <c r="U618" s="572"/>
      <c r="V618" s="572"/>
      <c r="W618" s="572"/>
      <c r="X618" s="572"/>
      <c r="Y618" s="572"/>
      <c r="Z618" s="572"/>
      <c r="AA618" s="572"/>
      <c r="AB618" s="572"/>
      <c r="AC618" s="572"/>
      <c r="AD618" s="572"/>
      <c r="AE618" s="572"/>
      <c r="AF618" s="572"/>
      <c r="AG618" s="572"/>
      <c r="AH618" s="572"/>
      <c r="AI618" s="572"/>
      <c r="AJ618" s="572"/>
      <c r="AK618" s="572"/>
      <c r="AL618" s="572"/>
      <c r="AM618" s="572"/>
      <c r="AN618" s="572"/>
      <c r="AO618" s="572"/>
      <c r="AP618" s="572"/>
      <c r="AQ618" s="572"/>
      <c r="AR618" s="572"/>
      <c r="AS618" s="572"/>
      <c r="AT618" s="572"/>
      <c r="AU618" s="572"/>
    </row>
    <row r="619" spans="1:47" ht="15.75" customHeight="1">
      <c r="A619" s="573">
        <v>44482</v>
      </c>
      <c r="B619" s="574" t="s">
        <v>6464</v>
      </c>
      <c r="C619" s="563" t="s">
        <v>2921</v>
      </c>
      <c r="D619" s="563" t="s">
        <v>3110</v>
      </c>
      <c r="E619" s="575">
        <v>3049.18</v>
      </c>
      <c r="F619" s="563" t="s">
        <v>3076</v>
      </c>
      <c r="G619" s="573" t="s">
        <v>2923</v>
      </c>
      <c r="H619" s="573" t="s">
        <v>20</v>
      </c>
      <c r="I619" s="573" t="s">
        <v>2923</v>
      </c>
      <c r="J619" s="573">
        <v>44124</v>
      </c>
      <c r="K619" s="576" t="s">
        <v>3795</v>
      </c>
      <c r="L619" s="572"/>
      <c r="M619" s="572"/>
      <c r="N619" s="572"/>
      <c r="O619" s="572"/>
      <c r="P619" s="572"/>
      <c r="Q619" s="572"/>
      <c r="R619" s="572"/>
      <c r="S619" s="572"/>
      <c r="T619" s="572"/>
      <c r="U619" s="572"/>
      <c r="V619" s="572"/>
      <c r="W619" s="572"/>
      <c r="X619" s="572"/>
      <c r="Y619" s="572"/>
      <c r="Z619" s="572"/>
      <c r="AA619" s="572"/>
      <c r="AB619" s="572"/>
      <c r="AC619" s="572"/>
      <c r="AD619" s="572"/>
      <c r="AE619" s="572"/>
      <c r="AF619" s="572"/>
      <c r="AG619" s="572"/>
      <c r="AH619" s="572"/>
      <c r="AI619" s="572"/>
      <c r="AJ619" s="572"/>
      <c r="AK619" s="572"/>
      <c r="AL619" s="572"/>
      <c r="AM619" s="572"/>
      <c r="AN619" s="572"/>
      <c r="AO619" s="572"/>
      <c r="AP619" s="572"/>
      <c r="AQ619" s="572"/>
      <c r="AR619" s="572"/>
      <c r="AS619" s="572"/>
      <c r="AT619" s="572"/>
      <c r="AU619" s="572"/>
    </row>
    <row r="620" spans="1:47" ht="15.75" customHeight="1">
      <c r="A620" s="573">
        <v>44482</v>
      </c>
      <c r="B620" s="574" t="s">
        <v>6463</v>
      </c>
      <c r="C620" s="563" t="s">
        <v>2921</v>
      </c>
      <c r="D620" s="563" t="s">
        <v>3110</v>
      </c>
      <c r="E620" s="575">
        <v>693.98</v>
      </c>
      <c r="F620" s="563" t="s">
        <v>3078</v>
      </c>
      <c r="G620" s="573" t="s">
        <v>2923</v>
      </c>
      <c r="H620" s="573" t="s">
        <v>20</v>
      </c>
      <c r="I620" s="573" t="s">
        <v>2923</v>
      </c>
      <c r="J620" s="573">
        <v>44118</v>
      </c>
      <c r="K620" s="576" t="s">
        <v>3795</v>
      </c>
      <c r="L620" s="572"/>
      <c r="M620" s="572"/>
      <c r="N620" s="572"/>
      <c r="O620" s="572"/>
      <c r="P620" s="572"/>
      <c r="Q620" s="572"/>
      <c r="R620" s="572"/>
      <c r="S620" s="572"/>
      <c r="T620" s="572"/>
      <c r="U620" s="572"/>
      <c r="V620" s="572"/>
      <c r="W620" s="572"/>
      <c r="X620" s="572"/>
      <c r="Y620" s="572"/>
      <c r="Z620" s="572"/>
      <c r="AA620" s="572"/>
      <c r="AB620" s="572"/>
      <c r="AC620" s="572"/>
      <c r="AD620" s="572"/>
      <c r="AE620" s="572"/>
      <c r="AF620" s="572"/>
      <c r="AG620" s="572"/>
      <c r="AH620" s="572"/>
      <c r="AI620" s="572"/>
      <c r="AJ620" s="572"/>
      <c r="AK620" s="572"/>
      <c r="AL620" s="572"/>
      <c r="AM620" s="572"/>
      <c r="AN620" s="572"/>
      <c r="AO620" s="572"/>
      <c r="AP620" s="572"/>
      <c r="AQ620" s="572"/>
      <c r="AR620" s="572"/>
      <c r="AS620" s="572"/>
      <c r="AT620" s="572"/>
      <c r="AU620" s="572"/>
    </row>
    <row r="621" spans="1:47" ht="15.75" customHeight="1">
      <c r="A621" s="573">
        <v>44482</v>
      </c>
      <c r="B621" s="574" t="s">
        <v>6587</v>
      </c>
      <c r="C621" s="563" t="s">
        <v>2921</v>
      </c>
      <c r="D621" s="563" t="s">
        <v>3110</v>
      </c>
      <c r="E621" s="575"/>
      <c r="F621" s="563" t="s">
        <v>3057</v>
      </c>
      <c r="G621" s="573" t="s">
        <v>2923</v>
      </c>
      <c r="H621" s="573" t="s">
        <v>20</v>
      </c>
      <c r="I621" s="573" t="s">
        <v>2930</v>
      </c>
      <c r="J621" s="573">
        <v>43609</v>
      </c>
      <c r="K621" s="576" t="s">
        <v>3809</v>
      </c>
      <c r="L621" s="572"/>
      <c r="M621" s="572"/>
      <c r="N621" s="572"/>
      <c r="O621" s="572"/>
      <c r="P621" s="572"/>
      <c r="Q621" s="572"/>
      <c r="R621" s="572"/>
      <c r="S621" s="572"/>
      <c r="T621" s="572"/>
      <c r="U621" s="572"/>
      <c r="V621" s="572"/>
      <c r="W621" s="572"/>
      <c r="X621" s="572"/>
      <c r="Y621" s="572"/>
      <c r="Z621" s="572"/>
      <c r="AA621" s="572"/>
      <c r="AB621" s="572"/>
      <c r="AC621" s="572"/>
      <c r="AD621" s="572"/>
      <c r="AE621" s="572"/>
      <c r="AF621" s="572"/>
      <c r="AG621" s="572"/>
      <c r="AH621" s="572"/>
      <c r="AI621" s="572"/>
      <c r="AJ621" s="572"/>
      <c r="AK621" s="572"/>
      <c r="AL621" s="572"/>
      <c r="AM621" s="572"/>
      <c r="AN621" s="572"/>
      <c r="AO621" s="572"/>
      <c r="AP621" s="572"/>
      <c r="AQ621" s="572"/>
      <c r="AR621" s="572"/>
      <c r="AS621" s="572"/>
      <c r="AT621" s="572"/>
      <c r="AU621" s="572"/>
    </row>
    <row r="622" spans="1:47" ht="15.75" customHeight="1">
      <c r="A622" s="573">
        <v>44482</v>
      </c>
      <c r="B622" s="574" t="s">
        <v>6588</v>
      </c>
      <c r="C622" s="563" t="s">
        <v>2921</v>
      </c>
      <c r="D622" s="563" t="s">
        <v>3110</v>
      </c>
      <c r="E622" s="575"/>
      <c r="F622" s="563" t="s">
        <v>3057</v>
      </c>
      <c r="G622" s="573" t="s">
        <v>2923</v>
      </c>
      <c r="H622" s="573" t="s">
        <v>20</v>
      </c>
      <c r="I622" s="573" t="s">
        <v>2930</v>
      </c>
      <c r="J622" s="573">
        <v>43609</v>
      </c>
      <c r="K622" s="576" t="s">
        <v>3805</v>
      </c>
      <c r="L622" s="572"/>
      <c r="M622" s="572"/>
      <c r="N622" s="572"/>
      <c r="O622" s="572"/>
      <c r="P622" s="572"/>
      <c r="Q622" s="572"/>
      <c r="R622" s="572"/>
      <c r="S622" s="572"/>
      <c r="T622" s="572"/>
      <c r="U622" s="572"/>
      <c r="V622" s="572"/>
      <c r="W622" s="572"/>
      <c r="X622" s="572"/>
      <c r="Y622" s="572"/>
      <c r="Z622" s="572"/>
      <c r="AA622" s="572"/>
      <c r="AB622" s="572"/>
      <c r="AC622" s="572"/>
      <c r="AD622" s="572"/>
      <c r="AE622" s="572"/>
      <c r="AF622" s="572"/>
      <c r="AG622" s="572"/>
      <c r="AH622" s="572"/>
      <c r="AI622" s="572"/>
      <c r="AJ622" s="572"/>
      <c r="AK622" s="572"/>
      <c r="AL622" s="572"/>
      <c r="AM622" s="572"/>
      <c r="AN622" s="572"/>
      <c r="AO622" s="572"/>
      <c r="AP622" s="572"/>
      <c r="AQ622" s="572"/>
      <c r="AR622" s="572"/>
      <c r="AS622" s="572"/>
      <c r="AT622" s="572"/>
      <c r="AU622" s="572"/>
    </row>
    <row r="623" spans="1:47" ht="15.75" customHeight="1">
      <c r="A623" s="573">
        <v>44482</v>
      </c>
      <c r="B623" s="574" t="s">
        <v>6589</v>
      </c>
      <c r="C623" s="563" t="s">
        <v>2921</v>
      </c>
      <c r="D623" s="563" t="s">
        <v>3110</v>
      </c>
      <c r="E623" s="575"/>
      <c r="F623" s="563"/>
      <c r="G623" s="573"/>
      <c r="H623" s="573"/>
      <c r="I623" s="573"/>
      <c r="J623" s="573"/>
      <c r="K623" s="576"/>
      <c r="L623" s="572"/>
      <c r="M623" s="572"/>
      <c r="N623" s="572"/>
      <c r="O623" s="572"/>
      <c r="P623" s="572"/>
      <c r="Q623" s="572"/>
      <c r="R623" s="572"/>
      <c r="S623" s="572"/>
      <c r="T623" s="572"/>
      <c r="U623" s="572"/>
      <c r="V623" s="572"/>
      <c r="W623" s="572"/>
      <c r="X623" s="572"/>
      <c r="Y623" s="572"/>
      <c r="Z623" s="572"/>
      <c r="AA623" s="572"/>
      <c r="AB623" s="572"/>
      <c r="AC623" s="572"/>
      <c r="AD623" s="572"/>
      <c r="AE623" s="572"/>
      <c r="AF623" s="572"/>
      <c r="AG623" s="572"/>
      <c r="AH623" s="572"/>
      <c r="AI623" s="572"/>
      <c r="AJ623" s="572"/>
      <c r="AK623" s="572"/>
      <c r="AL623" s="572"/>
      <c r="AM623" s="572"/>
      <c r="AN623" s="572"/>
      <c r="AO623" s="572"/>
      <c r="AP623" s="572"/>
      <c r="AQ623" s="572"/>
      <c r="AR623" s="572"/>
      <c r="AS623" s="572"/>
      <c r="AT623" s="572"/>
      <c r="AU623" s="572"/>
    </row>
    <row r="624" spans="1:47" ht="15.75" customHeight="1">
      <c r="A624" s="573">
        <v>44482</v>
      </c>
      <c r="B624" s="574" t="s">
        <v>6590</v>
      </c>
      <c r="C624" s="563" t="s">
        <v>2921</v>
      </c>
      <c r="D624" s="563" t="s">
        <v>3110</v>
      </c>
      <c r="E624" s="575"/>
      <c r="F624" s="563" t="s">
        <v>2952</v>
      </c>
      <c r="G624" s="573" t="s">
        <v>2923</v>
      </c>
      <c r="H624" s="573" t="s">
        <v>20</v>
      </c>
      <c r="I624" s="573" t="s">
        <v>2924</v>
      </c>
      <c r="J624" s="573" t="s">
        <v>3638</v>
      </c>
      <c r="K624" s="576" t="s">
        <v>3795</v>
      </c>
      <c r="L624" s="572"/>
      <c r="M624" s="572"/>
      <c r="N624" s="572"/>
      <c r="O624" s="572"/>
      <c r="P624" s="572"/>
      <c r="Q624" s="572"/>
      <c r="R624" s="572"/>
      <c r="S624" s="572"/>
      <c r="T624" s="572"/>
      <c r="U624" s="572"/>
      <c r="V624" s="572"/>
      <c r="W624" s="572"/>
      <c r="X624" s="572"/>
      <c r="Y624" s="572"/>
      <c r="Z624" s="572"/>
      <c r="AA624" s="572"/>
      <c r="AB624" s="572"/>
      <c r="AC624" s="572"/>
      <c r="AD624" s="572"/>
      <c r="AE624" s="572"/>
      <c r="AF624" s="572"/>
      <c r="AG624" s="572"/>
      <c r="AH624" s="572"/>
      <c r="AI624" s="572"/>
      <c r="AJ624" s="572"/>
      <c r="AK624" s="572"/>
      <c r="AL624" s="572"/>
      <c r="AM624" s="572"/>
      <c r="AN624" s="572"/>
      <c r="AO624" s="572"/>
      <c r="AP624" s="572"/>
      <c r="AQ624" s="572"/>
      <c r="AR624" s="572"/>
      <c r="AS624" s="572"/>
      <c r="AT624" s="572"/>
      <c r="AU624" s="572"/>
    </row>
    <row r="625" spans="1:47" ht="15.75" customHeight="1">
      <c r="A625" s="573">
        <v>44482</v>
      </c>
      <c r="B625" s="574" t="s">
        <v>6435</v>
      </c>
      <c r="C625" s="563" t="s">
        <v>3785</v>
      </c>
      <c r="D625" s="563" t="s">
        <v>3110</v>
      </c>
      <c r="E625" s="575">
        <v>0</v>
      </c>
      <c r="F625" s="563" t="s">
        <v>5237</v>
      </c>
      <c r="G625" s="563" t="s">
        <v>64</v>
      </c>
      <c r="H625" s="563" t="s">
        <v>20</v>
      </c>
      <c r="I625" s="563" t="s">
        <v>5238</v>
      </c>
      <c r="J625" s="573">
        <v>44105</v>
      </c>
      <c r="K625" s="579" t="s">
        <v>3809</v>
      </c>
      <c r="L625" s="572"/>
      <c r="M625" s="572"/>
      <c r="N625" s="572"/>
      <c r="O625" s="572"/>
      <c r="P625" s="572"/>
      <c r="Q625" s="572"/>
      <c r="R625" s="572"/>
      <c r="S625" s="572"/>
      <c r="T625" s="572"/>
      <c r="U625" s="572"/>
      <c r="V625" s="572"/>
      <c r="W625" s="572"/>
      <c r="X625" s="572"/>
      <c r="Y625" s="572"/>
      <c r="Z625" s="572"/>
      <c r="AA625" s="572"/>
      <c r="AB625" s="572"/>
      <c r="AC625" s="572"/>
      <c r="AD625" s="572"/>
      <c r="AE625" s="572"/>
      <c r="AF625" s="572"/>
      <c r="AG625" s="572"/>
      <c r="AH625" s="572"/>
      <c r="AI625" s="572"/>
      <c r="AJ625" s="572"/>
      <c r="AK625" s="572"/>
      <c r="AL625" s="572"/>
      <c r="AM625" s="572"/>
      <c r="AN625" s="572"/>
      <c r="AO625" s="572"/>
      <c r="AP625" s="572"/>
      <c r="AQ625" s="572"/>
      <c r="AR625" s="572"/>
      <c r="AS625" s="572"/>
      <c r="AT625" s="572"/>
      <c r="AU625" s="572"/>
    </row>
    <row r="626" spans="1:47" ht="15.75" customHeight="1">
      <c r="A626" s="577">
        <v>44483</v>
      </c>
      <c r="B626" s="605" t="s">
        <v>6403</v>
      </c>
      <c r="C626" s="563" t="s">
        <v>2921</v>
      </c>
      <c r="D626" s="563" t="s">
        <v>928</v>
      </c>
      <c r="E626" s="606">
        <v>73572.75</v>
      </c>
      <c r="F626" s="563" t="s">
        <v>3197</v>
      </c>
      <c r="G626" s="573" t="s">
        <v>2923</v>
      </c>
      <c r="H626" s="573" t="s">
        <v>20</v>
      </c>
      <c r="I626" s="573" t="s">
        <v>2924</v>
      </c>
      <c r="J626" s="573">
        <v>43875</v>
      </c>
      <c r="K626" s="576" t="s">
        <v>3805</v>
      </c>
      <c r="L626" s="572"/>
      <c r="M626" s="572"/>
      <c r="N626" s="572"/>
      <c r="O626" s="572"/>
      <c r="P626" s="572"/>
      <c r="Q626" s="572"/>
      <c r="R626" s="572"/>
      <c r="S626" s="572"/>
      <c r="T626" s="572"/>
      <c r="U626" s="572"/>
      <c r="V626" s="572"/>
      <c r="W626" s="572"/>
      <c r="X626" s="572"/>
      <c r="Y626" s="572"/>
      <c r="Z626" s="572"/>
      <c r="AA626" s="572"/>
      <c r="AB626" s="572"/>
      <c r="AC626" s="572"/>
      <c r="AD626" s="572"/>
      <c r="AE626" s="572"/>
      <c r="AF626" s="572"/>
      <c r="AG626" s="572"/>
      <c r="AH626" s="572"/>
      <c r="AI626" s="572"/>
      <c r="AJ626" s="572"/>
      <c r="AK626" s="572"/>
      <c r="AL626" s="572"/>
      <c r="AM626" s="572"/>
      <c r="AN626" s="572"/>
      <c r="AO626" s="572"/>
      <c r="AP626" s="572"/>
      <c r="AQ626" s="572"/>
      <c r="AR626" s="572"/>
      <c r="AS626" s="572"/>
      <c r="AT626" s="572"/>
      <c r="AU626" s="572"/>
    </row>
    <row r="627" spans="1:47" ht="15.75" customHeight="1">
      <c r="A627" s="577">
        <v>44483</v>
      </c>
      <c r="B627" s="605" t="s">
        <v>6409</v>
      </c>
      <c r="C627" s="563" t="s">
        <v>2921</v>
      </c>
      <c r="D627" s="563" t="s">
        <v>6341</v>
      </c>
      <c r="E627" s="602">
        <v>10000</v>
      </c>
      <c r="F627" s="563" t="s">
        <v>3257</v>
      </c>
      <c r="G627" s="573" t="s">
        <v>19</v>
      </c>
      <c r="H627" s="573" t="s">
        <v>34</v>
      </c>
      <c r="I627" s="573" t="s">
        <v>35</v>
      </c>
      <c r="J627" s="573">
        <v>44295</v>
      </c>
      <c r="K627" s="576" t="s">
        <v>3802</v>
      </c>
      <c r="L627" s="572"/>
      <c r="M627" s="572"/>
      <c r="N627" s="572"/>
      <c r="O627" s="572"/>
      <c r="P627" s="572"/>
      <c r="Q627" s="572"/>
      <c r="R627" s="572"/>
      <c r="S627" s="572"/>
      <c r="T627" s="572"/>
      <c r="U627" s="572"/>
      <c r="V627" s="572"/>
      <c r="W627" s="572"/>
      <c r="X627" s="572"/>
      <c r="Y627" s="572"/>
      <c r="Z627" s="572"/>
      <c r="AA627" s="572"/>
      <c r="AB627" s="572"/>
      <c r="AC627" s="572"/>
      <c r="AD627" s="572"/>
      <c r="AE627" s="572"/>
      <c r="AF627" s="572"/>
      <c r="AG627" s="572"/>
      <c r="AH627" s="572"/>
      <c r="AI627" s="572"/>
      <c r="AJ627" s="572"/>
      <c r="AK627" s="572"/>
      <c r="AL627" s="572"/>
      <c r="AM627" s="572"/>
      <c r="AN627" s="572"/>
      <c r="AO627" s="572"/>
      <c r="AP627" s="572"/>
      <c r="AQ627" s="572"/>
      <c r="AR627" s="572"/>
      <c r="AS627" s="572"/>
      <c r="AT627" s="572"/>
      <c r="AU627" s="572"/>
    </row>
    <row r="628" spans="1:47" ht="15.75" customHeight="1">
      <c r="A628" s="577">
        <v>44484</v>
      </c>
      <c r="B628" s="588" t="s">
        <v>6564</v>
      </c>
      <c r="C628" s="405" t="s">
        <v>2921</v>
      </c>
      <c r="D628" s="563" t="s">
        <v>3110</v>
      </c>
      <c r="E628" s="602">
        <v>161212.56</v>
      </c>
      <c r="F628" s="563" t="s">
        <v>3186</v>
      </c>
      <c r="G628" s="573" t="s">
        <v>19</v>
      </c>
      <c r="H628" s="573" t="s">
        <v>34</v>
      </c>
      <c r="I628" s="573" t="s">
        <v>262</v>
      </c>
      <c r="J628" s="573">
        <v>44319</v>
      </c>
      <c r="K628" s="576" t="s">
        <v>3789</v>
      </c>
      <c r="L628" s="572"/>
      <c r="M628" s="572"/>
      <c r="N628" s="572"/>
      <c r="O628" s="572"/>
      <c r="P628" s="572"/>
      <c r="Q628" s="572"/>
      <c r="R628" s="572"/>
      <c r="S628" s="572"/>
      <c r="T628" s="572"/>
      <c r="U628" s="572"/>
      <c r="V628" s="572"/>
      <c r="W628" s="572"/>
      <c r="X628" s="572"/>
      <c r="Y628" s="572"/>
      <c r="Z628" s="572"/>
      <c r="AA628" s="572"/>
      <c r="AB628" s="572"/>
      <c r="AC628" s="572"/>
      <c r="AD628" s="572"/>
      <c r="AE628" s="572"/>
      <c r="AF628" s="572"/>
      <c r="AG628" s="572"/>
      <c r="AH628" s="572"/>
      <c r="AI628" s="572"/>
      <c r="AJ628" s="572"/>
      <c r="AK628" s="572"/>
      <c r="AL628" s="572"/>
      <c r="AM628" s="572"/>
      <c r="AN628" s="572"/>
      <c r="AO628" s="572"/>
      <c r="AP628" s="572"/>
      <c r="AQ628" s="572"/>
      <c r="AR628" s="572"/>
      <c r="AS628" s="572"/>
      <c r="AT628" s="572"/>
      <c r="AU628" s="572"/>
    </row>
    <row r="629" spans="1:47" ht="15.75" customHeight="1">
      <c r="A629" s="573">
        <v>44484</v>
      </c>
      <c r="B629" s="574" t="s">
        <v>6591</v>
      </c>
      <c r="C629" s="563" t="s">
        <v>2921</v>
      </c>
      <c r="D629" s="563" t="s">
        <v>3110</v>
      </c>
      <c r="E629" s="575"/>
      <c r="F629" s="563" t="s">
        <v>3518</v>
      </c>
      <c r="G629" s="573" t="s">
        <v>2923</v>
      </c>
      <c r="H629" s="573" t="s">
        <v>20</v>
      </c>
      <c r="I629" s="573" t="s">
        <v>2930</v>
      </c>
      <c r="J629" s="573" t="s">
        <v>3638</v>
      </c>
      <c r="K629" s="576" t="s">
        <v>3805</v>
      </c>
      <c r="L629" s="572"/>
      <c r="M629" s="572"/>
      <c r="N629" s="572"/>
      <c r="O629" s="572"/>
      <c r="P629" s="572"/>
      <c r="Q629" s="572"/>
      <c r="R629" s="572"/>
      <c r="S629" s="572"/>
      <c r="T629" s="572"/>
      <c r="U629" s="572"/>
      <c r="V629" s="572"/>
      <c r="W629" s="572"/>
      <c r="X629" s="572"/>
      <c r="Y629" s="572"/>
      <c r="Z629" s="572"/>
      <c r="AA629" s="572"/>
      <c r="AB629" s="572"/>
      <c r="AC629" s="572"/>
      <c r="AD629" s="572"/>
      <c r="AE629" s="572"/>
      <c r="AF629" s="572"/>
      <c r="AG629" s="572"/>
      <c r="AH629" s="572"/>
      <c r="AI629" s="572"/>
      <c r="AJ629" s="572"/>
      <c r="AK629" s="572"/>
      <c r="AL629" s="572"/>
      <c r="AM629" s="572"/>
      <c r="AN629" s="572"/>
      <c r="AO629" s="572"/>
      <c r="AP629" s="572"/>
      <c r="AQ629" s="572"/>
      <c r="AR629" s="572"/>
      <c r="AS629" s="572"/>
      <c r="AT629" s="572"/>
      <c r="AU629" s="572"/>
    </row>
    <row r="630" spans="1:47" ht="15.75" customHeight="1">
      <c r="A630" s="573">
        <v>44484</v>
      </c>
      <c r="B630" s="574" t="s">
        <v>6592</v>
      </c>
      <c r="C630" s="563" t="s">
        <v>2921</v>
      </c>
      <c r="D630" s="563" t="s">
        <v>3110</v>
      </c>
      <c r="E630" s="575"/>
      <c r="F630" s="563" t="s">
        <v>3518</v>
      </c>
      <c r="G630" s="573" t="s">
        <v>2923</v>
      </c>
      <c r="H630" s="573" t="s">
        <v>20</v>
      </c>
      <c r="I630" s="573" t="s">
        <v>2930</v>
      </c>
      <c r="J630" s="573" t="s">
        <v>3638</v>
      </c>
      <c r="K630" s="576" t="s">
        <v>3809</v>
      </c>
      <c r="L630" s="572"/>
      <c r="M630" s="572"/>
      <c r="N630" s="572"/>
      <c r="O630" s="572"/>
      <c r="P630" s="572"/>
      <c r="Q630" s="572"/>
      <c r="R630" s="572"/>
      <c r="S630" s="572"/>
      <c r="T630" s="572"/>
      <c r="U630" s="572"/>
      <c r="V630" s="572"/>
      <c r="W630" s="572"/>
      <c r="X630" s="572"/>
      <c r="Y630" s="572"/>
      <c r="Z630" s="572"/>
      <c r="AA630" s="572"/>
      <c r="AB630" s="572"/>
      <c r="AC630" s="572"/>
      <c r="AD630" s="572"/>
      <c r="AE630" s="572"/>
      <c r="AF630" s="572"/>
      <c r="AG630" s="572"/>
      <c r="AH630" s="572"/>
      <c r="AI630" s="572"/>
      <c r="AJ630" s="572"/>
      <c r="AK630" s="572"/>
      <c r="AL630" s="572"/>
      <c r="AM630" s="572"/>
      <c r="AN630" s="572"/>
      <c r="AO630" s="572"/>
      <c r="AP630" s="572"/>
      <c r="AQ630" s="572"/>
      <c r="AR630" s="572"/>
      <c r="AS630" s="572"/>
      <c r="AT630" s="572"/>
      <c r="AU630" s="572"/>
    </row>
    <row r="631" spans="1:47" ht="15.75" customHeight="1">
      <c r="A631" s="573">
        <v>44484</v>
      </c>
      <c r="B631" s="578" t="s">
        <v>6439</v>
      </c>
      <c r="C631" s="563" t="s">
        <v>2921</v>
      </c>
      <c r="D631" s="563" t="s">
        <v>3110</v>
      </c>
      <c r="E631" s="575">
        <v>1.47</v>
      </c>
      <c r="F631" s="563" t="s">
        <v>3461</v>
      </c>
      <c r="G631" s="573" t="s">
        <v>2923</v>
      </c>
      <c r="H631" s="573" t="s">
        <v>20</v>
      </c>
      <c r="I631" s="573" t="s">
        <v>2930</v>
      </c>
      <c r="J631" s="573">
        <v>43861</v>
      </c>
      <c r="K631" s="576" t="s">
        <v>3805</v>
      </c>
      <c r="L631" s="572"/>
      <c r="M631" s="572"/>
      <c r="N631" s="572"/>
      <c r="O631" s="572"/>
      <c r="P631" s="572"/>
      <c r="Q631" s="572"/>
      <c r="R631" s="572"/>
      <c r="S631" s="572"/>
      <c r="T631" s="572"/>
      <c r="U631" s="572"/>
      <c r="V631" s="572"/>
      <c r="W631" s="572"/>
      <c r="X631" s="572"/>
      <c r="Y631" s="572"/>
      <c r="Z631" s="572"/>
      <c r="AA631" s="572"/>
      <c r="AB631" s="572"/>
      <c r="AC631" s="572"/>
      <c r="AD631" s="572"/>
      <c r="AE631" s="572"/>
      <c r="AF631" s="572"/>
      <c r="AG631" s="572"/>
      <c r="AH631" s="572"/>
      <c r="AI631" s="572"/>
      <c r="AJ631" s="572"/>
      <c r="AK631" s="572"/>
      <c r="AL631" s="572"/>
      <c r="AM631" s="572"/>
      <c r="AN631" s="572"/>
      <c r="AO631" s="572"/>
      <c r="AP631" s="572"/>
      <c r="AQ631" s="572"/>
      <c r="AR631" s="572"/>
      <c r="AS631" s="572"/>
      <c r="AT631" s="572"/>
      <c r="AU631" s="572"/>
    </row>
    <row r="632" spans="1:47" ht="15.75" customHeight="1">
      <c r="A632" s="573">
        <v>44484</v>
      </c>
      <c r="B632" s="574" t="s">
        <v>6400</v>
      </c>
      <c r="C632" s="563" t="s">
        <v>2921</v>
      </c>
      <c r="D632" s="563" t="s">
        <v>3110</v>
      </c>
      <c r="E632" s="575">
        <v>2.93</v>
      </c>
      <c r="F632" s="563" t="s">
        <v>3373</v>
      </c>
      <c r="G632" s="573" t="s">
        <v>2923</v>
      </c>
      <c r="H632" s="573" t="s">
        <v>20</v>
      </c>
      <c r="I632" s="573" t="s">
        <v>2930</v>
      </c>
      <c r="J632" s="573">
        <v>43622</v>
      </c>
      <c r="K632" s="576" t="s">
        <v>3805</v>
      </c>
      <c r="L632" s="572"/>
      <c r="M632" s="572"/>
      <c r="N632" s="572"/>
      <c r="O632" s="572"/>
      <c r="P632" s="572"/>
      <c r="Q632" s="572"/>
      <c r="R632" s="572"/>
      <c r="S632" s="572"/>
      <c r="T632" s="572"/>
      <c r="U632" s="572"/>
      <c r="V632" s="572"/>
      <c r="W632" s="572"/>
      <c r="X632" s="572"/>
      <c r="Y632" s="572"/>
      <c r="Z632" s="572"/>
      <c r="AA632" s="572"/>
      <c r="AB632" s="572"/>
      <c r="AC632" s="572"/>
      <c r="AD632" s="572"/>
      <c r="AE632" s="572"/>
      <c r="AF632" s="572"/>
      <c r="AG632" s="572"/>
      <c r="AH632" s="572"/>
      <c r="AI632" s="572"/>
      <c r="AJ632" s="572"/>
      <c r="AK632" s="572"/>
      <c r="AL632" s="572"/>
      <c r="AM632" s="572"/>
      <c r="AN632" s="572"/>
      <c r="AO632" s="572"/>
      <c r="AP632" s="572"/>
      <c r="AQ632" s="572"/>
      <c r="AR632" s="572"/>
      <c r="AS632" s="572"/>
      <c r="AT632" s="572"/>
      <c r="AU632" s="572"/>
    </row>
    <row r="633" spans="1:47" ht="15.75" customHeight="1">
      <c r="A633" s="573">
        <v>44484</v>
      </c>
      <c r="B633" s="574" t="s">
        <v>6593</v>
      </c>
      <c r="C633" s="563" t="s">
        <v>2921</v>
      </c>
      <c r="D633" s="563" t="s">
        <v>3110</v>
      </c>
      <c r="E633" s="575"/>
      <c r="F633" s="563" t="s">
        <v>3373</v>
      </c>
      <c r="G633" s="573" t="s">
        <v>2923</v>
      </c>
      <c r="H633" s="573" t="s">
        <v>20</v>
      </c>
      <c r="I633" s="573" t="s">
        <v>2930</v>
      </c>
      <c r="J633" s="573">
        <v>43622</v>
      </c>
      <c r="K633" s="576" t="s">
        <v>3795</v>
      </c>
      <c r="L633" s="572"/>
      <c r="M633" s="572"/>
      <c r="N633" s="572"/>
      <c r="O633" s="572"/>
      <c r="P633" s="572"/>
      <c r="Q633" s="572"/>
      <c r="R633" s="572"/>
      <c r="S633" s="572"/>
      <c r="T633" s="572"/>
      <c r="U633" s="572"/>
      <c r="V633" s="572"/>
      <c r="W633" s="572"/>
      <c r="X633" s="572"/>
      <c r="Y633" s="572"/>
      <c r="Z633" s="572"/>
      <c r="AA633" s="572"/>
      <c r="AB633" s="572"/>
      <c r="AC633" s="572"/>
      <c r="AD633" s="572"/>
      <c r="AE633" s="572"/>
      <c r="AF633" s="572"/>
      <c r="AG633" s="572"/>
      <c r="AH633" s="572"/>
      <c r="AI633" s="572"/>
      <c r="AJ633" s="572"/>
      <c r="AK633" s="572"/>
      <c r="AL633" s="572"/>
      <c r="AM633" s="572"/>
      <c r="AN633" s="572"/>
      <c r="AO633" s="572"/>
      <c r="AP633" s="572"/>
      <c r="AQ633" s="572"/>
      <c r="AR633" s="572"/>
      <c r="AS633" s="572"/>
      <c r="AT633" s="572"/>
      <c r="AU633" s="572"/>
    </row>
    <row r="634" spans="1:47" ht="15.75" customHeight="1">
      <c r="A634" s="573">
        <v>44484</v>
      </c>
      <c r="B634" s="578" t="s">
        <v>6482</v>
      </c>
      <c r="C634" s="563" t="s">
        <v>2921</v>
      </c>
      <c r="D634" s="563" t="s">
        <v>3110</v>
      </c>
      <c r="E634" s="575">
        <v>0.22</v>
      </c>
      <c r="F634" s="563" t="s">
        <v>3345</v>
      </c>
      <c r="G634" s="573" t="s">
        <v>2923</v>
      </c>
      <c r="H634" s="573" t="s">
        <v>20</v>
      </c>
      <c r="I634" s="573" t="s">
        <v>2923</v>
      </c>
      <c r="J634" s="573">
        <v>44036</v>
      </c>
      <c r="K634" s="576" t="s">
        <v>3805</v>
      </c>
      <c r="L634" s="572"/>
      <c r="M634" s="572"/>
      <c r="N634" s="572"/>
      <c r="O634" s="572"/>
      <c r="P634" s="572"/>
      <c r="Q634" s="572"/>
      <c r="R634" s="572"/>
      <c r="S634" s="572"/>
      <c r="T634" s="572"/>
      <c r="U634" s="572"/>
      <c r="V634" s="572"/>
      <c r="W634" s="572"/>
      <c r="X634" s="572"/>
      <c r="Y634" s="572"/>
      <c r="Z634" s="572"/>
      <c r="AA634" s="572"/>
      <c r="AB634" s="572"/>
      <c r="AC634" s="572"/>
      <c r="AD634" s="572"/>
      <c r="AE634" s="572"/>
      <c r="AF634" s="572"/>
      <c r="AG634" s="572"/>
      <c r="AH634" s="572"/>
      <c r="AI634" s="572"/>
      <c r="AJ634" s="572"/>
      <c r="AK634" s="572"/>
      <c r="AL634" s="572"/>
      <c r="AM634" s="572"/>
      <c r="AN634" s="572"/>
      <c r="AO634" s="572"/>
      <c r="AP634" s="572"/>
      <c r="AQ634" s="572"/>
      <c r="AR634" s="572"/>
      <c r="AS634" s="572"/>
      <c r="AT634" s="572"/>
      <c r="AU634" s="572"/>
    </row>
    <row r="635" spans="1:47" ht="15.75" customHeight="1">
      <c r="A635" s="573">
        <v>44484</v>
      </c>
      <c r="B635" s="574" t="s">
        <v>6594</v>
      </c>
      <c r="C635" s="563" t="s">
        <v>2921</v>
      </c>
      <c r="D635" s="563" t="s">
        <v>3110</v>
      </c>
      <c r="E635" s="575"/>
      <c r="F635" s="563" t="s">
        <v>3310</v>
      </c>
      <c r="G635" s="573" t="s">
        <v>2923</v>
      </c>
      <c r="H635" s="573" t="s">
        <v>20</v>
      </c>
      <c r="I635" s="573" t="s">
        <v>2930</v>
      </c>
      <c r="J635" s="573" t="s">
        <v>3638</v>
      </c>
      <c r="K635" s="576" t="s">
        <v>3805</v>
      </c>
      <c r="L635" s="572"/>
      <c r="M635" s="572"/>
      <c r="N635" s="572"/>
      <c r="O635" s="572"/>
      <c r="P635" s="572"/>
      <c r="Q635" s="572"/>
      <c r="R635" s="572"/>
      <c r="S635" s="572"/>
      <c r="T635" s="572"/>
      <c r="U635" s="572"/>
      <c r="V635" s="572"/>
      <c r="W635" s="572"/>
      <c r="X635" s="572"/>
      <c r="Y635" s="572"/>
      <c r="Z635" s="572"/>
      <c r="AA635" s="572"/>
      <c r="AB635" s="572"/>
      <c r="AC635" s="572"/>
      <c r="AD635" s="572"/>
      <c r="AE635" s="572"/>
      <c r="AF635" s="572"/>
      <c r="AG635" s="572"/>
      <c r="AH635" s="572"/>
      <c r="AI635" s="572"/>
      <c r="AJ635" s="572"/>
      <c r="AK635" s="572"/>
      <c r="AL635" s="572"/>
      <c r="AM635" s="572"/>
      <c r="AN635" s="572"/>
      <c r="AO635" s="572"/>
      <c r="AP635" s="572"/>
      <c r="AQ635" s="572"/>
      <c r="AR635" s="572"/>
      <c r="AS635" s="572"/>
      <c r="AT635" s="572"/>
      <c r="AU635" s="572"/>
    </row>
    <row r="636" spans="1:47" ht="15.75" customHeight="1">
      <c r="A636" s="573">
        <v>44484</v>
      </c>
      <c r="B636" s="578" t="s">
        <v>6378</v>
      </c>
      <c r="C636" s="563" t="s">
        <v>2921</v>
      </c>
      <c r="D636" s="563" t="s">
        <v>3110</v>
      </c>
      <c r="E636" s="575">
        <v>146.69</v>
      </c>
      <c r="F636" s="563" t="s">
        <v>3291</v>
      </c>
      <c r="G636" s="573" t="s">
        <v>2923</v>
      </c>
      <c r="H636" s="573" t="s">
        <v>20</v>
      </c>
      <c r="I636" s="573" t="s">
        <v>2924</v>
      </c>
      <c r="J636" s="573">
        <v>43732</v>
      </c>
      <c r="K636" s="576" t="s">
        <v>4188</v>
      </c>
      <c r="L636" s="572"/>
      <c r="M636" s="572"/>
      <c r="N636" s="572"/>
      <c r="O636" s="572"/>
      <c r="P636" s="572"/>
      <c r="Q636" s="572"/>
      <c r="R636" s="572"/>
      <c r="S636" s="572"/>
      <c r="T636" s="572"/>
      <c r="U636" s="572"/>
      <c r="V636" s="572"/>
      <c r="W636" s="572"/>
      <c r="X636" s="572"/>
      <c r="Y636" s="572"/>
      <c r="Z636" s="572"/>
      <c r="AA636" s="572"/>
      <c r="AB636" s="572"/>
      <c r="AC636" s="572"/>
      <c r="AD636" s="572"/>
      <c r="AE636" s="572"/>
      <c r="AF636" s="572"/>
      <c r="AG636" s="572"/>
      <c r="AH636" s="572"/>
      <c r="AI636" s="572"/>
      <c r="AJ636" s="572"/>
      <c r="AK636" s="572"/>
      <c r="AL636" s="572"/>
      <c r="AM636" s="572"/>
      <c r="AN636" s="572"/>
      <c r="AO636" s="572"/>
      <c r="AP636" s="572"/>
      <c r="AQ636" s="572"/>
      <c r="AR636" s="572"/>
      <c r="AS636" s="572"/>
      <c r="AT636" s="572"/>
      <c r="AU636" s="572"/>
    </row>
    <row r="637" spans="1:47" ht="15.75" customHeight="1">
      <c r="A637" s="573">
        <v>44484</v>
      </c>
      <c r="B637" s="574" t="s">
        <v>6595</v>
      </c>
      <c r="C637" s="563" t="s">
        <v>2921</v>
      </c>
      <c r="D637" s="563" t="s">
        <v>3110</v>
      </c>
      <c r="E637" s="575">
        <v>78</v>
      </c>
      <c r="F637" s="563" t="s">
        <v>3255</v>
      </c>
      <c r="G637" s="573" t="s">
        <v>2923</v>
      </c>
      <c r="H637" s="573" t="s">
        <v>20</v>
      </c>
      <c r="I637" s="573" t="s">
        <v>2930</v>
      </c>
      <c r="J637" s="573">
        <v>43853</v>
      </c>
      <c r="K637" s="576" t="s">
        <v>3795</v>
      </c>
      <c r="L637" s="572"/>
      <c r="M637" s="572"/>
      <c r="N637" s="572"/>
      <c r="O637" s="572"/>
      <c r="P637" s="572"/>
      <c r="Q637" s="572"/>
      <c r="R637" s="572"/>
      <c r="S637" s="572"/>
      <c r="T637" s="572"/>
      <c r="U637" s="572"/>
      <c r="V637" s="572"/>
      <c r="W637" s="572"/>
      <c r="X637" s="572"/>
      <c r="Y637" s="572"/>
      <c r="Z637" s="572"/>
      <c r="AA637" s="572"/>
      <c r="AB637" s="572"/>
      <c r="AC637" s="572"/>
      <c r="AD637" s="572"/>
      <c r="AE637" s="572"/>
      <c r="AF637" s="572"/>
      <c r="AG637" s="572"/>
      <c r="AH637" s="572"/>
      <c r="AI637" s="572"/>
      <c r="AJ637" s="572"/>
      <c r="AK637" s="572"/>
      <c r="AL637" s="572"/>
      <c r="AM637" s="572"/>
      <c r="AN637" s="572"/>
      <c r="AO637" s="572"/>
      <c r="AP637" s="572"/>
      <c r="AQ637" s="572"/>
      <c r="AR637" s="572"/>
      <c r="AS637" s="572"/>
      <c r="AT637" s="572"/>
      <c r="AU637" s="572"/>
    </row>
    <row r="638" spans="1:47" ht="15.75" customHeight="1">
      <c r="A638" s="577">
        <v>44488</v>
      </c>
      <c r="B638" s="607" t="s">
        <v>6596</v>
      </c>
      <c r="C638" s="405" t="s">
        <v>3785</v>
      </c>
      <c r="D638" s="563" t="s">
        <v>928</v>
      </c>
      <c r="E638" s="602">
        <v>44080.95</v>
      </c>
      <c r="F638" s="563" t="s">
        <v>4260</v>
      </c>
      <c r="G638" s="563" t="s">
        <v>64</v>
      </c>
      <c r="H638" s="563" t="s">
        <v>20</v>
      </c>
      <c r="I638" s="563" t="s">
        <v>6597</v>
      </c>
      <c r="J638" s="573">
        <v>44537</v>
      </c>
      <c r="K638" s="579" t="s">
        <v>3789</v>
      </c>
      <c r="L638" s="572"/>
      <c r="M638" s="572"/>
      <c r="N638" s="572"/>
      <c r="O638" s="572"/>
      <c r="P638" s="572"/>
      <c r="Q638" s="572"/>
      <c r="R638" s="572"/>
      <c r="S638" s="572"/>
      <c r="T638" s="572"/>
      <c r="U638" s="572"/>
      <c r="V638" s="572"/>
      <c r="W638" s="572"/>
      <c r="X638" s="572"/>
      <c r="Y638" s="572"/>
      <c r="Z638" s="572"/>
      <c r="AA638" s="572"/>
      <c r="AB638" s="572"/>
      <c r="AC638" s="572"/>
      <c r="AD638" s="572"/>
      <c r="AE638" s="572"/>
      <c r="AF638" s="572"/>
      <c r="AG638" s="572"/>
      <c r="AH638" s="572"/>
      <c r="AI638" s="572"/>
      <c r="AJ638" s="572"/>
      <c r="AK638" s="572"/>
      <c r="AL638" s="572"/>
      <c r="AM638" s="572"/>
      <c r="AN638" s="572"/>
      <c r="AO638" s="572"/>
      <c r="AP638" s="572"/>
      <c r="AQ638" s="572"/>
      <c r="AR638" s="572"/>
      <c r="AS638" s="572"/>
      <c r="AT638" s="572"/>
      <c r="AU638" s="572"/>
    </row>
    <row r="639" spans="1:47" ht="15.75" customHeight="1">
      <c r="A639" s="577">
        <v>44489</v>
      </c>
      <c r="B639" s="605" t="s">
        <v>6576</v>
      </c>
      <c r="C639" s="405" t="s">
        <v>2921</v>
      </c>
      <c r="D639" s="563" t="s">
        <v>6341</v>
      </c>
      <c r="E639" s="602">
        <v>70000</v>
      </c>
      <c r="F639" s="563" t="s">
        <v>3085</v>
      </c>
      <c r="G639" s="573" t="s">
        <v>19</v>
      </c>
      <c r="H639" s="573" t="s">
        <v>34</v>
      </c>
      <c r="I639" s="573" t="s">
        <v>262</v>
      </c>
      <c r="J639" s="573">
        <v>44393</v>
      </c>
      <c r="K639" s="576" t="s">
        <v>4332</v>
      </c>
      <c r="L639" s="572"/>
      <c r="M639" s="572"/>
      <c r="N639" s="572"/>
      <c r="O639" s="572"/>
      <c r="P639" s="572"/>
      <c r="Q639" s="572"/>
      <c r="R639" s="572"/>
      <c r="S639" s="572"/>
      <c r="T639" s="572"/>
      <c r="U639" s="572"/>
      <c r="V639" s="572"/>
      <c r="W639" s="572"/>
      <c r="X639" s="572"/>
      <c r="Y639" s="572"/>
      <c r="Z639" s="572"/>
      <c r="AA639" s="572"/>
      <c r="AB639" s="572"/>
      <c r="AC639" s="572"/>
      <c r="AD639" s="572"/>
      <c r="AE639" s="572"/>
      <c r="AF639" s="572"/>
      <c r="AG639" s="572"/>
      <c r="AH639" s="572"/>
      <c r="AI639" s="572"/>
      <c r="AJ639" s="572"/>
      <c r="AK639" s="572"/>
      <c r="AL639" s="572"/>
      <c r="AM639" s="572"/>
      <c r="AN639" s="572"/>
      <c r="AO639" s="572"/>
      <c r="AP639" s="572"/>
      <c r="AQ639" s="572"/>
      <c r="AR639" s="572"/>
      <c r="AS639" s="572"/>
      <c r="AT639" s="572"/>
      <c r="AU639" s="572"/>
    </row>
    <row r="640" spans="1:47" ht="15.75" customHeight="1">
      <c r="A640" s="577">
        <v>44489</v>
      </c>
      <c r="B640" s="605" t="s">
        <v>6598</v>
      </c>
      <c r="C640" s="405" t="s">
        <v>3785</v>
      </c>
      <c r="D640" s="563" t="s">
        <v>6341</v>
      </c>
      <c r="E640" s="602">
        <v>100000</v>
      </c>
      <c r="F640" s="608" t="s">
        <v>3255</v>
      </c>
      <c r="G640" s="563" t="s">
        <v>2923</v>
      </c>
      <c r="H640" s="563" t="s">
        <v>20</v>
      </c>
      <c r="I640" s="563" t="s">
        <v>2923</v>
      </c>
      <c r="J640" s="563" t="s">
        <v>6599</v>
      </c>
      <c r="K640" s="579" t="s">
        <v>3805</v>
      </c>
      <c r="L640" s="572"/>
      <c r="M640" s="572"/>
      <c r="N640" s="572"/>
      <c r="O640" s="572"/>
      <c r="P640" s="572"/>
      <c r="Q640" s="572"/>
      <c r="R640" s="572"/>
      <c r="S640" s="572"/>
      <c r="T640" s="572"/>
      <c r="U640" s="572"/>
      <c r="V640" s="572"/>
      <c r="W640" s="572"/>
      <c r="X640" s="572"/>
      <c r="Y640" s="572"/>
      <c r="Z640" s="572"/>
      <c r="AA640" s="572"/>
      <c r="AB640" s="572"/>
      <c r="AC640" s="572"/>
      <c r="AD640" s="572"/>
      <c r="AE640" s="572"/>
      <c r="AF640" s="572"/>
      <c r="AG640" s="572"/>
      <c r="AH640" s="572"/>
      <c r="AI640" s="572"/>
      <c r="AJ640" s="572"/>
      <c r="AK640" s="572"/>
      <c r="AL640" s="572"/>
      <c r="AM640" s="572"/>
      <c r="AN640" s="572"/>
      <c r="AO640" s="572"/>
      <c r="AP640" s="572"/>
      <c r="AQ640" s="572"/>
      <c r="AR640" s="572"/>
      <c r="AS640" s="572"/>
      <c r="AT640" s="572"/>
      <c r="AU640" s="572"/>
    </row>
    <row r="641" spans="1:47" ht="15.75" customHeight="1">
      <c r="A641" s="577">
        <v>44489</v>
      </c>
      <c r="B641" s="585" t="s">
        <v>6600</v>
      </c>
      <c r="C641" s="405" t="s">
        <v>3785</v>
      </c>
      <c r="D641" s="563" t="s">
        <v>3110</v>
      </c>
      <c r="E641" s="602">
        <v>90625.34</v>
      </c>
      <c r="F641" s="563" t="s">
        <v>5074</v>
      </c>
      <c r="G641" s="563" t="s">
        <v>19</v>
      </c>
      <c r="H641" s="563" t="s">
        <v>49</v>
      </c>
      <c r="I641" s="563" t="s">
        <v>328</v>
      </c>
      <c r="J641" s="573">
        <v>44362</v>
      </c>
      <c r="K641" s="579" t="s">
        <v>3789</v>
      </c>
      <c r="L641" s="572"/>
      <c r="M641" s="572"/>
      <c r="N641" s="572"/>
      <c r="O641" s="572"/>
      <c r="P641" s="572"/>
      <c r="Q641" s="572"/>
      <c r="R641" s="572"/>
      <c r="S641" s="572"/>
      <c r="T641" s="572"/>
      <c r="U641" s="572"/>
      <c r="V641" s="572"/>
      <c r="W641" s="572"/>
      <c r="X641" s="572"/>
      <c r="Y641" s="572"/>
      <c r="Z641" s="572"/>
      <c r="AA641" s="572"/>
      <c r="AB641" s="572"/>
      <c r="AC641" s="572"/>
      <c r="AD641" s="572"/>
      <c r="AE641" s="572"/>
      <c r="AF641" s="572"/>
      <c r="AG641" s="572"/>
      <c r="AH641" s="572"/>
      <c r="AI641" s="572"/>
      <c r="AJ641" s="572"/>
      <c r="AK641" s="572"/>
      <c r="AL641" s="572"/>
      <c r="AM641" s="572"/>
      <c r="AN641" s="572"/>
      <c r="AO641" s="572"/>
      <c r="AP641" s="572"/>
      <c r="AQ641" s="572"/>
      <c r="AR641" s="572"/>
      <c r="AS641" s="572"/>
      <c r="AT641" s="572"/>
      <c r="AU641" s="572"/>
    </row>
    <row r="642" spans="1:47" ht="15.75" customHeight="1">
      <c r="A642" s="577">
        <v>44490</v>
      </c>
      <c r="B642" s="607" t="s">
        <v>6442</v>
      </c>
      <c r="C642" s="405" t="s">
        <v>3785</v>
      </c>
      <c r="D642" s="563" t="s">
        <v>6341</v>
      </c>
      <c r="E642" s="602">
        <v>16000</v>
      </c>
      <c r="F642" s="563" t="s">
        <v>5087</v>
      </c>
      <c r="G642" s="563" t="s">
        <v>64</v>
      </c>
      <c r="H642" s="563" t="s">
        <v>20</v>
      </c>
      <c r="I642" s="563" t="s">
        <v>4472</v>
      </c>
      <c r="J642" s="573">
        <v>44180</v>
      </c>
      <c r="K642" s="579" t="s">
        <v>3795</v>
      </c>
      <c r="L642" s="572"/>
      <c r="M642" s="572"/>
      <c r="N642" s="572"/>
      <c r="O642" s="572"/>
      <c r="P642" s="572"/>
      <c r="Q642" s="572"/>
      <c r="R642" s="572"/>
      <c r="S642" s="572"/>
      <c r="T642" s="572"/>
      <c r="U642" s="572"/>
      <c r="V642" s="572"/>
      <c r="W642" s="572"/>
      <c r="X642" s="572"/>
      <c r="Y642" s="572"/>
      <c r="Z642" s="572"/>
      <c r="AA642" s="572"/>
      <c r="AB642" s="572"/>
      <c r="AC642" s="572"/>
      <c r="AD642" s="572"/>
      <c r="AE642" s="572"/>
      <c r="AF642" s="572"/>
      <c r="AG642" s="572"/>
      <c r="AH642" s="572"/>
      <c r="AI642" s="572"/>
      <c r="AJ642" s="572"/>
      <c r="AK642" s="572"/>
      <c r="AL642" s="572"/>
      <c r="AM642" s="572"/>
      <c r="AN642" s="572"/>
      <c r="AO642" s="572"/>
      <c r="AP642" s="572"/>
      <c r="AQ642" s="572"/>
      <c r="AR642" s="572"/>
      <c r="AS642" s="572"/>
      <c r="AT642" s="572"/>
      <c r="AU642" s="572"/>
    </row>
    <row r="643" spans="1:47" ht="15.75" customHeight="1">
      <c r="A643" s="577">
        <v>44490</v>
      </c>
      <c r="B643" s="609" t="s">
        <v>6601</v>
      </c>
      <c r="C643" s="405" t="s">
        <v>3785</v>
      </c>
      <c r="D643" s="563" t="s">
        <v>3110</v>
      </c>
      <c r="E643" s="602">
        <v>661576.63</v>
      </c>
      <c r="F643" s="563" t="s">
        <v>5339</v>
      </c>
      <c r="G643" s="563" t="s">
        <v>64</v>
      </c>
      <c r="H643" s="563" t="s">
        <v>20</v>
      </c>
      <c r="I643" s="563" t="s">
        <v>4128</v>
      </c>
      <c r="J643" s="573">
        <v>44490</v>
      </c>
      <c r="K643" s="579" t="s">
        <v>3789</v>
      </c>
      <c r="L643" s="572"/>
      <c r="M643" s="572"/>
      <c r="N643" s="572"/>
      <c r="O643" s="572"/>
      <c r="P643" s="572"/>
      <c r="Q643" s="572"/>
      <c r="R643" s="572"/>
      <c r="S643" s="572"/>
      <c r="T643" s="572"/>
      <c r="U643" s="572"/>
      <c r="V643" s="572"/>
      <c r="W643" s="572"/>
      <c r="X643" s="572"/>
      <c r="Y643" s="572"/>
      <c r="Z643" s="572"/>
      <c r="AA643" s="572"/>
      <c r="AB643" s="572"/>
      <c r="AC643" s="572"/>
      <c r="AD643" s="572"/>
      <c r="AE643" s="572"/>
      <c r="AF643" s="572"/>
      <c r="AG643" s="572"/>
      <c r="AH643" s="572"/>
      <c r="AI643" s="572"/>
      <c r="AJ643" s="572"/>
      <c r="AK643" s="572"/>
      <c r="AL643" s="572"/>
      <c r="AM643" s="572"/>
      <c r="AN643" s="572"/>
      <c r="AO643" s="572"/>
      <c r="AP643" s="572"/>
      <c r="AQ643" s="572"/>
      <c r="AR643" s="572"/>
      <c r="AS643" s="572"/>
      <c r="AT643" s="572"/>
      <c r="AU643" s="572"/>
    </row>
    <row r="644" spans="1:47" ht="15.75" customHeight="1">
      <c r="A644" s="577">
        <v>44490</v>
      </c>
      <c r="B644" s="574" t="s">
        <v>6416</v>
      </c>
      <c r="C644" s="405" t="s">
        <v>2921</v>
      </c>
      <c r="D644" s="563" t="s">
        <v>3110</v>
      </c>
      <c r="E644" s="602">
        <v>1915</v>
      </c>
      <c r="F644" s="563" t="s">
        <v>3012</v>
      </c>
      <c r="G644" s="573" t="s">
        <v>2923</v>
      </c>
      <c r="H644" s="573" t="s">
        <v>20</v>
      </c>
      <c r="I644" s="573" t="s">
        <v>2924</v>
      </c>
      <c r="J644" s="573">
        <v>43725</v>
      </c>
      <c r="K644" s="576" t="s">
        <v>4188</v>
      </c>
      <c r="L644" s="572"/>
      <c r="M644" s="572"/>
      <c r="N644" s="572"/>
      <c r="O644" s="572"/>
      <c r="P644" s="572"/>
      <c r="Q644" s="572"/>
      <c r="R644" s="572"/>
      <c r="S644" s="572"/>
      <c r="T644" s="572"/>
      <c r="U644" s="572"/>
      <c r="V644" s="572"/>
      <c r="W644" s="572"/>
      <c r="X644" s="572"/>
      <c r="Y644" s="572"/>
      <c r="Z644" s="572"/>
      <c r="AA644" s="572"/>
      <c r="AB644" s="572"/>
      <c r="AC644" s="572"/>
      <c r="AD644" s="572"/>
      <c r="AE644" s="572"/>
      <c r="AF644" s="572"/>
      <c r="AG644" s="572"/>
      <c r="AH644" s="572"/>
      <c r="AI644" s="572"/>
      <c r="AJ644" s="572"/>
      <c r="AK644" s="572"/>
      <c r="AL644" s="572"/>
      <c r="AM644" s="572"/>
      <c r="AN644" s="572"/>
      <c r="AO644" s="572"/>
      <c r="AP644" s="572"/>
      <c r="AQ644" s="572"/>
      <c r="AR644" s="572"/>
      <c r="AS644" s="572"/>
      <c r="AT644" s="572"/>
      <c r="AU644" s="572"/>
    </row>
    <row r="645" spans="1:47" ht="15.75" customHeight="1">
      <c r="A645" s="577">
        <v>44490</v>
      </c>
      <c r="B645" s="585" t="s">
        <v>6363</v>
      </c>
      <c r="C645" s="405" t="s">
        <v>2921</v>
      </c>
      <c r="D645" s="563" t="s">
        <v>6341</v>
      </c>
      <c r="E645" s="602">
        <v>3000</v>
      </c>
      <c r="F645" s="563" t="s">
        <v>3445</v>
      </c>
      <c r="G645" s="573" t="s">
        <v>2923</v>
      </c>
      <c r="H645" s="573" t="s">
        <v>20</v>
      </c>
      <c r="I645" s="573" t="s">
        <v>2924</v>
      </c>
      <c r="J645" s="573">
        <v>43894</v>
      </c>
      <c r="K645" s="576" t="s">
        <v>3805</v>
      </c>
      <c r="L645" s="572"/>
      <c r="M645" s="572"/>
      <c r="N645" s="572"/>
      <c r="O645" s="572"/>
      <c r="P645" s="572"/>
      <c r="Q645" s="572"/>
      <c r="R645" s="572"/>
      <c r="S645" s="572"/>
      <c r="T645" s="572"/>
      <c r="U645" s="572"/>
      <c r="V645" s="572"/>
      <c r="W645" s="572"/>
      <c r="X645" s="572"/>
      <c r="Y645" s="572"/>
      <c r="Z645" s="572"/>
      <c r="AA645" s="572"/>
      <c r="AB645" s="572"/>
      <c r="AC645" s="572"/>
      <c r="AD645" s="572"/>
      <c r="AE645" s="572"/>
      <c r="AF645" s="572"/>
      <c r="AG645" s="572"/>
      <c r="AH645" s="572"/>
      <c r="AI645" s="572"/>
      <c r="AJ645" s="572"/>
      <c r="AK645" s="572"/>
      <c r="AL645" s="572"/>
      <c r="AM645" s="572"/>
      <c r="AN645" s="572"/>
      <c r="AO645" s="572"/>
      <c r="AP645" s="572"/>
      <c r="AQ645" s="572"/>
      <c r="AR645" s="572"/>
      <c r="AS645" s="572"/>
      <c r="AT645" s="572"/>
      <c r="AU645" s="572"/>
    </row>
    <row r="646" spans="1:47" ht="15.75" customHeight="1">
      <c r="A646" s="577">
        <v>44494</v>
      </c>
      <c r="B646" s="610" t="s">
        <v>6602</v>
      </c>
      <c r="C646" s="405" t="s">
        <v>3785</v>
      </c>
      <c r="D646" s="563" t="s">
        <v>3110</v>
      </c>
      <c r="E646" s="602">
        <v>792665.02</v>
      </c>
      <c r="F646" s="563" t="s">
        <v>4444</v>
      </c>
      <c r="G646" s="563" t="s">
        <v>64</v>
      </c>
      <c r="H646" s="563" t="s">
        <v>20</v>
      </c>
      <c r="I646" s="563" t="s">
        <v>4104</v>
      </c>
      <c r="J646" s="573">
        <v>44368</v>
      </c>
      <c r="K646" s="579" t="s">
        <v>3809</v>
      </c>
      <c r="L646" s="572"/>
      <c r="M646" s="572"/>
      <c r="N646" s="572"/>
      <c r="O646" s="572"/>
      <c r="P646" s="572"/>
      <c r="Q646" s="572"/>
      <c r="R646" s="572"/>
      <c r="S646" s="572"/>
      <c r="T646" s="572"/>
      <c r="U646" s="572"/>
      <c r="V646" s="572"/>
      <c r="W646" s="572"/>
      <c r="X646" s="572"/>
      <c r="Y646" s="572"/>
      <c r="Z646" s="572"/>
      <c r="AA646" s="572"/>
      <c r="AB646" s="572"/>
      <c r="AC646" s="572"/>
      <c r="AD646" s="572"/>
      <c r="AE646" s="572"/>
      <c r="AF646" s="572"/>
      <c r="AG646" s="572"/>
      <c r="AH646" s="572"/>
      <c r="AI646" s="572"/>
      <c r="AJ646" s="572"/>
      <c r="AK646" s="572"/>
      <c r="AL646" s="572"/>
      <c r="AM646" s="572"/>
      <c r="AN646" s="572"/>
      <c r="AO646" s="572"/>
      <c r="AP646" s="572"/>
      <c r="AQ646" s="572"/>
      <c r="AR646" s="572"/>
      <c r="AS646" s="572"/>
      <c r="AT646" s="572"/>
      <c r="AU646" s="572"/>
    </row>
    <row r="647" spans="1:47" ht="15.75" customHeight="1">
      <c r="A647" s="577">
        <v>44494</v>
      </c>
      <c r="B647" s="585" t="s">
        <v>6409</v>
      </c>
      <c r="C647" s="405" t="s">
        <v>2921</v>
      </c>
      <c r="D647" s="563" t="s">
        <v>6341</v>
      </c>
      <c r="E647" s="602">
        <v>10000</v>
      </c>
      <c r="F647" s="563" t="s">
        <v>3257</v>
      </c>
      <c r="G647" s="573" t="s">
        <v>19</v>
      </c>
      <c r="H647" s="573" t="s">
        <v>34</v>
      </c>
      <c r="I647" s="573" t="s">
        <v>35</v>
      </c>
      <c r="J647" s="573">
        <v>44295</v>
      </c>
      <c r="K647" s="576" t="s">
        <v>3802</v>
      </c>
      <c r="L647" s="572"/>
      <c r="M647" s="572"/>
      <c r="N647" s="572"/>
      <c r="O647" s="572"/>
      <c r="P647" s="572"/>
      <c r="Q647" s="572"/>
      <c r="R647" s="572"/>
      <c r="S647" s="572"/>
      <c r="T647" s="572"/>
      <c r="U647" s="572"/>
      <c r="V647" s="572"/>
      <c r="W647" s="572"/>
      <c r="X647" s="572"/>
      <c r="Y647" s="572"/>
      <c r="Z647" s="572"/>
      <c r="AA647" s="572"/>
      <c r="AB647" s="572"/>
      <c r="AC647" s="572"/>
      <c r="AD647" s="572"/>
      <c r="AE647" s="572"/>
      <c r="AF647" s="572"/>
      <c r="AG647" s="572"/>
      <c r="AH647" s="572"/>
      <c r="AI647" s="572"/>
      <c r="AJ647" s="572"/>
      <c r="AK647" s="572"/>
      <c r="AL647" s="572"/>
      <c r="AM647" s="572"/>
      <c r="AN647" s="572"/>
      <c r="AO647" s="572"/>
      <c r="AP647" s="572"/>
      <c r="AQ647" s="572"/>
      <c r="AR647" s="572"/>
      <c r="AS647" s="572"/>
      <c r="AT647" s="572"/>
      <c r="AU647" s="572"/>
    </row>
    <row r="648" spans="1:47" ht="15.75" customHeight="1">
      <c r="A648" s="577">
        <v>44494</v>
      </c>
      <c r="B648" s="585" t="s">
        <v>6349</v>
      </c>
      <c r="C648" s="405" t="s">
        <v>2921</v>
      </c>
      <c r="D648" s="563" t="s">
        <v>6341</v>
      </c>
      <c r="E648" s="602">
        <v>12000</v>
      </c>
      <c r="F648" s="563" t="s">
        <v>3228</v>
      </c>
      <c r="G648" s="573" t="s">
        <v>2923</v>
      </c>
      <c r="H648" s="573" t="s">
        <v>20</v>
      </c>
      <c r="I648" s="573" t="s">
        <v>2924</v>
      </c>
      <c r="J648" s="573">
        <v>43605</v>
      </c>
      <c r="K648" s="576" t="s">
        <v>3805</v>
      </c>
      <c r="L648" s="572"/>
      <c r="M648" s="572"/>
      <c r="N648" s="572"/>
      <c r="O648" s="572"/>
      <c r="P648" s="572"/>
      <c r="Q648" s="572"/>
      <c r="R648" s="572"/>
      <c r="S648" s="572"/>
      <c r="T648" s="572"/>
      <c r="U648" s="572"/>
      <c r="V648" s="572"/>
      <c r="W648" s="572"/>
      <c r="X648" s="572"/>
      <c r="Y648" s="572"/>
      <c r="Z648" s="572"/>
      <c r="AA648" s="572"/>
      <c r="AB648" s="572"/>
      <c r="AC648" s="572"/>
      <c r="AD648" s="572"/>
      <c r="AE648" s="572"/>
      <c r="AF648" s="572"/>
      <c r="AG648" s="572"/>
      <c r="AH648" s="572"/>
      <c r="AI648" s="572"/>
      <c r="AJ648" s="572"/>
      <c r="AK648" s="572"/>
      <c r="AL648" s="572"/>
      <c r="AM648" s="572"/>
      <c r="AN648" s="572"/>
      <c r="AO648" s="572"/>
      <c r="AP648" s="572"/>
      <c r="AQ648" s="572"/>
      <c r="AR648" s="572"/>
      <c r="AS648" s="572"/>
      <c r="AT648" s="572"/>
      <c r="AU648" s="572"/>
    </row>
    <row r="649" spans="1:47" ht="15.75" customHeight="1">
      <c r="A649" s="577">
        <v>44494</v>
      </c>
      <c r="B649" s="585" t="s">
        <v>6603</v>
      </c>
      <c r="C649" s="405" t="s">
        <v>2921</v>
      </c>
      <c r="D649" s="563" t="s">
        <v>6341</v>
      </c>
      <c r="E649" s="602">
        <v>33000</v>
      </c>
      <c r="F649" s="563" t="s">
        <v>736</v>
      </c>
      <c r="G649" s="563" t="s">
        <v>19</v>
      </c>
      <c r="H649" s="563" t="s">
        <v>34</v>
      </c>
      <c r="I649" s="563" t="s">
        <v>2971</v>
      </c>
      <c r="J649" s="573">
        <v>44383</v>
      </c>
      <c r="K649" s="579" t="s">
        <v>3805</v>
      </c>
      <c r="L649" s="572"/>
      <c r="M649" s="572"/>
      <c r="N649" s="572"/>
      <c r="O649" s="572"/>
      <c r="P649" s="572"/>
      <c r="Q649" s="572"/>
      <c r="R649" s="572"/>
      <c r="S649" s="572"/>
      <c r="T649" s="572"/>
      <c r="U649" s="572"/>
      <c r="V649" s="572"/>
      <c r="W649" s="572"/>
      <c r="X649" s="572"/>
      <c r="Y649" s="572"/>
      <c r="Z649" s="572"/>
      <c r="AA649" s="572"/>
      <c r="AB649" s="572"/>
      <c r="AC649" s="572"/>
      <c r="AD649" s="572"/>
      <c r="AE649" s="572"/>
      <c r="AF649" s="572"/>
      <c r="AG649" s="572"/>
      <c r="AH649" s="572"/>
      <c r="AI649" s="572"/>
      <c r="AJ649" s="572"/>
      <c r="AK649" s="572"/>
      <c r="AL649" s="572"/>
      <c r="AM649" s="572"/>
      <c r="AN649" s="572"/>
      <c r="AO649" s="572"/>
      <c r="AP649" s="572"/>
      <c r="AQ649" s="572"/>
      <c r="AR649" s="572"/>
      <c r="AS649" s="572"/>
      <c r="AT649" s="572"/>
      <c r="AU649" s="572"/>
    </row>
    <row r="650" spans="1:47" ht="15.75" customHeight="1">
      <c r="A650" s="577">
        <v>44494</v>
      </c>
      <c r="B650" s="585" t="s">
        <v>6475</v>
      </c>
      <c r="C650" s="405" t="s">
        <v>2921</v>
      </c>
      <c r="D650" s="563" t="s">
        <v>6341</v>
      </c>
      <c r="E650" s="602">
        <v>10000</v>
      </c>
      <c r="F650" s="563" t="s">
        <v>3465</v>
      </c>
      <c r="G650" s="573" t="s">
        <v>19</v>
      </c>
      <c r="H650" s="573" t="s">
        <v>34</v>
      </c>
      <c r="I650" s="573" t="s">
        <v>262</v>
      </c>
      <c r="J650" s="573">
        <v>44319</v>
      </c>
      <c r="K650" s="576" t="s">
        <v>3795</v>
      </c>
      <c r="L650" s="572"/>
      <c r="M650" s="572"/>
      <c r="N650" s="572"/>
      <c r="O650" s="572"/>
      <c r="P650" s="572"/>
      <c r="Q650" s="572"/>
      <c r="R650" s="572"/>
      <c r="S650" s="572"/>
      <c r="T650" s="572"/>
      <c r="U650" s="572"/>
      <c r="V650" s="572"/>
      <c r="W650" s="572"/>
      <c r="X650" s="572"/>
      <c r="Y650" s="572"/>
      <c r="Z650" s="572"/>
      <c r="AA650" s="572"/>
      <c r="AB650" s="572"/>
      <c r="AC650" s="572"/>
      <c r="AD650" s="572"/>
      <c r="AE650" s="572"/>
      <c r="AF650" s="572"/>
      <c r="AG650" s="572"/>
      <c r="AH650" s="572"/>
      <c r="AI650" s="572"/>
      <c r="AJ650" s="572"/>
      <c r="AK650" s="572"/>
      <c r="AL650" s="572"/>
      <c r="AM650" s="572"/>
      <c r="AN650" s="572"/>
      <c r="AO650" s="572"/>
      <c r="AP650" s="572"/>
      <c r="AQ650" s="572"/>
      <c r="AR650" s="572"/>
      <c r="AS650" s="572"/>
      <c r="AT650" s="572"/>
      <c r="AU650" s="572"/>
    </row>
    <row r="651" spans="1:47" ht="15.75" customHeight="1">
      <c r="A651" s="577">
        <v>44495</v>
      </c>
      <c r="B651" s="609" t="s">
        <v>6604</v>
      </c>
      <c r="C651" s="405" t="s">
        <v>3785</v>
      </c>
      <c r="D651" s="563" t="s">
        <v>3110</v>
      </c>
      <c r="E651" s="602">
        <v>295388.82</v>
      </c>
      <c r="F651" s="563" t="s">
        <v>4716</v>
      </c>
      <c r="G651" s="563" t="s">
        <v>64</v>
      </c>
      <c r="H651" s="563" t="s">
        <v>20</v>
      </c>
      <c r="I651" s="563" t="s">
        <v>4058</v>
      </c>
      <c r="J651" s="573">
        <v>44111</v>
      </c>
      <c r="K651" s="579" t="s">
        <v>3789</v>
      </c>
      <c r="L651" s="572"/>
      <c r="M651" s="572"/>
      <c r="N651" s="572"/>
      <c r="O651" s="572"/>
      <c r="P651" s="572"/>
      <c r="Q651" s="572"/>
      <c r="R651" s="572"/>
      <c r="S651" s="572"/>
      <c r="T651" s="572"/>
      <c r="U651" s="572"/>
      <c r="V651" s="572"/>
      <c r="W651" s="572"/>
      <c r="X651" s="572"/>
      <c r="Y651" s="572"/>
      <c r="Z651" s="572"/>
      <c r="AA651" s="572"/>
      <c r="AB651" s="572"/>
      <c r="AC651" s="572"/>
      <c r="AD651" s="572"/>
      <c r="AE651" s="572"/>
      <c r="AF651" s="572"/>
      <c r="AG651" s="572"/>
      <c r="AH651" s="572"/>
      <c r="AI651" s="572"/>
      <c r="AJ651" s="572"/>
      <c r="AK651" s="572"/>
      <c r="AL651" s="572"/>
      <c r="AM651" s="572"/>
      <c r="AN651" s="572"/>
      <c r="AO651" s="572"/>
      <c r="AP651" s="572"/>
      <c r="AQ651" s="572"/>
      <c r="AR651" s="572"/>
      <c r="AS651" s="572"/>
      <c r="AT651" s="572"/>
      <c r="AU651" s="572"/>
    </row>
    <row r="652" spans="1:47" ht="15.75" customHeight="1">
      <c r="A652" s="577">
        <v>44495</v>
      </c>
      <c r="B652" s="585" t="s">
        <v>6465</v>
      </c>
      <c r="C652" s="405" t="s">
        <v>2921</v>
      </c>
      <c r="D652" s="563" t="s">
        <v>6341</v>
      </c>
      <c r="E652" s="602">
        <v>14000</v>
      </c>
      <c r="F652" s="563" t="s">
        <v>2301</v>
      </c>
      <c r="G652" s="573" t="s">
        <v>19</v>
      </c>
      <c r="H652" s="573" t="s">
        <v>34</v>
      </c>
      <c r="I652" s="573" t="s">
        <v>35</v>
      </c>
      <c r="J652" s="573">
        <v>44280</v>
      </c>
      <c r="K652" s="576" t="s">
        <v>3795</v>
      </c>
      <c r="L652" s="572"/>
      <c r="M652" s="572"/>
      <c r="N652" s="572"/>
      <c r="O652" s="572"/>
      <c r="P652" s="572"/>
      <c r="Q652" s="572"/>
      <c r="R652" s="572"/>
      <c r="S652" s="572"/>
      <c r="T652" s="572"/>
      <c r="U652" s="572"/>
      <c r="V652" s="572"/>
      <c r="W652" s="572"/>
      <c r="X652" s="572"/>
      <c r="Y652" s="572"/>
      <c r="Z652" s="572"/>
      <c r="AA652" s="572"/>
      <c r="AB652" s="572"/>
      <c r="AC652" s="572"/>
      <c r="AD652" s="572"/>
      <c r="AE652" s="572"/>
      <c r="AF652" s="572"/>
      <c r="AG652" s="572"/>
      <c r="AH652" s="572"/>
      <c r="AI652" s="572"/>
      <c r="AJ652" s="572"/>
      <c r="AK652" s="572"/>
      <c r="AL652" s="572"/>
      <c r="AM652" s="572"/>
      <c r="AN652" s="572"/>
      <c r="AO652" s="572"/>
      <c r="AP652" s="572"/>
      <c r="AQ652" s="572"/>
      <c r="AR652" s="572"/>
      <c r="AS652" s="572"/>
      <c r="AT652" s="572"/>
      <c r="AU652" s="572"/>
    </row>
    <row r="653" spans="1:47" ht="15.75" customHeight="1">
      <c r="A653" s="577">
        <v>44497</v>
      </c>
      <c r="B653" s="585" t="s">
        <v>6474</v>
      </c>
      <c r="C653" s="405" t="s">
        <v>2921</v>
      </c>
      <c r="D653" s="563" t="s">
        <v>6341</v>
      </c>
      <c r="E653" s="602">
        <v>40000</v>
      </c>
      <c r="F653" s="563" t="s">
        <v>3238</v>
      </c>
      <c r="G653" s="573" t="s">
        <v>19</v>
      </c>
      <c r="H653" s="573" t="s">
        <v>34</v>
      </c>
      <c r="I653" s="573" t="s">
        <v>2971</v>
      </c>
      <c r="J653" s="573">
        <v>44266</v>
      </c>
      <c r="K653" s="576" t="s">
        <v>3805</v>
      </c>
      <c r="L653" s="572"/>
      <c r="M653" s="572"/>
      <c r="N653" s="572"/>
      <c r="O653" s="572"/>
      <c r="P653" s="572"/>
      <c r="Q653" s="572"/>
      <c r="R653" s="572"/>
      <c r="S653" s="572"/>
      <c r="T653" s="572"/>
      <c r="U653" s="572"/>
      <c r="V653" s="572"/>
      <c r="W653" s="572"/>
      <c r="X653" s="572"/>
      <c r="Y653" s="572"/>
      <c r="Z653" s="572"/>
      <c r="AA653" s="572"/>
      <c r="AB653" s="572"/>
      <c r="AC653" s="572"/>
      <c r="AD653" s="572"/>
      <c r="AE653" s="572"/>
      <c r="AF653" s="572"/>
      <c r="AG653" s="572"/>
      <c r="AH653" s="572"/>
      <c r="AI653" s="572"/>
      <c r="AJ653" s="572"/>
      <c r="AK653" s="572"/>
      <c r="AL653" s="572"/>
      <c r="AM653" s="572"/>
      <c r="AN653" s="572"/>
      <c r="AO653" s="572"/>
      <c r="AP653" s="572"/>
      <c r="AQ653" s="572"/>
      <c r="AR653" s="572"/>
      <c r="AS653" s="572"/>
      <c r="AT653" s="572"/>
      <c r="AU653" s="572"/>
    </row>
    <row r="654" spans="1:47" ht="15.75" customHeight="1">
      <c r="A654" s="577">
        <v>44497</v>
      </c>
      <c r="B654" s="609" t="s">
        <v>6605</v>
      </c>
      <c r="C654" s="405" t="s">
        <v>3785</v>
      </c>
      <c r="D654" s="563" t="s">
        <v>3110</v>
      </c>
      <c r="E654" s="602">
        <v>142605.94</v>
      </c>
      <c r="F654" s="563" t="s">
        <v>5204</v>
      </c>
      <c r="G654" s="563" t="s">
        <v>19</v>
      </c>
      <c r="H654" s="563" t="s">
        <v>20</v>
      </c>
      <c r="I654" s="563" t="s">
        <v>5206</v>
      </c>
      <c r="J654" s="573">
        <v>44271</v>
      </c>
      <c r="K654" s="579" t="s">
        <v>3842</v>
      </c>
      <c r="L654" s="572"/>
      <c r="M654" s="572"/>
      <c r="N654" s="572"/>
      <c r="O654" s="572"/>
      <c r="P654" s="572"/>
      <c r="Q654" s="572"/>
      <c r="R654" s="572"/>
      <c r="S654" s="572"/>
      <c r="T654" s="572"/>
      <c r="U654" s="572"/>
      <c r="V654" s="572"/>
      <c r="W654" s="572"/>
      <c r="X654" s="572"/>
      <c r="Y654" s="572"/>
      <c r="Z654" s="572"/>
      <c r="AA654" s="572"/>
      <c r="AB654" s="572"/>
      <c r="AC654" s="572"/>
      <c r="AD654" s="572"/>
      <c r="AE654" s="572"/>
      <c r="AF654" s="572"/>
      <c r="AG654" s="572"/>
      <c r="AH654" s="572"/>
      <c r="AI654" s="572"/>
      <c r="AJ654" s="572"/>
      <c r="AK654" s="572"/>
      <c r="AL654" s="572"/>
      <c r="AM654" s="572"/>
      <c r="AN654" s="572"/>
      <c r="AO654" s="572"/>
      <c r="AP654" s="572"/>
      <c r="AQ654" s="572"/>
      <c r="AR654" s="572"/>
      <c r="AS654" s="572"/>
      <c r="AT654" s="572"/>
      <c r="AU654" s="572"/>
    </row>
    <row r="655" spans="1:47" ht="15.75" customHeight="1">
      <c r="A655" s="577">
        <v>44497</v>
      </c>
      <c r="B655" s="609" t="s">
        <v>6606</v>
      </c>
      <c r="C655" s="405" t="s">
        <v>3785</v>
      </c>
      <c r="D655" s="563" t="s">
        <v>3110</v>
      </c>
      <c r="E655" s="602">
        <v>148678.48000000001</v>
      </c>
      <c r="F655" s="563" t="s">
        <v>5204</v>
      </c>
      <c r="G655" s="563" t="s">
        <v>19</v>
      </c>
      <c r="H655" s="563" t="s">
        <v>20</v>
      </c>
      <c r="I655" s="563" t="s">
        <v>3793</v>
      </c>
      <c r="J655" s="573">
        <v>44272</v>
      </c>
      <c r="K655" s="579" t="s">
        <v>3805</v>
      </c>
      <c r="L655" s="572"/>
      <c r="M655" s="572"/>
      <c r="N655" s="572"/>
      <c r="O655" s="572"/>
      <c r="P655" s="572"/>
      <c r="Q655" s="572"/>
      <c r="R655" s="572"/>
      <c r="S655" s="572"/>
      <c r="T655" s="572"/>
      <c r="U655" s="572"/>
      <c r="V655" s="572"/>
      <c r="W655" s="572"/>
      <c r="X655" s="572"/>
      <c r="Y655" s="572"/>
      <c r="Z655" s="572"/>
      <c r="AA655" s="572"/>
      <c r="AB655" s="572"/>
      <c r="AC655" s="572"/>
      <c r="AD655" s="572"/>
      <c r="AE655" s="572"/>
      <c r="AF655" s="572"/>
      <c r="AG655" s="572"/>
      <c r="AH655" s="572"/>
      <c r="AI655" s="572"/>
      <c r="AJ655" s="572"/>
      <c r="AK655" s="572"/>
      <c r="AL655" s="572"/>
      <c r="AM655" s="572"/>
      <c r="AN655" s="572"/>
      <c r="AO655" s="572"/>
      <c r="AP655" s="572"/>
      <c r="AQ655" s="572"/>
      <c r="AR655" s="572"/>
      <c r="AS655" s="572"/>
      <c r="AT655" s="572"/>
      <c r="AU655" s="572"/>
    </row>
    <row r="656" spans="1:47" ht="15.75" customHeight="1">
      <c r="A656" s="577">
        <v>44498</v>
      </c>
      <c r="B656" s="585" t="s">
        <v>6455</v>
      </c>
      <c r="C656" s="405" t="s">
        <v>2921</v>
      </c>
      <c r="D656" s="563" t="s">
        <v>6341</v>
      </c>
      <c r="E656" s="602">
        <v>20000</v>
      </c>
      <c r="F656" s="563" t="s">
        <v>3141</v>
      </c>
      <c r="G656" s="573" t="s">
        <v>19</v>
      </c>
      <c r="H656" s="573" t="s">
        <v>34</v>
      </c>
      <c r="I656" s="573" t="s">
        <v>262</v>
      </c>
      <c r="J656" s="573">
        <v>44298</v>
      </c>
      <c r="K656" s="576" t="s">
        <v>3795</v>
      </c>
      <c r="L656" s="572"/>
      <c r="M656" s="572"/>
      <c r="N656" s="572"/>
      <c r="O656" s="572"/>
      <c r="P656" s="572"/>
      <c r="Q656" s="572"/>
      <c r="R656" s="572"/>
      <c r="S656" s="572"/>
      <c r="T656" s="572"/>
      <c r="U656" s="572"/>
      <c r="V656" s="572"/>
      <c r="W656" s="572"/>
      <c r="X656" s="572"/>
      <c r="Y656" s="572"/>
      <c r="Z656" s="572"/>
      <c r="AA656" s="572"/>
      <c r="AB656" s="572"/>
      <c r="AC656" s="572"/>
      <c r="AD656" s="572"/>
      <c r="AE656" s="572"/>
      <c r="AF656" s="572"/>
      <c r="AG656" s="572"/>
      <c r="AH656" s="572"/>
      <c r="AI656" s="572"/>
      <c r="AJ656" s="572"/>
      <c r="AK656" s="572"/>
      <c r="AL656" s="572"/>
      <c r="AM656" s="572"/>
      <c r="AN656" s="572"/>
      <c r="AO656" s="572"/>
      <c r="AP656" s="572"/>
      <c r="AQ656" s="572"/>
      <c r="AR656" s="572"/>
      <c r="AS656" s="572"/>
      <c r="AT656" s="572"/>
      <c r="AU656" s="572"/>
    </row>
    <row r="657" spans="1:47" ht="15.75" customHeight="1">
      <c r="A657" s="577">
        <v>44498</v>
      </c>
      <c r="B657" s="585" t="s">
        <v>6476</v>
      </c>
      <c r="C657" s="405" t="s">
        <v>2921</v>
      </c>
      <c r="D657" s="563" t="s">
        <v>6341</v>
      </c>
      <c r="E657" s="602">
        <v>30000</v>
      </c>
      <c r="F657" s="563" t="s">
        <v>2473</v>
      </c>
      <c r="G657" s="573" t="s">
        <v>19</v>
      </c>
      <c r="H657" s="573" t="s">
        <v>34</v>
      </c>
      <c r="I657" s="573" t="s">
        <v>35</v>
      </c>
      <c r="J657" s="573">
        <v>44280</v>
      </c>
      <c r="K657" s="576" t="s">
        <v>3789</v>
      </c>
      <c r="L657" s="572"/>
      <c r="M657" s="572"/>
      <c r="N657" s="572"/>
      <c r="O657" s="572"/>
      <c r="P657" s="572"/>
      <c r="Q657" s="572"/>
      <c r="R657" s="572"/>
      <c r="S657" s="572"/>
      <c r="T657" s="572"/>
      <c r="U657" s="572"/>
      <c r="V657" s="572"/>
      <c r="W657" s="572"/>
      <c r="X657" s="572"/>
      <c r="Y657" s="572"/>
      <c r="Z657" s="572"/>
      <c r="AA657" s="572"/>
      <c r="AB657" s="572"/>
      <c r="AC657" s="572"/>
      <c r="AD657" s="572"/>
      <c r="AE657" s="572"/>
      <c r="AF657" s="572"/>
      <c r="AG657" s="572"/>
      <c r="AH657" s="572"/>
      <c r="AI657" s="572"/>
      <c r="AJ657" s="572"/>
      <c r="AK657" s="572"/>
      <c r="AL657" s="572"/>
      <c r="AM657" s="572"/>
      <c r="AN657" s="572"/>
      <c r="AO657" s="572"/>
      <c r="AP657" s="572"/>
      <c r="AQ657" s="572"/>
      <c r="AR657" s="572"/>
      <c r="AS657" s="572"/>
      <c r="AT657" s="572"/>
      <c r="AU657" s="572"/>
    </row>
    <row r="658" spans="1:47" ht="15.75" customHeight="1">
      <c r="A658" s="577">
        <v>44501</v>
      </c>
      <c r="B658" s="585" t="s">
        <v>6379</v>
      </c>
      <c r="C658" s="405" t="s">
        <v>2921</v>
      </c>
      <c r="D658" s="563" t="s">
        <v>6341</v>
      </c>
      <c r="E658" s="602">
        <v>200000</v>
      </c>
      <c r="F658" s="563" t="s">
        <v>3302</v>
      </c>
      <c r="G658" s="573" t="s">
        <v>2923</v>
      </c>
      <c r="H658" s="573" t="s">
        <v>20</v>
      </c>
      <c r="I658" s="573" t="s">
        <v>2924</v>
      </c>
      <c r="J658" s="573">
        <v>43620</v>
      </c>
      <c r="K658" s="576" t="s">
        <v>3795</v>
      </c>
      <c r="L658" s="572"/>
      <c r="M658" s="572"/>
      <c r="N658" s="572"/>
      <c r="O658" s="572"/>
      <c r="P658" s="572"/>
      <c r="Q658" s="572"/>
      <c r="R658" s="572"/>
      <c r="S658" s="572"/>
      <c r="T658" s="572"/>
      <c r="U658" s="572"/>
      <c r="V658" s="572"/>
      <c r="W658" s="572"/>
      <c r="X658" s="572"/>
      <c r="Y658" s="572"/>
      <c r="Z658" s="572"/>
      <c r="AA658" s="572"/>
      <c r="AB658" s="572"/>
      <c r="AC658" s="572"/>
      <c r="AD658" s="572"/>
      <c r="AE658" s="572"/>
      <c r="AF658" s="572"/>
      <c r="AG658" s="572"/>
      <c r="AH658" s="572"/>
      <c r="AI658" s="572"/>
      <c r="AJ658" s="572"/>
      <c r="AK658" s="572"/>
      <c r="AL658" s="572"/>
      <c r="AM658" s="572"/>
      <c r="AN658" s="572"/>
      <c r="AO658" s="572"/>
      <c r="AP658" s="572"/>
      <c r="AQ658" s="572"/>
      <c r="AR658" s="572"/>
      <c r="AS658" s="572"/>
      <c r="AT658" s="572"/>
      <c r="AU658" s="572"/>
    </row>
    <row r="659" spans="1:47" ht="15.75" customHeight="1">
      <c r="A659" s="577">
        <v>44501</v>
      </c>
      <c r="B659" s="585" t="s">
        <v>6455</v>
      </c>
      <c r="C659" s="405" t="s">
        <v>2921</v>
      </c>
      <c r="D659" s="563" t="s">
        <v>6341</v>
      </c>
      <c r="E659" s="602">
        <v>3000</v>
      </c>
      <c r="F659" s="563" t="s">
        <v>3141</v>
      </c>
      <c r="G659" s="573" t="s">
        <v>19</v>
      </c>
      <c r="H659" s="573" t="s">
        <v>34</v>
      </c>
      <c r="I659" s="573" t="s">
        <v>262</v>
      </c>
      <c r="J659" s="573">
        <v>44298</v>
      </c>
      <c r="K659" s="576" t="s">
        <v>3795</v>
      </c>
      <c r="L659" s="572"/>
      <c r="M659" s="572"/>
      <c r="N659" s="572"/>
      <c r="O659" s="572"/>
      <c r="P659" s="572"/>
      <c r="Q659" s="572"/>
      <c r="R659" s="572"/>
      <c r="S659" s="572"/>
      <c r="T659" s="572"/>
      <c r="U659" s="572"/>
      <c r="V659" s="572"/>
      <c r="W659" s="572"/>
      <c r="X659" s="572"/>
      <c r="Y659" s="572"/>
      <c r="Z659" s="572"/>
      <c r="AA659" s="572"/>
      <c r="AB659" s="572"/>
      <c r="AC659" s="572"/>
      <c r="AD659" s="572"/>
      <c r="AE659" s="572"/>
      <c r="AF659" s="572"/>
      <c r="AG659" s="572"/>
      <c r="AH659" s="572"/>
      <c r="AI659" s="572"/>
      <c r="AJ659" s="572"/>
      <c r="AK659" s="572"/>
      <c r="AL659" s="572"/>
      <c r="AM659" s="572"/>
      <c r="AN659" s="572"/>
      <c r="AO659" s="572"/>
      <c r="AP659" s="572"/>
      <c r="AQ659" s="572"/>
      <c r="AR659" s="572"/>
      <c r="AS659" s="572"/>
      <c r="AT659" s="572"/>
      <c r="AU659" s="572"/>
    </row>
    <row r="660" spans="1:47" ht="15.75" customHeight="1">
      <c r="A660" s="577">
        <v>44501</v>
      </c>
      <c r="B660" s="585" t="s">
        <v>6408</v>
      </c>
      <c r="C660" s="405" t="s">
        <v>2921</v>
      </c>
      <c r="D660" s="563" t="s">
        <v>6341</v>
      </c>
      <c r="E660" s="602">
        <v>40000</v>
      </c>
      <c r="F660" s="563" t="s">
        <v>859</v>
      </c>
      <c r="G660" s="573" t="s">
        <v>19</v>
      </c>
      <c r="H660" s="573" t="s">
        <v>34</v>
      </c>
      <c r="I660" s="573" t="s">
        <v>35</v>
      </c>
      <c r="J660" s="573">
        <v>44321</v>
      </c>
      <c r="K660" s="576" t="s">
        <v>3795</v>
      </c>
      <c r="L660" s="572"/>
      <c r="M660" s="572"/>
      <c r="N660" s="572"/>
      <c r="O660" s="572"/>
      <c r="P660" s="572"/>
      <c r="Q660" s="572"/>
      <c r="R660" s="572"/>
      <c r="S660" s="572"/>
      <c r="T660" s="572"/>
      <c r="U660" s="572"/>
      <c r="V660" s="572"/>
      <c r="W660" s="572"/>
      <c r="X660" s="572"/>
      <c r="Y660" s="572"/>
      <c r="Z660" s="572"/>
      <c r="AA660" s="572"/>
      <c r="AB660" s="572"/>
      <c r="AC660" s="572"/>
      <c r="AD660" s="572"/>
      <c r="AE660" s="572"/>
      <c r="AF660" s="572"/>
      <c r="AG660" s="572"/>
      <c r="AH660" s="572"/>
      <c r="AI660" s="572"/>
      <c r="AJ660" s="572"/>
      <c r="AK660" s="572"/>
      <c r="AL660" s="572"/>
      <c r="AM660" s="572"/>
      <c r="AN660" s="572"/>
      <c r="AO660" s="572"/>
      <c r="AP660" s="572"/>
      <c r="AQ660" s="572"/>
      <c r="AR660" s="572"/>
      <c r="AS660" s="572"/>
      <c r="AT660" s="572"/>
      <c r="AU660" s="572"/>
    </row>
    <row r="661" spans="1:47" ht="15.75" customHeight="1">
      <c r="A661" s="577">
        <v>44503</v>
      </c>
      <c r="B661" s="585" t="s">
        <v>6459</v>
      </c>
      <c r="C661" s="405" t="s">
        <v>2921</v>
      </c>
      <c r="D661" s="563" t="s">
        <v>6341</v>
      </c>
      <c r="E661" s="602">
        <v>30000</v>
      </c>
      <c r="F661" s="563" t="s">
        <v>3447</v>
      </c>
      <c r="G661" s="573" t="s">
        <v>19</v>
      </c>
      <c r="H661" s="573" t="s">
        <v>34</v>
      </c>
      <c r="I661" s="573" t="s">
        <v>262</v>
      </c>
      <c r="J661" s="573">
        <v>44279</v>
      </c>
      <c r="K661" s="576" t="s">
        <v>3795</v>
      </c>
      <c r="L661" s="572"/>
      <c r="M661" s="572"/>
      <c r="N661" s="572"/>
      <c r="O661" s="572"/>
      <c r="P661" s="572"/>
      <c r="Q661" s="572"/>
      <c r="R661" s="572"/>
      <c r="S661" s="572"/>
      <c r="T661" s="572"/>
      <c r="U661" s="572"/>
      <c r="V661" s="572"/>
      <c r="W661" s="572"/>
      <c r="X661" s="572"/>
      <c r="Y661" s="572"/>
      <c r="Z661" s="572"/>
      <c r="AA661" s="572"/>
      <c r="AB661" s="572"/>
      <c r="AC661" s="572"/>
      <c r="AD661" s="572"/>
      <c r="AE661" s="572"/>
      <c r="AF661" s="572"/>
      <c r="AG661" s="572"/>
      <c r="AH661" s="572"/>
      <c r="AI661" s="572"/>
      <c r="AJ661" s="572"/>
      <c r="AK661" s="572"/>
      <c r="AL661" s="572"/>
      <c r="AM661" s="572"/>
      <c r="AN661" s="572"/>
      <c r="AO661" s="572"/>
      <c r="AP661" s="572"/>
      <c r="AQ661" s="572"/>
      <c r="AR661" s="572"/>
      <c r="AS661" s="572"/>
      <c r="AT661" s="572"/>
      <c r="AU661" s="572"/>
    </row>
    <row r="662" spans="1:47" ht="15.75" customHeight="1">
      <c r="A662" s="577">
        <v>44503</v>
      </c>
      <c r="B662" s="607" t="s">
        <v>6412</v>
      </c>
      <c r="C662" s="405" t="s">
        <v>3785</v>
      </c>
      <c r="D662" s="563" t="s">
        <v>6341</v>
      </c>
      <c r="E662" s="602">
        <v>5000</v>
      </c>
      <c r="F662" s="563" t="s">
        <v>4373</v>
      </c>
      <c r="G662" s="563" t="s">
        <v>64</v>
      </c>
      <c r="H662" s="563" t="s">
        <v>20</v>
      </c>
      <c r="I662" s="563" t="s">
        <v>3862</v>
      </c>
      <c r="J662" s="573">
        <v>44263</v>
      </c>
      <c r="K662" s="579" t="s">
        <v>3795</v>
      </c>
      <c r="L662" s="572"/>
      <c r="M662" s="572"/>
      <c r="N662" s="572"/>
      <c r="O662" s="572"/>
      <c r="P662" s="572"/>
      <c r="Q662" s="572"/>
      <c r="R662" s="572"/>
      <c r="S662" s="572"/>
      <c r="T662" s="572"/>
      <c r="U662" s="572"/>
      <c r="V662" s="572"/>
      <c r="W662" s="572"/>
      <c r="X662" s="572"/>
      <c r="Y662" s="572"/>
      <c r="Z662" s="572"/>
      <c r="AA662" s="572"/>
      <c r="AB662" s="572"/>
      <c r="AC662" s="572"/>
      <c r="AD662" s="572"/>
      <c r="AE662" s="572"/>
      <c r="AF662" s="572"/>
      <c r="AG662" s="572"/>
      <c r="AH662" s="572"/>
      <c r="AI662" s="572"/>
      <c r="AJ662" s="572"/>
      <c r="AK662" s="572"/>
      <c r="AL662" s="572"/>
      <c r="AM662" s="572"/>
      <c r="AN662" s="572"/>
      <c r="AO662" s="572"/>
      <c r="AP662" s="572"/>
      <c r="AQ662" s="572"/>
      <c r="AR662" s="572"/>
      <c r="AS662" s="572"/>
      <c r="AT662" s="572"/>
      <c r="AU662" s="572"/>
    </row>
    <row r="663" spans="1:47" ht="15.75" customHeight="1">
      <c r="A663" s="577">
        <v>44504</v>
      </c>
      <c r="B663" s="611" t="s">
        <v>6490</v>
      </c>
      <c r="C663" s="405" t="s">
        <v>3785</v>
      </c>
      <c r="D663" s="563" t="s">
        <v>6341</v>
      </c>
      <c r="E663" s="602">
        <v>12284.53</v>
      </c>
      <c r="F663" s="563" t="s">
        <v>3871</v>
      </c>
      <c r="G663" s="563" t="s">
        <v>64</v>
      </c>
      <c r="H663" s="563" t="s">
        <v>20</v>
      </c>
      <c r="I663" s="563" t="s">
        <v>6607</v>
      </c>
      <c r="J663" s="573">
        <v>44180</v>
      </c>
      <c r="K663" s="579" t="s">
        <v>3805</v>
      </c>
      <c r="L663" s="572"/>
      <c r="M663" s="572"/>
      <c r="N663" s="572"/>
      <c r="O663" s="572"/>
      <c r="P663" s="572"/>
      <c r="Q663" s="572"/>
      <c r="R663" s="572"/>
      <c r="S663" s="572"/>
      <c r="T663" s="572"/>
      <c r="U663" s="572"/>
      <c r="V663" s="572"/>
      <c r="W663" s="572"/>
      <c r="X663" s="572"/>
      <c r="Y663" s="572"/>
      <c r="Z663" s="572"/>
      <c r="AA663" s="572"/>
      <c r="AB663" s="572"/>
      <c r="AC663" s="572"/>
      <c r="AD663" s="572"/>
      <c r="AE663" s="572"/>
      <c r="AF663" s="572"/>
      <c r="AG663" s="572"/>
      <c r="AH663" s="572"/>
      <c r="AI663" s="572"/>
      <c r="AJ663" s="572"/>
      <c r="AK663" s="572"/>
      <c r="AL663" s="572"/>
      <c r="AM663" s="572"/>
      <c r="AN663" s="572"/>
      <c r="AO663" s="572"/>
      <c r="AP663" s="572"/>
      <c r="AQ663" s="572"/>
      <c r="AR663" s="572"/>
      <c r="AS663" s="572"/>
      <c r="AT663" s="572"/>
      <c r="AU663" s="572"/>
    </row>
    <row r="664" spans="1:47" ht="15.75" customHeight="1">
      <c r="A664" s="577">
        <v>44504</v>
      </c>
      <c r="B664" s="609" t="s">
        <v>6608</v>
      </c>
      <c r="C664" s="405" t="s">
        <v>3785</v>
      </c>
      <c r="D664" s="563" t="s">
        <v>3110</v>
      </c>
      <c r="E664" s="602">
        <v>282779.84000000003</v>
      </c>
      <c r="F664" s="563" t="s">
        <v>4378</v>
      </c>
      <c r="G664" s="563" t="s">
        <v>64</v>
      </c>
      <c r="H664" s="563" t="s">
        <v>20</v>
      </c>
      <c r="I664" s="563" t="s">
        <v>3634</v>
      </c>
      <c r="J664" s="573">
        <v>44238</v>
      </c>
      <c r="K664" s="579" t="s">
        <v>3789</v>
      </c>
      <c r="L664" s="572"/>
      <c r="M664" s="612"/>
      <c r="N664" s="572"/>
      <c r="O664" s="572"/>
      <c r="P664" s="572"/>
      <c r="Q664" s="572"/>
      <c r="R664" s="572"/>
      <c r="S664" s="572"/>
      <c r="T664" s="572"/>
      <c r="U664" s="572"/>
      <c r="V664" s="572"/>
      <c r="W664" s="572"/>
      <c r="X664" s="572"/>
      <c r="Y664" s="572"/>
      <c r="Z664" s="572"/>
      <c r="AA664" s="572"/>
      <c r="AB664" s="572"/>
      <c r="AC664" s="572"/>
      <c r="AD664" s="572"/>
      <c r="AE664" s="572"/>
      <c r="AF664" s="572"/>
      <c r="AG664" s="572"/>
      <c r="AH664" s="572"/>
      <c r="AI664" s="572"/>
      <c r="AJ664" s="572"/>
      <c r="AK664" s="572"/>
      <c r="AL664" s="572"/>
      <c r="AM664" s="572"/>
      <c r="AN664" s="572"/>
      <c r="AO664" s="572"/>
      <c r="AP664" s="572"/>
      <c r="AQ664" s="572"/>
      <c r="AR664" s="572"/>
      <c r="AS664" s="572"/>
      <c r="AT664" s="572"/>
      <c r="AU664" s="572"/>
    </row>
    <row r="665" spans="1:47" ht="15.75" customHeight="1">
      <c r="A665" s="577">
        <v>44504</v>
      </c>
      <c r="B665" s="605" t="s">
        <v>6550</v>
      </c>
      <c r="C665" s="405" t="s">
        <v>2921</v>
      </c>
      <c r="D665" s="563" t="s">
        <v>6341</v>
      </c>
      <c r="E665" s="602">
        <v>25000</v>
      </c>
      <c r="F665" s="563" t="s">
        <v>3502</v>
      </c>
      <c r="G665" s="573" t="s">
        <v>19</v>
      </c>
      <c r="H665" s="573" t="s">
        <v>34</v>
      </c>
      <c r="I665" s="573" t="s">
        <v>35</v>
      </c>
      <c r="J665" s="573">
        <v>44263</v>
      </c>
      <c r="K665" s="576" t="s">
        <v>3805</v>
      </c>
      <c r="L665" s="572"/>
      <c r="M665" s="572"/>
      <c r="N665" s="572"/>
      <c r="O665" s="572"/>
      <c r="P665" s="572"/>
      <c r="Q665" s="572"/>
      <c r="R665" s="572"/>
      <c r="S665" s="572"/>
      <c r="T665" s="572"/>
      <c r="U665" s="572"/>
      <c r="V665" s="572"/>
      <c r="W665" s="572"/>
      <c r="X665" s="572"/>
      <c r="Y665" s="572"/>
      <c r="Z665" s="572"/>
      <c r="AA665" s="572"/>
      <c r="AB665" s="572"/>
      <c r="AC665" s="572"/>
      <c r="AD665" s="572"/>
      <c r="AE665" s="572"/>
      <c r="AF665" s="572"/>
      <c r="AG665" s="572"/>
      <c r="AH665" s="572"/>
      <c r="AI665" s="572"/>
      <c r="AJ665" s="572"/>
      <c r="AK665" s="572"/>
      <c r="AL665" s="572"/>
      <c r="AM665" s="572"/>
      <c r="AN665" s="572"/>
      <c r="AO665" s="572"/>
      <c r="AP665" s="572"/>
      <c r="AQ665" s="572"/>
      <c r="AR665" s="572"/>
      <c r="AS665" s="572"/>
      <c r="AT665" s="572"/>
      <c r="AU665" s="572"/>
    </row>
    <row r="666" spans="1:47" ht="15.75" customHeight="1">
      <c r="A666" s="577">
        <v>44504</v>
      </c>
      <c r="B666" s="588" t="s">
        <v>6509</v>
      </c>
      <c r="C666" s="405" t="s">
        <v>2921</v>
      </c>
      <c r="D666" s="563" t="s">
        <v>6341</v>
      </c>
      <c r="E666" s="602">
        <v>50000</v>
      </c>
      <c r="F666" s="563" t="s">
        <v>3296</v>
      </c>
      <c r="G666" s="573" t="s">
        <v>19</v>
      </c>
      <c r="H666" s="573" t="s">
        <v>34</v>
      </c>
      <c r="I666" s="573" t="s">
        <v>35</v>
      </c>
      <c r="J666" s="573">
        <v>44263</v>
      </c>
      <c r="K666" s="576" t="s">
        <v>3789</v>
      </c>
      <c r="L666" s="572"/>
      <c r="M666" s="572"/>
      <c r="N666" s="572"/>
      <c r="O666" s="572"/>
      <c r="P666" s="572"/>
      <c r="Q666" s="572"/>
      <c r="R666" s="572"/>
      <c r="S666" s="572"/>
      <c r="T666" s="572"/>
      <c r="U666" s="572"/>
      <c r="V666" s="572"/>
      <c r="W666" s="572"/>
      <c r="X666" s="572"/>
      <c r="Y666" s="572"/>
      <c r="Z666" s="572"/>
      <c r="AA666" s="572"/>
      <c r="AB666" s="572"/>
      <c r="AC666" s="572"/>
      <c r="AD666" s="572"/>
      <c r="AE666" s="572"/>
      <c r="AF666" s="572"/>
      <c r="AG666" s="572"/>
      <c r="AH666" s="572"/>
      <c r="AI666" s="572"/>
      <c r="AJ666" s="572"/>
      <c r="AK666" s="572"/>
      <c r="AL666" s="572"/>
      <c r="AM666" s="572"/>
      <c r="AN666" s="572"/>
      <c r="AO666" s="572"/>
      <c r="AP666" s="572"/>
      <c r="AQ666" s="572"/>
      <c r="AR666" s="572"/>
      <c r="AS666" s="572"/>
      <c r="AT666" s="572"/>
      <c r="AU666" s="572"/>
    </row>
    <row r="667" spans="1:47" ht="15.75" customHeight="1">
      <c r="A667" s="577">
        <v>44504</v>
      </c>
      <c r="B667" s="588" t="s">
        <v>6609</v>
      </c>
      <c r="C667" s="405" t="s">
        <v>2921</v>
      </c>
      <c r="D667" s="563" t="s">
        <v>6341</v>
      </c>
      <c r="E667" s="602">
        <v>10000</v>
      </c>
      <c r="F667" s="563" t="s">
        <v>3339</v>
      </c>
      <c r="G667" s="573" t="s">
        <v>19</v>
      </c>
      <c r="H667" s="573" t="s">
        <v>34</v>
      </c>
      <c r="I667" s="573" t="s">
        <v>35</v>
      </c>
      <c r="J667" s="573">
        <v>44323</v>
      </c>
      <c r="K667" s="576" t="s">
        <v>3842</v>
      </c>
      <c r="L667" s="572"/>
      <c r="M667" s="572"/>
      <c r="N667" s="572"/>
      <c r="O667" s="572"/>
      <c r="P667" s="572"/>
      <c r="Q667" s="572"/>
      <c r="R667" s="572"/>
      <c r="S667" s="572"/>
      <c r="T667" s="572"/>
      <c r="U667" s="572"/>
      <c r="V667" s="572"/>
      <c r="W667" s="572"/>
      <c r="X667" s="572"/>
      <c r="Y667" s="572"/>
      <c r="Z667" s="572"/>
      <c r="AA667" s="572"/>
      <c r="AB667" s="572"/>
      <c r="AC667" s="572"/>
      <c r="AD667" s="572"/>
      <c r="AE667" s="572"/>
      <c r="AF667" s="572"/>
      <c r="AG667" s="572"/>
      <c r="AH667" s="572"/>
      <c r="AI667" s="572"/>
      <c r="AJ667" s="572"/>
      <c r="AK667" s="572"/>
      <c r="AL667" s="572"/>
      <c r="AM667" s="572"/>
      <c r="AN667" s="572"/>
      <c r="AO667" s="572"/>
      <c r="AP667" s="572"/>
      <c r="AQ667" s="572"/>
      <c r="AR667" s="572"/>
      <c r="AS667" s="572"/>
      <c r="AT667" s="572"/>
      <c r="AU667" s="572"/>
    </row>
    <row r="668" spans="1:47" ht="15.75" customHeight="1">
      <c r="A668" s="577">
        <v>44505</v>
      </c>
      <c r="B668" s="607" t="s">
        <v>6610</v>
      </c>
      <c r="C668" s="405" t="s">
        <v>3785</v>
      </c>
      <c r="D668" s="563" t="s">
        <v>6341</v>
      </c>
      <c r="E668" s="602">
        <v>18000</v>
      </c>
      <c r="F668" s="563" t="s">
        <v>3412</v>
      </c>
      <c r="G668" s="563" t="s">
        <v>2923</v>
      </c>
      <c r="H668" s="563" t="s">
        <v>20</v>
      </c>
      <c r="I668" s="563" t="s">
        <v>2923</v>
      </c>
      <c r="J668" s="573">
        <v>44151</v>
      </c>
      <c r="K668" s="579" t="s">
        <v>3795</v>
      </c>
      <c r="L668" s="572"/>
      <c r="M668" s="572"/>
      <c r="N668" s="572"/>
      <c r="O668" s="572"/>
      <c r="P668" s="572"/>
      <c r="Q668" s="572"/>
      <c r="R668" s="572"/>
      <c r="S668" s="572"/>
      <c r="T668" s="572"/>
      <c r="U668" s="572"/>
      <c r="V668" s="572"/>
      <c r="W668" s="572"/>
      <c r="X668" s="572"/>
      <c r="Y668" s="572"/>
      <c r="Z668" s="572"/>
      <c r="AA668" s="572"/>
      <c r="AB668" s="572"/>
      <c r="AC668" s="572"/>
      <c r="AD668" s="572"/>
      <c r="AE668" s="572"/>
      <c r="AF668" s="572"/>
      <c r="AG668" s="572"/>
      <c r="AH668" s="572"/>
      <c r="AI668" s="572"/>
      <c r="AJ668" s="572"/>
      <c r="AK668" s="572"/>
      <c r="AL668" s="572"/>
      <c r="AM668" s="572"/>
      <c r="AN668" s="572"/>
      <c r="AO668" s="572"/>
      <c r="AP668" s="572"/>
      <c r="AQ668" s="572"/>
      <c r="AR668" s="572"/>
      <c r="AS668" s="572"/>
      <c r="AT668" s="572"/>
      <c r="AU668" s="572"/>
    </row>
    <row r="669" spans="1:47" ht="15.75" customHeight="1">
      <c r="A669" s="577">
        <v>44505</v>
      </c>
      <c r="B669" s="605" t="s">
        <v>6611</v>
      </c>
      <c r="C669" s="405" t="s">
        <v>2921</v>
      </c>
      <c r="D669" s="563" t="s">
        <v>928</v>
      </c>
      <c r="E669" s="587">
        <v>52493.45</v>
      </c>
      <c r="F669" s="563" t="s">
        <v>3498</v>
      </c>
      <c r="G669" s="573" t="s">
        <v>19</v>
      </c>
      <c r="H669" s="573" t="s">
        <v>34</v>
      </c>
      <c r="I669" s="573" t="s">
        <v>35</v>
      </c>
      <c r="J669" s="573">
        <v>44411</v>
      </c>
      <c r="K669" s="576" t="s">
        <v>3795</v>
      </c>
      <c r="L669" s="572"/>
      <c r="M669" s="572"/>
      <c r="N669" s="572"/>
      <c r="O669" s="572"/>
      <c r="P669" s="572"/>
      <c r="Q669" s="572"/>
      <c r="R669" s="572"/>
      <c r="S669" s="572"/>
      <c r="T669" s="572"/>
      <c r="U669" s="572"/>
      <c r="V669" s="572"/>
      <c r="W669" s="572"/>
      <c r="X669" s="572"/>
      <c r="Y669" s="572"/>
      <c r="Z669" s="572"/>
      <c r="AA669" s="572"/>
      <c r="AB669" s="572"/>
      <c r="AC669" s="572"/>
      <c r="AD669" s="572"/>
      <c r="AE669" s="572"/>
      <c r="AF669" s="572"/>
      <c r="AG669" s="572"/>
      <c r="AH669" s="572"/>
      <c r="AI669" s="572"/>
      <c r="AJ669" s="572"/>
      <c r="AK669" s="572"/>
      <c r="AL669" s="572"/>
      <c r="AM669" s="572"/>
      <c r="AN669" s="572"/>
      <c r="AO669" s="572"/>
      <c r="AP669" s="572"/>
      <c r="AQ669" s="572"/>
      <c r="AR669" s="572"/>
      <c r="AS669" s="572"/>
      <c r="AT669" s="572"/>
      <c r="AU669" s="572"/>
    </row>
    <row r="670" spans="1:47" ht="15.75" customHeight="1">
      <c r="A670" s="577">
        <v>44505</v>
      </c>
      <c r="B670" s="605" t="s">
        <v>6348</v>
      </c>
      <c r="C670" s="405" t="s">
        <v>2921</v>
      </c>
      <c r="D670" s="563" t="s">
        <v>6341</v>
      </c>
      <c r="E670" s="602">
        <v>200000</v>
      </c>
      <c r="F670" s="563" t="s">
        <v>3557</v>
      </c>
      <c r="G670" s="573" t="s">
        <v>2923</v>
      </c>
      <c r="H670" s="573" t="s">
        <v>20</v>
      </c>
      <c r="I670" s="573" t="s">
        <v>2924</v>
      </c>
      <c r="J670" s="573">
        <v>43567</v>
      </c>
      <c r="K670" s="576" t="s">
        <v>3795</v>
      </c>
      <c r="L670" s="572"/>
      <c r="M670" s="572"/>
      <c r="N670" s="572"/>
      <c r="O670" s="572"/>
      <c r="P670" s="572"/>
      <c r="Q670" s="572"/>
      <c r="R670" s="572"/>
      <c r="S670" s="572"/>
      <c r="T670" s="572"/>
      <c r="U670" s="572"/>
      <c r="V670" s="572"/>
      <c r="W670" s="572"/>
      <c r="X670" s="572"/>
      <c r="Y670" s="572"/>
      <c r="Z670" s="572"/>
      <c r="AA670" s="572"/>
      <c r="AB670" s="572"/>
      <c r="AC670" s="572"/>
      <c r="AD670" s="572"/>
      <c r="AE670" s="572"/>
      <c r="AF670" s="572"/>
      <c r="AG670" s="572"/>
      <c r="AH670" s="572"/>
      <c r="AI670" s="572"/>
      <c r="AJ670" s="572"/>
      <c r="AK670" s="572"/>
      <c r="AL670" s="572"/>
      <c r="AM670" s="572"/>
      <c r="AN670" s="572"/>
      <c r="AO670" s="572"/>
      <c r="AP670" s="572"/>
      <c r="AQ670" s="572"/>
      <c r="AR670" s="572"/>
      <c r="AS670" s="572"/>
      <c r="AT670" s="572"/>
      <c r="AU670" s="572"/>
    </row>
    <row r="671" spans="1:47" ht="15.75" customHeight="1">
      <c r="A671" s="577">
        <v>44505</v>
      </c>
      <c r="B671" s="613" t="s">
        <v>6612</v>
      </c>
      <c r="C671" s="405" t="s">
        <v>2921</v>
      </c>
      <c r="D671" s="563" t="s">
        <v>3110</v>
      </c>
      <c r="E671" s="602">
        <v>386234.9</v>
      </c>
      <c r="F671" s="563" t="s">
        <v>3195</v>
      </c>
      <c r="G671" s="573" t="s">
        <v>2923</v>
      </c>
      <c r="H671" s="573" t="s">
        <v>20</v>
      </c>
      <c r="I671" s="573" t="s">
        <v>2924</v>
      </c>
      <c r="J671" s="573">
        <v>43692</v>
      </c>
      <c r="K671" s="576" t="s">
        <v>4188</v>
      </c>
      <c r="L671" s="572"/>
      <c r="M671" s="572"/>
      <c r="N671" s="572"/>
      <c r="O671" s="572"/>
      <c r="P671" s="572"/>
      <c r="Q671" s="572"/>
      <c r="R671" s="572"/>
      <c r="S671" s="572"/>
      <c r="T671" s="572"/>
      <c r="U671" s="572"/>
      <c r="V671" s="572"/>
      <c r="W671" s="572"/>
      <c r="X671" s="572"/>
      <c r="Y671" s="572"/>
      <c r="Z671" s="572"/>
      <c r="AA671" s="572"/>
      <c r="AB671" s="572"/>
      <c r="AC671" s="572"/>
      <c r="AD671" s="572"/>
      <c r="AE671" s="572"/>
      <c r="AF671" s="572"/>
      <c r="AG671" s="572"/>
      <c r="AH671" s="572"/>
      <c r="AI671" s="572"/>
      <c r="AJ671" s="572"/>
      <c r="AK671" s="572"/>
      <c r="AL671" s="572"/>
      <c r="AM671" s="572"/>
      <c r="AN671" s="572"/>
      <c r="AO671" s="572"/>
      <c r="AP671" s="572"/>
      <c r="AQ671" s="572"/>
      <c r="AR671" s="572"/>
      <c r="AS671" s="572"/>
      <c r="AT671" s="572"/>
      <c r="AU671" s="572"/>
    </row>
    <row r="672" spans="1:47" ht="15.75" customHeight="1">
      <c r="A672" s="577">
        <v>44509</v>
      </c>
      <c r="B672" s="605" t="s">
        <v>6567</v>
      </c>
      <c r="C672" s="405" t="s">
        <v>2921</v>
      </c>
      <c r="D672" s="563" t="s">
        <v>928</v>
      </c>
      <c r="E672" s="602">
        <v>1035319</v>
      </c>
      <c r="F672" s="563" t="s">
        <v>3231</v>
      </c>
      <c r="G672" s="573" t="s">
        <v>19</v>
      </c>
      <c r="H672" s="573" t="s">
        <v>34</v>
      </c>
      <c r="I672" s="573" t="s">
        <v>35</v>
      </c>
      <c r="J672" s="573">
        <v>44319</v>
      </c>
      <c r="K672" s="576" t="s">
        <v>3795</v>
      </c>
      <c r="L672" s="572"/>
      <c r="M672" s="572"/>
      <c r="N672" s="572"/>
      <c r="O672" s="572"/>
      <c r="P672" s="572"/>
      <c r="Q672" s="572"/>
      <c r="R672" s="572"/>
      <c r="S672" s="572"/>
      <c r="T672" s="572"/>
      <c r="U672" s="572"/>
      <c r="V672" s="572"/>
      <c r="W672" s="572"/>
      <c r="X672" s="572"/>
      <c r="Y672" s="572"/>
      <c r="Z672" s="572"/>
      <c r="AA672" s="572"/>
      <c r="AB672" s="572"/>
      <c r="AC672" s="572"/>
      <c r="AD672" s="572"/>
      <c r="AE672" s="572"/>
      <c r="AF672" s="572"/>
      <c r="AG672" s="572"/>
      <c r="AH672" s="572"/>
      <c r="AI672" s="572"/>
      <c r="AJ672" s="572"/>
      <c r="AK672" s="572"/>
      <c r="AL672" s="572"/>
      <c r="AM672" s="572"/>
      <c r="AN672" s="572"/>
      <c r="AO672" s="572"/>
      <c r="AP672" s="572"/>
      <c r="AQ672" s="572"/>
      <c r="AR672" s="572"/>
      <c r="AS672" s="572"/>
      <c r="AT672" s="572"/>
      <c r="AU672" s="572"/>
    </row>
    <row r="673" spans="1:47" ht="15.75" customHeight="1">
      <c r="A673" s="577">
        <v>44509</v>
      </c>
      <c r="B673" s="605" t="s">
        <v>6613</v>
      </c>
      <c r="C673" s="405" t="s">
        <v>2921</v>
      </c>
      <c r="D673" s="563" t="s">
        <v>6341</v>
      </c>
      <c r="E673" s="602">
        <v>359568.24</v>
      </c>
      <c r="F673" s="563" t="s">
        <v>2922</v>
      </c>
      <c r="G673" s="573" t="s">
        <v>2923</v>
      </c>
      <c r="H673" s="573" t="s">
        <v>20</v>
      </c>
      <c r="I673" s="573" t="s">
        <v>2924</v>
      </c>
      <c r="J673" s="573">
        <v>43570</v>
      </c>
      <c r="K673" s="576" t="s">
        <v>3805</v>
      </c>
      <c r="L673" s="572"/>
      <c r="M673" s="572"/>
      <c r="N673" s="572"/>
      <c r="O673" s="572"/>
      <c r="P673" s="572"/>
      <c r="Q673" s="572"/>
      <c r="R673" s="572"/>
      <c r="S673" s="572"/>
      <c r="T673" s="572"/>
      <c r="U673" s="572"/>
      <c r="V673" s="572"/>
      <c r="W673" s="572"/>
      <c r="X673" s="572"/>
      <c r="Y673" s="572"/>
      <c r="Z673" s="572"/>
      <c r="AA673" s="572"/>
      <c r="AB673" s="572"/>
      <c r="AC673" s="572"/>
      <c r="AD673" s="572"/>
      <c r="AE673" s="572"/>
      <c r="AF673" s="572"/>
      <c r="AG673" s="572"/>
      <c r="AH673" s="572"/>
      <c r="AI673" s="572"/>
      <c r="AJ673" s="572"/>
      <c r="AK673" s="572"/>
      <c r="AL673" s="572"/>
      <c r="AM673" s="572"/>
      <c r="AN673" s="572"/>
      <c r="AO673" s="572"/>
      <c r="AP673" s="572"/>
      <c r="AQ673" s="572"/>
      <c r="AR673" s="572"/>
      <c r="AS673" s="572"/>
      <c r="AT673" s="572"/>
      <c r="AU673" s="572"/>
    </row>
    <row r="674" spans="1:47" ht="15.75" customHeight="1">
      <c r="A674" s="577">
        <v>44509</v>
      </c>
      <c r="B674" s="585" t="s">
        <v>6347</v>
      </c>
      <c r="C674" s="405" t="s">
        <v>2921</v>
      </c>
      <c r="D674" s="563" t="s">
        <v>6341</v>
      </c>
      <c r="E674" s="586">
        <v>10000</v>
      </c>
      <c r="F674" s="563" t="s">
        <v>3191</v>
      </c>
      <c r="G674" s="573" t="s">
        <v>2923</v>
      </c>
      <c r="H674" s="573" t="s">
        <v>20</v>
      </c>
      <c r="I674" s="573" t="s">
        <v>2924</v>
      </c>
      <c r="J674" s="573">
        <v>43703</v>
      </c>
      <c r="K674" s="576" t="s">
        <v>4188</v>
      </c>
      <c r="L674" s="572"/>
      <c r="M674" s="572"/>
      <c r="N674" s="572"/>
      <c r="O674" s="572"/>
      <c r="P674" s="572"/>
      <c r="Q674" s="572"/>
      <c r="R674" s="572"/>
      <c r="S674" s="572"/>
      <c r="T674" s="572"/>
      <c r="U674" s="572"/>
      <c r="V674" s="572"/>
      <c r="W674" s="572"/>
      <c r="X674" s="572"/>
      <c r="Y674" s="572"/>
      <c r="Z674" s="572"/>
      <c r="AA674" s="572"/>
      <c r="AB674" s="572"/>
      <c r="AC674" s="572"/>
      <c r="AD674" s="572"/>
      <c r="AE674" s="572"/>
      <c r="AF674" s="572"/>
      <c r="AG674" s="572"/>
      <c r="AH674" s="572"/>
      <c r="AI674" s="572"/>
      <c r="AJ674" s="572"/>
      <c r="AK674" s="572"/>
      <c r="AL674" s="572"/>
      <c r="AM674" s="572"/>
      <c r="AN674" s="572"/>
      <c r="AO674" s="572"/>
      <c r="AP674" s="572"/>
      <c r="AQ674" s="572"/>
      <c r="AR674" s="572"/>
      <c r="AS674" s="572"/>
      <c r="AT674" s="572"/>
      <c r="AU674" s="572"/>
    </row>
    <row r="675" spans="1:47" ht="15.75" customHeight="1">
      <c r="A675" s="577">
        <v>44509</v>
      </c>
      <c r="B675" s="613" t="s">
        <v>6614</v>
      </c>
      <c r="C675" s="405" t="s">
        <v>2921</v>
      </c>
      <c r="D675" s="563" t="s">
        <v>3110</v>
      </c>
      <c r="E675" s="586">
        <v>103527.44</v>
      </c>
      <c r="F675" s="563" t="s">
        <v>2949</v>
      </c>
      <c r="G675" s="573" t="s">
        <v>2923</v>
      </c>
      <c r="H675" s="573" t="s">
        <v>20</v>
      </c>
      <c r="I675" s="573" t="s">
        <v>2930</v>
      </c>
      <c r="J675" s="573">
        <v>43633</v>
      </c>
      <c r="K675" s="576" t="s">
        <v>3805</v>
      </c>
      <c r="L675" s="572"/>
      <c r="M675" s="572"/>
      <c r="N675" s="572"/>
      <c r="O675" s="572"/>
      <c r="P675" s="572"/>
      <c r="Q675" s="572"/>
      <c r="R675" s="572"/>
      <c r="S675" s="572"/>
      <c r="T675" s="572"/>
      <c r="U675" s="572"/>
      <c r="V675" s="572"/>
      <c r="W675" s="572"/>
      <c r="X675" s="572"/>
      <c r="Y675" s="572"/>
      <c r="Z675" s="572"/>
      <c r="AA675" s="572"/>
      <c r="AB675" s="572"/>
      <c r="AC675" s="572"/>
      <c r="AD675" s="572"/>
      <c r="AE675" s="572"/>
      <c r="AF675" s="572"/>
      <c r="AG675" s="572"/>
      <c r="AH675" s="572"/>
      <c r="AI675" s="572"/>
      <c r="AJ675" s="572"/>
      <c r="AK675" s="572"/>
      <c r="AL675" s="572"/>
      <c r="AM675" s="572"/>
      <c r="AN675" s="572"/>
      <c r="AO675" s="572"/>
      <c r="AP675" s="572"/>
      <c r="AQ675" s="572"/>
      <c r="AR675" s="572"/>
      <c r="AS675" s="572"/>
      <c r="AT675" s="572"/>
      <c r="AU675" s="572"/>
    </row>
    <row r="676" spans="1:47" ht="15.75" customHeight="1">
      <c r="A676" s="577">
        <v>44510</v>
      </c>
      <c r="B676" s="607" t="s">
        <v>6442</v>
      </c>
      <c r="C676" s="405" t="s">
        <v>3785</v>
      </c>
      <c r="D676" s="563" t="s">
        <v>6341</v>
      </c>
      <c r="E676" s="586">
        <v>20000</v>
      </c>
      <c r="F676" s="563" t="s">
        <v>5087</v>
      </c>
      <c r="G676" s="563" t="s">
        <v>64</v>
      </c>
      <c r="H676" s="563" t="s">
        <v>20</v>
      </c>
      <c r="I676" s="563" t="s">
        <v>4472</v>
      </c>
      <c r="J676" s="573">
        <v>44180</v>
      </c>
      <c r="K676" s="579" t="s">
        <v>3795</v>
      </c>
      <c r="L676" s="572"/>
      <c r="M676" s="572"/>
      <c r="N676" s="572"/>
      <c r="O676" s="572"/>
      <c r="P676" s="572"/>
      <c r="Q676" s="572"/>
      <c r="R676" s="572"/>
      <c r="S676" s="572"/>
      <c r="T676" s="572"/>
      <c r="U676" s="572"/>
      <c r="V676" s="572"/>
      <c r="W676" s="572"/>
      <c r="X676" s="572"/>
      <c r="Y676" s="572"/>
      <c r="Z676" s="572"/>
      <c r="AA676" s="572"/>
      <c r="AB676" s="572"/>
      <c r="AC676" s="572"/>
      <c r="AD676" s="572"/>
      <c r="AE676" s="572"/>
      <c r="AF676" s="572"/>
      <c r="AG676" s="572"/>
      <c r="AH676" s="572"/>
      <c r="AI676" s="572"/>
      <c r="AJ676" s="572"/>
      <c r="AK676" s="572"/>
      <c r="AL676" s="572"/>
      <c r="AM676" s="572"/>
      <c r="AN676" s="572"/>
      <c r="AO676" s="572"/>
      <c r="AP676" s="572"/>
      <c r="AQ676" s="572"/>
      <c r="AR676" s="572"/>
      <c r="AS676" s="572"/>
      <c r="AT676" s="572"/>
      <c r="AU676" s="572"/>
    </row>
    <row r="677" spans="1:47" ht="15.75" customHeight="1">
      <c r="A677" s="577">
        <v>44510</v>
      </c>
      <c r="B677" s="585" t="s">
        <v>6409</v>
      </c>
      <c r="C677" s="405" t="s">
        <v>2921</v>
      </c>
      <c r="D677" s="563" t="s">
        <v>6341</v>
      </c>
      <c r="E677" s="586">
        <v>10000</v>
      </c>
      <c r="F677" s="563" t="s">
        <v>3257</v>
      </c>
      <c r="G677" s="573" t="s">
        <v>19</v>
      </c>
      <c r="H677" s="573" t="s">
        <v>34</v>
      </c>
      <c r="I677" s="573" t="s">
        <v>35</v>
      </c>
      <c r="J677" s="573">
        <v>44295</v>
      </c>
      <c r="K677" s="576" t="s">
        <v>3802</v>
      </c>
      <c r="L677" s="572"/>
      <c r="M677" s="572"/>
      <c r="N677" s="572"/>
      <c r="O677" s="572"/>
      <c r="P677" s="572"/>
      <c r="Q677" s="572"/>
      <c r="R677" s="572"/>
      <c r="S677" s="572"/>
      <c r="T677" s="572"/>
      <c r="U677" s="572"/>
      <c r="V677" s="572"/>
      <c r="W677" s="572"/>
      <c r="X677" s="572"/>
      <c r="Y677" s="572"/>
      <c r="Z677" s="572"/>
      <c r="AA677" s="572"/>
      <c r="AB677" s="572"/>
      <c r="AC677" s="572"/>
      <c r="AD677" s="572"/>
      <c r="AE677" s="572"/>
      <c r="AF677" s="572"/>
      <c r="AG677" s="572"/>
      <c r="AH677" s="572"/>
      <c r="AI677" s="572"/>
      <c r="AJ677" s="572"/>
      <c r="AK677" s="572"/>
      <c r="AL677" s="572"/>
      <c r="AM677" s="572"/>
      <c r="AN677" s="572"/>
      <c r="AO677" s="572"/>
      <c r="AP677" s="572"/>
      <c r="AQ677" s="572"/>
      <c r="AR677" s="572"/>
      <c r="AS677" s="572"/>
      <c r="AT677" s="572"/>
      <c r="AU677" s="572"/>
    </row>
    <row r="678" spans="1:47" ht="15.75" customHeight="1">
      <c r="A678" s="577">
        <v>44511</v>
      </c>
      <c r="B678" s="585" t="s">
        <v>6477</v>
      </c>
      <c r="C678" s="405" t="s">
        <v>2921</v>
      </c>
      <c r="D678" s="563" t="s">
        <v>928</v>
      </c>
      <c r="E678" s="614">
        <v>52575.43</v>
      </c>
      <c r="F678" s="563" t="s">
        <v>1935</v>
      </c>
      <c r="G678" s="573" t="s">
        <v>19</v>
      </c>
      <c r="H678" s="573" t="s">
        <v>34</v>
      </c>
      <c r="I678" s="573" t="s">
        <v>35</v>
      </c>
      <c r="J678" s="573">
        <v>44322</v>
      </c>
      <c r="K678" s="576" t="s">
        <v>3795</v>
      </c>
      <c r="L678" s="572"/>
      <c r="M678" s="572"/>
      <c r="N678" s="572"/>
      <c r="O678" s="572"/>
      <c r="P678" s="572"/>
      <c r="Q678" s="572"/>
      <c r="R678" s="572"/>
      <c r="S678" s="572"/>
      <c r="T678" s="572"/>
      <c r="U678" s="572"/>
      <c r="V678" s="572"/>
      <c r="W678" s="572"/>
      <c r="X678" s="572"/>
      <c r="Y678" s="572"/>
      <c r="Z678" s="572"/>
      <c r="AA678" s="572"/>
      <c r="AB678" s="572"/>
      <c r="AC678" s="572"/>
      <c r="AD678" s="572"/>
      <c r="AE678" s="572"/>
      <c r="AF678" s="572"/>
      <c r="AG678" s="572"/>
      <c r="AH678" s="572"/>
      <c r="AI678" s="572"/>
      <c r="AJ678" s="572"/>
      <c r="AK678" s="572"/>
      <c r="AL678" s="572"/>
      <c r="AM678" s="572"/>
      <c r="AN678" s="572"/>
      <c r="AO678" s="572"/>
      <c r="AP678" s="572"/>
      <c r="AQ678" s="572"/>
      <c r="AR678" s="572"/>
      <c r="AS678" s="572"/>
      <c r="AT678" s="572"/>
      <c r="AU678" s="572"/>
    </row>
    <row r="679" spans="1:47" ht="15.75" customHeight="1">
      <c r="A679" s="577">
        <v>44511</v>
      </c>
      <c r="B679" s="585" t="s">
        <v>6579</v>
      </c>
      <c r="C679" s="405" t="s">
        <v>2921</v>
      </c>
      <c r="D679" s="563" t="s">
        <v>6341</v>
      </c>
      <c r="E679" s="587">
        <v>6843.64</v>
      </c>
      <c r="F679" s="563" t="s">
        <v>480</v>
      </c>
      <c r="G679" s="573" t="s">
        <v>19</v>
      </c>
      <c r="H679" s="573" t="s">
        <v>34</v>
      </c>
      <c r="I679" s="573" t="s">
        <v>35</v>
      </c>
      <c r="J679" s="573">
        <v>44421</v>
      </c>
      <c r="K679" s="576" t="s">
        <v>3795</v>
      </c>
      <c r="L679" s="572"/>
      <c r="M679" s="572"/>
      <c r="N679" s="572"/>
      <c r="O679" s="572"/>
      <c r="P679" s="572"/>
      <c r="Q679" s="572"/>
      <c r="R679" s="572"/>
      <c r="S679" s="572"/>
      <c r="T679" s="572"/>
      <c r="U679" s="572"/>
      <c r="V679" s="572"/>
      <c r="W679" s="572"/>
      <c r="X679" s="572"/>
      <c r="Y679" s="572"/>
      <c r="Z679" s="572"/>
      <c r="AA679" s="572"/>
      <c r="AB679" s="572"/>
      <c r="AC679" s="572"/>
      <c r="AD679" s="572"/>
      <c r="AE679" s="572"/>
      <c r="AF679" s="572"/>
      <c r="AG679" s="572"/>
      <c r="AH679" s="572"/>
      <c r="AI679" s="572"/>
      <c r="AJ679" s="572"/>
      <c r="AK679" s="572"/>
      <c r="AL679" s="572"/>
      <c r="AM679" s="572"/>
      <c r="AN679" s="572"/>
      <c r="AO679" s="572"/>
      <c r="AP679" s="572"/>
      <c r="AQ679" s="572"/>
      <c r="AR679" s="572"/>
      <c r="AS679" s="572"/>
      <c r="AT679" s="572"/>
      <c r="AU679" s="572"/>
    </row>
    <row r="680" spans="1:47" ht="15.75" customHeight="1">
      <c r="A680" s="577">
        <v>44512</v>
      </c>
      <c r="B680" s="609" t="s">
        <v>6615</v>
      </c>
      <c r="C680" s="405" t="s">
        <v>3785</v>
      </c>
      <c r="D680" s="563" t="s">
        <v>3110</v>
      </c>
      <c r="E680" s="586">
        <v>124370.77</v>
      </c>
      <c r="F680" s="563" t="s">
        <v>5397</v>
      </c>
      <c r="G680" s="563" t="s">
        <v>64</v>
      </c>
      <c r="H680" s="563" t="s">
        <v>20</v>
      </c>
      <c r="I680" s="563" t="s">
        <v>5398</v>
      </c>
      <c r="J680" s="573">
        <v>44209</v>
      </c>
      <c r="K680" s="579" t="s">
        <v>3842</v>
      </c>
      <c r="L680" s="572"/>
      <c r="M680" s="572"/>
      <c r="N680" s="572"/>
      <c r="O680" s="572"/>
      <c r="P680" s="572"/>
      <c r="Q680" s="572"/>
      <c r="R680" s="572"/>
      <c r="S680" s="572"/>
      <c r="T680" s="572"/>
      <c r="U680" s="572"/>
      <c r="V680" s="572"/>
      <c r="W680" s="572"/>
      <c r="X680" s="572"/>
      <c r="Y680" s="572"/>
      <c r="Z680" s="572"/>
      <c r="AA680" s="572"/>
      <c r="AB680" s="572"/>
      <c r="AC680" s="572"/>
      <c r="AD680" s="572"/>
      <c r="AE680" s="572"/>
      <c r="AF680" s="572"/>
      <c r="AG680" s="572"/>
      <c r="AH680" s="572"/>
      <c r="AI680" s="572"/>
      <c r="AJ680" s="572"/>
      <c r="AK680" s="572"/>
      <c r="AL680" s="572"/>
      <c r="AM680" s="572"/>
      <c r="AN680" s="572"/>
      <c r="AO680" s="572"/>
      <c r="AP680" s="572"/>
      <c r="AQ680" s="572"/>
      <c r="AR680" s="572"/>
      <c r="AS680" s="572"/>
      <c r="AT680" s="572"/>
      <c r="AU680" s="572"/>
    </row>
    <row r="681" spans="1:47" ht="15.75" customHeight="1">
      <c r="A681" s="577">
        <v>44512</v>
      </c>
      <c r="B681" s="585" t="s">
        <v>6473</v>
      </c>
      <c r="C681" s="405" t="s">
        <v>2921</v>
      </c>
      <c r="D681" s="563" t="s">
        <v>6341</v>
      </c>
      <c r="E681" s="586">
        <v>3000</v>
      </c>
      <c r="F681" s="563" t="s">
        <v>3332</v>
      </c>
      <c r="G681" s="573" t="s">
        <v>19</v>
      </c>
      <c r="H681" s="573" t="s">
        <v>34</v>
      </c>
      <c r="I681" s="573" t="s">
        <v>262</v>
      </c>
      <c r="J681" s="573">
        <v>44322</v>
      </c>
      <c r="K681" s="576" t="s">
        <v>3795</v>
      </c>
      <c r="L681" s="572"/>
      <c r="M681" s="572"/>
      <c r="N681" s="572"/>
      <c r="O681" s="572"/>
      <c r="P681" s="572"/>
      <c r="Q681" s="572"/>
      <c r="R681" s="572"/>
      <c r="S681" s="572"/>
      <c r="T681" s="572"/>
      <c r="U681" s="572"/>
      <c r="V681" s="572"/>
      <c r="W681" s="572"/>
      <c r="X681" s="572"/>
      <c r="Y681" s="572"/>
      <c r="Z681" s="572"/>
      <c r="AA681" s="572"/>
      <c r="AB681" s="572"/>
      <c r="AC681" s="572"/>
      <c r="AD681" s="572"/>
      <c r="AE681" s="572"/>
      <c r="AF681" s="572"/>
      <c r="AG681" s="572"/>
      <c r="AH681" s="572"/>
      <c r="AI681" s="572"/>
      <c r="AJ681" s="572"/>
      <c r="AK681" s="572"/>
      <c r="AL681" s="572"/>
      <c r="AM681" s="572"/>
      <c r="AN681" s="572"/>
      <c r="AO681" s="572"/>
      <c r="AP681" s="572"/>
      <c r="AQ681" s="572"/>
      <c r="AR681" s="572"/>
      <c r="AS681" s="572"/>
      <c r="AT681" s="572"/>
      <c r="AU681" s="572"/>
    </row>
    <row r="682" spans="1:47" ht="15.75" customHeight="1">
      <c r="A682" s="577">
        <v>44512</v>
      </c>
      <c r="B682" s="615" t="s">
        <v>6611</v>
      </c>
      <c r="C682" s="405" t="s">
        <v>2921</v>
      </c>
      <c r="D682" s="563" t="s">
        <v>3110</v>
      </c>
      <c r="E682" s="586">
        <v>0</v>
      </c>
      <c r="F682" s="563" t="s">
        <v>3498</v>
      </c>
      <c r="G682" s="573" t="s">
        <v>19</v>
      </c>
      <c r="H682" s="573" t="s">
        <v>34</v>
      </c>
      <c r="I682" s="573" t="s">
        <v>35</v>
      </c>
      <c r="J682" s="573">
        <v>44411</v>
      </c>
      <c r="K682" s="576" t="s">
        <v>3795</v>
      </c>
      <c r="L682" s="572"/>
      <c r="M682" s="572"/>
      <c r="N682" s="572"/>
      <c r="O682" s="572"/>
      <c r="P682" s="572"/>
      <c r="Q682" s="572"/>
      <c r="R682" s="572"/>
      <c r="S682" s="572"/>
      <c r="T682" s="572"/>
      <c r="U682" s="572"/>
      <c r="V682" s="572"/>
      <c r="W682" s="572"/>
      <c r="X682" s="572"/>
      <c r="Y682" s="572"/>
      <c r="Z682" s="572"/>
      <c r="AA682" s="572"/>
      <c r="AB682" s="572"/>
      <c r="AC682" s="572"/>
      <c r="AD682" s="572"/>
      <c r="AE682" s="572"/>
      <c r="AF682" s="572"/>
      <c r="AG682" s="572"/>
      <c r="AH682" s="572"/>
      <c r="AI682" s="572"/>
      <c r="AJ682" s="572"/>
      <c r="AK682" s="572"/>
      <c r="AL682" s="572"/>
      <c r="AM682" s="572"/>
      <c r="AN682" s="572"/>
      <c r="AO682" s="572"/>
      <c r="AP682" s="572"/>
      <c r="AQ682" s="572"/>
      <c r="AR682" s="572"/>
      <c r="AS682" s="572"/>
      <c r="AT682" s="572"/>
      <c r="AU682" s="572"/>
    </row>
    <row r="683" spans="1:47" ht="15.75" customHeight="1">
      <c r="A683" s="577">
        <v>44512</v>
      </c>
      <c r="B683" s="615" t="s">
        <v>6477</v>
      </c>
      <c r="C683" s="405" t="s">
        <v>2921</v>
      </c>
      <c r="D683" s="563" t="s">
        <v>3110</v>
      </c>
      <c r="E683" s="614">
        <v>52575.43</v>
      </c>
      <c r="F683" s="563" t="s">
        <v>1935</v>
      </c>
      <c r="G683" s="573" t="s">
        <v>19</v>
      </c>
      <c r="H683" s="573" t="s">
        <v>34</v>
      </c>
      <c r="I683" s="573" t="s">
        <v>35</v>
      </c>
      <c r="J683" s="573">
        <v>44322</v>
      </c>
      <c r="K683" s="576" t="s">
        <v>3795</v>
      </c>
      <c r="L683" s="572"/>
      <c r="M683" s="572"/>
      <c r="N683" s="572"/>
      <c r="O683" s="572"/>
      <c r="P683" s="572"/>
      <c r="Q683" s="572"/>
      <c r="R683" s="572"/>
      <c r="S683" s="572"/>
      <c r="T683" s="572"/>
      <c r="U683" s="572"/>
      <c r="V683" s="572"/>
      <c r="W683" s="572"/>
      <c r="X683" s="572"/>
      <c r="Y683" s="572"/>
      <c r="Z683" s="572"/>
      <c r="AA683" s="572"/>
      <c r="AB683" s="572"/>
      <c r="AC683" s="572"/>
      <c r="AD683" s="572"/>
      <c r="AE683" s="572"/>
      <c r="AF683" s="572"/>
      <c r="AG683" s="572"/>
      <c r="AH683" s="572"/>
      <c r="AI683" s="572"/>
      <c r="AJ683" s="572"/>
      <c r="AK683" s="572"/>
      <c r="AL683" s="572"/>
      <c r="AM683" s="572"/>
      <c r="AN683" s="572"/>
      <c r="AO683" s="572"/>
      <c r="AP683" s="572"/>
      <c r="AQ683" s="572"/>
      <c r="AR683" s="572"/>
      <c r="AS683" s="572"/>
      <c r="AT683" s="572"/>
      <c r="AU683" s="572"/>
    </row>
    <row r="684" spans="1:47" ht="15.75" customHeight="1">
      <c r="A684" s="577">
        <v>44512</v>
      </c>
      <c r="B684" s="610" t="s">
        <v>6581</v>
      </c>
      <c r="C684" s="405" t="s">
        <v>2921</v>
      </c>
      <c r="D684" s="563" t="s">
        <v>3110</v>
      </c>
      <c r="E684" s="614">
        <v>3940.3</v>
      </c>
      <c r="F684" s="563" t="s">
        <v>3177</v>
      </c>
      <c r="G684" s="573" t="s">
        <v>19</v>
      </c>
      <c r="H684" s="573" t="s">
        <v>34</v>
      </c>
      <c r="I684" s="573" t="s">
        <v>35</v>
      </c>
      <c r="J684" s="573">
        <v>44333</v>
      </c>
      <c r="K684" s="576" t="s">
        <v>3795</v>
      </c>
      <c r="L684" s="572"/>
      <c r="M684" s="572"/>
      <c r="N684" s="572"/>
      <c r="O684" s="572"/>
      <c r="P684" s="572"/>
      <c r="Q684" s="572"/>
      <c r="R684" s="572"/>
      <c r="S684" s="572"/>
      <c r="T684" s="572"/>
      <c r="U684" s="572"/>
      <c r="V684" s="572"/>
      <c r="W684" s="572"/>
      <c r="X684" s="572"/>
      <c r="Y684" s="572"/>
      <c r="Z684" s="572"/>
      <c r="AA684" s="572"/>
      <c r="AB684" s="572"/>
      <c r="AC684" s="572"/>
      <c r="AD684" s="572"/>
      <c r="AE684" s="572"/>
      <c r="AF684" s="572"/>
      <c r="AG684" s="572"/>
      <c r="AH684" s="572"/>
      <c r="AI684" s="572"/>
      <c r="AJ684" s="572"/>
      <c r="AK684" s="572"/>
      <c r="AL684" s="572"/>
      <c r="AM684" s="572"/>
      <c r="AN684" s="572"/>
      <c r="AO684" s="572"/>
      <c r="AP684" s="572"/>
      <c r="AQ684" s="572"/>
      <c r="AR684" s="572"/>
      <c r="AS684" s="572"/>
      <c r="AT684" s="572"/>
      <c r="AU684" s="572"/>
    </row>
    <row r="685" spans="1:47" ht="15.75" customHeight="1">
      <c r="A685" s="577">
        <v>44512</v>
      </c>
      <c r="B685" s="613" t="s">
        <v>6568</v>
      </c>
      <c r="C685" s="405" t="s">
        <v>2921</v>
      </c>
      <c r="D685" s="563" t="s">
        <v>3110</v>
      </c>
      <c r="E685" s="586">
        <v>2041.36</v>
      </c>
      <c r="F685" s="563" t="s">
        <v>3005</v>
      </c>
      <c r="G685" s="573" t="s">
        <v>19</v>
      </c>
      <c r="H685" s="573" t="s">
        <v>34</v>
      </c>
      <c r="I685" s="573" t="s">
        <v>35</v>
      </c>
      <c r="J685" s="573">
        <v>44280</v>
      </c>
      <c r="K685" s="576" t="s">
        <v>3809</v>
      </c>
      <c r="L685" s="572"/>
      <c r="M685" s="572"/>
      <c r="N685" s="572"/>
      <c r="O685" s="572"/>
      <c r="P685" s="572"/>
      <c r="Q685" s="572"/>
      <c r="R685" s="572"/>
      <c r="S685" s="572"/>
      <c r="T685" s="572"/>
      <c r="U685" s="572"/>
      <c r="V685" s="572"/>
      <c r="W685" s="572"/>
      <c r="X685" s="572"/>
      <c r="Y685" s="572"/>
      <c r="Z685" s="572"/>
      <c r="AA685" s="572"/>
      <c r="AB685" s="572"/>
      <c r="AC685" s="572"/>
      <c r="AD685" s="572"/>
      <c r="AE685" s="572"/>
      <c r="AF685" s="572"/>
      <c r="AG685" s="572"/>
      <c r="AH685" s="572"/>
      <c r="AI685" s="572"/>
      <c r="AJ685" s="572"/>
      <c r="AK685" s="572"/>
      <c r="AL685" s="572"/>
      <c r="AM685" s="572"/>
      <c r="AN685" s="572"/>
      <c r="AO685" s="572"/>
      <c r="AP685" s="572"/>
      <c r="AQ685" s="572"/>
      <c r="AR685" s="572"/>
      <c r="AS685" s="572"/>
      <c r="AT685" s="572"/>
      <c r="AU685" s="572"/>
    </row>
    <row r="686" spans="1:47" ht="15.75" customHeight="1">
      <c r="A686" s="577">
        <v>44516</v>
      </c>
      <c r="B686" s="585" t="s">
        <v>6459</v>
      </c>
      <c r="C686" s="405" t="s">
        <v>2921</v>
      </c>
      <c r="D686" s="563" t="s">
        <v>6341</v>
      </c>
      <c r="E686" s="586">
        <v>54835.4</v>
      </c>
      <c r="F686" s="563" t="s">
        <v>3447</v>
      </c>
      <c r="G686" s="573" t="s">
        <v>19</v>
      </c>
      <c r="H686" s="573" t="s">
        <v>34</v>
      </c>
      <c r="I686" s="573" t="s">
        <v>262</v>
      </c>
      <c r="J686" s="573">
        <v>44279</v>
      </c>
      <c r="K686" s="576" t="s">
        <v>3795</v>
      </c>
      <c r="L686" s="572"/>
      <c r="M686" s="572"/>
      <c r="N686" s="572"/>
      <c r="O686" s="572"/>
      <c r="P686" s="572"/>
      <c r="Q686" s="572"/>
      <c r="R686" s="572"/>
      <c r="S686" s="572"/>
      <c r="T686" s="572"/>
      <c r="U686" s="572"/>
      <c r="V686" s="572"/>
      <c r="W686" s="572"/>
      <c r="X686" s="572"/>
      <c r="Y686" s="572"/>
      <c r="Z686" s="572"/>
      <c r="AA686" s="572"/>
      <c r="AB686" s="572"/>
      <c r="AC686" s="572"/>
      <c r="AD686" s="572"/>
      <c r="AE686" s="572"/>
      <c r="AF686" s="572"/>
      <c r="AG686" s="572"/>
      <c r="AH686" s="572"/>
      <c r="AI686" s="572"/>
      <c r="AJ686" s="572"/>
      <c r="AK686" s="572"/>
      <c r="AL686" s="572"/>
      <c r="AM686" s="572"/>
      <c r="AN686" s="572"/>
      <c r="AO686" s="572"/>
      <c r="AP686" s="572"/>
      <c r="AQ686" s="572"/>
      <c r="AR686" s="572"/>
      <c r="AS686" s="572"/>
      <c r="AT686" s="572"/>
      <c r="AU686" s="572"/>
    </row>
    <row r="687" spans="1:47" ht="15.75" customHeight="1">
      <c r="A687" s="577">
        <v>44516</v>
      </c>
      <c r="B687" s="585" t="s">
        <v>6504</v>
      </c>
      <c r="C687" s="405" t="s">
        <v>2921</v>
      </c>
      <c r="D687" s="563" t="s">
        <v>6341</v>
      </c>
      <c r="E687" s="586">
        <v>100000</v>
      </c>
      <c r="F687" s="563" t="s">
        <v>2933</v>
      </c>
      <c r="G687" s="573" t="s">
        <v>19</v>
      </c>
      <c r="H687" s="573" t="s">
        <v>34</v>
      </c>
      <c r="I687" s="573" t="s">
        <v>262</v>
      </c>
      <c r="J687" s="573">
        <v>44321</v>
      </c>
      <c r="K687" s="576" t="s">
        <v>3805</v>
      </c>
      <c r="L687" s="572"/>
      <c r="M687" s="572"/>
      <c r="N687" s="572"/>
      <c r="O687" s="572"/>
      <c r="P687" s="572"/>
      <c r="Q687" s="572"/>
      <c r="R687" s="572"/>
      <c r="S687" s="572"/>
      <c r="T687" s="572"/>
      <c r="U687" s="572"/>
      <c r="V687" s="572"/>
      <c r="W687" s="572"/>
      <c r="X687" s="572"/>
      <c r="Y687" s="572"/>
      <c r="Z687" s="572"/>
      <c r="AA687" s="572"/>
      <c r="AB687" s="572"/>
      <c r="AC687" s="572"/>
      <c r="AD687" s="572"/>
      <c r="AE687" s="572"/>
      <c r="AF687" s="572"/>
      <c r="AG687" s="572"/>
      <c r="AH687" s="572"/>
      <c r="AI687" s="572"/>
      <c r="AJ687" s="572"/>
      <c r="AK687" s="572"/>
      <c r="AL687" s="572"/>
      <c r="AM687" s="572"/>
      <c r="AN687" s="572"/>
      <c r="AO687" s="572"/>
      <c r="AP687" s="572"/>
      <c r="AQ687" s="572"/>
      <c r="AR687" s="572"/>
      <c r="AS687" s="572"/>
      <c r="AT687" s="572"/>
      <c r="AU687" s="572"/>
    </row>
    <row r="688" spans="1:47" ht="15.75" customHeight="1">
      <c r="A688" s="577">
        <v>44516</v>
      </c>
      <c r="B688" s="607" t="s">
        <v>6616</v>
      </c>
      <c r="C688" s="405" t="s">
        <v>3785</v>
      </c>
      <c r="D688" s="563" t="s">
        <v>3110</v>
      </c>
      <c r="E688" s="586">
        <v>290532.13</v>
      </c>
      <c r="F688" s="563" t="s">
        <v>5143</v>
      </c>
      <c r="G688" s="563" t="s">
        <v>19</v>
      </c>
      <c r="H688" s="563" t="s">
        <v>49</v>
      </c>
      <c r="I688" s="563" t="s">
        <v>328</v>
      </c>
      <c r="J688" s="573">
        <v>44259</v>
      </c>
      <c r="K688" s="579" t="s">
        <v>3809</v>
      </c>
      <c r="L688" s="572"/>
      <c r="M688" s="572"/>
      <c r="N688" s="572"/>
      <c r="O688" s="572"/>
      <c r="P688" s="572"/>
      <c r="Q688" s="572"/>
      <c r="R688" s="572"/>
      <c r="S688" s="572"/>
      <c r="T688" s="572"/>
      <c r="U688" s="572"/>
      <c r="V688" s="572"/>
      <c r="W688" s="572"/>
      <c r="X688" s="572"/>
      <c r="Y688" s="572"/>
      <c r="Z688" s="572"/>
      <c r="AA688" s="572"/>
      <c r="AB688" s="572"/>
      <c r="AC688" s="572"/>
      <c r="AD688" s="572"/>
      <c r="AE688" s="572"/>
      <c r="AF688" s="572"/>
      <c r="AG688" s="572"/>
      <c r="AH688" s="572"/>
      <c r="AI688" s="572"/>
      <c r="AJ688" s="572"/>
      <c r="AK688" s="572"/>
      <c r="AL688" s="572"/>
      <c r="AM688" s="572"/>
      <c r="AN688" s="572"/>
      <c r="AO688" s="572"/>
      <c r="AP688" s="572"/>
      <c r="AQ688" s="572"/>
      <c r="AR688" s="572"/>
      <c r="AS688" s="572"/>
      <c r="AT688" s="572"/>
      <c r="AU688" s="572"/>
    </row>
    <row r="689" spans="1:47" ht="15.75" customHeight="1">
      <c r="A689" s="577">
        <v>44516</v>
      </c>
      <c r="B689" s="588" t="s">
        <v>6412</v>
      </c>
      <c r="C689" s="405" t="s">
        <v>3785</v>
      </c>
      <c r="D689" s="563" t="s">
        <v>6341</v>
      </c>
      <c r="E689" s="586">
        <v>5000</v>
      </c>
      <c r="F689" s="563" t="s">
        <v>4373</v>
      </c>
      <c r="G689" s="563" t="s">
        <v>64</v>
      </c>
      <c r="H689" s="563" t="s">
        <v>20</v>
      </c>
      <c r="I689" s="563" t="s">
        <v>3862</v>
      </c>
      <c r="J689" s="573">
        <v>44263</v>
      </c>
      <c r="K689" s="579" t="s">
        <v>3789</v>
      </c>
      <c r="L689" s="572"/>
      <c r="M689" s="572"/>
      <c r="N689" s="572"/>
      <c r="O689" s="572"/>
      <c r="P689" s="572"/>
      <c r="Q689" s="572"/>
      <c r="R689" s="572"/>
      <c r="S689" s="572"/>
      <c r="T689" s="572"/>
      <c r="U689" s="572"/>
      <c r="V689" s="572"/>
      <c r="W689" s="572"/>
      <c r="X689" s="572"/>
      <c r="Y689" s="572"/>
      <c r="Z689" s="572"/>
      <c r="AA689" s="572"/>
      <c r="AB689" s="572"/>
      <c r="AC689" s="572"/>
      <c r="AD689" s="572"/>
      <c r="AE689" s="572"/>
      <c r="AF689" s="572"/>
      <c r="AG689" s="572"/>
      <c r="AH689" s="572"/>
      <c r="AI689" s="572"/>
      <c r="AJ689" s="572"/>
      <c r="AK689" s="572"/>
      <c r="AL689" s="572"/>
      <c r="AM689" s="572"/>
      <c r="AN689" s="572"/>
      <c r="AO689" s="572"/>
      <c r="AP689" s="572"/>
      <c r="AQ689" s="572"/>
      <c r="AR689" s="572"/>
      <c r="AS689" s="572"/>
      <c r="AT689" s="572"/>
      <c r="AU689" s="572"/>
    </row>
    <row r="690" spans="1:47" ht="15.75" customHeight="1">
      <c r="A690" s="577">
        <v>44516</v>
      </c>
      <c r="B690" s="610" t="s">
        <v>6617</v>
      </c>
      <c r="C690" s="405" t="s">
        <v>3785</v>
      </c>
      <c r="D690" s="563" t="s">
        <v>3110</v>
      </c>
      <c r="E690" s="586">
        <v>93114.82</v>
      </c>
      <c r="F690" s="563" t="s">
        <v>4362</v>
      </c>
      <c r="G690" s="563" t="s">
        <v>64</v>
      </c>
      <c r="H690" s="563" t="s">
        <v>20</v>
      </c>
      <c r="I690" s="563" t="s">
        <v>4363</v>
      </c>
      <c r="J690" s="573">
        <v>44407</v>
      </c>
      <c r="K690" s="576"/>
      <c r="L690" s="572"/>
      <c r="M690" s="572"/>
      <c r="N690" s="572"/>
      <c r="O690" s="572"/>
      <c r="P690" s="572"/>
      <c r="Q690" s="572"/>
      <c r="R690" s="572"/>
      <c r="S690" s="572"/>
      <c r="T690" s="572"/>
      <c r="U690" s="572"/>
      <c r="V690" s="572"/>
      <c r="W690" s="572"/>
      <c r="X690" s="572"/>
      <c r="Y690" s="572"/>
      <c r="Z690" s="572"/>
      <c r="AA690" s="572"/>
      <c r="AB690" s="572"/>
      <c r="AC690" s="572"/>
      <c r="AD690" s="572"/>
      <c r="AE690" s="572"/>
      <c r="AF690" s="572"/>
      <c r="AG690" s="572"/>
      <c r="AH690" s="572"/>
      <c r="AI690" s="572"/>
      <c r="AJ690" s="572"/>
      <c r="AK690" s="572"/>
      <c r="AL690" s="572"/>
      <c r="AM690" s="572"/>
      <c r="AN690" s="572"/>
      <c r="AO690" s="572"/>
      <c r="AP690" s="572"/>
      <c r="AQ690" s="572"/>
      <c r="AR690" s="572"/>
      <c r="AS690" s="572"/>
      <c r="AT690" s="572"/>
      <c r="AU690" s="572"/>
    </row>
    <row r="691" spans="1:47" ht="15.75" customHeight="1">
      <c r="A691" s="577">
        <v>44516</v>
      </c>
      <c r="B691" s="585" t="s">
        <v>6618</v>
      </c>
      <c r="C691" s="405" t="s">
        <v>3785</v>
      </c>
      <c r="D691" s="563" t="s">
        <v>6341</v>
      </c>
      <c r="E691" s="586">
        <v>48809.84</v>
      </c>
      <c r="F691" s="563" t="s">
        <v>5234</v>
      </c>
      <c r="G691" s="563" t="s">
        <v>19</v>
      </c>
      <c r="H691" s="563" t="s">
        <v>49</v>
      </c>
      <c r="I691" s="563" t="s">
        <v>5258</v>
      </c>
      <c r="J691" s="573">
        <v>44340</v>
      </c>
      <c r="K691" s="579" t="s">
        <v>3809</v>
      </c>
      <c r="L691" s="572"/>
      <c r="M691" s="572"/>
      <c r="N691" s="572"/>
      <c r="O691" s="572"/>
      <c r="P691" s="572"/>
      <c r="Q691" s="572"/>
      <c r="R691" s="572"/>
      <c r="S691" s="572"/>
      <c r="T691" s="572"/>
      <c r="U691" s="572"/>
      <c r="V691" s="572"/>
      <c r="W691" s="572"/>
      <c r="X691" s="572"/>
      <c r="Y691" s="572"/>
      <c r="Z691" s="572"/>
      <c r="AA691" s="572"/>
      <c r="AB691" s="572"/>
      <c r="AC691" s="572"/>
      <c r="AD691" s="572"/>
      <c r="AE691" s="572"/>
      <c r="AF691" s="572"/>
      <c r="AG691" s="572"/>
      <c r="AH691" s="572"/>
      <c r="AI691" s="572"/>
      <c r="AJ691" s="572"/>
      <c r="AK691" s="572"/>
      <c r="AL691" s="572"/>
      <c r="AM691" s="572"/>
      <c r="AN691" s="572"/>
      <c r="AO691" s="572"/>
      <c r="AP691" s="572"/>
      <c r="AQ691" s="572"/>
      <c r="AR691" s="572"/>
      <c r="AS691" s="572"/>
      <c r="AT691" s="572"/>
      <c r="AU691" s="572"/>
    </row>
    <row r="692" spans="1:47" ht="15.75" customHeight="1">
      <c r="A692" s="577">
        <v>44517</v>
      </c>
      <c r="B692" s="611" t="s">
        <v>6619</v>
      </c>
      <c r="C692" s="405" t="s">
        <v>3785</v>
      </c>
      <c r="D692" s="563" t="s">
        <v>6341</v>
      </c>
      <c r="E692" s="586">
        <v>10000</v>
      </c>
      <c r="F692" s="563" t="s">
        <v>4208</v>
      </c>
      <c r="G692" s="563" t="s">
        <v>19</v>
      </c>
      <c r="H692" s="563" t="s">
        <v>20</v>
      </c>
      <c r="I692" s="563" t="s">
        <v>3072</v>
      </c>
      <c r="J692" s="573">
        <v>44399</v>
      </c>
      <c r="K692" s="579" t="s">
        <v>3795</v>
      </c>
      <c r="L692" s="572"/>
      <c r="M692" s="572"/>
      <c r="N692" s="572"/>
      <c r="O692" s="572"/>
      <c r="P692" s="572"/>
      <c r="Q692" s="572"/>
      <c r="R692" s="572"/>
      <c r="S692" s="572"/>
      <c r="T692" s="572"/>
      <c r="U692" s="572"/>
      <c r="V692" s="572"/>
      <c r="W692" s="572"/>
      <c r="X692" s="572"/>
      <c r="Y692" s="572"/>
      <c r="Z692" s="572"/>
      <c r="AA692" s="572"/>
      <c r="AB692" s="572"/>
      <c r="AC692" s="572"/>
      <c r="AD692" s="572"/>
      <c r="AE692" s="572"/>
      <c r="AF692" s="572"/>
      <c r="AG692" s="572"/>
      <c r="AH692" s="572"/>
      <c r="AI692" s="572"/>
      <c r="AJ692" s="572"/>
      <c r="AK692" s="572"/>
      <c r="AL692" s="572"/>
      <c r="AM692" s="572"/>
      <c r="AN692" s="572"/>
      <c r="AO692" s="572"/>
      <c r="AP692" s="572"/>
      <c r="AQ692" s="572"/>
      <c r="AR692" s="572"/>
      <c r="AS692" s="572"/>
      <c r="AT692" s="572"/>
      <c r="AU692" s="572"/>
    </row>
    <row r="693" spans="1:47" ht="15.75" customHeight="1">
      <c r="A693" s="577">
        <v>44517</v>
      </c>
      <c r="B693" s="613" t="s">
        <v>6481</v>
      </c>
      <c r="C693" s="405" t="s">
        <v>2921</v>
      </c>
      <c r="D693" s="563" t="s">
        <v>3110</v>
      </c>
      <c r="E693" s="586">
        <v>370651.89</v>
      </c>
      <c r="F693" s="563" t="s">
        <v>3200</v>
      </c>
      <c r="G693" s="573" t="s">
        <v>2923</v>
      </c>
      <c r="H693" s="573" t="s">
        <v>20</v>
      </c>
      <c r="I693" s="573" t="s">
        <v>2930</v>
      </c>
      <c r="J693" s="573">
        <v>43752</v>
      </c>
      <c r="K693" s="576" t="s">
        <v>3795</v>
      </c>
      <c r="L693" s="572"/>
      <c r="M693" s="572"/>
      <c r="N693" s="572"/>
      <c r="O693" s="572"/>
      <c r="P693" s="572"/>
      <c r="Q693" s="572"/>
      <c r="R693" s="572"/>
      <c r="S693" s="572"/>
      <c r="T693" s="572"/>
      <c r="U693" s="572"/>
      <c r="V693" s="572"/>
      <c r="W693" s="572"/>
      <c r="X693" s="572"/>
      <c r="Y693" s="572"/>
      <c r="Z693" s="572"/>
      <c r="AA693" s="572"/>
      <c r="AB693" s="572"/>
      <c r="AC693" s="572"/>
      <c r="AD693" s="572"/>
      <c r="AE693" s="572"/>
      <c r="AF693" s="572"/>
      <c r="AG693" s="572"/>
      <c r="AH693" s="572"/>
      <c r="AI693" s="572"/>
      <c r="AJ693" s="572"/>
      <c r="AK693" s="572"/>
      <c r="AL693" s="572"/>
      <c r="AM693" s="572"/>
      <c r="AN693" s="572"/>
      <c r="AO693" s="572"/>
      <c r="AP693" s="572"/>
      <c r="AQ693" s="572"/>
      <c r="AR693" s="572"/>
      <c r="AS693" s="572"/>
      <c r="AT693" s="572"/>
      <c r="AU693" s="572"/>
    </row>
    <row r="694" spans="1:47" ht="15.75" customHeight="1">
      <c r="A694" s="577">
        <v>44517</v>
      </c>
      <c r="B694" s="585" t="s">
        <v>6475</v>
      </c>
      <c r="C694" s="405" t="s">
        <v>2921</v>
      </c>
      <c r="D694" s="563" t="s">
        <v>6341</v>
      </c>
      <c r="E694" s="586">
        <v>10000</v>
      </c>
      <c r="F694" s="563" t="s">
        <v>3465</v>
      </c>
      <c r="G694" s="573" t="s">
        <v>19</v>
      </c>
      <c r="H694" s="573" t="s">
        <v>34</v>
      </c>
      <c r="I694" s="573" t="s">
        <v>262</v>
      </c>
      <c r="J694" s="573">
        <v>44319</v>
      </c>
      <c r="K694" s="576" t="s">
        <v>3795</v>
      </c>
      <c r="L694" s="572"/>
      <c r="M694" s="572"/>
      <c r="N694" s="572"/>
      <c r="O694" s="572"/>
      <c r="P694" s="572"/>
      <c r="Q694" s="572"/>
      <c r="R694" s="572"/>
      <c r="S694" s="572"/>
      <c r="T694" s="572"/>
      <c r="U694" s="572"/>
      <c r="V694" s="572"/>
      <c r="W694" s="572"/>
      <c r="X694" s="572"/>
      <c r="Y694" s="572"/>
      <c r="Z694" s="572"/>
      <c r="AA694" s="572"/>
      <c r="AB694" s="572"/>
      <c r="AC694" s="572"/>
      <c r="AD694" s="572"/>
      <c r="AE694" s="572"/>
      <c r="AF694" s="572"/>
      <c r="AG694" s="572"/>
      <c r="AH694" s="572"/>
      <c r="AI694" s="572"/>
      <c r="AJ694" s="572"/>
      <c r="AK694" s="572"/>
      <c r="AL694" s="572"/>
      <c r="AM694" s="572"/>
      <c r="AN694" s="572"/>
      <c r="AO694" s="572"/>
      <c r="AP694" s="572"/>
      <c r="AQ694" s="572"/>
      <c r="AR694" s="572"/>
      <c r="AS694" s="572"/>
      <c r="AT694" s="572"/>
      <c r="AU694" s="572"/>
    </row>
    <row r="695" spans="1:47" ht="15.75" customHeight="1">
      <c r="A695" s="577">
        <v>44518</v>
      </c>
      <c r="B695" s="585" t="s">
        <v>6620</v>
      </c>
      <c r="C695" s="405" t="s">
        <v>3785</v>
      </c>
      <c r="D695" s="563" t="s">
        <v>6341</v>
      </c>
      <c r="E695" s="586">
        <v>25000</v>
      </c>
      <c r="F695" s="563" t="s">
        <v>6621</v>
      </c>
      <c r="G695" s="555" t="s">
        <v>2923</v>
      </c>
      <c r="H695" s="616" t="s">
        <v>20</v>
      </c>
      <c r="I695" s="616" t="s">
        <v>2923</v>
      </c>
      <c r="J695" s="617">
        <v>44452</v>
      </c>
      <c r="K695" s="579" t="s">
        <v>3795</v>
      </c>
      <c r="L695" s="572"/>
      <c r="M695" s="572"/>
      <c r="N695" s="572"/>
      <c r="O695" s="572"/>
      <c r="P695" s="572"/>
      <c r="Q695" s="572"/>
      <c r="R695" s="572"/>
      <c r="S695" s="572"/>
      <c r="T695" s="572"/>
      <c r="U695" s="572"/>
      <c r="V695" s="572"/>
      <c r="W695" s="572"/>
      <c r="X695" s="572"/>
      <c r="Y695" s="572"/>
      <c r="Z695" s="572"/>
      <c r="AA695" s="572"/>
      <c r="AB695" s="572"/>
      <c r="AC695" s="572"/>
      <c r="AD695" s="572"/>
      <c r="AE695" s="572"/>
      <c r="AF695" s="572"/>
      <c r="AG695" s="572"/>
      <c r="AH695" s="572"/>
      <c r="AI695" s="572"/>
      <c r="AJ695" s="572"/>
      <c r="AK695" s="572"/>
      <c r="AL695" s="572"/>
      <c r="AM695" s="572"/>
      <c r="AN695" s="572"/>
      <c r="AO695" s="572"/>
      <c r="AP695" s="572"/>
      <c r="AQ695" s="572"/>
      <c r="AR695" s="572"/>
      <c r="AS695" s="572"/>
      <c r="AT695" s="572"/>
      <c r="AU695" s="572"/>
    </row>
    <row r="696" spans="1:47" ht="15.75" customHeight="1">
      <c r="A696" s="577">
        <v>44518</v>
      </c>
      <c r="B696" s="585" t="s">
        <v>6396</v>
      </c>
      <c r="C696" s="405" t="s">
        <v>2921</v>
      </c>
      <c r="D696" s="563" t="s">
        <v>928</v>
      </c>
      <c r="E696" s="586">
        <v>282315.92</v>
      </c>
      <c r="F696" s="563" t="s">
        <v>3035</v>
      </c>
      <c r="G696" s="573" t="s">
        <v>2923</v>
      </c>
      <c r="H696" s="573" t="s">
        <v>20</v>
      </c>
      <c r="I696" s="573" t="s">
        <v>2924</v>
      </c>
      <c r="J696" s="573">
        <v>43707</v>
      </c>
      <c r="K696" s="576" t="s">
        <v>3809</v>
      </c>
      <c r="L696" s="572"/>
      <c r="M696" s="572"/>
      <c r="N696" s="572"/>
      <c r="O696" s="572"/>
      <c r="P696" s="572"/>
      <c r="Q696" s="572"/>
      <c r="R696" s="572"/>
      <c r="S696" s="572"/>
      <c r="T696" s="572"/>
      <c r="U696" s="572"/>
      <c r="V696" s="572"/>
      <c r="W696" s="572"/>
      <c r="X696" s="572"/>
      <c r="Y696" s="572"/>
      <c r="Z696" s="572"/>
      <c r="AA696" s="572"/>
      <c r="AB696" s="572"/>
      <c r="AC696" s="572"/>
      <c r="AD696" s="572"/>
      <c r="AE696" s="572"/>
      <c r="AF696" s="572"/>
      <c r="AG696" s="572"/>
      <c r="AH696" s="572"/>
      <c r="AI696" s="572"/>
      <c r="AJ696" s="572"/>
      <c r="AK696" s="572"/>
      <c r="AL696" s="572"/>
      <c r="AM696" s="572"/>
      <c r="AN696" s="572"/>
      <c r="AO696" s="572"/>
      <c r="AP696" s="572"/>
      <c r="AQ696" s="572"/>
      <c r="AR696" s="572"/>
      <c r="AS696" s="572"/>
      <c r="AT696" s="572"/>
      <c r="AU696" s="572"/>
    </row>
    <row r="697" spans="1:47" ht="15.75" customHeight="1">
      <c r="A697" s="577">
        <v>44518</v>
      </c>
      <c r="B697" s="618" t="s">
        <v>6622</v>
      </c>
      <c r="C697" s="405" t="s">
        <v>2921</v>
      </c>
      <c r="D697" s="563" t="s">
        <v>928</v>
      </c>
      <c r="E697" s="586">
        <v>33813.279999999999</v>
      </c>
      <c r="F697" s="563" t="s">
        <v>3019</v>
      </c>
      <c r="G697" s="573" t="s">
        <v>2923</v>
      </c>
      <c r="H697" s="573" t="s">
        <v>20</v>
      </c>
      <c r="I697" s="573" t="s">
        <v>2924</v>
      </c>
      <c r="J697" s="573">
        <v>43769</v>
      </c>
      <c r="K697" s="576" t="s">
        <v>3805</v>
      </c>
      <c r="L697" s="572"/>
      <c r="M697" s="572"/>
      <c r="N697" s="572"/>
      <c r="O697" s="572"/>
      <c r="P697" s="572"/>
      <c r="Q697" s="572"/>
      <c r="R697" s="572"/>
      <c r="S697" s="572"/>
      <c r="T697" s="572"/>
      <c r="U697" s="572"/>
      <c r="V697" s="572"/>
      <c r="W697" s="572"/>
      <c r="X697" s="572"/>
      <c r="Y697" s="572"/>
      <c r="Z697" s="572"/>
      <c r="AA697" s="572"/>
      <c r="AB697" s="572"/>
      <c r="AC697" s="572"/>
      <c r="AD697" s="572"/>
      <c r="AE697" s="572"/>
      <c r="AF697" s="572"/>
      <c r="AG697" s="572"/>
      <c r="AH697" s="572"/>
      <c r="AI697" s="572"/>
      <c r="AJ697" s="572"/>
      <c r="AK697" s="572"/>
      <c r="AL697" s="572"/>
      <c r="AM697" s="572"/>
      <c r="AN697" s="572"/>
      <c r="AO697" s="572"/>
      <c r="AP697" s="572"/>
      <c r="AQ697" s="572"/>
      <c r="AR697" s="572"/>
      <c r="AS697" s="572"/>
      <c r="AT697" s="572"/>
      <c r="AU697" s="572"/>
    </row>
    <row r="698" spans="1:47" ht="15.75" customHeight="1">
      <c r="A698" s="577">
        <v>44518</v>
      </c>
      <c r="B698" s="585" t="s">
        <v>6484</v>
      </c>
      <c r="C698" s="405" t="s">
        <v>2921</v>
      </c>
      <c r="D698" s="563" t="s">
        <v>928</v>
      </c>
      <c r="E698" s="586">
        <v>90662.42</v>
      </c>
      <c r="F698" s="563" t="s">
        <v>2943</v>
      </c>
      <c r="G698" s="573" t="s">
        <v>2923</v>
      </c>
      <c r="H698" s="573" t="s">
        <v>20</v>
      </c>
      <c r="I698" s="573" t="s">
        <v>2924</v>
      </c>
      <c r="J698" s="573">
        <v>43753</v>
      </c>
      <c r="K698" s="576" t="s">
        <v>3795</v>
      </c>
      <c r="L698" s="572"/>
      <c r="M698" s="572"/>
      <c r="N698" s="572"/>
      <c r="O698" s="572"/>
      <c r="P698" s="572"/>
      <c r="Q698" s="572"/>
      <c r="R698" s="572"/>
      <c r="S698" s="572"/>
      <c r="T698" s="572"/>
      <c r="U698" s="572"/>
      <c r="V698" s="572"/>
      <c r="W698" s="572"/>
      <c r="X698" s="572"/>
      <c r="Y698" s="572"/>
      <c r="Z698" s="572"/>
      <c r="AA698" s="572"/>
      <c r="AB698" s="572"/>
      <c r="AC698" s="572"/>
      <c r="AD698" s="572"/>
      <c r="AE698" s="572"/>
      <c r="AF698" s="572"/>
      <c r="AG698" s="572"/>
      <c r="AH698" s="572"/>
      <c r="AI698" s="572"/>
      <c r="AJ698" s="572"/>
      <c r="AK698" s="572"/>
      <c r="AL698" s="572"/>
      <c r="AM698" s="572"/>
      <c r="AN698" s="572"/>
      <c r="AO698" s="572"/>
      <c r="AP698" s="572"/>
      <c r="AQ698" s="572"/>
      <c r="AR698" s="572"/>
      <c r="AS698" s="572"/>
      <c r="AT698" s="572"/>
      <c r="AU698" s="572"/>
    </row>
    <row r="699" spans="1:47" ht="15.75" customHeight="1">
      <c r="A699" s="577">
        <v>44518</v>
      </c>
      <c r="B699" s="574" t="s">
        <v>6349</v>
      </c>
      <c r="C699" s="405" t="s">
        <v>2921</v>
      </c>
      <c r="D699" s="563" t="s">
        <v>6341</v>
      </c>
      <c r="E699" s="586">
        <v>2000</v>
      </c>
      <c r="F699" s="563" t="s">
        <v>3228</v>
      </c>
      <c r="G699" s="573" t="s">
        <v>2923</v>
      </c>
      <c r="H699" s="573" t="s">
        <v>20</v>
      </c>
      <c r="I699" s="573" t="s">
        <v>2924</v>
      </c>
      <c r="J699" s="573">
        <v>43605</v>
      </c>
      <c r="K699" s="576" t="s">
        <v>3805</v>
      </c>
      <c r="L699" s="572"/>
      <c r="M699" s="572"/>
      <c r="N699" s="572"/>
      <c r="O699" s="572"/>
      <c r="P699" s="572"/>
      <c r="Q699" s="572"/>
      <c r="R699" s="572"/>
      <c r="S699" s="572"/>
      <c r="T699" s="572"/>
      <c r="U699" s="572"/>
      <c r="V699" s="572"/>
      <c r="W699" s="572"/>
      <c r="X699" s="572"/>
      <c r="Y699" s="572"/>
      <c r="Z699" s="572"/>
      <c r="AA699" s="572"/>
      <c r="AB699" s="572"/>
      <c r="AC699" s="572"/>
      <c r="AD699" s="572"/>
      <c r="AE699" s="572"/>
      <c r="AF699" s="572"/>
      <c r="AG699" s="572"/>
      <c r="AH699" s="572"/>
      <c r="AI699" s="572"/>
      <c r="AJ699" s="572"/>
      <c r="AK699" s="572"/>
      <c r="AL699" s="572"/>
      <c r="AM699" s="572"/>
      <c r="AN699" s="572"/>
      <c r="AO699" s="572"/>
      <c r="AP699" s="572"/>
      <c r="AQ699" s="572"/>
      <c r="AR699" s="572"/>
      <c r="AS699" s="572"/>
      <c r="AT699" s="572"/>
      <c r="AU699" s="572"/>
    </row>
    <row r="700" spans="1:47" ht="15.75" customHeight="1">
      <c r="A700" s="577">
        <v>44518</v>
      </c>
      <c r="B700" s="609" t="s">
        <v>6623</v>
      </c>
      <c r="C700" s="405" t="s">
        <v>3785</v>
      </c>
      <c r="D700" s="563" t="s">
        <v>3110</v>
      </c>
      <c r="E700" s="586">
        <v>121773.16</v>
      </c>
      <c r="F700" s="563" t="s">
        <v>4402</v>
      </c>
      <c r="G700" s="563" t="s">
        <v>19</v>
      </c>
      <c r="H700" s="563" t="s">
        <v>20</v>
      </c>
      <c r="I700" s="563" t="s">
        <v>3793</v>
      </c>
      <c r="J700" s="573">
        <v>44231</v>
      </c>
      <c r="K700" s="579" t="s">
        <v>3805</v>
      </c>
      <c r="L700" s="572"/>
      <c r="M700" s="572"/>
      <c r="N700" s="572"/>
      <c r="O700" s="572"/>
      <c r="P700" s="572"/>
      <c r="Q700" s="572"/>
      <c r="R700" s="572"/>
      <c r="S700" s="572"/>
      <c r="T700" s="572"/>
      <c r="U700" s="572"/>
      <c r="V700" s="572"/>
      <c r="W700" s="572"/>
      <c r="X700" s="572"/>
      <c r="Y700" s="572"/>
      <c r="Z700" s="572"/>
      <c r="AA700" s="572"/>
      <c r="AB700" s="572"/>
      <c r="AC700" s="572"/>
      <c r="AD700" s="572"/>
      <c r="AE700" s="572"/>
      <c r="AF700" s="572"/>
      <c r="AG700" s="572"/>
      <c r="AH700" s="572"/>
      <c r="AI700" s="572"/>
      <c r="AJ700" s="572"/>
      <c r="AK700" s="572"/>
      <c r="AL700" s="572"/>
      <c r="AM700" s="572"/>
      <c r="AN700" s="572"/>
      <c r="AO700" s="572"/>
      <c r="AP700" s="572"/>
      <c r="AQ700" s="572"/>
      <c r="AR700" s="572"/>
      <c r="AS700" s="572"/>
      <c r="AT700" s="572"/>
      <c r="AU700" s="572"/>
    </row>
    <row r="701" spans="1:47" ht="15.75" customHeight="1">
      <c r="A701" s="577">
        <v>44518</v>
      </c>
      <c r="B701" s="611" t="s">
        <v>6624</v>
      </c>
      <c r="C701" s="405" t="s">
        <v>3785</v>
      </c>
      <c r="D701" s="563" t="s">
        <v>6341</v>
      </c>
      <c r="E701" s="586">
        <v>31579.5</v>
      </c>
      <c r="F701" s="563" t="s">
        <v>4415</v>
      </c>
      <c r="G701" s="563" t="s">
        <v>19</v>
      </c>
      <c r="H701" s="563" t="s">
        <v>49</v>
      </c>
      <c r="I701" s="563" t="s">
        <v>328</v>
      </c>
      <c r="J701" s="573">
        <v>44413</v>
      </c>
      <c r="K701" s="579" t="s">
        <v>3809</v>
      </c>
      <c r="L701" s="572"/>
      <c r="M701" s="572"/>
      <c r="N701" s="572"/>
      <c r="O701" s="572"/>
      <c r="P701" s="572"/>
      <c r="Q701" s="572"/>
      <c r="R701" s="572"/>
      <c r="S701" s="572"/>
      <c r="T701" s="572"/>
      <c r="U701" s="572"/>
      <c r="V701" s="572"/>
      <c r="W701" s="572"/>
      <c r="X701" s="572"/>
      <c r="Y701" s="572"/>
      <c r="Z701" s="572"/>
      <c r="AA701" s="572"/>
      <c r="AB701" s="572"/>
      <c r="AC701" s="572"/>
      <c r="AD701" s="572"/>
      <c r="AE701" s="572"/>
      <c r="AF701" s="572"/>
      <c r="AG701" s="572"/>
      <c r="AH701" s="572"/>
      <c r="AI701" s="572"/>
      <c r="AJ701" s="572"/>
      <c r="AK701" s="572"/>
      <c r="AL701" s="572"/>
      <c r="AM701" s="572"/>
      <c r="AN701" s="572"/>
      <c r="AO701" s="572"/>
      <c r="AP701" s="572"/>
      <c r="AQ701" s="572"/>
      <c r="AR701" s="572"/>
      <c r="AS701" s="572"/>
      <c r="AT701" s="572"/>
      <c r="AU701" s="572"/>
    </row>
    <row r="702" spans="1:47" ht="15.75" customHeight="1">
      <c r="A702" s="577">
        <v>44519</v>
      </c>
      <c r="B702" s="605" t="s">
        <v>6472</v>
      </c>
      <c r="C702" s="405" t="s">
        <v>2921</v>
      </c>
      <c r="D702" s="563" t="s">
        <v>6341</v>
      </c>
      <c r="E702" s="586">
        <v>313886.59000000003</v>
      </c>
      <c r="F702" s="563" t="s">
        <v>2993</v>
      </c>
      <c r="G702" s="573" t="s">
        <v>19</v>
      </c>
      <c r="H702" s="573" t="s">
        <v>34</v>
      </c>
      <c r="I702" s="573" t="s">
        <v>262</v>
      </c>
      <c r="J702" s="573">
        <v>44295</v>
      </c>
      <c r="K702" s="576" t="s">
        <v>3789</v>
      </c>
      <c r="L702" s="572"/>
      <c r="M702" s="572"/>
      <c r="N702" s="572"/>
      <c r="O702" s="572"/>
      <c r="P702" s="572"/>
      <c r="Q702" s="572"/>
      <c r="R702" s="572"/>
      <c r="S702" s="572"/>
      <c r="T702" s="572"/>
      <c r="U702" s="572"/>
      <c r="V702" s="572"/>
      <c r="W702" s="572"/>
      <c r="X702" s="572"/>
      <c r="Y702" s="572"/>
      <c r="Z702" s="572"/>
      <c r="AA702" s="572"/>
      <c r="AB702" s="572"/>
      <c r="AC702" s="572"/>
      <c r="AD702" s="572"/>
      <c r="AE702" s="572"/>
      <c r="AF702" s="572"/>
      <c r="AG702" s="572"/>
      <c r="AH702" s="572"/>
      <c r="AI702" s="572"/>
      <c r="AJ702" s="572"/>
      <c r="AK702" s="572"/>
      <c r="AL702" s="572"/>
      <c r="AM702" s="572"/>
      <c r="AN702" s="572"/>
      <c r="AO702" s="572"/>
      <c r="AP702" s="572"/>
      <c r="AQ702" s="572"/>
      <c r="AR702" s="572"/>
      <c r="AS702" s="572"/>
      <c r="AT702" s="572"/>
      <c r="AU702" s="572"/>
    </row>
    <row r="703" spans="1:47" ht="15.75" customHeight="1">
      <c r="A703" s="577">
        <v>44519</v>
      </c>
      <c r="B703" s="609" t="s">
        <v>6397</v>
      </c>
      <c r="C703" s="405" t="s">
        <v>3785</v>
      </c>
      <c r="D703" s="563" t="s">
        <v>3110</v>
      </c>
      <c r="E703" s="586">
        <v>251499.32</v>
      </c>
      <c r="F703" s="563" t="s">
        <v>4476</v>
      </c>
      <c r="G703" s="555" t="s">
        <v>2923</v>
      </c>
      <c r="H703" s="616" t="s">
        <v>20</v>
      </c>
      <c r="I703" s="616" t="s">
        <v>2923</v>
      </c>
      <c r="J703" s="617">
        <v>43901</v>
      </c>
      <c r="K703" s="579" t="s">
        <v>3789</v>
      </c>
      <c r="L703" s="572"/>
      <c r="M703" s="572"/>
      <c r="N703" s="572"/>
      <c r="O703" s="572"/>
      <c r="P703" s="572"/>
      <c r="Q703" s="572"/>
      <c r="R703" s="572"/>
      <c r="S703" s="572"/>
      <c r="T703" s="572"/>
      <c r="U703" s="572"/>
      <c r="V703" s="572"/>
      <c r="W703" s="572"/>
      <c r="X703" s="572"/>
      <c r="Y703" s="572"/>
      <c r="Z703" s="572"/>
      <c r="AA703" s="572"/>
      <c r="AB703" s="572"/>
      <c r="AC703" s="572"/>
      <c r="AD703" s="572"/>
      <c r="AE703" s="572"/>
      <c r="AF703" s="572"/>
      <c r="AG703" s="572"/>
      <c r="AH703" s="572"/>
      <c r="AI703" s="572"/>
      <c r="AJ703" s="572"/>
      <c r="AK703" s="572"/>
      <c r="AL703" s="572"/>
      <c r="AM703" s="572"/>
      <c r="AN703" s="572"/>
      <c r="AO703" s="572"/>
      <c r="AP703" s="572"/>
      <c r="AQ703" s="572"/>
      <c r="AR703" s="572"/>
      <c r="AS703" s="572"/>
      <c r="AT703" s="572"/>
      <c r="AU703" s="572"/>
    </row>
    <row r="704" spans="1:47" ht="15.75" customHeight="1">
      <c r="A704" s="577">
        <v>44522</v>
      </c>
      <c r="B704" s="605" t="s">
        <v>6550</v>
      </c>
      <c r="C704" s="405" t="s">
        <v>2921</v>
      </c>
      <c r="D704" s="563" t="s">
        <v>6341</v>
      </c>
      <c r="E704" s="586">
        <v>20000</v>
      </c>
      <c r="F704" s="563" t="s">
        <v>3502</v>
      </c>
      <c r="G704" s="573" t="s">
        <v>19</v>
      </c>
      <c r="H704" s="573" t="s">
        <v>34</v>
      </c>
      <c r="I704" s="573" t="s">
        <v>35</v>
      </c>
      <c r="J704" s="573">
        <v>44263</v>
      </c>
      <c r="K704" s="576" t="s">
        <v>3805</v>
      </c>
      <c r="L704" s="572"/>
      <c r="M704" s="572"/>
      <c r="N704" s="572"/>
      <c r="O704" s="572"/>
      <c r="P704" s="572"/>
      <c r="Q704" s="572"/>
      <c r="R704" s="572"/>
      <c r="S704" s="572"/>
      <c r="T704" s="572"/>
      <c r="U704" s="572"/>
      <c r="V704" s="572"/>
      <c r="W704" s="572"/>
      <c r="X704" s="572"/>
      <c r="Y704" s="572"/>
      <c r="Z704" s="572"/>
      <c r="AA704" s="572"/>
      <c r="AB704" s="572"/>
      <c r="AC704" s="572"/>
      <c r="AD704" s="572"/>
      <c r="AE704" s="572"/>
      <c r="AF704" s="572"/>
      <c r="AG704" s="572"/>
      <c r="AH704" s="572"/>
      <c r="AI704" s="572"/>
      <c r="AJ704" s="572"/>
      <c r="AK704" s="572"/>
      <c r="AL704" s="572"/>
      <c r="AM704" s="572"/>
      <c r="AN704" s="572"/>
      <c r="AO704" s="572"/>
      <c r="AP704" s="572"/>
      <c r="AQ704" s="572"/>
      <c r="AR704" s="572"/>
      <c r="AS704" s="572"/>
      <c r="AT704" s="572"/>
      <c r="AU704" s="572"/>
    </row>
    <row r="705" spans="1:47" ht="15.75" customHeight="1">
      <c r="A705" s="577">
        <v>44522</v>
      </c>
      <c r="B705" s="605" t="s">
        <v>6567</v>
      </c>
      <c r="C705" s="405" t="s">
        <v>2921</v>
      </c>
      <c r="D705" s="563" t="s">
        <v>3110</v>
      </c>
      <c r="E705" s="586">
        <v>261364.56</v>
      </c>
      <c r="F705" s="563" t="s">
        <v>3231</v>
      </c>
      <c r="G705" s="573" t="s">
        <v>19</v>
      </c>
      <c r="H705" s="573" t="s">
        <v>34</v>
      </c>
      <c r="I705" s="573" t="s">
        <v>35</v>
      </c>
      <c r="J705" s="573">
        <v>44319</v>
      </c>
      <c r="K705" s="576" t="s">
        <v>3795</v>
      </c>
      <c r="L705" s="572"/>
      <c r="M705" s="572"/>
      <c r="N705" s="572"/>
      <c r="O705" s="572"/>
      <c r="P705" s="572"/>
      <c r="Q705" s="572"/>
      <c r="R705" s="572"/>
      <c r="S705" s="572"/>
      <c r="T705" s="572"/>
      <c r="U705" s="572"/>
      <c r="V705" s="572"/>
      <c r="W705" s="572"/>
      <c r="X705" s="572"/>
      <c r="Y705" s="572"/>
      <c r="Z705" s="572"/>
      <c r="AA705" s="572"/>
      <c r="AB705" s="572"/>
      <c r="AC705" s="572"/>
      <c r="AD705" s="572"/>
      <c r="AE705" s="572"/>
      <c r="AF705" s="572"/>
      <c r="AG705" s="572"/>
      <c r="AH705" s="572"/>
      <c r="AI705" s="572"/>
      <c r="AJ705" s="572"/>
      <c r="AK705" s="572"/>
      <c r="AL705" s="572"/>
      <c r="AM705" s="572"/>
      <c r="AN705" s="572"/>
      <c r="AO705" s="572"/>
      <c r="AP705" s="572"/>
      <c r="AQ705" s="572"/>
      <c r="AR705" s="572"/>
      <c r="AS705" s="572"/>
      <c r="AT705" s="572"/>
      <c r="AU705" s="572"/>
    </row>
    <row r="706" spans="1:47" ht="15.75" customHeight="1">
      <c r="A706" s="577">
        <v>44522</v>
      </c>
      <c r="B706" s="585" t="s">
        <v>6455</v>
      </c>
      <c r="C706" s="405" t="s">
        <v>2921</v>
      </c>
      <c r="D706" s="563" t="s">
        <v>6341</v>
      </c>
      <c r="E706" s="586">
        <v>80000</v>
      </c>
      <c r="F706" s="563" t="s">
        <v>3141</v>
      </c>
      <c r="G706" s="573" t="s">
        <v>19</v>
      </c>
      <c r="H706" s="573" t="s">
        <v>34</v>
      </c>
      <c r="I706" s="573" t="s">
        <v>262</v>
      </c>
      <c r="J706" s="573">
        <v>44298</v>
      </c>
      <c r="K706" s="576" t="s">
        <v>3795</v>
      </c>
      <c r="L706" s="572"/>
      <c r="M706" s="572"/>
      <c r="N706" s="572"/>
      <c r="O706" s="572"/>
      <c r="P706" s="572"/>
      <c r="Q706" s="572"/>
      <c r="R706" s="572"/>
      <c r="S706" s="572"/>
      <c r="T706" s="572"/>
      <c r="U706" s="572"/>
      <c r="V706" s="572"/>
      <c r="W706" s="572"/>
      <c r="X706" s="572"/>
      <c r="Y706" s="572"/>
      <c r="Z706" s="572"/>
      <c r="AA706" s="572"/>
      <c r="AB706" s="572"/>
      <c r="AC706" s="572"/>
      <c r="AD706" s="572"/>
      <c r="AE706" s="572"/>
      <c r="AF706" s="572"/>
      <c r="AG706" s="572"/>
      <c r="AH706" s="572"/>
      <c r="AI706" s="572"/>
      <c r="AJ706" s="572"/>
      <c r="AK706" s="572"/>
      <c r="AL706" s="572"/>
      <c r="AM706" s="572"/>
      <c r="AN706" s="572"/>
      <c r="AO706" s="572"/>
      <c r="AP706" s="572"/>
      <c r="AQ706" s="572"/>
      <c r="AR706" s="572"/>
      <c r="AS706" s="572"/>
      <c r="AT706" s="572"/>
      <c r="AU706" s="572"/>
    </row>
    <row r="707" spans="1:47" ht="15.75" customHeight="1">
      <c r="A707" s="577">
        <v>44522</v>
      </c>
      <c r="B707" s="605" t="s">
        <v>6522</v>
      </c>
      <c r="C707" s="405" t="s">
        <v>2921</v>
      </c>
      <c r="D707" s="563" t="s">
        <v>6341</v>
      </c>
      <c r="E707" s="586">
        <v>500</v>
      </c>
      <c r="F707" s="563" t="s">
        <v>437</v>
      </c>
      <c r="G707" s="573" t="s">
        <v>19</v>
      </c>
      <c r="H707" s="573" t="s">
        <v>34</v>
      </c>
      <c r="I707" s="573" t="s">
        <v>35</v>
      </c>
      <c r="J707" s="573">
        <v>44263</v>
      </c>
      <c r="K707" s="576" t="s">
        <v>3795</v>
      </c>
      <c r="L707" s="572"/>
      <c r="M707" s="572"/>
      <c r="N707" s="572"/>
      <c r="O707" s="572"/>
      <c r="P707" s="572"/>
      <c r="Q707" s="572"/>
      <c r="R707" s="572"/>
      <c r="S707" s="572"/>
      <c r="T707" s="572"/>
      <c r="U707" s="572"/>
      <c r="V707" s="572"/>
      <c r="W707" s="572"/>
      <c r="X707" s="572"/>
      <c r="Y707" s="572"/>
      <c r="Z707" s="572"/>
      <c r="AA707" s="572"/>
      <c r="AB707" s="572"/>
      <c r="AC707" s="572"/>
      <c r="AD707" s="572"/>
      <c r="AE707" s="572"/>
      <c r="AF707" s="572"/>
      <c r="AG707" s="572"/>
      <c r="AH707" s="572"/>
      <c r="AI707" s="572"/>
      <c r="AJ707" s="572"/>
      <c r="AK707" s="572"/>
      <c r="AL707" s="572"/>
      <c r="AM707" s="572"/>
      <c r="AN707" s="572"/>
      <c r="AO707" s="572"/>
      <c r="AP707" s="572"/>
      <c r="AQ707" s="572"/>
      <c r="AR707" s="572"/>
      <c r="AS707" s="572"/>
      <c r="AT707" s="572"/>
      <c r="AU707" s="572"/>
    </row>
    <row r="708" spans="1:47" ht="15.75" customHeight="1">
      <c r="A708" s="577">
        <v>44522</v>
      </c>
      <c r="B708" s="585" t="s">
        <v>6625</v>
      </c>
      <c r="C708" s="405" t="s">
        <v>2921</v>
      </c>
      <c r="D708" s="563" t="s">
        <v>6341</v>
      </c>
      <c r="E708" s="586">
        <v>650000</v>
      </c>
      <c r="F708" s="563" t="s">
        <v>3296</v>
      </c>
      <c r="G708" s="573" t="s">
        <v>19</v>
      </c>
      <c r="H708" s="573" t="s">
        <v>34</v>
      </c>
      <c r="I708" s="573" t="s">
        <v>35</v>
      </c>
      <c r="J708" s="573">
        <v>44390</v>
      </c>
      <c r="K708" s="576" t="s">
        <v>3795</v>
      </c>
      <c r="L708" s="572"/>
      <c r="M708" s="572"/>
      <c r="N708" s="572"/>
      <c r="O708" s="572"/>
      <c r="P708" s="572"/>
      <c r="Q708" s="572"/>
      <c r="R708" s="572"/>
      <c r="S708" s="572"/>
      <c r="T708" s="572"/>
      <c r="U708" s="572"/>
      <c r="V708" s="572"/>
      <c r="W708" s="572"/>
      <c r="X708" s="572"/>
      <c r="Y708" s="572"/>
      <c r="Z708" s="572"/>
      <c r="AA708" s="572"/>
      <c r="AB708" s="572"/>
      <c r="AC708" s="572"/>
      <c r="AD708" s="572"/>
      <c r="AE708" s="572"/>
      <c r="AF708" s="572"/>
      <c r="AG708" s="572"/>
      <c r="AH708" s="572"/>
      <c r="AI708" s="572"/>
      <c r="AJ708" s="572"/>
      <c r="AK708" s="572"/>
      <c r="AL708" s="572"/>
      <c r="AM708" s="572"/>
      <c r="AN708" s="572"/>
      <c r="AO708" s="572"/>
      <c r="AP708" s="572"/>
      <c r="AQ708" s="572"/>
      <c r="AR708" s="572"/>
      <c r="AS708" s="572"/>
      <c r="AT708" s="572"/>
      <c r="AU708" s="572"/>
    </row>
    <row r="709" spans="1:47" ht="15.75" customHeight="1">
      <c r="A709" s="577">
        <v>44522</v>
      </c>
      <c r="B709" s="605" t="s">
        <v>6551</v>
      </c>
      <c r="C709" s="405" t="s">
        <v>2921</v>
      </c>
      <c r="D709" s="563" t="s">
        <v>6341</v>
      </c>
      <c r="E709" s="586">
        <v>1250000</v>
      </c>
      <c r="F709" s="563" t="s">
        <v>318</v>
      </c>
      <c r="G709" s="573" t="s">
        <v>19</v>
      </c>
      <c r="H709" s="573" t="s">
        <v>34</v>
      </c>
      <c r="I709" s="573" t="s">
        <v>35</v>
      </c>
      <c r="J709" s="573">
        <v>44266</v>
      </c>
      <c r="K709" s="576" t="s">
        <v>3789</v>
      </c>
      <c r="L709" s="572"/>
      <c r="M709" s="572"/>
      <c r="N709" s="572"/>
      <c r="O709" s="572"/>
      <c r="P709" s="572"/>
      <c r="Q709" s="572"/>
      <c r="R709" s="572"/>
      <c r="S709" s="572"/>
      <c r="T709" s="572"/>
      <c r="U709" s="572"/>
      <c r="V709" s="572"/>
      <c r="W709" s="572"/>
      <c r="X709" s="572"/>
      <c r="Y709" s="572"/>
      <c r="Z709" s="572"/>
      <c r="AA709" s="572"/>
      <c r="AB709" s="572"/>
      <c r="AC709" s="572"/>
      <c r="AD709" s="572"/>
      <c r="AE709" s="572"/>
      <c r="AF709" s="572"/>
      <c r="AG709" s="572"/>
      <c r="AH709" s="572"/>
      <c r="AI709" s="572"/>
      <c r="AJ709" s="572"/>
      <c r="AK709" s="572"/>
      <c r="AL709" s="572"/>
      <c r="AM709" s="572"/>
      <c r="AN709" s="572"/>
      <c r="AO709" s="572"/>
      <c r="AP709" s="572"/>
      <c r="AQ709" s="572"/>
      <c r="AR709" s="572"/>
      <c r="AS709" s="572"/>
      <c r="AT709" s="572"/>
      <c r="AU709" s="572"/>
    </row>
    <row r="710" spans="1:47" ht="15.75" customHeight="1">
      <c r="A710" s="577">
        <v>44523</v>
      </c>
      <c r="B710" s="585" t="s">
        <v>6626</v>
      </c>
      <c r="C710" s="405" t="s">
        <v>3785</v>
      </c>
      <c r="D710" s="563" t="s">
        <v>6341</v>
      </c>
      <c r="E710" s="586">
        <v>20000</v>
      </c>
      <c r="F710" s="563" t="s">
        <v>6627</v>
      </c>
      <c r="G710" s="555" t="s">
        <v>19</v>
      </c>
      <c r="H710" s="616" t="s">
        <v>49</v>
      </c>
      <c r="I710" s="616" t="s">
        <v>328</v>
      </c>
      <c r="J710" s="617">
        <v>44287</v>
      </c>
      <c r="K710" s="579" t="s">
        <v>3795</v>
      </c>
      <c r="L710" s="572"/>
      <c r="M710" s="572"/>
      <c r="N710" s="572"/>
      <c r="O710" s="572"/>
      <c r="P710" s="572"/>
      <c r="Q710" s="572"/>
      <c r="R710" s="572"/>
      <c r="S710" s="572"/>
      <c r="T710" s="572"/>
      <c r="U710" s="572"/>
      <c r="V710" s="572"/>
      <c r="W710" s="572"/>
      <c r="X710" s="572"/>
      <c r="Y710" s="572"/>
      <c r="Z710" s="572"/>
      <c r="AA710" s="572"/>
      <c r="AB710" s="572"/>
      <c r="AC710" s="572"/>
      <c r="AD710" s="572"/>
      <c r="AE710" s="572"/>
      <c r="AF710" s="572"/>
      <c r="AG710" s="572"/>
      <c r="AH710" s="572"/>
      <c r="AI710" s="572"/>
      <c r="AJ710" s="572"/>
      <c r="AK710" s="572"/>
      <c r="AL710" s="572"/>
      <c r="AM710" s="572"/>
      <c r="AN710" s="572"/>
      <c r="AO710" s="572"/>
      <c r="AP710" s="572"/>
      <c r="AQ710" s="572"/>
      <c r="AR710" s="572"/>
      <c r="AS710" s="572"/>
      <c r="AT710" s="572"/>
      <c r="AU710" s="572"/>
    </row>
    <row r="711" spans="1:47" ht="15.75" customHeight="1">
      <c r="A711" s="577">
        <v>44523</v>
      </c>
      <c r="B711" s="585" t="s">
        <v>6480</v>
      </c>
      <c r="C711" s="405" t="s">
        <v>3785</v>
      </c>
      <c r="D711" s="563" t="s">
        <v>928</v>
      </c>
      <c r="E711" s="586">
        <v>114197.45</v>
      </c>
      <c r="F711" s="563" t="s">
        <v>6628</v>
      </c>
      <c r="G711" s="555" t="s">
        <v>19</v>
      </c>
      <c r="H711" s="616" t="s">
        <v>49</v>
      </c>
      <c r="I711" s="616" t="s">
        <v>328</v>
      </c>
      <c r="J711" s="617">
        <v>44298</v>
      </c>
      <c r="K711" s="563" t="s">
        <v>3805</v>
      </c>
      <c r="L711" s="572"/>
      <c r="M711" s="572"/>
      <c r="N711" s="572"/>
      <c r="O711" s="572"/>
      <c r="P711" s="572"/>
      <c r="Q711" s="572"/>
      <c r="R711" s="572"/>
      <c r="S711" s="572"/>
      <c r="T711" s="572"/>
      <c r="U711" s="572"/>
      <c r="V711" s="572"/>
      <c r="W711" s="572"/>
      <c r="X711" s="572"/>
      <c r="Y711" s="572"/>
      <c r="Z711" s="572"/>
      <c r="AA711" s="572"/>
      <c r="AB711" s="572"/>
      <c r="AC711" s="572"/>
      <c r="AD711" s="572"/>
      <c r="AE711" s="572"/>
      <c r="AF711" s="572"/>
      <c r="AG711" s="572"/>
      <c r="AH711" s="572"/>
      <c r="AI711" s="572"/>
      <c r="AJ711" s="572"/>
      <c r="AK711" s="572"/>
      <c r="AL711" s="572"/>
      <c r="AM711" s="572"/>
      <c r="AN711" s="572"/>
      <c r="AO711" s="572"/>
      <c r="AP711" s="572"/>
      <c r="AQ711" s="572"/>
      <c r="AR711" s="572"/>
      <c r="AS711" s="572"/>
      <c r="AT711" s="572"/>
      <c r="AU711" s="572"/>
    </row>
    <row r="712" spans="1:47" ht="15.75" customHeight="1">
      <c r="A712" s="577">
        <v>44523</v>
      </c>
      <c r="B712" s="585" t="s">
        <v>6409</v>
      </c>
      <c r="C712" s="405" t="s">
        <v>2921</v>
      </c>
      <c r="D712" s="563" t="s">
        <v>6341</v>
      </c>
      <c r="E712" s="586">
        <v>35000</v>
      </c>
      <c r="F712" s="563" t="s">
        <v>3257</v>
      </c>
      <c r="G712" s="573" t="s">
        <v>19</v>
      </c>
      <c r="H712" s="573" t="s">
        <v>34</v>
      </c>
      <c r="I712" s="573" t="s">
        <v>35</v>
      </c>
      <c r="J712" s="573">
        <v>44295</v>
      </c>
      <c r="K712" s="573" t="s">
        <v>3802</v>
      </c>
      <c r="L712" s="572"/>
      <c r="M712" s="572"/>
      <c r="N712" s="572"/>
      <c r="O712" s="572"/>
      <c r="P712" s="572"/>
      <c r="Q712" s="572"/>
      <c r="R712" s="572"/>
      <c r="S712" s="572"/>
      <c r="T712" s="572"/>
      <c r="U712" s="572"/>
      <c r="V712" s="572"/>
      <c r="W712" s="572"/>
      <c r="X712" s="572"/>
      <c r="Y712" s="572"/>
      <c r="Z712" s="572"/>
      <c r="AA712" s="572"/>
      <c r="AB712" s="572"/>
      <c r="AC712" s="572"/>
      <c r="AD712" s="572"/>
      <c r="AE712" s="572"/>
      <c r="AF712" s="572"/>
      <c r="AG712" s="572"/>
      <c r="AH712" s="572"/>
      <c r="AI712" s="572"/>
      <c r="AJ712" s="572"/>
      <c r="AK712" s="572"/>
      <c r="AL712" s="572"/>
      <c r="AM712" s="572"/>
      <c r="AN712" s="572"/>
      <c r="AO712" s="572"/>
      <c r="AP712" s="572"/>
      <c r="AQ712" s="572"/>
      <c r="AR712" s="572"/>
      <c r="AS712" s="572"/>
      <c r="AT712" s="572"/>
      <c r="AU712" s="572"/>
    </row>
    <row r="713" spans="1:47" ht="15.75" customHeight="1">
      <c r="A713" s="577">
        <v>44524</v>
      </c>
      <c r="B713" s="585" t="s">
        <v>6629</v>
      </c>
      <c r="C713" s="405" t="s">
        <v>3785</v>
      </c>
      <c r="D713" s="563" t="s">
        <v>3110</v>
      </c>
      <c r="E713" s="586">
        <v>130920.08</v>
      </c>
      <c r="F713" s="563" t="s">
        <v>4573</v>
      </c>
      <c r="G713" s="563" t="s">
        <v>19</v>
      </c>
      <c r="H713" s="563" t="s">
        <v>49</v>
      </c>
      <c r="I713" s="563" t="s">
        <v>328</v>
      </c>
      <c r="J713" s="573">
        <v>44252</v>
      </c>
      <c r="K713" s="563" t="s">
        <v>3809</v>
      </c>
      <c r="L713" s="572"/>
      <c r="M713" s="572"/>
      <c r="N713" s="572"/>
      <c r="O713" s="572"/>
      <c r="P713" s="572"/>
      <c r="Q713" s="572"/>
      <c r="R713" s="572"/>
      <c r="S713" s="572"/>
      <c r="T713" s="572"/>
      <c r="U713" s="572"/>
      <c r="V713" s="572"/>
      <c r="W713" s="572"/>
      <c r="X713" s="572"/>
      <c r="Y713" s="572"/>
      <c r="Z713" s="572"/>
      <c r="AA713" s="572"/>
      <c r="AB713" s="572"/>
      <c r="AC713" s="572"/>
      <c r="AD713" s="572"/>
      <c r="AE713" s="572"/>
      <c r="AF713" s="572"/>
      <c r="AG713" s="572"/>
      <c r="AH713" s="572"/>
      <c r="AI713" s="572"/>
      <c r="AJ713" s="572"/>
      <c r="AK713" s="572"/>
      <c r="AL713" s="572"/>
      <c r="AM713" s="572"/>
      <c r="AN713" s="572"/>
      <c r="AO713" s="572"/>
      <c r="AP713" s="572"/>
      <c r="AQ713" s="572"/>
      <c r="AR713" s="572"/>
      <c r="AS713" s="572"/>
      <c r="AT713" s="572"/>
      <c r="AU713" s="572"/>
    </row>
    <row r="714" spans="1:47" ht="15.75" customHeight="1">
      <c r="A714" s="577">
        <v>44524</v>
      </c>
      <c r="B714" s="585" t="s">
        <v>6630</v>
      </c>
      <c r="C714" s="405" t="s">
        <v>3785</v>
      </c>
      <c r="D714" s="563" t="s">
        <v>3110</v>
      </c>
      <c r="E714" s="586">
        <v>98719.08</v>
      </c>
      <c r="F714" s="563" t="s">
        <v>4004</v>
      </c>
      <c r="G714" s="563" t="s">
        <v>2923</v>
      </c>
      <c r="H714" s="563" t="s">
        <v>20</v>
      </c>
      <c r="I714" s="563" t="s">
        <v>2923</v>
      </c>
      <c r="J714" s="573">
        <v>44390</v>
      </c>
      <c r="K714" s="563" t="s">
        <v>3795</v>
      </c>
      <c r="L714" s="572"/>
      <c r="M714" s="572"/>
      <c r="N714" s="572"/>
      <c r="O714" s="572"/>
      <c r="P714" s="572"/>
      <c r="Q714" s="572"/>
      <c r="R714" s="572"/>
      <c r="S714" s="572"/>
      <c r="T714" s="572"/>
      <c r="U714" s="572"/>
      <c r="V714" s="572"/>
      <c r="W714" s="572"/>
      <c r="X714" s="572"/>
      <c r="Y714" s="572"/>
      <c r="Z714" s="572"/>
      <c r="AA714" s="572"/>
      <c r="AB714" s="572"/>
      <c r="AC714" s="572"/>
      <c r="AD714" s="572"/>
      <c r="AE714" s="572"/>
      <c r="AF714" s="572"/>
      <c r="AG714" s="572"/>
      <c r="AH714" s="572"/>
      <c r="AI714" s="572"/>
      <c r="AJ714" s="572"/>
      <c r="AK714" s="572"/>
      <c r="AL714" s="572"/>
      <c r="AM714" s="572"/>
      <c r="AN714" s="572"/>
      <c r="AO714" s="572"/>
      <c r="AP714" s="572"/>
      <c r="AQ714" s="572"/>
      <c r="AR714" s="572"/>
      <c r="AS714" s="572"/>
      <c r="AT714" s="572"/>
      <c r="AU714" s="572"/>
    </row>
    <row r="715" spans="1:47" ht="15.75" customHeight="1">
      <c r="A715" s="577">
        <v>44524</v>
      </c>
      <c r="B715" s="605" t="s">
        <v>6465</v>
      </c>
      <c r="C715" s="405" t="s">
        <v>2921</v>
      </c>
      <c r="D715" s="563" t="s">
        <v>6341</v>
      </c>
      <c r="E715" s="586">
        <v>59000</v>
      </c>
      <c r="F715" s="563" t="s">
        <v>2301</v>
      </c>
      <c r="G715" s="573" t="s">
        <v>19</v>
      </c>
      <c r="H715" s="573" t="s">
        <v>34</v>
      </c>
      <c r="I715" s="573" t="s">
        <v>35</v>
      </c>
      <c r="J715" s="573">
        <v>44280</v>
      </c>
      <c r="K715" s="573" t="s">
        <v>3795</v>
      </c>
      <c r="L715" s="572"/>
      <c r="M715" s="572"/>
      <c r="N715" s="572"/>
      <c r="O715" s="572"/>
      <c r="P715" s="572"/>
      <c r="Q715" s="572"/>
      <c r="R715" s="572"/>
      <c r="S715" s="572"/>
      <c r="T715" s="572"/>
      <c r="U715" s="572"/>
      <c r="V715" s="572"/>
      <c r="W715" s="572"/>
      <c r="X715" s="572"/>
      <c r="Y715" s="572"/>
      <c r="Z715" s="572"/>
      <c r="AA715" s="572"/>
      <c r="AB715" s="572"/>
      <c r="AC715" s="572"/>
      <c r="AD715" s="572"/>
      <c r="AE715" s="572"/>
      <c r="AF715" s="572"/>
      <c r="AG715" s="572"/>
      <c r="AH715" s="572"/>
      <c r="AI715" s="572"/>
      <c r="AJ715" s="572"/>
      <c r="AK715" s="572"/>
      <c r="AL715" s="572"/>
      <c r="AM715" s="572"/>
      <c r="AN715" s="572"/>
      <c r="AO715" s="572"/>
      <c r="AP715" s="572"/>
      <c r="AQ715" s="572"/>
      <c r="AR715" s="572"/>
      <c r="AS715" s="572"/>
      <c r="AT715" s="572"/>
      <c r="AU715" s="572"/>
    </row>
    <row r="716" spans="1:47" ht="15.75" customHeight="1">
      <c r="A716" s="577">
        <v>44525</v>
      </c>
      <c r="B716" s="585" t="s">
        <v>6631</v>
      </c>
      <c r="C716" s="405" t="s">
        <v>2921</v>
      </c>
      <c r="D716" s="563" t="s">
        <v>928</v>
      </c>
      <c r="E716" s="586">
        <v>95072.23</v>
      </c>
      <c r="F716" s="563" t="s">
        <v>2936</v>
      </c>
      <c r="G716" s="573" t="s">
        <v>2923</v>
      </c>
      <c r="H716" s="573" t="s">
        <v>20</v>
      </c>
      <c r="I716" s="573" t="s">
        <v>2930</v>
      </c>
      <c r="J716" s="573">
        <v>43780</v>
      </c>
      <c r="K716" s="573" t="s">
        <v>3805</v>
      </c>
      <c r="L716" s="572"/>
      <c r="M716" s="572"/>
      <c r="N716" s="572"/>
      <c r="O716" s="572"/>
      <c r="P716" s="572"/>
      <c r="Q716" s="572"/>
      <c r="R716" s="572"/>
      <c r="S716" s="572"/>
      <c r="T716" s="572"/>
      <c r="U716" s="572"/>
      <c r="V716" s="572"/>
      <c r="W716" s="572"/>
      <c r="X716" s="572"/>
      <c r="Y716" s="572"/>
      <c r="Z716" s="572"/>
      <c r="AA716" s="572"/>
      <c r="AB716" s="572"/>
      <c r="AC716" s="572"/>
      <c r="AD716" s="572"/>
      <c r="AE716" s="572"/>
      <c r="AF716" s="572"/>
      <c r="AG716" s="572"/>
      <c r="AH716" s="572"/>
      <c r="AI716" s="572"/>
      <c r="AJ716" s="572"/>
      <c r="AK716" s="572"/>
      <c r="AL716" s="572"/>
      <c r="AM716" s="572"/>
      <c r="AN716" s="572"/>
      <c r="AO716" s="572"/>
      <c r="AP716" s="572"/>
      <c r="AQ716" s="572"/>
      <c r="AR716" s="572"/>
      <c r="AS716" s="572"/>
      <c r="AT716" s="572"/>
      <c r="AU716" s="572"/>
    </row>
    <row r="717" spans="1:47" ht="15.75" customHeight="1">
      <c r="A717" s="577">
        <v>44525</v>
      </c>
      <c r="B717" s="585" t="s">
        <v>6576</v>
      </c>
      <c r="C717" s="405" t="s">
        <v>2921</v>
      </c>
      <c r="D717" s="563" t="s">
        <v>928</v>
      </c>
      <c r="E717" s="586">
        <v>287057.81</v>
      </c>
      <c r="F717" s="563" t="s">
        <v>3085</v>
      </c>
      <c r="G717" s="573" t="s">
        <v>19</v>
      </c>
      <c r="H717" s="573" t="s">
        <v>34</v>
      </c>
      <c r="I717" s="573" t="s">
        <v>262</v>
      </c>
      <c r="J717" s="573">
        <v>44393</v>
      </c>
      <c r="K717" s="573" t="s">
        <v>4332</v>
      </c>
      <c r="L717" s="572"/>
      <c r="M717" s="572"/>
      <c r="N717" s="572"/>
      <c r="O717" s="572"/>
      <c r="P717" s="572"/>
      <c r="Q717" s="572"/>
      <c r="R717" s="572"/>
      <c r="S717" s="572"/>
      <c r="T717" s="572"/>
      <c r="U717" s="572"/>
      <c r="V717" s="572"/>
      <c r="W717" s="572"/>
      <c r="X717" s="572"/>
      <c r="Y717" s="572"/>
      <c r="Z717" s="572"/>
      <c r="AA717" s="572"/>
      <c r="AB717" s="572"/>
      <c r="AC717" s="572"/>
      <c r="AD717" s="572"/>
      <c r="AE717" s="572"/>
      <c r="AF717" s="572"/>
      <c r="AG717" s="572"/>
      <c r="AH717" s="572"/>
      <c r="AI717" s="572"/>
      <c r="AJ717" s="572"/>
      <c r="AK717" s="572"/>
      <c r="AL717" s="572"/>
      <c r="AM717" s="572"/>
      <c r="AN717" s="572"/>
      <c r="AO717" s="572"/>
      <c r="AP717" s="572"/>
      <c r="AQ717" s="572"/>
      <c r="AR717" s="572"/>
      <c r="AS717" s="572"/>
      <c r="AT717" s="572"/>
      <c r="AU717" s="572"/>
    </row>
    <row r="718" spans="1:47" ht="15.75" customHeight="1">
      <c r="A718" s="577">
        <v>44525</v>
      </c>
      <c r="B718" s="585" t="s">
        <v>6632</v>
      </c>
      <c r="C718" s="405" t="s">
        <v>3785</v>
      </c>
      <c r="D718" s="563" t="s">
        <v>6341</v>
      </c>
      <c r="E718" s="586">
        <v>15000</v>
      </c>
      <c r="F718" s="563" t="s">
        <v>2454</v>
      </c>
      <c r="G718" s="563" t="s">
        <v>19</v>
      </c>
      <c r="H718" s="563" t="s">
        <v>20</v>
      </c>
      <c r="I718" s="563" t="s">
        <v>3072</v>
      </c>
      <c r="J718" s="573">
        <v>44293</v>
      </c>
      <c r="K718" s="563" t="s">
        <v>3789</v>
      </c>
      <c r="L718" s="572"/>
      <c r="M718" s="572"/>
      <c r="N718" s="572"/>
      <c r="O718" s="572"/>
      <c r="P718" s="572"/>
      <c r="Q718" s="572"/>
      <c r="R718" s="572"/>
      <c r="S718" s="572"/>
      <c r="T718" s="572"/>
      <c r="U718" s="572"/>
      <c r="V718" s="572"/>
      <c r="W718" s="572"/>
      <c r="X718" s="572"/>
      <c r="Y718" s="572"/>
      <c r="Z718" s="572"/>
      <c r="AA718" s="572"/>
      <c r="AB718" s="572"/>
      <c r="AC718" s="572"/>
      <c r="AD718" s="572"/>
      <c r="AE718" s="572"/>
      <c r="AF718" s="572"/>
      <c r="AG718" s="572"/>
      <c r="AH718" s="572"/>
      <c r="AI718" s="572"/>
      <c r="AJ718" s="572"/>
      <c r="AK718" s="572"/>
      <c r="AL718" s="572"/>
      <c r="AM718" s="572"/>
      <c r="AN718" s="572"/>
      <c r="AO718" s="572"/>
      <c r="AP718" s="572"/>
      <c r="AQ718" s="572"/>
      <c r="AR718" s="572"/>
      <c r="AS718" s="572"/>
      <c r="AT718" s="572"/>
      <c r="AU718" s="572"/>
    </row>
    <row r="719" spans="1:47" ht="15.75" customHeight="1">
      <c r="A719" s="577">
        <v>44526</v>
      </c>
      <c r="B719" s="585" t="s">
        <v>6528</v>
      </c>
      <c r="C719" s="405" t="s">
        <v>2921</v>
      </c>
      <c r="D719" s="563" t="s">
        <v>6341</v>
      </c>
      <c r="E719" s="586">
        <v>200000</v>
      </c>
      <c r="F719" s="563" t="s">
        <v>3132</v>
      </c>
      <c r="G719" s="573" t="s">
        <v>19</v>
      </c>
      <c r="H719" s="573" t="s">
        <v>34</v>
      </c>
      <c r="I719" s="573" t="s">
        <v>262</v>
      </c>
      <c r="J719" s="573">
        <v>44291</v>
      </c>
      <c r="K719" s="573" t="s">
        <v>3795</v>
      </c>
      <c r="L719" s="572"/>
      <c r="M719" s="572"/>
      <c r="N719" s="572"/>
      <c r="O719" s="572"/>
      <c r="P719" s="572"/>
      <c r="Q719" s="572"/>
      <c r="R719" s="572"/>
      <c r="S719" s="572"/>
      <c r="T719" s="572"/>
      <c r="U719" s="572"/>
      <c r="V719" s="572"/>
      <c r="W719" s="572"/>
      <c r="X719" s="572"/>
      <c r="Y719" s="572"/>
      <c r="Z719" s="572"/>
      <c r="AA719" s="572"/>
      <c r="AB719" s="572"/>
      <c r="AC719" s="572"/>
      <c r="AD719" s="572"/>
      <c r="AE719" s="572"/>
      <c r="AF719" s="572"/>
      <c r="AG719" s="572"/>
      <c r="AH719" s="572"/>
      <c r="AI719" s="572"/>
      <c r="AJ719" s="572"/>
      <c r="AK719" s="572"/>
      <c r="AL719" s="572"/>
      <c r="AM719" s="572"/>
      <c r="AN719" s="572"/>
      <c r="AO719" s="572"/>
      <c r="AP719" s="572"/>
      <c r="AQ719" s="572"/>
      <c r="AR719" s="572"/>
      <c r="AS719" s="572"/>
      <c r="AT719" s="572"/>
      <c r="AU719" s="572"/>
    </row>
    <row r="720" spans="1:47" ht="15.75" customHeight="1">
      <c r="A720" s="577">
        <v>44529</v>
      </c>
      <c r="B720" s="585" t="s">
        <v>6504</v>
      </c>
      <c r="C720" s="405" t="s">
        <v>2921</v>
      </c>
      <c r="D720" s="563" t="s">
        <v>6341</v>
      </c>
      <c r="E720" s="586">
        <v>150000</v>
      </c>
      <c r="F720" s="563" t="s">
        <v>2933</v>
      </c>
      <c r="G720" s="573" t="s">
        <v>19</v>
      </c>
      <c r="H720" s="573" t="s">
        <v>34</v>
      </c>
      <c r="I720" s="573" t="s">
        <v>262</v>
      </c>
      <c r="J720" s="573">
        <v>44321</v>
      </c>
      <c r="K720" s="573" t="s">
        <v>3805</v>
      </c>
      <c r="L720" s="572"/>
      <c r="M720" s="572"/>
      <c r="N720" s="572"/>
      <c r="O720" s="572"/>
      <c r="P720" s="572"/>
      <c r="Q720" s="572"/>
      <c r="R720" s="572"/>
      <c r="S720" s="572"/>
      <c r="T720" s="572"/>
      <c r="U720" s="572"/>
      <c r="V720" s="572"/>
      <c r="W720" s="572"/>
      <c r="X720" s="572"/>
      <c r="Y720" s="572"/>
      <c r="Z720" s="572"/>
      <c r="AA720" s="572"/>
      <c r="AB720" s="572"/>
      <c r="AC720" s="572"/>
      <c r="AD720" s="572"/>
      <c r="AE720" s="572"/>
      <c r="AF720" s="572"/>
      <c r="AG720" s="572"/>
      <c r="AH720" s="572"/>
      <c r="AI720" s="572"/>
      <c r="AJ720" s="572"/>
      <c r="AK720" s="572"/>
      <c r="AL720" s="572"/>
      <c r="AM720" s="572"/>
      <c r="AN720" s="572"/>
      <c r="AO720" s="572"/>
      <c r="AP720" s="572"/>
      <c r="AQ720" s="572"/>
      <c r="AR720" s="572"/>
      <c r="AS720" s="572"/>
      <c r="AT720" s="572"/>
      <c r="AU720" s="572"/>
    </row>
    <row r="721" spans="1:47" ht="15.75" customHeight="1">
      <c r="A721" s="577">
        <v>44530</v>
      </c>
      <c r="B721" s="585" t="s">
        <v>6633</v>
      </c>
      <c r="C721" s="405" t="s">
        <v>2921</v>
      </c>
      <c r="D721" s="563" t="s">
        <v>6341</v>
      </c>
      <c r="E721" s="586">
        <v>500000</v>
      </c>
      <c r="F721" s="563" t="s">
        <v>3394</v>
      </c>
      <c r="G721" s="573" t="s">
        <v>19</v>
      </c>
      <c r="H721" s="573" t="s">
        <v>34</v>
      </c>
      <c r="I721" s="573" t="s">
        <v>262</v>
      </c>
      <c r="J721" s="573">
        <v>44280</v>
      </c>
      <c r="K721" s="573" t="s">
        <v>3795</v>
      </c>
      <c r="L721" s="572"/>
      <c r="M721" s="572"/>
      <c r="N721" s="572"/>
      <c r="O721" s="572"/>
      <c r="P721" s="572"/>
      <c r="Q721" s="572"/>
      <c r="R721" s="572"/>
      <c r="S721" s="572"/>
      <c r="T721" s="572"/>
      <c r="U721" s="572"/>
      <c r="V721" s="572"/>
      <c r="W721" s="572"/>
      <c r="X721" s="572"/>
      <c r="Y721" s="572"/>
      <c r="Z721" s="572"/>
      <c r="AA721" s="572"/>
      <c r="AB721" s="572"/>
      <c r="AC721" s="572"/>
      <c r="AD721" s="572"/>
      <c r="AE721" s="572"/>
      <c r="AF721" s="572"/>
      <c r="AG721" s="572"/>
      <c r="AH721" s="572"/>
      <c r="AI721" s="572"/>
      <c r="AJ721" s="572"/>
      <c r="AK721" s="572"/>
      <c r="AL721" s="572"/>
      <c r="AM721" s="572"/>
      <c r="AN721" s="572"/>
      <c r="AO721" s="572"/>
      <c r="AP721" s="572"/>
      <c r="AQ721" s="572"/>
      <c r="AR721" s="572"/>
      <c r="AS721" s="572"/>
      <c r="AT721" s="572"/>
      <c r="AU721" s="572"/>
    </row>
    <row r="722" spans="1:47" ht="15.75" customHeight="1">
      <c r="A722" s="577">
        <v>44530</v>
      </c>
      <c r="B722" s="585" t="s">
        <v>6459</v>
      </c>
      <c r="C722" s="405" t="s">
        <v>2921</v>
      </c>
      <c r="D722" s="563" t="s">
        <v>6341</v>
      </c>
      <c r="E722" s="586">
        <v>50000</v>
      </c>
      <c r="F722" s="563" t="s">
        <v>3447</v>
      </c>
      <c r="G722" s="573" t="s">
        <v>19</v>
      </c>
      <c r="H722" s="573" t="s">
        <v>34</v>
      </c>
      <c r="I722" s="573" t="s">
        <v>262</v>
      </c>
      <c r="J722" s="573">
        <v>44279</v>
      </c>
      <c r="K722" s="573" t="s">
        <v>3795</v>
      </c>
      <c r="L722" s="572"/>
      <c r="M722" s="572"/>
      <c r="N722" s="572"/>
      <c r="O722" s="572"/>
      <c r="P722" s="572"/>
      <c r="Q722" s="572"/>
      <c r="R722" s="572"/>
      <c r="S722" s="572"/>
      <c r="T722" s="572"/>
      <c r="U722" s="572"/>
      <c r="V722" s="572"/>
      <c r="W722" s="572"/>
      <c r="X722" s="572"/>
      <c r="Y722" s="572"/>
      <c r="Z722" s="572"/>
      <c r="AA722" s="572"/>
      <c r="AB722" s="572"/>
      <c r="AC722" s="572"/>
      <c r="AD722" s="572"/>
      <c r="AE722" s="572"/>
      <c r="AF722" s="572"/>
      <c r="AG722" s="572"/>
      <c r="AH722" s="572"/>
      <c r="AI722" s="572"/>
      <c r="AJ722" s="572"/>
      <c r="AK722" s="572"/>
      <c r="AL722" s="572"/>
      <c r="AM722" s="572"/>
      <c r="AN722" s="572"/>
      <c r="AO722" s="572"/>
      <c r="AP722" s="572"/>
      <c r="AQ722" s="572"/>
      <c r="AR722" s="572"/>
      <c r="AS722" s="572"/>
      <c r="AT722" s="572"/>
      <c r="AU722" s="572"/>
    </row>
    <row r="723" spans="1:47" ht="15.75" customHeight="1">
      <c r="A723" s="577">
        <v>44530</v>
      </c>
      <c r="B723" s="585" t="s">
        <v>6409</v>
      </c>
      <c r="C723" s="405" t="s">
        <v>2921</v>
      </c>
      <c r="D723" s="563" t="s">
        <v>6341</v>
      </c>
      <c r="E723" s="586">
        <v>10000</v>
      </c>
      <c r="F723" s="563" t="s">
        <v>3257</v>
      </c>
      <c r="G723" s="573" t="s">
        <v>19</v>
      </c>
      <c r="H723" s="573" t="s">
        <v>34</v>
      </c>
      <c r="I723" s="573" t="s">
        <v>35</v>
      </c>
      <c r="J723" s="573">
        <v>44295</v>
      </c>
      <c r="K723" s="573" t="s">
        <v>3802</v>
      </c>
      <c r="L723" s="572"/>
      <c r="M723" s="572"/>
      <c r="N723" s="572"/>
      <c r="O723" s="572"/>
      <c r="P723" s="572"/>
      <c r="Q723" s="572"/>
      <c r="R723" s="572"/>
      <c r="S723" s="572"/>
      <c r="T723" s="572"/>
      <c r="U723" s="572"/>
      <c r="V723" s="572"/>
      <c r="W723" s="572"/>
      <c r="X723" s="572"/>
      <c r="Y723" s="572"/>
      <c r="Z723" s="572"/>
      <c r="AA723" s="572"/>
      <c r="AB723" s="572"/>
      <c r="AC723" s="572"/>
      <c r="AD723" s="572"/>
      <c r="AE723" s="572"/>
      <c r="AF723" s="572"/>
      <c r="AG723" s="572"/>
      <c r="AH723" s="572"/>
      <c r="AI723" s="572"/>
      <c r="AJ723" s="572"/>
      <c r="AK723" s="572"/>
      <c r="AL723" s="572"/>
      <c r="AM723" s="572"/>
      <c r="AN723" s="572"/>
      <c r="AO723" s="572"/>
      <c r="AP723" s="572"/>
      <c r="AQ723" s="572"/>
      <c r="AR723" s="572"/>
      <c r="AS723" s="572"/>
      <c r="AT723" s="572"/>
      <c r="AU723" s="572"/>
    </row>
    <row r="724" spans="1:47" ht="15.75" customHeight="1">
      <c r="A724" s="577">
        <v>44530</v>
      </c>
      <c r="B724" s="585" t="s">
        <v>6550</v>
      </c>
      <c r="C724" s="405" t="s">
        <v>2921</v>
      </c>
      <c r="D724" s="563" t="s">
        <v>6341</v>
      </c>
      <c r="E724" s="586">
        <v>20000</v>
      </c>
      <c r="F724" s="563" t="s">
        <v>3502</v>
      </c>
      <c r="G724" s="573" t="s">
        <v>19</v>
      </c>
      <c r="H724" s="573" t="s">
        <v>34</v>
      </c>
      <c r="I724" s="573" t="s">
        <v>35</v>
      </c>
      <c r="J724" s="573">
        <v>44263</v>
      </c>
      <c r="K724" s="573" t="s">
        <v>3805</v>
      </c>
      <c r="L724" s="572"/>
      <c r="M724" s="572"/>
      <c r="N724" s="572"/>
      <c r="O724" s="572"/>
      <c r="P724" s="572"/>
      <c r="Q724" s="572"/>
      <c r="R724" s="572"/>
      <c r="S724" s="572"/>
      <c r="T724" s="572"/>
      <c r="U724" s="572"/>
      <c r="V724" s="572"/>
      <c r="W724" s="572"/>
      <c r="X724" s="572"/>
      <c r="Y724" s="572"/>
      <c r="Z724" s="572"/>
      <c r="AA724" s="572"/>
      <c r="AB724" s="572"/>
      <c r="AC724" s="572"/>
      <c r="AD724" s="572"/>
      <c r="AE724" s="572"/>
      <c r="AF724" s="572"/>
      <c r="AG724" s="572"/>
      <c r="AH724" s="572"/>
      <c r="AI724" s="572"/>
      <c r="AJ724" s="572"/>
      <c r="AK724" s="572"/>
      <c r="AL724" s="572"/>
      <c r="AM724" s="572"/>
      <c r="AN724" s="572"/>
      <c r="AO724" s="572"/>
      <c r="AP724" s="572"/>
      <c r="AQ724" s="572"/>
      <c r="AR724" s="572"/>
      <c r="AS724" s="572"/>
      <c r="AT724" s="572"/>
      <c r="AU724" s="572"/>
    </row>
    <row r="725" spans="1:47" ht="15.75" customHeight="1">
      <c r="A725" s="577">
        <v>44531</v>
      </c>
      <c r="B725" s="585" t="s">
        <v>6475</v>
      </c>
      <c r="C725" s="405" t="s">
        <v>2921</v>
      </c>
      <c r="D725" s="563" t="s">
        <v>6341</v>
      </c>
      <c r="E725" s="586">
        <v>12000</v>
      </c>
      <c r="F725" s="563" t="s">
        <v>3465</v>
      </c>
      <c r="G725" s="573" t="s">
        <v>19</v>
      </c>
      <c r="H725" s="573" t="s">
        <v>34</v>
      </c>
      <c r="I725" s="573" t="s">
        <v>262</v>
      </c>
      <c r="J725" s="573">
        <v>44319</v>
      </c>
      <c r="K725" s="573" t="s">
        <v>3795</v>
      </c>
      <c r="L725" s="572"/>
      <c r="M725" s="572"/>
      <c r="N725" s="572"/>
      <c r="O725" s="572"/>
      <c r="P725" s="572"/>
      <c r="Q725" s="572"/>
      <c r="R725" s="572"/>
      <c r="S725" s="572"/>
      <c r="T725" s="572"/>
      <c r="U725" s="572"/>
      <c r="V725" s="572"/>
      <c r="W725" s="572"/>
      <c r="X725" s="572"/>
      <c r="Y725" s="572"/>
      <c r="Z725" s="572"/>
      <c r="AA725" s="572"/>
      <c r="AB725" s="572"/>
      <c r="AC725" s="572"/>
      <c r="AD725" s="572"/>
      <c r="AE725" s="572"/>
      <c r="AF725" s="572"/>
      <c r="AG725" s="572"/>
      <c r="AH725" s="572"/>
      <c r="AI725" s="572"/>
      <c r="AJ725" s="572"/>
      <c r="AK725" s="572"/>
      <c r="AL725" s="572"/>
      <c r="AM725" s="572"/>
      <c r="AN725" s="572"/>
      <c r="AO725" s="572"/>
      <c r="AP725" s="572"/>
      <c r="AQ725" s="572"/>
      <c r="AR725" s="572"/>
      <c r="AS725" s="572"/>
      <c r="AT725" s="572"/>
      <c r="AU725" s="572"/>
    </row>
    <row r="726" spans="1:47" ht="15.75" customHeight="1">
      <c r="A726" s="577">
        <v>44531</v>
      </c>
      <c r="B726" s="585" t="s">
        <v>6408</v>
      </c>
      <c r="C726" s="405" t="s">
        <v>2921</v>
      </c>
      <c r="D726" s="563" t="s">
        <v>6341</v>
      </c>
      <c r="E726" s="586">
        <v>40000</v>
      </c>
      <c r="F726" s="563" t="s">
        <v>859</v>
      </c>
      <c r="G726" s="573" t="s">
        <v>19</v>
      </c>
      <c r="H726" s="573" t="s">
        <v>34</v>
      </c>
      <c r="I726" s="573" t="s">
        <v>35</v>
      </c>
      <c r="J726" s="573">
        <v>44321</v>
      </c>
      <c r="K726" s="573" t="s">
        <v>3795</v>
      </c>
      <c r="L726" s="572"/>
      <c r="M726" s="572"/>
      <c r="N726" s="572"/>
      <c r="O726" s="572"/>
      <c r="P726" s="572"/>
      <c r="Q726" s="572"/>
      <c r="R726" s="572"/>
      <c r="S726" s="572"/>
      <c r="T726" s="572"/>
      <c r="U726" s="572"/>
      <c r="V726" s="572"/>
      <c r="W726" s="572"/>
      <c r="X726" s="572"/>
      <c r="Y726" s="572"/>
      <c r="Z726" s="572"/>
      <c r="AA726" s="572"/>
      <c r="AB726" s="572"/>
      <c r="AC726" s="572"/>
      <c r="AD726" s="572"/>
      <c r="AE726" s="572"/>
      <c r="AF726" s="572"/>
      <c r="AG726" s="572"/>
      <c r="AH726" s="572"/>
      <c r="AI726" s="572"/>
      <c r="AJ726" s="572"/>
      <c r="AK726" s="572"/>
      <c r="AL726" s="572"/>
      <c r="AM726" s="572"/>
      <c r="AN726" s="572"/>
      <c r="AO726" s="572"/>
      <c r="AP726" s="572"/>
      <c r="AQ726" s="572"/>
      <c r="AR726" s="572"/>
      <c r="AS726" s="572"/>
      <c r="AT726" s="572"/>
      <c r="AU726" s="572"/>
    </row>
    <row r="727" spans="1:47" ht="15.75" customHeight="1">
      <c r="A727" s="577">
        <v>44531</v>
      </c>
      <c r="B727" s="607" t="s">
        <v>6442</v>
      </c>
      <c r="C727" s="405" t="s">
        <v>3785</v>
      </c>
      <c r="D727" s="563" t="s">
        <v>6341</v>
      </c>
      <c r="E727" s="586">
        <v>5800</v>
      </c>
      <c r="F727" s="563" t="s">
        <v>5087</v>
      </c>
      <c r="G727" s="563" t="s">
        <v>64</v>
      </c>
      <c r="H727" s="563" t="s">
        <v>20</v>
      </c>
      <c r="I727" s="563" t="s">
        <v>4472</v>
      </c>
      <c r="J727" s="573">
        <v>44180</v>
      </c>
      <c r="K727" s="563" t="s">
        <v>3795</v>
      </c>
      <c r="L727" s="572"/>
      <c r="M727" s="572"/>
      <c r="N727" s="572"/>
      <c r="O727" s="572"/>
      <c r="P727" s="572"/>
      <c r="Q727" s="572"/>
      <c r="R727" s="572"/>
      <c r="S727" s="572"/>
      <c r="T727" s="572"/>
      <c r="U727" s="572"/>
      <c r="V727" s="572"/>
      <c r="W727" s="572"/>
      <c r="X727" s="572"/>
      <c r="Y727" s="572"/>
      <c r="Z727" s="572"/>
      <c r="AA727" s="572"/>
      <c r="AB727" s="572"/>
      <c r="AC727" s="572"/>
      <c r="AD727" s="572"/>
      <c r="AE727" s="572"/>
      <c r="AF727" s="572"/>
      <c r="AG727" s="572"/>
      <c r="AH727" s="572"/>
      <c r="AI727" s="572"/>
      <c r="AJ727" s="572"/>
      <c r="AK727" s="572"/>
      <c r="AL727" s="572"/>
      <c r="AM727" s="572"/>
      <c r="AN727" s="572"/>
      <c r="AO727" s="572"/>
      <c r="AP727" s="572"/>
      <c r="AQ727" s="572"/>
      <c r="AR727" s="572"/>
      <c r="AS727" s="572"/>
      <c r="AT727" s="572"/>
      <c r="AU727" s="572"/>
    </row>
    <row r="728" spans="1:47" ht="15.75" customHeight="1">
      <c r="A728" s="577">
        <v>44531</v>
      </c>
      <c r="B728" s="611" t="s">
        <v>6517</v>
      </c>
      <c r="C728" s="405" t="s">
        <v>3785</v>
      </c>
      <c r="D728" s="563" t="s">
        <v>6341</v>
      </c>
      <c r="E728" s="586">
        <v>200000</v>
      </c>
      <c r="F728" s="556" t="s">
        <v>4033</v>
      </c>
      <c r="G728" s="555" t="s">
        <v>2923</v>
      </c>
      <c r="H728" s="616" t="s">
        <v>20</v>
      </c>
      <c r="I728" s="616" t="s">
        <v>2923</v>
      </c>
      <c r="J728" s="617">
        <v>44235</v>
      </c>
      <c r="K728" s="556" t="s">
        <v>3795</v>
      </c>
      <c r="L728" s="572"/>
      <c r="M728" s="572"/>
      <c r="N728" s="572"/>
      <c r="O728" s="572"/>
      <c r="P728" s="572"/>
      <c r="Q728" s="572"/>
      <c r="R728" s="572"/>
      <c r="S728" s="572"/>
      <c r="T728" s="572"/>
      <c r="U728" s="572"/>
      <c r="V728" s="572"/>
      <c r="W728" s="572"/>
      <c r="X728" s="572"/>
      <c r="Y728" s="572"/>
      <c r="Z728" s="572"/>
      <c r="AA728" s="572"/>
      <c r="AB728" s="572"/>
      <c r="AC728" s="572"/>
      <c r="AD728" s="572"/>
      <c r="AE728" s="572"/>
      <c r="AF728" s="572"/>
      <c r="AG728" s="572"/>
      <c r="AH728" s="572"/>
      <c r="AI728" s="572"/>
      <c r="AJ728" s="572"/>
      <c r="AK728" s="572"/>
      <c r="AL728" s="572"/>
      <c r="AM728" s="572"/>
      <c r="AN728" s="572"/>
      <c r="AO728" s="572"/>
      <c r="AP728" s="572"/>
      <c r="AQ728" s="572"/>
      <c r="AR728" s="572"/>
      <c r="AS728" s="572"/>
      <c r="AT728" s="572"/>
      <c r="AU728" s="572"/>
    </row>
    <row r="729" spans="1:47" ht="15.75" customHeight="1">
      <c r="A729" s="577">
        <v>44532</v>
      </c>
      <c r="B729" s="585" t="s">
        <v>6522</v>
      </c>
      <c r="C729" s="405" t="s">
        <v>2921</v>
      </c>
      <c r="D729" s="563" t="s">
        <v>6341</v>
      </c>
      <c r="E729" s="586">
        <v>500</v>
      </c>
      <c r="F729" s="563" t="s">
        <v>437</v>
      </c>
      <c r="G729" s="573" t="s">
        <v>19</v>
      </c>
      <c r="H729" s="573" t="s">
        <v>34</v>
      </c>
      <c r="I729" s="573" t="s">
        <v>35</v>
      </c>
      <c r="J729" s="573">
        <v>44263</v>
      </c>
      <c r="K729" s="573" t="s">
        <v>3795</v>
      </c>
      <c r="L729" s="572"/>
      <c r="M729" s="572"/>
      <c r="N729" s="572"/>
      <c r="O729" s="572"/>
      <c r="P729" s="572"/>
      <c r="Q729" s="572"/>
      <c r="R729" s="572"/>
      <c r="S729" s="572"/>
      <c r="T729" s="572"/>
      <c r="U729" s="572"/>
      <c r="V729" s="572"/>
      <c r="W729" s="572"/>
      <c r="X729" s="572"/>
      <c r="Y729" s="572"/>
      <c r="Z729" s="572"/>
      <c r="AA729" s="572"/>
      <c r="AB729" s="572"/>
      <c r="AC729" s="572"/>
      <c r="AD729" s="572"/>
      <c r="AE729" s="572"/>
      <c r="AF729" s="572"/>
      <c r="AG729" s="572"/>
      <c r="AH729" s="572"/>
      <c r="AI729" s="572"/>
      <c r="AJ729" s="572"/>
      <c r="AK729" s="572"/>
      <c r="AL729" s="572"/>
      <c r="AM729" s="572"/>
      <c r="AN729" s="572"/>
      <c r="AO729" s="572"/>
      <c r="AP729" s="572"/>
      <c r="AQ729" s="572"/>
      <c r="AR729" s="572"/>
      <c r="AS729" s="572"/>
      <c r="AT729" s="572"/>
      <c r="AU729" s="572"/>
    </row>
    <row r="730" spans="1:47" ht="15.75" customHeight="1">
      <c r="A730" s="577">
        <v>44532</v>
      </c>
      <c r="B730" s="585" t="s">
        <v>6473</v>
      </c>
      <c r="C730" s="405" t="s">
        <v>2921</v>
      </c>
      <c r="D730" s="563" t="s">
        <v>6341</v>
      </c>
      <c r="E730" s="586">
        <v>10000</v>
      </c>
      <c r="F730" s="563" t="s">
        <v>3332</v>
      </c>
      <c r="G730" s="573" t="s">
        <v>19</v>
      </c>
      <c r="H730" s="573" t="s">
        <v>34</v>
      </c>
      <c r="I730" s="573" t="s">
        <v>262</v>
      </c>
      <c r="J730" s="573">
        <v>44322</v>
      </c>
      <c r="K730" s="573" t="s">
        <v>3795</v>
      </c>
      <c r="L730" s="572"/>
      <c r="M730" s="572"/>
      <c r="N730" s="572"/>
      <c r="O730" s="572"/>
      <c r="P730" s="572"/>
      <c r="Q730" s="572"/>
      <c r="R730" s="572"/>
      <c r="S730" s="572"/>
      <c r="T730" s="572"/>
      <c r="U730" s="572"/>
      <c r="V730" s="572"/>
      <c r="W730" s="572"/>
      <c r="X730" s="572"/>
      <c r="Y730" s="572"/>
      <c r="Z730" s="572"/>
      <c r="AA730" s="572"/>
      <c r="AB730" s="572"/>
      <c r="AC730" s="572"/>
      <c r="AD730" s="572"/>
      <c r="AE730" s="572"/>
      <c r="AF730" s="572"/>
      <c r="AG730" s="572"/>
      <c r="AH730" s="572"/>
      <c r="AI730" s="572"/>
      <c r="AJ730" s="572"/>
      <c r="AK730" s="572"/>
      <c r="AL730" s="572"/>
      <c r="AM730" s="572"/>
      <c r="AN730" s="572"/>
      <c r="AO730" s="572"/>
      <c r="AP730" s="572"/>
      <c r="AQ730" s="572"/>
      <c r="AR730" s="572"/>
      <c r="AS730" s="572"/>
      <c r="AT730" s="572"/>
      <c r="AU730" s="572"/>
    </row>
    <row r="731" spans="1:47" ht="15.75" customHeight="1">
      <c r="A731" s="577">
        <v>44532</v>
      </c>
      <c r="B731" s="585" t="s">
        <v>6347</v>
      </c>
      <c r="C731" s="405" t="s">
        <v>2921</v>
      </c>
      <c r="D731" s="563" t="s">
        <v>6341</v>
      </c>
      <c r="E731" s="586">
        <v>25000</v>
      </c>
      <c r="F731" s="563" t="s">
        <v>3191</v>
      </c>
      <c r="G731" s="573" t="s">
        <v>2923</v>
      </c>
      <c r="H731" s="573" t="s">
        <v>20</v>
      </c>
      <c r="I731" s="573" t="s">
        <v>2924</v>
      </c>
      <c r="J731" s="573">
        <v>43703</v>
      </c>
      <c r="K731" s="573" t="s">
        <v>4188</v>
      </c>
      <c r="L731" s="572"/>
      <c r="M731" s="572"/>
      <c r="N731" s="572"/>
      <c r="O731" s="572"/>
      <c r="P731" s="572"/>
      <c r="Q731" s="572"/>
      <c r="R731" s="572"/>
      <c r="S731" s="572"/>
      <c r="T731" s="572"/>
      <c r="U731" s="572"/>
      <c r="V731" s="572"/>
      <c r="W731" s="572"/>
      <c r="X731" s="572"/>
      <c r="Y731" s="572"/>
      <c r="Z731" s="572"/>
      <c r="AA731" s="572"/>
      <c r="AB731" s="572"/>
      <c r="AC731" s="572"/>
      <c r="AD731" s="572"/>
      <c r="AE731" s="572"/>
      <c r="AF731" s="572"/>
      <c r="AG731" s="572"/>
      <c r="AH731" s="572"/>
      <c r="AI731" s="572"/>
      <c r="AJ731" s="572"/>
      <c r="AK731" s="572"/>
      <c r="AL731" s="572"/>
      <c r="AM731" s="572"/>
      <c r="AN731" s="572"/>
      <c r="AO731" s="572"/>
      <c r="AP731" s="572"/>
      <c r="AQ731" s="572"/>
      <c r="AR731" s="572"/>
      <c r="AS731" s="572"/>
      <c r="AT731" s="572"/>
      <c r="AU731" s="572"/>
    </row>
    <row r="732" spans="1:47" ht="15.75" customHeight="1">
      <c r="A732" s="577">
        <v>44536</v>
      </c>
      <c r="B732" s="585" t="s">
        <v>6362</v>
      </c>
      <c r="C732" s="405" t="s">
        <v>2921</v>
      </c>
      <c r="D732" s="563" t="s">
        <v>6341</v>
      </c>
      <c r="E732" s="586">
        <v>6000</v>
      </c>
      <c r="F732" s="563" t="s">
        <v>3509</v>
      </c>
      <c r="G732" s="573" t="s">
        <v>2923</v>
      </c>
      <c r="H732" s="573" t="s">
        <v>20</v>
      </c>
      <c r="I732" s="573" t="s">
        <v>2924</v>
      </c>
      <c r="J732" s="573">
        <v>43717</v>
      </c>
      <c r="K732" s="573" t="s">
        <v>4188</v>
      </c>
      <c r="L732" s="572"/>
      <c r="M732" s="572"/>
      <c r="N732" s="572"/>
      <c r="O732" s="572"/>
      <c r="P732" s="572"/>
      <c r="Q732" s="572"/>
      <c r="R732" s="572"/>
      <c r="S732" s="572"/>
      <c r="T732" s="572"/>
      <c r="U732" s="572"/>
      <c r="V732" s="572"/>
      <c r="W732" s="572"/>
      <c r="X732" s="572"/>
      <c r="Y732" s="572"/>
      <c r="Z732" s="572"/>
      <c r="AA732" s="572"/>
      <c r="AB732" s="572"/>
      <c r="AC732" s="572"/>
      <c r="AD732" s="572"/>
      <c r="AE732" s="572"/>
      <c r="AF732" s="572"/>
      <c r="AG732" s="572"/>
      <c r="AH732" s="572"/>
      <c r="AI732" s="572"/>
      <c r="AJ732" s="572"/>
      <c r="AK732" s="572"/>
      <c r="AL732" s="572"/>
      <c r="AM732" s="572"/>
      <c r="AN732" s="572"/>
      <c r="AO732" s="572"/>
      <c r="AP732" s="572"/>
      <c r="AQ732" s="572"/>
      <c r="AR732" s="572"/>
      <c r="AS732" s="572"/>
      <c r="AT732" s="572"/>
      <c r="AU732" s="572"/>
    </row>
    <row r="733" spans="1:47" ht="15.75" customHeight="1">
      <c r="A733" s="577">
        <v>44536</v>
      </c>
      <c r="B733" s="574" t="s">
        <v>6349</v>
      </c>
      <c r="C733" s="405" t="s">
        <v>2921</v>
      </c>
      <c r="D733" s="563" t="s">
        <v>6341</v>
      </c>
      <c r="E733" s="586">
        <v>12000</v>
      </c>
      <c r="F733" s="563" t="s">
        <v>3228</v>
      </c>
      <c r="G733" s="573" t="s">
        <v>2923</v>
      </c>
      <c r="H733" s="573" t="s">
        <v>20</v>
      </c>
      <c r="I733" s="573" t="s">
        <v>2924</v>
      </c>
      <c r="J733" s="573">
        <v>43605</v>
      </c>
      <c r="K733" s="573" t="s">
        <v>3805</v>
      </c>
      <c r="L733" s="572"/>
      <c r="M733" s="572"/>
      <c r="N733" s="572"/>
      <c r="O733" s="572"/>
      <c r="P733" s="572"/>
      <c r="Q733" s="572"/>
      <c r="R733" s="572"/>
      <c r="S733" s="572"/>
      <c r="T733" s="572"/>
      <c r="U733" s="572"/>
      <c r="V733" s="572"/>
      <c r="W733" s="572"/>
      <c r="X733" s="572"/>
      <c r="Y733" s="572"/>
      <c r="Z733" s="572"/>
      <c r="AA733" s="572"/>
      <c r="AB733" s="572"/>
      <c r="AC733" s="572"/>
      <c r="AD733" s="572"/>
      <c r="AE733" s="572"/>
      <c r="AF733" s="572"/>
      <c r="AG733" s="572"/>
      <c r="AH733" s="572"/>
      <c r="AI733" s="572"/>
      <c r="AJ733" s="572"/>
      <c r="AK733" s="572"/>
      <c r="AL733" s="572"/>
      <c r="AM733" s="572"/>
      <c r="AN733" s="572"/>
      <c r="AO733" s="572"/>
      <c r="AP733" s="572"/>
      <c r="AQ733" s="572"/>
      <c r="AR733" s="572"/>
      <c r="AS733" s="572"/>
      <c r="AT733" s="572"/>
      <c r="AU733" s="572"/>
    </row>
    <row r="734" spans="1:47" ht="15.75" customHeight="1">
      <c r="A734" s="577">
        <v>44537</v>
      </c>
      <c r="B734" s="585" t="s">
        <v>6365</v>
      </c>
      <c r="C734" s="405" t="s">
        <v>2921</v>
      </c>
      <c r="D734" s="563" t="s">
        <v>6341</v>
      </c>
      <c r="E734" s="586">
        <v>100000</v>
      </c>
      <c r="F734" s="563" t="s">
        <v>2986</v>
      </c>
      <c r="G734" s="573" t="s">
        <v>2923</v>
      </c>
      <c r="H734" s="573" t="s">
        <v>20</v>
      </c>
      <c r="I734" s="573" t="s">
        <v>2924</v>
      </c>
      <c r="J734" s="573">
        <v>43867</v>
      </c>
      <c r="K734" s="573" t="s">
        <v>3795</v>
      </c>
      <c r="L734" s="572"/>
      <c r="M734" s="572"/>
      <c r="N734" s="572"/>
      <c r="O734" s="572"/>
      <c r="P734" s="572"/>
      <c r="Q734" s="572"/>
      <c r="R734" s="572"/>
      <c r="S734" s="572"/>
      <c r="T734" s="572"/>
      <c r="U734" s="572"/>
      <c r="V734" s="572"/>
      <c r="W734" s="572"/>
      <c r="X734" s="572"/>
      <c r="Y734" s="572"/>
      <c r="Z734" s="572"/>
      <c r="AA734" s="572"/>
      <c r="AB734" s="572"/>
      <c r="AC734" s="572"/>
      <c r="AD734" s="572"/>
      <c r="AE734" s="572"/>
      <c r="AF734" s="572"/>
      <c r="AG734" s="572"/>
      <c r="AH734" s="572"/>
      <c r="AI734" s="572"/>
      <c r="AJ734" s="572"/>
      <c r="AK734" s="572"/>
      <c r="AL734" s="572"/>
      <c r="AM734" s="572"/>
      <c r="AN734" s="572"/>
      <c r="AO734" s="572"/>
      <c r="AP734" s="572"/>
      <c r="AQ734" s="572"/>
      <c r="AR734" s="572"/>
      <c r="AS734" s="572"/>
      <c r="AT734" s="572"/>
      <c r="AU734" s="572"/>
    </row>
    <row r="735" spans="1:47" ht="15.75" customHeight="1">
      <c r="A735" s="577">
        <v>44537</v>
      </c>
      <c r="B735" s="585" t="s">
        <v>6550</v>
      </c>
      <c r="C735" s="405" t="s">
        <v>2921</v>
      </c>
      <c r="D735" s="563" t="s">
        <v>6341</v>
      </c>
      <c r="E735" s="586">
        <v>20000</v>
      </c>
      <c r="F735" s="563" t="s">
        <v>3502</v>
      </c>
      <c r="G735" s="573" t="s">
        <v>19</v>
      </c>
      <c r="H735" s="573" t="s">
        <v>34</v>
      </c>
      <c r="I735" s="573" t="s">
        <v>35</v>
      </c>
      <c r="J735" s="573">
        <v>44263</v>
      </c>
      <c r="K735" s="573" t="s">
        <v>3805</v>
      </c>
      <c r="L735" s="572"/>
      <c r="M735" s="572"/>
      <c r="N735" s="572"/>
      <c r="O735" s="572"/>
      <c r="P735" s="572"/>
      <c r="Q735" s="572"/>
      <c r="R735" s="572"/>
      <c r="S735" s="572"/>
      <c r="T735" s="572"/>
      <c r="U735" s="572"/>
      <c r="V735" s="572"/>
      <c r="W735" s="572"/>
      <c r="X735" s="572"/>
      <c r="Y735" s="572"/>
      <c r="Z735" s="572"/>
      <c r="AA735" s="572"/>
      <c r="AB735" s="572"/>
      <c r="AC735" s="572"/>
      <c r="AD735" s="572"/>
      <c r="AE735" s="572"/>
      <c r="AF735" s="572"/>
      <c r="AG735" s="572"/>
      <c r="AH735" s="572"/>
      <c r="AI735" s="572"/>
      <c r="AJ735" s="572"/>
      <c r="AK735" s="572"/>
      <c r="AL735" s="572"/>
      <c r="AM735" s="572"/>
      <c r="AN735" s="572"/>
      <c r="AO735" s="572"/>
      <c r="AP735" s="572"/>
      <c r="AQ735" s="572"/>
      <c r="AR735" s="572"/>
      <c r="AS735" s="572"/>
      <c r="AT735" s="572"/>
      <c r="AU735" s="572"/>
    </row>
    <row r="736" spans="1:47" ht="15.75" customHeight="1">
      <c r="A736" s="577">
        <v>44537</v>
      </c>
      <c r="B736" s="585" t="s">
        <v>6363</v>
      </c>
      <c r="C736" s="405" t="s">
        <v>2921</v>
      </c>
      <c r="D736" s="563" t="s">
        <v>6341</v>
      </c>
      <c r="E736" s="586">
        <v>4000</v>
      </c>
      <c r="F736" s="563" t="s">
        <v>3445</v>
      </c>
      <c r="G736" s="573" t="s">
        <v>2923</v>
      </c>
      <c r="H736" s="573" t="s">
        <v>20</v>
      </c>
      <c r="I736" s="573" t="s">
        <v>2924</v>
      </c>
      <c r="J736" s="573">
        <v>43894</v>
      </c>
      <c r="K736" s="573" t="s">
        <v>3805</v>
      </c>
      <c r="L736" s="572"/>
      <c r="M736" s="572"/>
      <c r="N736" s="572"/>
      <c r="O736" s="572"/>
      <c r="P736" s="572"/>
      <c r="Q736" s="572"/>
      <c r="R736" s="572"/>
      <c r="S736" s="572"/>
      <c r="T736" s="572"/>
      <c r="U736" s="572"/>
      <c r="V736" s="572"/>
      <c r="W736" s="572"/>
      <c r="X736" s="572"/>
      <c r="Y736" s="572"/>
      <c r="Z736" s="572"/>
      <c r="AA736" s="572"/>
      <c r="AB736" s="572"/>
      <c r="AC736" s="572"/>
      <c r="AD736" s="572"/>
      <c r="AE736" s="572"/>
      <c r="AF736" s="572"/>
      <c r="AG736" s="572"/>
      <c r="AH736" s="572"/>
      <c r="AI736" s="572"/>
      <c r="AJ736" s="572"/>
      <c r="AK736" s="572"/>
      <c r="AL736" s="572"/>
      <c r="AM736" s="572"/>
      <c r="AN736" s="572"/>
      <c r="AO736" s="572"/>
      <c r="AP736" s="572"/>
      <c r="AQ736" s="572"/>
      <c r="AR736" s="572"/>
      <c r="AS736" s="572"/>
      <c r="AT736" s="572"/>
      <c r="AU736" s="572"/>
    </row>
    <row r="737" spans="1:47" ht="15.75" customHeight="1">
      <c r="A737" s="577">
        <v>44537</v>
      </c>
      <c r="B737" s="609" t="s">
        <v>6521</v>
      </c>
      <c r="C737" s="405" t="s">
        <v>3785</v>
      </c>
      <c r="D737" s="563" t="s">
        <v>3110</v>
      </c>
      <c r="E737" s="586">
        <v>165996.78</v>
      </c>
      <c r="F737" s="563" t="s">
        <v>4725</v>
      </c>
      <c r="G737" s="563" t="s">
        <v>64</v>
      </c>
      <c r="H737" s="563" t="s">
        <v>20</v>
      </c>
      <c r="I737" s="601" t="s">
        <v>4726</v>
      </c>
      <c r="J737" s="573">
        <v>44130</v>
      </c>
      <c r="K737" s="579" t="s">
        <v>3795</v>
      </c>
      <c r="L737" s="572"/>
      <c r="M737" s="572"/>
      <c r="N737" s="572"/>
      <c r="O737" s="572"/>
      <c r="P737" s="572"/>
      <c r="Q737" s="572"/>
      <c r="R737" s="572"/>
      <c r="S737" s="572"/>
      <c r="T737" s="572"/>
      <c r="U737" s="572"/>
      <c r="V737" s="572"/>
      <c r="W737" s="572"/>
      <c r="X737" s="572"/>
      <c r="Y737" s="572"/>
      <c r="Z737" s="572"/>
      <c r="AA737" s="572"/>
      <c r="AB737" s="572"/>
      <c r="AC737" s="572"/>
      <c r="AD737" s="572"/>
      <c r="AE737" s="572"/>
      <c r="AF737" s="572"/>
      <c r="AG737" s="572"/>
      <c r="AH737" s="572"/>
      <c r="AI737" s="572"/>
      <c r="AJ737" s="572"/>
      <c r="AK737" s="572"/>
      <c r="AL737" s="572"/>
      <c r="AM737" s="572"/>
      <c r="AN737" s="572"/>
      <c r="AO737" s="572"/>
      <c r="AP737" s="572"/>
      <c r="AQ737" s="572"/>
      <c r="AR737" s="572"/>
      <c r="AS737" s="572"/>
      <c r="AT737" s="572"/>
      <c r="AU737" s="572"/>
    </row>
    <row r="738" spans="1:47" ht="15.75" customHeight="1">
      <c r="A738" s="577">
        <v>44537</v>
      </c>
      <c r="B738" s="609" t="s">
        <v>6596</v>
      </c>
      <c r="C738" s="405" t="s">
        <v>3785</v>
      </c>
      <c r="D738" s="563" t="s">
        <v>3110</v>
      </c>
      <c r="E738" s="586">
        <v>2049.5500000000002</v>
      </c>
      <c r="F738" s="563" t="s">
        <v>4260</v>
      </c>
      <c r="G738" s="563" t="s">
        <v>64</v>
      </c>
      <c r="H738" s="563" t="s">
        <v>20</v>
      </c>
      <c r="I738" s="563" t="s">
        <v>3853</v>
      </c>
      <c r="J738" s="573">
        <v>44075</v>
      </c>
      <c r="K738" s="563" t="s">
        <v>3789</v>
      </c>
      <c r="L738" s="572"/>
      <c r="M738" s="572"/>
      <c r="N738" s="572"/>
      <c r="O738" s="572"/>
      <c r="P738" s="572"/>
      <c r="Q738" s="572"/>
      <c r="R738" s="572"/>
      <c r="S738" s="572"/>
      <c r="T738" s="572"/>
      <c r="U738" s="572"/>
      <c r="V738" s="572"/>
      <c r="W738" s="572"/>
      <c r="X738" s="572"/>
      <c r="Y738" s="572"/>
      <c r="Z738" s="572"/>
      <c r="AA738" s="572"/>
      <c r="AB738" s="572"/>
      <c r="AC738" s="572"/>
      <c r="AD738" s="572"/>
      <c r="AE738" s="572"/>
      <c r="AF738" s="572"/>
      <c r="AG738" s="572"/>
      <c r="AH738" s="572"/>
      <c r="AI738" s="572"/>
      <c r="AJ738" s="572"/>
      <c r="AK738" s="572"/>
      <c r="AL738" s="572"/>
      <c r="AM738" s="572"/>
      <c r="AN738" s="572"/>
      <c r="AO738" s="572"/>
      <c r="AP738" s="572"/>
      <c r="AQ738" s="572"/>
      <c r="AR738" s="572"/>
      <c r="AS738" s="572"/>
      <c r="AT738" s="572"/>
      <c r="AU738" s="572"/>
    </row>
    <row r="739" spans="1:47" ht="15.75" customHeight="1">
      <c r="A739" s="577">
        <v>44538</v>
      </c>
      <c r="B739" s="598">
        <v>6549214</v>
      </c>
      <c r="C739" s="405" t="s">
        <v>3785</v>
      </c>
      <c r="D739" s="563" t="s">
        <v>6341</v>
      </c>
      <c r="E739" s="586">
        <v>24469.7</v>
      </c>
      <c r="F739" s="563" t="s">
        <v>4777</v>
      </c>
      <c r="G739" s="573" t="s">
        <v>19</v>
      </c>
      <c r="H739" s="573" t="s">
        <v>49</v>
      </c>
      <c r="I739" s="573" t="s">
        <v>4134</v>
      </c>
      <c r="J739" s="573">
        <v>44487</v>
      </c>
      <c r="K739" s="573" t="s">
        <v>3795</v>
      </c>
      <c r="L739" s="572"/>
      <c r="M739" s="572"/>
      <c r="N739" s="572"/>
      <c r="O739" s="572"/>
      <c r="P739" s="572"/>
      <c r="Q739" s="572"/>
      <c r="R739" s="572"/>
      <c r="S739" s="572"/>
      <c r="T739" s="572"/>
      <c r="U739" s="572"/>
      <c r="V739" s="572"/>
      <c r="W739" s="572"/>
      <c r="X739" s="572"/>
      <c r="Y739" s="572"/>
      <c r="Z739" s="572"/>
      <c r="AA739" s="572"/>
      <c r="AB739" s="572"/>
      <c r="AC739" s="572"/>
      <c r="AD739" s="572"/>
      <c r="AE739" s="572"/>
      <c r="AF739" s="572"/>
      <c r="AG739" s="572"/>
      <c r="AH739" s="572"/>
      <c r="AI739" s="572"/>
      <c r="AJ739" s="572"/>
      <c r="AK739" s="572"/>
      <c r="AL739" s="572"/>
      <c r="AM739" s="572"/>
      <c r="AN739" s="572"/>
      <c r="AO739" s="572"/>
      <c r="AP739" s="572"/>
      <c r="AQ739" s="572"/>
      <c r="AR739" s="572"/>
      <c r="AS739" s="572"/>
      <c r="AT739" s="572"/>
      <c r="AU739" s="572"/>
    </row>
    <row r="740" spans="1:47" ht="15.75" customHeight="1">
      <c r="A740" s="577">
        <v>44540</v>
      </c>
      <c r="B740" s="585" t="s">
        <v>6474</v>
      </c>
      <c r="C740" s="405" t="s">
        <v>2921</v>
      </c>
      <c r="D740" s="563" t="s">
        <v>6341</v>
      </c>
      <c r="E740" s="586">
        <v>10000</v>
      </c>
      <c r="F740" s="563" t="s">
        <v>3238</v>
      </c>
      <c r="G740" s="573" t="s">
        <v>19</v>
      </c>
      <c r="H740" s="573" t="s">
        <v>34</v>
      </c>
      <c r="I740" s="573" t="s">
        <v>2971</v>
      </c>
      <c r="J740" s="573">
        <v>44266</v>
      </c>
      <c r="K740" s="573" t="s">
        <v>3805</v>
      </c>
      <c r="L740" s="572"/>
      <c r="M740" s="572"/>
      <c r="N740" s="572"/>
      <c r="O740" s="572"/>
      <c r="P740" s="572"/>
      <c r="Q740" s="572"/>
      <c r="R740" s="572"/>
      <c r="S740" s="572"/>
      <c r="T740" s="572"/>
      <c r="U740" s="572"/>
      <c r="V740" s="572"/>
      <c r="W740" s="572"/>
      <c r="X740" s="572"/>
      <c r="Y740" s="572"/>
      <c r="Z740" s="572"/>
      <c r="AA740" s="572"/>
      <c r="AB740" s="572"/>
      <c r="AC740" s="572"/>
      <c r="AD740" s="572"/>
      <c r="AE740" s="572"/>
      <c r="AF740" s="572"/>
      <c r="AG740" s="572"/>
      <c r="AH740" s="572"/>
      <c r="AI740" s="572"/>
      <c r="AJ740" s="572"/>
      <c r="AK740" s="572"/>
      <c r="AL740" s="572"/>
      <c r="AM740" s="572"/>
      <c r="AN740" s="572"/>
      <c r="AO740" s="572"/>
      <c r="AP740" s="572"/>
      <c r="AQ740" s="572"/>
      <c r="AR740" s="572"/>
      <c r="AS740" s="572"/>
      <c r="AT740" s="572"/>
      <c r="AU740" s="572"/>
    </row>
    <row r="741" spans="1:47" ht="15.75" customHeight="1">
      <c r="A741" s="577">
        <v>44543</v>
      </c>
      <c r="B741" s="609" t="s">
        <v>6610</v>
      </c>
      <c r="C741" s="405" t="s">
        <v>3785</v>
      </c>
      <c r="D741" s="563" t="s">
        <v>3110</v>
      </c>
      <c r="E741" s="586">
        <v>79069.899999999994</v>
      </c>
      <c r="F741" s="563" t="s">
        <v>3412</v>
      </c>
      <c r="G741" s="563" t="s">
        <v>2923</v>
      </c>
      <c r="H741" s="563" t="s">
        <v>20</v>
      </c>
      <c r="I741" s="563" t="s">
        <v>2923</v>
      </c>
      <c r="J741" s="573">
        <v>44151</v>
      </c>
      <c r="K741" s="563" t="s">
        <v>3795</v>
      </c>
      <c r="L741" s="572"/>
      <c r="M741" s="572"/>
      <c r="N741" s="572"/>
      <c r="O741" s="572"/>
      <c r="P741" s="572"/>
      <c r="Q741" s="572"/>
      <c r="R741" s="572"/>
      <c r="S741" s="572"/>
      <c r="T741" s="572"/>
      <c r="U741" s="572"/>
      <c r="V741" s="572"/>
      <c r="W741" s="572"/>
      <c r="X741" s="572"/>
      <c r="Y741" s="572"/>
      <c r="Z741" s="572"/>
      <c r="AA741" s="572"/>
      <c r="AB741" s="572"/>
      <c r="AC741" s="572"/>
      <c r="AD741" s="572"/>
      <c r="AE741" s="572"/>
      <c r="AF741" s="572"/>
      <c r="AG741" s="572"/>
      <c r="AH741" s="572"/>
      <c r="AI741" s="572"/>
      <c r="AJ741" s="572"/>
      <c r="AK741" s="572"/>
      <c r="AL741" s="572"/>
      <c r="AM741" s="572"/>
      <c r="AN741" s="572"/>
      <c r="AO741" s="572"/>
      <c r="AP741" s="572"/>
      <c r="AQ741" s="572"/>
      <c r="AR741" s="572"/>
      <c r="AS741" s="572"/>
      <c r="AT741" s="572"/>
      <c r="AU741" s="572"/>
    </row>
    <row r="742" spans="1:47" ht="15.75" customHeight="1">
      <c r="A742" s="577">
        <v>44543</v>
      </c>
      <c r="B742" s="585" t="s">
        <v>6634</v>
      </c>
      <c r="C742" s="405" t="s">
        <v>2921</v>
      </c>
      <c r="D742" s="563" t="s">
        <v>6341</v>
      </c>
      <c r="E742" s="586">
        <v>104000</v>
      </c>
      <c r="F742" s="563" t="s">
        <v>3259</v>
      </c>
      <c r="G742" s="573" t="s">
        <v>19</v>
      </c>
      <c r="H742" s="573" t="s">
        <v>34</v>
      </c>
      <c r="I742" s="573" t="s">
        <v>35</v>
      </c>
      <c r="J742" s="573">
        <v>44263</v>
      </c>
      <c r="K742" s="573" t="s">
        <v>3795</v>
      </c>
      <c r="L742" s="572"/>
      <c r="M742" s="572"/>
      <c r="N742" s="572"/>
      <c r="O742" s="572"/>
      <c r="P742" s="572"/>
      <c r="Q742" s="572"/>
      <c r="R742" s="572"/>
      <c r="S742" s="572"/>
      <c r="T742" s="572"/>
      <c r="U742" s="572"/>
      <c r="V742" s="572"/>
      <c r="W742" s="572"/>
      <c r="X742" s="572"/>
      <c r="Y742" s="572"/>
      <c r="Z742" s="572"/>
      <c r="AA742" s="572"/>
      <c r="AB742" s="572"/>
      <c r="AC742" s="572"/>
      <c r="AD742" s="572"/>
      <c r="AE742" s="572"/>
      <c r="AF742" s="572"/>
      <c r="AG742" s="572"/>
      <c r="AH742" s="572"/>
      <c r="AI742" s="572"/>
      <c r="AJ742" s="572"/>
      <c r="AK742" s="572"/>
      <c r="AL742" s="572"/>
      <c r="AM742" s="572"/>
      <c r="AN742" s="572"/>
      <c r="AO742" s="572"/>
      <c r="AP742" s="572"/>
      <c r="AQ742" s="572"/>
      <c r="AR742" s="572"/>
      <c r="AS742" s="572"/>
      <c r="AT742" s="572"/>
      <c r="AU742" s="572"/>
    </row>
    <row r="743" spans="1:47" ht="15.75" customHeight="1">
      <c r="A743" s="577">
        <v>44544</v>
      </c>
      <c r="B743" s="585" t="s">
        <v>6635</v>
      </c>
      <c r="C743" s="405" t="s">
        <v>3785</v>
      </c>
      <c r="D743" s="563" t="s">
        <v>928</v>
      </c>
      <c r="E743" s="586">
        <v>47268.23</v>
      </c>
      <c r="F743" s="563" t="s">
        <v>4807</v>
      </c>
      <c r="G743" s="563" t="s">
        <v>2923</v>
      </c>
      <c r="H743" s="563" t="s">
        <v>20</v>
      </c>
      <c r="I743" s="563" t="s">
        <v>2923</v>
      </c>
      <c r="J743" s="573">
        <v>44734</v>
      </c>
      <c r="K743" s="563" t="s">
        <v>3795</v>
      </c>
      <c r="L743" s="572"/>
      <c r="M743" s="572"/>
      <c r="N743" s="572"/>
      <c r="O743" s="572"/>
      <c r="P743" s="572"/>
      <c r="Q743" s="572"/>
      <c r="R743" s="572"/>
      <c r="S743" s="572"/>
      <c r="T743" s="572"/>
      <c r="U743" s="572"/>
      <c r="V743" s="572"/>
      <c r="W743" s="572"/>
      <c r="X743" s="572"/>
      <c r="Y743" s="572"/>
      <c r="Z743" s="572"/>
      <c r="AA743" s="572"/>
      <c r="AB743" s="572"/>
      <c r="AC743" s="572"/>
      <c r="AD743" s="572"/>
      <c r="AE743" s="572"/>
      <c r="AF743" s="572"/>
      <c r="AG743" s="572"/>
      <c r="AH743" s="572"/>
      <c r="AI743" s="572"/>
      <c r="AJ743" s="572"/>
      <c r="AK743" s="572"/>
      <c r="AL743" s="572"/>
      <c r="AM743" s="572"/>
      <c r="AN743" s="572"/>
      <c r="AO743" s="572"/>
      <c r="AP743" s="572"/>
      <c r="AQ743" s="572"/>
      <c r="AR743" s="572"/>
      <c r="AS743" s="572"/>
      <c r="AT743" s="572"/>
      <c r="AU743" s="572"/>
    </row>
    <row r="744" spans="1:47" ht="15.75" customHeight="1">
      <c r="A744" s="577">
        <v>44544</v>
      </c>
      <c r="B744" s="611" t="s">
        <v>6421</v>
      </c>
      <c r="C744" s="405" t="s">
        <v>3785</v>
      </c>
      <c r="D744" s="563" t="s">
        <v>6341</v>
      </c>
      <c r="E744" s="586">
        <v>5000</v>
      </c>
      <c r="F744" s="563" t="s">
        <v>3857</v>
      </c>
      <c r="G744" s="563" t="s">
        <v>2923</v>
      </c>
      <c r="H744" s="563" t="s">
        <v>20</v>
      </c>
      <c r="I744" s="563" t="s">
        <v>2923</v>
      </c>
      <c r="J744" s="573">
        <v>44180</v>
      </c>
      <c r="K744" s="563" t="s">
        <v>3795</v>
      </c>
      <c r="L744" s="572"/>
      <c r="M744" s="572"/>
      <c r="N744" s="572"/>
      <c r="O744" s="572"/>
      <c r="P744" s="572"/>
      <c r="Q744" s="572"/>
      <c r="R744" s="572"/>
      <c r="S744" s="572"/>
      <c r="T744" s="572"/>
      <c r="U744" s="572"/>
      <c r="V744" s="572"/>
      <c r="W744" s="572"/>
      <c r="X744" s="572"/>
      <c r="Y744" s="572"/>
      <c r="Z744" s="572"/>
      <c r="AA744" s="572"/>
      <c r="AB744" s="572"/>
      <c r="AC744" s="572"/>
      <c r="AD744" s="572"/>
      <c r="AE744" s="572"/>
      <c r="AF744" s="572"/>
      <c r="AG744" s="572"/>
      <c r="AH744" s="572"/>
      <c r="AI744" s="572"/>
      <c r="AJ744" s="572"/>
      <c r="AK744" s="572"/>
      <c r="AL744" s="572"/>
      <c r="AM744" s="572"/>
      <c r="AN744" s="572"/>
      <c r="AO744" s="572"/>
      <c r="AP744" s="572"/>
      <c r="AQ744" s="572"/>
      <c r="AR744" s="572"/>
      <c r="AS744" s="572"/>
      <c r="AT744" s="572"/>
      <c r="AU744" s="572"/>
    </row>
    <row r="745" spans="1:47" ht="15.75" customHeight="1">
      <c r="A745" s="577">
        <v>44544</v>
      </c>
      <c r="B745" s="585" t="s">
        <v>6409</v>
      </c>
      <c r="C745" s="405" t="s">
        <v>2921</v>
      </c>
      <c r="D745" s="563" t="s">
        <v>6341</v>
      </c>
      <c r="E745" s="586">
        <v>5000</v>
      </c>
      <c r="F745" s="563" t="s">
        <v>3257</v>
      </c>
      <c r="G745" s="573" t="s">
        <v>19</v>
      </c>
      <c r="H745" s="573" t="s">
        <v>34</v>
      </c>
      <c r="I745" s="573" t="s">
        <v>35</v>
      </c>
      <c r="J745" s="573">
        <v>44295</v>
      </c>
      <c r="K745" s="573" t="s">
        <v>3802</v>
      </c>
      <c r="L745" s="572"/>
      <c r="M745" s="572"/>
      <c r="N745" s="572"/>
      <c r="O745" s="572"/>
      <c r="P745" s="572"/>
      <c r="Q745" s="572"/>
      <c r="R745" s="572"/>
      <c r="S745" s="572"/>
      <c r="T745" s="572"/>
      <c r="U745" s="572"/>
      <c r="V745" s="572"/>
      <c r="W745" s="572"/>
      <c r="X745" s="572"/>
      <c r="Y745" s="572"/>
      <c r="Z745" s="572"/>
      <c r="AA745" s="572"/>
      <c r="AB745" s="572"/>
      <c r="AC745" s="572"/>
      <c r="AD745" s="572"/>
      <c r="AE745" s="572"/>
      <c r="AF745" s="572"/>
      <c r="AG745" s="572"/>
      <c r="AH745" s="572"/>
      <c r="AI745" s="572"/>
      <c r="AJ745" s="572"/>
      <c r="AK745" s="572"/>
      <c r="AL745" s="572"/>
      <c r="AM745" s="572"/>
      <c r="AN745" s="572"/>
      <c r="AO745" s="572"/>
      <c r="AP745" s="572"/>
      <c r="AQ745" s="572"/>
      <c r="AR745" s="572"/>
      <c r="AS745" s="572"/>
      <c r="AT745" s="572"/>
      <c r="AU745" s="572"/>
    </row>
    <row r="746" spans="1:47" ht="15.75" customHeight="1">
      <c r="A746" s="577">
        <v>44545</v>
      </c>
      <c r="B746" s="588" t="s">
        <v>6412</v>
      </c>
      <c r="C746" s="405" t="s">
        <v>3785</v>
      </c>
      <c r="D746" s="563" t="s">
        <v>6341</v>
      </c>
      <c r="E746" s="586">
        <v>5000</v>
      </c>
      <c r="F746" s="563" t="s">
        <v>6636</v>
      </c>
      <c r="G746" s="555" t="s">
        <v>64</v>
      </c>
      <c r="H746" s="616" t="s">
        <v>20</v>
      </c>
      <c r="I746" s="616" t="s">
        <v>3862</v>
      </c>
      <c r="J746" s="617">
        <v>44263</v>
      </c>
      <c r="K746" s="563" t="s">
        <v>3795</v>
      </c>
      <c r="L746" s="572"/>
      <c r="M746" s="572"/>
      <c r="N746" s="572"/>
      <c r="O746" s="572"/>
      <c r="P746" s="572"/>
      <c r="Q746" s="572"/>
      <c r="R746" s="572"/>
      <c r="S746" s="572"/>
      <c r="T746" s="572"/>
      <c r="U746" s="572"/>
      <c r="V746" s="572"/>
      <c r="W746" s="572"/>
      <c r="X746" s="572"/>
      <c r="Y746" s="572"/>
      <c r="Z746" s="572"/>
      <c r="AA746" s="572"/>
      <c r="AB746" s="572"/>
      <c r="AC746" s="572"/>
      <c r="AD746" s="572"/>
      <c r="AE746" s="572"/>
      <c r="AF746" s="572"/>
      <c r="AG746" s="572"/>
      <c r="AH746" s="572"/>
      <c r="AI746" s="572"/>
      <c r="AJ746" s="572"/>
      <c r="AK746" s="572"/>
      <c r="AL746" s="572"/>
      <c r="AM746" s="572"/>
      <c r="AN746" s="572"/>
      <c r="AO746" s="572"/>
      <c r="AP746" s="572"/>
      <c r="AQ746" s="572"/>
      <c r="AR746" s="572"/>
      <c r="AS746" s="572"/>
      <c r="AT746" s="572"/>
      <c r="AU746" s="572"/>
    </row>
    <row r="747" spans="1:47" ht="15.75" customHeight="1">
      <c r="A747" s="577">
        <v>44545</v>
      </c>
      <c r="B747" s="610" t="s">
        <v>6637</v>
      </c>
      <c r="C747" s="405" t="s">
        <v>3785</v>
      </c>
      <c r="D747" s="563" t="s">
        <v>3110</v>
      </c>
      <c r="E747" s="586">
        <v>110068.61</v>
      </c>
      <c r="F747" s="563" t="s">
        <v>4909</v>
      </c>
      <c r="G747" s="563" t="s">
        <v>19</v>
      </c>
      <c r="H747" s="563" t="s">
        <v>49</v>
      </c>
      <c r="I747" s="563" t="s">
        <v>328</v>
      </c>
      <c r="J747" s="573">
        <v>44369</v>
      </c>
      <c r="K747" s="563" t="s">
        <v>3809</v>
      </c>
      <c r="L747" s="572"/>
      <c r="M747" s="572"/>
      <c r="N747" s="572"/>
      <c r="O747" s="572"/>
      <c r="P747" s="572"/>
      <c r="Q747" s="572"/>
      <c r="R747" s="572"/>
      <c r="S747" s="572"/>
      <c r="T747" s="572"/>
      <c r="U747" s="572"/>
      <c r="V747" s="572"/>
      <c r="W747" s="572"/>
      <c r="X747" s="572"/>
      <c r="Y747" s="572"/>
      <c r="Z747" s="572"/>
      <c r="AA747" s="572"/>
      <c r="AB747" s="572"/>
      <c r="AC747" s="572"/>
      <c r="AD747" s="572"/>
      <c r="AE747" s="572"/>
      <c r="AF747" s="572"/>
      <c r="AG747" s="572"/>
      <c r="AH747" s="572"/>
      <c r="AI747" s="572"/>
      <c r="AJ747" s="572"/>
      <c r="AK747" s="572"/>
      <c r="AL747" s="572"/>
      <c r="AM747" s="572"/>
      <c r="AN747" s="572"/>
      <c r="AO747" s="572"/>
      <c r="AP747" s="572"/>
      <c r="AQ747" s="572"/>
      <c r="AR747" s="572"/>
      <c r="AS747" s="572"/>
      <c r="AT747" s="572"/>
      <c r="AU747" s="572"/>
    </row>
    <row r="748" spans="1:47" ht="15.75" customHeight="1">
      <c r="A748" s="577">
        <v>44545</v>
      </c>
      <c r="B748" s="585" t="s">
        <v>6638</v>
      </c>
      <c r="C748" s="405" t="s">
        <v>2921</v>
      </c>
      <c r="D748" s="563" t="s">
        <v>6341</v>
      </c>
      <c r="E748" s="586">
        <v>114749.72</v>
      </c>
      <c r="F748" s="563" t="s">
        <v>3279</v>
      </c>
      <c r="G748" s="573" t="s">
        <v>19</v>
      </c>
      <c r="H748" s="573" t="s">
        <v>34</v>
      </c>
      <c r="I748" s="573" t="s">
        <v>262</v>
      </c>
      <c r="J748" s="573">
        <v>44321</v>
      </c>
      <c r="K748" s="573" t="s">
        <v>3789</v>
      </c>
      <c r="L748" s="572"/>
      <c r="M748" s="572"/>
      <c r="N748" s="572"/>
      <c r="O748" s="572"/>
      <c r="P748" s="572"/>
      <c r="Q748" s="572"/>
      <c r="R748" s="572"/>
      <c r="S748" s="572"/>
      <c r="T748" s="572"/>
      <c r="U748" s="572"/>
      <c r="V748" s="572"/>
      <c r="W748" s="572"/>
      <c r="X748" s="572"/>
      <c r="Y748" s="572"/>
      <c r="Z748" s="572"/>
      <c r="AA748" s="572"/>
      <c r="AB748" s="572"/>
      <c r="AC748" s="572"/>
      <c r="AD748" s="572"/>
      <c r="AE748" s="572"/>
      <c r="AF748" s="572"/>
      <c r="AG748" s="572"/>
      <c r="AH748" s="572"/>
      <c r="AI748" s="572"/>
      <c r="AJ748" s="572"/>
      <c r="AK748" s="572"/>
      <c r="AL748" s="572"/>
      <c r="AM748" s="572"/>
      <c r="AN748" s="572"/>
      <c r="AO748" s="572"/>
      <c r="AP748" s="572"/>
      <c r="AQ748" s="572"/>
      <c r="AR748" s="572"/>
      <c r="AS748" s="572"/>
      <c r="AT748" s="572"/>
      <c r="AU748" s="572"/>
    </row>
    <row r="749" spans="1:47" ht="15.75" customHeight="1">
      <c r="A749" s="577">
        <v>44545</v>
      </c>
      <c r="B749" s="585" t="s">
        <v>6459</v>
      </c>
      <c r="C749" s="405" t="s">
        <v>2921</v>
      </c>
      <c r="D749" s="563" t="s">
        <v>6341</v>
      </c>
      <c r="E749" s="586">
        <v>30000</v>
      </c>
      <c r="F749" s="563" t="s">
        <v>3447</v>
      </c>
      <c r="G749" s="573" t="s">
        <v>19</v>
      </c>
      <c r="H749" s="573" t="s">
        <v>34</v>
      </c>
      <c r="I749" s="573" t="s">
        <v>262</v>
      </c>
      <c r="J749" s="573">
        <v>44279</v>
      </c>
      <c r="K749" s="573" t="s">
        <v>3795</v>
      </c>
      <c r="L749" s="572"/>
      <c r="M749" s="572"/>
      <c r="N749" s="572"/>
      <c r="O749" s="572"/>
      <c r="P749" s="572"/>
      <c r="Q749" s="572"/>
      <c r="R749" s="572"/>
      <c r="S749" s="572"/>
      <c r="T749" s="572"/>
      <c r="U749" s="572"/>
      <c r="V749" s="572"/>
      <c r="W749" s="572"/>
      <c r="X749" s="572"/>
      <c r="Y749" s="572"/>
      <c r="Z749" s="572"/>
      <c r="AA749" s="572"/>
      <c r="AB749" s="572"/>
      <c r="AC749" s="572"/>
      <c r="AD749" s="572"/>
      <c r="AE749" s="572"/>
      <c r="AF749" s="572"/>
      <c r="AG749" s="572"/>
      <c r="AH749" s="572"/>
      <c r="AI749" s="572"/>
      <c r="AJ749" s="572"/>
      <c r="AK749" s="572"/>
      <c r="AL749" s="572"/>
      <c r="AM749" s="572"/>
      <c r="AN749" s="572"/>
      <c r="AO749" s="572"/>
      <c r="AP749" s="572"/>
      <c r="AQ749" s="572"/>
      <c r="AR749" s="572"/>
      <c r="AS749" s="572"/>
      <c r="AT749" s="572"/>
      <c r="AU749" s="572"/>
    </row>
    <row r="750" spans="1:47" ht="15.75" customHeight="1">
      <c r="A750" s="577">
        <v>44545</v>
      </c>
      <c r="B750" s="613" t="s">
        <v>6351</v>
      </c>
      <c r="C750" s="405" t="s">
        <v>2921</v>
      </c>
      <c r="D750" s="563" t="s">
        <v>3110</v>
      </c>
      <c r="E750" s="586">
        <v>240263.39</v>
      </c>
      <c r="F750" s="563" t="s">
        <v>3067</v>
      </c>
      <c r="G750" s="573" t="s">
        <v>2923</v>
      </c>
      <c r="H750" s="573" t="s">
        <v>20</v>
      </c>
      <c r="I750" s="573" t="s">
        <v>2924</v>
      </c>
      <c r="J750" s="573">
        <v>43822</v>
      </c>
      <c r="K750" s="573" t="s">
        <v>3805</v>
      </c>
      <c r="L750" s="572"/>
      <c r="M750" s="572"/>
      <c r="N750" s="572"/>
      <c r="O750" s="572"/>
      <c r="P750" s="572"/>
      <c r="Q750" s="572"/>
      <c r="R750" s="572"/>
      <c r="S750" s="572"/>
      <c r="T750" s="572"/>
      <c r="U750" s="572"/>
      <c r="V750" s="572"/>
      <c r="W750" s="572"/>
      <c r="X750" s="572"/>
      <c r="Y750" s="572"/>
      <c r="Z750" s="572"/>
      <c r="AA750" s="572"/>
      <c r="AB750" s="572"/>
      <c r="AC750" s="572"/>
      <c r="AD750" s="572"/>
      <c r="AE750" s="572"/>
      <c r="AF750" s="572"/>
      <c r="AG750" s="572"/>
      <c r="AH750" s="572"/>
      <c r="AI750" s="572"/>
      <c r="AJ750" s="572"/>
      <c r="AK750" s="572"/>
      <c r="AL750" s="572"/>
      <c r="AM750" s="572"/>
      <c r="AN750" s="572"/>
      <c r="AO750" s="572"/>
      <c r="AP750" s="572"/>
      <c r="AQ750" s="572"/>
      <c r="AR750" s="572"/>
      <c r="AS750" s="572"/>
      <c r="AT750" s="572"/>
      <c r="AU750" s="572"/>
    </row>
    <row r="751" spans="1:47" ht="15.75" customHeight="1">
      <c r="A751" s="577">
        <v>44546</v>
      </c>
      <c r="B751" s="574" t="s">
        <v>6349</v>
      </c>
      <c r="C751" s="405" t="s">
        <v>2921</v>
      </c>
      <c r="D751" s="563" t="s">
        <v>6341</v>
      </c>
      <c r="E751" s="586">
        <v>5000</v>
      </c>
      <c r="F751" s="563" t="s">
        <v>3228</v>
      </c>
      <c r="G751" s="573" t="s">
        <v>2923</v>
      </c>
      <c r="H751" s="573" t="s">
        <v>20</v>
      </c>
      <c r="I751" s="573" t="s">
        <v>2924</v>
      </c>
      <c r="J751" s="573">
        <v>43605</v>
      </c>
      <c r="K751" s="573" t="s">
        <v>3805</v>
      </c>
      <c r="L751" s="572"/>
      <c r="M751" s="572"/>
      <c r="N751" s="572"/>
      <c r="O751" s="572"/>
      <c r="P751" s="572"/>
      <c r="Q751" s="572"/>
      <c r="R751" s="572"/>
      <c r="S751" s="572"/>
      <c r="T751" s="572"/>
      <c r="U751" s="572"/>
      <c r="V751" s="572"/>
      <c r="W751" s="572"/>
      <c r="X751" s="572"/>
      <c r="Y751" s="572"/>
      <c r="Z751" s="572"/>
      <c r="AA751" s="572"/>
      <c r="AB751" s="572"/>
      <c r="AC751" s="572"/>
      <c r="AD751" s="572"/>
      <c r="AE751" s="572"/>
      <c r="AF751" s="572"/>
      <c r="AG751" s="572"/>
      <c r="AH751" s="572"/>
      <c r="AI751" s="572"/>
      <c r="AJ751" s="572"/>
      <c r="AK751" s="572"/>
      <c r="AL751" s="572"/>
      <c r="AM751" s="572"/>
      <c r="AN751" s="572"/>
      <c r="AO751" s="572"/>
      <c r="AP751" s="572"/>
      <c r="AQ751" s="572"/>
      <c r="AR751" s="572"/>
      <c r="AS751" s="572"/>
      <c r="AT751" s="572"/>
      <c r="AU751" s="572"/>
    </row>
    <row r="752" spans="1:47" ht="15.75" customHeight="1">
      <c r="A752" s="577">
        <v>44547</v>
      </c>
      <c r="B752" s="585" t="s">
        <v>6493</v>
      </c>
      <c r="C752" s="405" t="s">
        <v>2921</v>
      </c>
      <c r="D752" s="563" t="s">
        <v>6341</v>
      </c>
      <c r="E752" s="586">
        <v>5000</v>
      </c>
      <c r="F752" s="563" t="s">
        <v>1389</v>
      </c>
      <c r="G752" s="573" t="s">
        <v>19</v>
      </c>
      <c r="H752" s="573" t="s">
        <v>34</v>
      </c>
      <c r="I752" s="573" t="s">
        <v>35</v>
      </c>
      <c r="J752" s="573">
        <v>44280</v>
      </c>
      <c r="K752" s="573" t="s">
        <v>3802</v>
      </c>
      <c r="L752" s="572"/>
      <c r="M752" s="572"/>
      <c r="N752" s="572"/>
      <c r="O752" s="572"/>
      <c r="P752" s="572"/>
      <c r="Q752" s="572"/>
      <c r="R752" s="572"/>
      <c r="S752" s="572"/>
      <c r="T752" s="572"/>
      <c r="U752" s="572"/>
      <c r="V752" s="572"/>
      <c r="W752" s="572"/>
      <c r="X752" s="572"/>
      <c r="Y752" s="572"/>
      <c r="Z752" s="572"/>
      <c r="AA752" s="572"/>
      <c r="AB752" s="572"/>
      <c r="AC752" s="572"/>
      <c r="AD752" s="572"/>
      <c r="AE752" s="572"/>
      <c r="AF752" s="572"/>
      <c r="AG752" s="572"/>
      <c r="AH752" s="572"/>
      <c r="AI752" s="572"/>
      <c r="AJ752" s="572"/>
      <c r="AK752" s="572"/>
      <c r="AL752" s="572"/>
      <c r="AM752" s="572"/>
      <c r="AN752" s="572"/>
      <c r="AO752" s="572"/>
      <c r="AP752" s="572"/>
      <c r="AQ752" s="572"/>
      <c r="AR752" s="572"/>
      <c r="AS752" s="572"/>
      <c r="AT752" s="572"/>
      <c r="AU752" s="572"/>
    </row>
    <row r="753" spans="1:47" ht="15.75" customHeight="1">
      <c r="A753" s="577">
        <v>44551</v>
      </c>
      <c r="B753" s="613" t="s">
        <v>6365</v>
      </c>
      <c r="C753" s="405" t="s">
        <v>2921</v>
      </c>
      <c r="D753" s="563" t="s">
        <v>3110</v>
      </c>
      <c r="E753" s="586">
        <v>840387.52</v>
      </c>
      <c r="F753" s="563" t="s">
        <v>2986</v>
      </c>
      <c r="G753" s="573" t="s">
        <v>2923</v>
      </c>
      <c r="H753" s="573" t="s">
        <v>20</v>
      </c>
      <c r="I753" s="573" t="s">
        <v>2924</v>
      </c>
      <c r="J753" s="573">
        <v>43867</v>
      </c>
      <c r="K753" s="573" t="s">
        <v>3795</v>
      </c>
      <c r="L753" s="572"/>
      <c r="M753" s="572"/>
      <c r="N753" s="572"/>
      <c r="O753" s="572"/>
      <c r="P753" s="572"/>
      <c r="Q753" s="572"/>
      <c r="R753" s="572"/>
      <c r="S753" s="572"/>
      <c r="T753" s="572"/>
      <c r="U753" s="572"/>
      <c r="V753" s="572"/>
      <c r="W753" s="572"/>
      <c r="X753" s="572"/>
      <c r="Y753" s="572"/>
      <c r="Z753" s="572"/>
      <c r="AA753" s="572"/>
      <c r="AB753" s="572"/>
      <c r="AC753" s="572"/>
      <c r="AD753" s="572"/>
      <c r="AE753" s="572"/>
      <c r="AF753" s="572"/>
      <c r="AG753" s="572"/>
      <c r="AH753" s="572"/>
      <c r="AI753" s="572"/>
      <c r="AJ753" s="572"/>
      <c r="AK753" s="572"/>
      <c r="AL753" s="572"/>
      <c r="AM753" s="572"/>
      <c r="AN753" s="572"/>
      <c r="AO753" s="572"/>
      <c r="AP753" s="572"/>
      <c r="AQ753" s="572"/>
      <c r="AR753" s="572"/>
      <c r="AS753" s="572"/>
      <c r="AT753" s="572"/>
      <c r="AU753" s="572"/>
    </row>
    <row r="754" spans="1:47" ht="15.75" customHeight="1">
      <c r="A754" s="577">
        <v>44552</v>
      </c>
      <c r="B754" s="585" t="s">
        <v>6519</v>
      </c>
      <c r="C754" s="405" t="s">
        <v>2921</v>
      </c>
      <c r="D754" s="563" t="s">
        <v>6341</v>
      </c>
      <c r="E754" s="586">
        <v>40000</v>
      </c>
      <c r="F754" s="563" t="s">
        <v>745</v>
      </c>
      <c r="G754" s="573" t="s">
        <v>19</v>
      </c>
      <c r="H754" s="573" t="s">
        <v>34</v>
      </c>
      <c r="I754" s="573" t="s">
        <v>35</v>
      </c>
      <c r="J754" s="573">
        <v>44280</v>
      </c>
      <c r="K754" s="573" t="s">
        <v>3795</v>
      </c>
      <c r="L754" s="572"/>
      <c r="M754" s="572"/>
      <c r="N754" s="572"/>
      <c r="O754" s="572"/>
      <c r="P754" s="572"/>
      <c r="Q754" s="572"/>
      <c r="R754" s="572"/>
      <c r="S754" s="572"/>
      <c r="T754" s="572"/>
      <c r="U754" s="572"/>
      <c r="V754" s="572"/>
      <c r="W754" s="572"/>
      <c r="X754" s="572"/>
      <c r="Y754" s="572"/>
      <c r="Z754" s="572"/>
      <c r="AA754" s="572"/>
      <c r="AB754" s="572"/>
      <c r="AC754" s="572"/>
      <c r="AD754" s="572"/>
      <c r="AE754" s="572"/>
      <c r="AF754" s="572"/>
      <c r="AG754" s="572"/>
      <c r="AH754" s="572"/>
      <c r="AI754" s="572"/>
      <c r="AJ754" s="572"/>
      <c r="AK754" s="572"/>
      <c r="AL754" s="572"/>
      <c r="AM754" s="572"/>
      <c r="AN754" s="572"/>
      <c r="AO754" s="572"/>
      <c r="AP754" s="572"/>
      <c r="AQ754" s="572"/>
      <c r="AR754" s="572"/>
      <c r="AS754" s="572"/>
      <c r="AT754" s="572"/>
      <c r="AU754" s="572"/>
    </row>
    <row r="755" spans="1:47" ht="15.75" customHeight="1">
      <c r="A755" s="577">
        <v>44553</v>
      </c>
      <c r="B755" s="607" t="s">
        <v>6639</v>
      </c>
      <c r="C755" s="405" t="s">
        <v>3785</v>
      </c>
      <c r="D755" s="563" t="s">
        <v>928</v>
      </c>
      <c r="E755" s="586">
        <v>368899.52</v>
      </c>
      <c r="F755" s="563" t="s">
        <v>4818</v>
      </c>
      <c r="G755" s="563" t="s">
        <v>19</v>
      </c>
      <c r="H755" s="563" t="s">
        <v>49</v>
      </c>
      <c r="I755" s="563" t="s">
        <v>328</v>
      </c>
      <c r="J755" s="573">
        <v>44251</v>
      </c>
      <c r="K755" s="563" t="s">
        <v>3795</v>
      </c>
      <c r="L755" s="572"/>
      <c r="M755" s="572"/>
      <c r="N755" s="572"/>
      <c r="O755" s="572"/>
      <c r="P755" s="572"/>
      <c r="Q755" s="572"/>
      <c r="R755" s="572"/>
      <c r="S755" s="572"/>
      <c r="T755" s="572"/>
      <c r="U755" s="572"/>
      <c r="V755" s="572"/>
      <c r="W755" s="572"/>
      <c r="X755" s="572"/>
      <c r="Y755" s="572"/>
      <c r="Z755" s="572"/>
      <c r="AA755" s="572"/>
      <c r="AB755" s="572"/>
      <c r="AC755" s="572"/>
      <c r="AD755" s="572"/>
      <c r="AE755" s="572"/>
      <c r="AF755" s="572"/>
      <c r="AG755" s="572"/>
      <c r="AH755" s="572"/>
      <c r="AI755" s="572"/>
      <c r="AJ755" s="572"/>
      <c r="AK755" s="572"/>
      <c r="AL755" s="572"/>
      <c r="AM755" s="572"/>
      <c r="AN755" s="572"/>
      <c r="AO755" s="572"/>
      <c r="AP755" s="572"/>
      <c r="AQ755" s="572"/>
      <c r="AR755" s="572"/>
      <c r="AS755" s="572"/>
      <c r="AT755" s="572"/>
      <c r="AU755" s="572"/>
    </row>
    <row r="756" spans="1:47" ht="15.75" customHeight="1">
      <c r="A756" s="577">
        <v>44553</v>
      </c>
      <c r="B756" s="585" t="s">
        <v>6550</v>
      </c>
      <c r="C756" s="405" t="s">
        <v>2921</v>
      </c>
      <c r="D756" s="563" t="s">
        <v>6341</v>
      </c>
      <c r="E756" s="586">
        <v>30000</v>
      </c>
      <c r="F756" s="563" t="s">
        <v>3502</v>
      </c>
      <c r="G756" s="573" t="s">
        <v>19</v>
      </c>
      <c r="H756" s="573" t="s">
        <v>34</v>
      </c>
      <c r="I756" s="573" t="s">
        <v>35</v>
      </c>
      <c r="J756" s="573">
        <v>44263</v>
      </c>
      <c r="K756" s="573" t="s">
        <v>3805</v>
      </c>
      <c r="L756" s="572"/>
      <c r="M756" s="572"/>
      <c r="N756" s="572"/>
      <c r="O756" s="572"/>
      <c r="P756" s="572"/>
      <c r="Q756" s="572"/>
      <c r="R756" s="572"/>
      <c r="S756" s="572"/>
      <c r="T756" s="572"/>
      <c r="U756" s="572"/>
      <c r="V756" s="572"/>
      <c r="W756" s="572"/>
      <c r="X756" s="572"/>
      <c r="Y756" s="572"/>
      <c r="Z756" s="572"/>
      <c r="AA756" s="572"/>
      <c r="AB756" s="572"/>
      <c r="AC756" s="572"/>
      <c r="AD756" s="572"/>
      <c r="AE756" s="572"/>
      <c r="AF756" s="572"/>
      <c r="AG756" s="572"/>
      <c r="AH756" s="572"/>
      <c r="AI756" s="572"/>
      <c r="AJ756" s="572"/>
      <c r="AK756" s="572"/>
      <c r="AL756" s="572"/>
      <c r="AM756" s="572"/>
      <c r="AN756" s="572"/>
      <c r="AO756" s="572"/>
      <c r="AP756" s="572"/>
      <c r="AQ756" s="572"/>
      <c r="AR756" s="572"/>
      <c r="AS756" s="572"/>
      <c r="AT756" s="572"/>
      <c r="AU756" s="572"/>
    </row>
    <row r="757" spans="1:47" ht="15.75" customHeight="1">
      <c r="A757" s="577">
        <v>44553</v>
      </c>
      <c r="B757" s="585" t="s">
        <v>6609</v>
      </c>
      <c r="C757" s="405" t="s">
        <v>2921</v>
      </c>
      <c r="D757" s="563" t="s">
        <v>6341</v>
      </c>
      <c r="E757" s="586">
        <v>40000</v>
      </c>
      <c r="F757" s="563" t="s">
        <v>3339</v>
      </c>
      <c r="G757" s="573" t="s">
        <v>19</v>
      </c>
      <c r="H757" s="573" t="s">
        <v>34</v>
      </c>
      <c r="I757" s="573" t="s">
        <v>35</v>
      </c>
      <c r="J757" s="573">
        <v>44323</v>
      </c>
      <c r="K757" s="573" t="s">
        <v>3842</v>
      </c>
      <c r="L757" s="572"/>
      <c r="M757" s="572"/>
      <c r="N757" s="572"/>
      <c r="O757" s="572"/>
      <c r="P757" s="572"/>
      <c r="Q757" s="572"/>
      <c r="R757" s="572"/>
      <c r="S757" s="572"/>
      <c r="T757" s="572"/>
      <c r="U757" s="572"/>
      <c r="V757" s="572"/>
      <c r="W757" s="572"/>
      <c r="X757" s="572"/>
      <c r="Y757" s="572"/>
      <c r="Z757" s="572"/>
      <c r="AA757" s="572"/>
      <c r="AB757" s="572"/>
      <c r="AC757" s="572"/>
      <c r="AD757" s="572"/>
      <c r="AE757" s="572"/>
      <c r="AF757" s="572"/>
      <c r="AG757" s="572"/>
      <c r="AH757" s="572"/>
      <c r="AI757" s="572"/>
      <c r="AJ757" s="572"/>
      <c r="AK757" s="572"/>
      <c r="AL757" s="572"/>
      <c r="AM757" s="572"/>
      <c r="AN757" s="572"/>
      <c r="AO757" s="572"/>
      <c r="AP757" s="572"/>
      <c r="AQ757" s="572"/>
      <c r="AR757" s="572"/>
      <c r="AS757" s="572"/>
      <c r="AT757" s="572"/>
      <c r="AU757" s="572"/>
    </row>
    <row r="758" spans="1:47" ht="15.75" customHeight="1">
      <c r="A758" s="577">
        <v>44553</v>
      </c>
      <c r="B758" s="585" t="s">
        <v>6551</v>
      </c>
      <c r="C758" s="405" t="s">
        <v>2921</v>
      </c>
      <c r="D758" s="563" t="s">
        <v>6341</v>
      </c>
      <c r="E758" s="586">
        <v>100000</v>
      </c>
      <c r="F758" s="563" t="s">
        <v>318</v>
      </c>
      <c r="G758" s="573" t="s">
        <v>19</v>
      </c>
      <c r="H758" s="573" t="s">
        <v>34</v>
      </c>
      <c r="I758" s="573" t="s">
        <v>35</v>
      </c>
      <c r="J758" s="573">
        <v>44266</v>
      </c>
      <c r="K758" s="573" t="s">
        <v>3789</v>
      </c>
      <c r="L758" s="572"/>
      <c r="M758" s="572"/>
      <c r="N758" s="572"/>
      <c r="O758" s="572"/>
      <c r="P758" s="572"/>
      <c r="Q758" s="572"/>
      <c r="R758" s="572"/>
      <c r="S758" s="572"/>
      <c r="T758" s="572"/>
      <c r="U758" s="572"/>
      <c r="V758" s="572"/>
      <c r="W758" s="572"/>
      <c r="X758" s="572"/>
      <c r="Y758" s="572"/>
      <c r="Z758" s="572"/>
      <c r="AA758" s="572"/>
      <c r="AB758" s="572"/>
      <c r="AC758" s="572"/>
      <c r="AD758" s="572"/>
      <c r="AE758" s="572"/>
      <c r="AF758" s="572"/>
      <c r="AG758" s="572"/>
      <c r="AH758" s="572"/>
      <c r="AI758" s="572"/>
      <c r="AJ758" s="572"/>
      <c r="AK758" s="572"/>
      <c r="AL758" s="572"/>
      <c r="AM758" s="572"/>
      <c r="AN758" s="572"/>
      <c r="AO758" s="572"/>
      <c r="AP758" s="572"/>
      <c r="AQ758" s="572"/>
      <c r="AR758" s="572"/>
      <c r="AS758" s="572"/>
      <c r="AT758" s="572"/>
      <c r="AU758" s="572"/>
    </row>
    <row r="759" spans="1:47" ht="15.75" customHeight="1">
      <c r="A759" s="577">
        <v>44557</v>
      </c>
      <c r="B759" s="574" t="s">
        <v>6349</v>
      </c>
      <c r="C759" s="405" t="s">
        <v>2921</v>
      </c>
      <c r="D759" s="563" t="s">
        <v>6341</v>
      </c>
      <c r="E759" s="586">
        <v>14000</v>
      </c>
      <c r="F759" s="563" t="s">
        <v>3228</v>
      </c>
      <c r="G759" s="573" t="s">
        <v>2923</v>
      </c>
      <c r="H759" s="573" t="s">
        <v>20</v>
      </c>
      <c r="I759" s="573" t="s">
        <v>2924</v>
      </c>
      <c r="J759" s="573">
        <v>43605</v>
      </c>
      <c r="K759" s="573" t="s">
        <v>3805</v>
      </c>
      <c r="L759" s="572"/>
      <c r="M759" s="572"/>
      <c r="N759" s="572"/>
      <c r="O759" s="572"/>
      <c r="P759" s="572"/>
      <c r="Q759" s="572"/>
      <c r="R759" s="572"/>
      <c r="S759" s="572"/>
      <c r="T759" s="572"/>
      <c r="U759" s="572"/>
      <c r="V759" s="572"/>
      <c r="W759" s="572"/>
      <c r="X759" s="572"/>
      <c r="Y759" s="572"/>
      <c r="Z759" s="572"/>
      <c r="AA759" s="572"/>
      <c r="AB759" s="572"/>
      <c r="AC759" s="572"/>
      <c r="AD759" s="572"/>
      <c r="AE759" s="572"/>
      <c r="AF759" s="572"/>
      <c r="AG759" s="572"/>
      <c r="AH759" s="572"/>
      <c r="AI759" s="572"/>
      <c r="AJ759" s="572"/>
      <c r="AK759" s="572"/>
      <c r="AL759" s="572"/>
      <c r="AM759" s="572"/>
      <c r="AN759" s="572"/>
      <c r="AO759" s="572"/>
      <c r="AP759" s="572"/>
      <c r="AQ759" s="572"/>
      <c r="AR759" s="572"/>
      <c r="AS759" s="572"/>
      <c r="AT759" s="572"/>
      <c r="AU759" s="572"/>
    </row>
    <row r="760" spans="1:47" ht="15.75" customHeight="1">
      <c r="A760" s="577">
        <v>44559</v>
      </c>
      <c r="B760" s="585" t="s">
        <v>6362</v>
      </c>
      <c r="C760" s="405" t="s">
        <v>2921</v>
      </c>
      <c r="D760" s="563" t="s">
        <v>6341</v>
      </c>
      <c r="E760" s="586">
        <v>5000</v>
      </c>
      <c r="F760" s="563" t="s">
        <v>3509</v>
      </c>
      <c r="G760" s="573" t="s">
        <v>2923</v>
      </c>
      <c r="H760" s="573" t="s">
        <v>20</v>
      </c>
      <c r="I760" s="573" t="s">
        <v>2924</v>
      </c>
      <c r="J760" s="573">
        <v>43717</v>
      </c>
      <c r="K760" s="573" t="s">
        <v>4188</v>
      </c>
      <c r="L760" s="572"/>
      <c r="M760" s="572"/>
      <c r="N760" s="572"/>
      <c r="O760" s="572"/>
      <c r="P760" s="572"/>
      <c r="Q760" s="572"/>
      <c r="R760" s="572"/>
      <c r="S760" s="572"/>
      <c r="T760" s="572"/>
      <c r="U760" s="572"/>
      <c r="V760" s="572"/>
      <c r="W760" s="572"/>
      <c r="X760" s="572"/>
      <c r="Y760" s="572"/>
      <c r="Z760" s="572"/>
      <c r="AA760" s="572"/>
      <c r="AB760" s="572"/>
      <c r="AC760" s="572"/>
      <c r="AD760" s="572"/>
      <c r="AE760" s="572"/>
      <c r="AF760" s="572"/>
      <c r="AG760" s="572"/>
      <c r="AH760" s="572"/>
      <c r="AI760" s="572"/>
      <c r="AJ760" s="572"/>
      <c r="AK760" s="572"/>
      <c r="AL760" s="572"/>
      <c r="AM760" s="572"/>
      <c r="AN760" s="572"/>
      <c r="AO760" s="572"/>
      <c r="AP760" s="572"/>
      <c r="AQ760" s="572"/>
      <c r="AR760" s="572"/>
      <c r="AS760" s="572"/>
      <c r="AT760" s="572"/>
      <c r="AU760" s="572"/>
    </row>
    <row r="761" spans="1:47" ht="15.75" customHeight="1">
      <c r="A761" s="577">
        <v>44559</v>
      </c>
      <c r="B761" s="610" t="s">
        <v>6640</v>
      </c>
      <c r="C761" s="405" t="s">
        <v>3785</v>
      </c>
      <c r="D761" s="563" t="s">
        <v>3110</v>
      </c>
      <c r="E761" s="586">
        <v>97410.240000000005</v>
      </c>
      <c r="F761" s="563" t="s">
        <v>6641</v>
      </c>
      <c r="G761" s="563" t="s">
        <v>19</v>
      </c>
      <c r="H761" s="563" t="s">
        <v>20</v>
      </c>
      <c r="I761" s="563" t="s">
        <v>3683</v>
      </c>
      <c r="J761" s="573">
        <v>44354</v>
      </c>
      <c r="K761" s="563" t="s">
        <v>3809</v>
      </c>
      <c r="L761" s="572"/>
      <c r="M761" s="572"/>
      <c r="N761" s="572"/>
      <c r="O761" s="572"/>
      <c r="P761" s="572"/>
      <c r="Q761" s="572"/>
      <c r="R761" s="572"/>
      <c r="S761" s="572"/>
      <c r="T761" s="572"/>
      <c r="U761" s="572"/>
      <c r="V761" s="572"/>
      <c r="W761" s="572"/>
      <c r="X761" s="572"/>
      <c r="Y761" s="572"/>
      <c r="Z761" s="572"/>
      <c r="AA761" s="572"/>
      <c r="AB761" s="572"/>
      <c r="AC761" s="572"/>
      <c r="AD761" s="572"/>
      <c r="AE761" s="572"/>
      <c r="AF761" s="572"/>
      <c r="AG761" s="572"/>
      <c r="AH761" s="572"/>
      <c r="AI761" s="572"/>
      <c r="AJ761" s="572"/>
      <c r="AK761" s="572"/>
      <c r="AL761" s="572"/>
      <c r="AM761" s="572"/>
      <c r="AN761" s="572"/>
      <c r="AO761" s="572"/>
      <c r="AP761" s="572"/>
      <c r="AQ761" s="572"/>
      <c r="AR761" s="572"/>
      <c r="AS761" s="572"/>
      <c r="AT761" s="572"/>
      <c r="AU761" s="572"/>
    </row>
    <row r="762" spans="1:47" ht="15.75" customHeight="1">
      <c r="A762" s="335">
        <v>44566.405864444445</v>
      </c>
      <c r="B762" s="585" t="s">
        <v>6550</v>
      </c>
      <c r="C762" s="405" t="s">
        <v>2921</v>
      </c>
      <c r="D762" s="563" t="s">
        <v>6341</v>
      </c>
      <c r="E762" s="586" t="s">
        <v>6642</v>
      </c>
      <c r="F762" s="563" t="s">
        <v>3502</v>
      </c>
      <c r="G762" s="573" t="s">
        <v>19</v>
      </c>
      <c r="H762" s="573" t="s">
        <v>34</v>
      </c>
      <c r="I762" s="573" t="s">
        <v>35</v>
      </c>
      <c r="J762" s="573">
        <v>44263</v>
      </c>
      <c r="K762" s="573" t="s">
        <v>3805</v>
      </c>
      <c r="L762" s="572"/>
      <c r="M762" s="572"/>
      <c r="N762" s="572"/>
      <c r="O762" s="572"/>
      <c r="P762" s="572"/>
      <c r="Q762" s="572"/>
      <c r="R762" s="572"/>
      <c r="S762" s="572"/>
      <c r="T762" s="572"/>
      <c r="U762" s="572"/>
      <c r="V762" s="572"/>
      <c r="W762" s="572"/>
      <c r="X762" s="572"/>
      <c r="Y762" s="572"/>
      <c r="Z762" s="572"/>
      <c r="AA762" s="572"/>
      <c r="AB762" s="572"/>
      <c r="AC762" s="572"/>
      <c r="AD762" s="572"/>
      <c r="AE762" s="572"/>
      <c r="AF762" s="572"/>
      <c r="AG762" s="572"/>
      <c r="AH762" s="572"/>
      <c r="AI762" s="572"/>
      <c r="AJ762" s="572"/>
      <c r="AK762" s="572"/>
      <c r="AL762" s="572"/>
      <c r="AM762" s="572"/>
      <c r="AN762" s="572"/>
      <c r="AO762" s="572"/>
      <c r="AP762" s="572"/>
      <c r="AQ762" s="572"/>
      <c r="AR762" s="572"/>
      <c r="AS762" s="572"/>
      <c r="AT762" s="572"/>
      <c r="AU762" s="572"/>
    </row>
    <row r="763" spans="1:47" ht="15.75" customHeight="1">
      <c r="A763" s="335">
        <v>44567.470252824074</v>
      </c>
      <c r="B763" s="585" t="s">
        <v>6643</v>
      </c>
      <c r="C763" s="405" t="s">
        <v>2921</v>
      </c>
      <c r="D763" s="563" t="s">
        <v>928</v>
      </c>
      <c r="E763" s="587">
        <v>648751.76</v>
      </c>
      <c r="F763" s="563" t="s">
        <v>3151</v>
      </c>
      <c r="G763" s="573" t="s">
        <v>19</v>
      </c>
      <c r="H763" s="573" t="s">
        <v>34</v>
      </c>
      <c r="I763" s="573" t="s">
        <v>35</v>
      </c>
      <c r="J763" s="573">
        <v>44280</v>
      </c>
      <c r="K763" s="573" t="s">
        <v>3789</v>
      </c>
      <c r="L763" s="572"/>
      <c r="M763" s="572"/>
      <c r="N763" s="572"/>
      <c r="O763" s="572"/>
      <c r="P763" s="572"/>
      <c r="Q763" s="572"/>
      <c r="R763" s="572"/>
      <c r="S763" s="572"/>
      <c r="T763" s="572"/>
      <c r="U763" s="572"/>
      <c r="V763" s="572"/>
      <c r="W763" s="572"/>
      <c r="X763" s="572"/>
      <c r="Y763" s="572"/>
      <c r="Z763" s="572"/>
      <c r="AA763" s="572"/>
      <c r="AB763" s="572"/>
      <c r="AC763" s="572"/>
      <c r="AD763" s="572"/>
      <c r="AE763" s="572"/>
      <c r="AF763" s="572"/>
      <c r="AG763" s="572"/>
      <c r="AH763" s="572"/>
      <c r="AI763" s="572"/>
      <c r="AJ763" s="572"/>
      <c r="AK763" s="572"/>
      <c r="AL763" s="572"/>
      <c r="AM763" s="572"/>
      <c r="AN763" s="572"/>
      <c r="AO763" s="572"/>
      <c r="AP763" s="572"/>
      <c r="AQ763" s="572"/>
      <c r="AR763" s="572"/>
      <c r="AS763" s="572"/>
      <c r="AT763" s="572"/>
      <c r="AU763" s="572"/>
    </row>
    <row r="764" spans="1:47" ht="15.75" customHeight="1">
      <c r="A764" s="335">
        <v>44567.6009122338</v>
      </c>
      <c r="B764" s="585" t="s">
        <v>6644</v>
      </c>
      <c r="C764" s="405" t="s">
        <v>2921</v>
      </c>
      <c r="D764" s="563" t="s">
        <v>928</v>
      </c>
      <c r="E764" s="606">
        <v>146875.19</v>
      </c>
      <c r="F764" s="563" t="s">
        <v>3523</v>
      </c>
      <c r="G764" s="573" t="s">
        <v>19</v>
      </c>
      <c r="H764" s="573" t="s">
        <v>34</v>
      </c>
      <c r="I764" s="573" t="s">
        <v>262</v>
      </c>
      <c r="J764" s="573">
        <v>44340</v>
      </c>
      <c r="K764" s="573" t="s">
        <v>3805</v>
      </c>
      <c r="L764" s="572"/>
      <c r="M764" s="572"/>
      <c r="N764" s="572"/>
      <c r="O764" s="572"/>
      <c r="P764" s="572"/>
      <c r="Q764" s="572"/>
      <c r="R764" s="572"/>
      <c r="S764" s="572"/>
      <c r="T764" s="572"/>
      <c r="U764" s="572"/>
      <c r="V764" s="572"/>
      <c r="W764" s="572"/>
      <c r="X764" s="572"/>
      <c r="Y764" s="572"/>
      <c r="Z764" s="572"/>
      <c r="AA764" s="572"/>
      <c r="AB764" s="572"/>
      <c r="AC764" s="572"/>
      <c r="AD764" s="572"/>
      <c r="AE764" s="572"/>
      <c r="AF764" s="572"/>
      <c r="AG764" s="572"/>
      <c r="AH764" s="572"/>
      <c r="AI764" s="572"/>
      <c r="AJ764" s="572"/>
      <c r="AK764" s="572"/>
      <c r="AL764" s="572"/>
      <c r="AM764" s="572"/>
      <c r="AN764" s="572"/>
      <c r="AO764" s="572"/>
      <c r="AP764" s="572"/>
      <c r="AQ764" s="572"/>
      <c r="AR764" s="572"/>
      <c r="AS764" s="572"/>
      <c r="AT764" s="572"/>
      <c r="AU764" s="572"/>
    </row>
    <row r="765" spans="1:47" ht="15.75" customHeight="1">
      <c r="A765" s="335">
        <v>44567.606299722218</v>
      </c>
      <c r="B765" s="585" t="s">
        <v>6528</v>
      </c>
      <c r="C765" s="405" t="s">
        <v>2921</v>
      </c>
      <c r="D765" s="563" t="s">
        <v>6341</v>
      </c>
      <c r="E765" s="586" t="s">
        <v>6645</v>
      </c>
      <c r="F765" s="563" t="s">
        <v>3132</v>
      </c>
      <c r="G765" s="573" t="s">
        <v>19</v>
      </c>
      <c r="H765" s="573" t="s">
        <v>34</v>
      </c>
      <c r="I765" s="573" t="s">
        <v>262</v>
      </c>
      <c r="J765" s="573">
        <v>44291</v>
      </c>
      <c r="K765" s="573" t="s">
        <v>3795</v>
      </c>
      <c r="L765" s="572"/>
      <c r="M765" s="572"/>
      <c r="N765" s="572"/>
      <c r="O765" s="572"/>
      <c r="P765" s="572"/>
      <c r="Q765" s="572"/>
      <c r="R765" s="572"/>
      <c r="S765" s="572"/>
      <c r="T765" s="572"/>
      <c r="U765" s="572"/>
      <c r="V765" s="572"/>
      <c r="W765" s="572"/>
      <c r="X765" s="572"/>
      <c r="Y765" s="572"/>
      <c r="Z765" s="572"/>
      <c r="AA765" s="572"/>
      <c r="AB765" s="572"/>
      <c r="AC765" s="572"/>
      <c r="AD765" s="572"/>
      <c r="AE765" s="572"/>
      <c r="AF765" s="572"/>
      <c r="AG765" s="572"/>
      <c r="AH765" s="572"/>
      <c r="AI765" s="572"/>
      <c r="AJ765" s="572"/>
      <c r="AK765" s="572"/>
      <c r="AL765" s="572"/>
      <c r="AM765" s="572"/>
      <c r="AN765" s="572"/>
      <c r="AO765" s="572"/>
      <c r="AP765" s="572"/>
      <c r="AQ765" s="572"/>
      <c r="AR765" s="572"/>
      <c r="AS765" s="572"/>
      <c r="AT765" s="572"/>
      <c r="AU765" s="572"/>
    </row>
    <row r="766" spans="1:47" ht="15.75" customHeight="1">
      <c r="A766" s="335">
        <v>44568.43395849537</v>
      </c>
      <c r="B766" s="585" t="s">
        <v>6504</v>
      </c>
      <c r="C766" s="405" t="s">
        <v>2921</v>
      </c>
      <c r="D766" s="563" t="s">
        <v>6341</v>
      </c>
      <c r="E766" s="586" t="s">
        <v>6646</v>
      </c>
      <c r="F766" s="563" t="s">
        <v>2933</v>
      </c>
      <c r="G766" s="573" t="s">
        <v>19</v>
      </c>
      <c r="H766" s="573" t="s">
        <v>34</v>
      </c>
      <c r="I766" s="573" t="s">
        <v>262</v>
      </c>
      <c r="J766" s="573">
        <v>44321</v>
      </c>
      <c r="K766" s="573" t="s">
        <v>3805</v>
      </c>
      <c r="L766" s="572"/>
      <c r="M766" s="572"/>
      <c r="N766" s="572"/>
      <c r="O766" s="572"/>
      <c r="P766" s="572"/>
      <c r="Q766" s="572"/>
      <c r="R766" s="572"/>
      <c r="S766" s="572"/>
      <c r="T766" s="572"/>
      <c r="U766" s="572"/>
      <c r="V766" s="572"/>
      <c r="W766" s="572"/>
      <c r="X766" s="572"/>
      <c r="Y766" s="572"/>
      <c r="Z766" s="572"/>
      <c r="AA766" s="572"/>
      <c r="AB766" s="572"/>
      <c r="AC766" s="572"/>
      <c r="AD766" s="572"/>
      <c r="AE766" s="572"/>
      <c r="AF766" s="572"/>
      <c r="AG766" s="572"/>
      <c r="AH766" s="572"/>
      <c r="AI766" s="572"/>
      <c r="AJ766" s="572"/>
      <c r="AK766" s="572"/>
      <c r="AL766" s="572"/>
      <c r="AM766" s="572"/>
      <c r="AN766" s="572"/>
      <c r="AO766" s="572"/>
      <c r="AP766" s="572"/>
      <c r="AQ766" s="572"/>
      <c r="AR766" s="572"/>
      <c r="AS766" s="572"/>
      <c r="AT766" s="572"/>
      <c r="AU766" s="572"/>
    </row>
    <row r="767" spans="1:47" ht="15.75" customHeight="1">
      <c r="A767" s="335">
        <v>44568.568650995367</v>
      </c>
      <c r="B767" s="585" t="s">
        <v>6647</v>
      </c>
      <c r="C767" s="405" t="s">
        <v>2921</v>
      </c>
      <c r="D767" s="563" t="s">
        <v>6341</v>
      </c>
      <c r="E767" s="586" t="s">
        <v>6648</v>
      </c>
      <c r="F767" s="563" t="s">
        <v>3146</v>
      </c>
      <c r="G767" s="573" t="s">
        <v>19</v>
      </c>
      <c r="H767" s="573" t="s">
        <v>34</v>
      </c>
      <c r="I767" s="573" t="s">
        <v>262</v>
      </c>
      <c r="J767" s="573">
        <v>44280</v>
      </c>
      <c r="K767" s="573" t="s">
        <v>3789</v>
      </c>
      <c r="L767" s="572"/>
      <c r="M767" s="572"/>
      <c r="N767" s="572"/>
      <c r="O767" s="572"/>
      <c r="P767" s="572"/>
      <c r="Q767" s="572"/>
      <c r="R767" s="572"/>
      <c r="S767" s="572"/>
      <c r="T767" s="572"/>
      <c r="U767" s="572"/>
      <c r="V767" s="572"/>
      <c r="W767" s="572"/>
      <c r="X767" s="572"/>
      <c r="Y767" s="572"/>
      <c r="Z767" s="572"/>
      <c r="AA767" s="572"/>
      <c r="AB767" s="572"/>
      <c r="AC767" s="572"/>
      <c r="AD767" s="572"/>
      <c r="AE767" s="572"/>
      <c r="AF767" s="572"/>
      <c r="AG767" s="572"/>
      <c r="AH767" s="572"/>
      <c r="AI767" s="572"/>
      <c r="AJ767" s="572"/>
      <c r="AK767" s="572"/>
      <c r="AL767" s="572"/>
      <c r="AM767" s="572"/>
      <c r="AN767" s="572"/>
      <c r="AO767" s="572"/>
      <c r="AP767" s="572"/>
      <c r="AQ767" s="572"/>
      <c r="AR767" s="572"/>
      <c r="AS767" s="572"/>
      <c r="AT767" s="572"/>
      <c r="AU767" s="572"/>
    </row>
    <row r="768" spans="1:47" ht="15.75" customHeight="1">
      <c r="A768" s="335">
        <v>44569</v>
      </c>
      <c r="B768" s="585" t="s">
        <v>3687</v>
      </c>
      <c r="C768" s="405" t="s">
        <v>3607</v>
      </c>
      <c r="D768" s="563" t="s">
        <v>3110</v>
      </c>
      <c r="E768" s="586">
        <v>151280.20000000001</v>
      </c>
      <c r="F768" s="563" t="s">
        <v>3686</v>
      </c>
      <c r="G768" s="573" t="s">
        <v>19</v>
      </c>
      <c r="H768" s="573" t="s">
        <v>20</v>
      </c>
      <c r="I768" s="573" t="s">
        <v>3653</v>
      </c>
      <c r="J768" s="573">
        <v>43731</v>
      </c>
      <c r="K768" s="573" t="s">
        <v>3789</v>
      </c>
      <c r="L768" s="572"/>
      <c r="M768" s="572"/>
      <c r="N768" s="572"/>
      <c r="O768" s="572"/>
      <c r="P768" s="572"/>
      <c r="Q768" s="572"/>
      <c r="R768" s="572"/>
      <c r="S768" s="572"/>
      <c r="T768" s="572"/>
      <c r="U768" s="572"/>
      <c r="V768" s="572"/>
      <c r="W768" s="572"/>
      <c r="X768" s="572"/>
      <c r="Y768" s="572"/>
      <c r="Z768" s="572"/>
      <c r="AA768" s="572"/>
      <c r="AB768" s="572"/>
      <c r="AC768" s="572"/>
      <c r="AD768" s="572"/>
      <c r="AE768" s="572"/>
      <c r="AF768" s="572"/>
      <c r="AG768" s="572"/>
      <c r="AH768" s="572"/>
      <c r="AI768" s="572"/>
      <c r="AJ768" s="572"/>
      <c r="AK768" s="572"/>
      <c r="AL768" s="572"/>
      <c r="AM768" s="572"/>
      <c r="AN768" s="572"/>
      <c r="AO768" s="572"/>
      <c r="AP768" s="572"/>
      <c r="AQ768" s="572"/>
      <c r="AR768" s="572"/>
      <c r="AS768" s="572"/>
      <c r="AT768" s="572"/>
      <c r="AU768" s="572"/>
    </row>
    <row r="769" spans="1:47" ht="15.75" customHeight="1">
      <c r="A769" s="335">
        <v>44571.46989226852</v>
      </c>
      <c r="B769" s="585" t="s">
        <v>6550</v>
      </c>
      <c r="C769" s="405" t="s">
        <v>2921</v>
      </c>
      <c r="D769" s="563" t="s">
        <v>6341</v>
      </c>
      <c r="E769" s="586" t="s">
        <v>6649</v>
      </c>
      <c r="F769" s="563" t="s">
        <v>3502</v>
      </c>
      <c r="G769" s="573" t="s">
        <v>19</v>
      </c>
      <c r="H769" s="573" t="s">
        <v>34</v>
      </c>
      <c r="I769" s="573" t="s">
        <v>35</v>
      </c>
      <c r="J769" s="573">
        <v>44263</v>
      </c>
      <c r="K769" s="573" t="s">
        <v>3805</v>
      </c>
      <c r="L769" s="572"/>
      <c r="M769" s="572"/>
      <c r="N769" s="572"/>
      <c r="O769" s="572"/>
      <c r="P769" s="572"/>
      <c r="Q769" s="572"/>
      <c r="R769" s="572"/>
      <c r="S769" s="572"/>
      <c r="T769" s="572"/>
      <c r="U769" s="572"/>
      <c r="V769" s="572"/>
      <c r="W769" s="572"/>
      <c r="X769" s="572"/>
      <c r="Y769" s="572"/>
      <c r="Z769" s="572"/>
      <c r="AA769" s="572"/>
      <c r="AB769" s="572"/>
      <c r="AC769" s="572"/>
      <c r="AD769" s="572"/>
      <c r="AE769" s="572"/>
      <c r="AF769" s="572"/>
      <c r="AG769" s="572"/>
      <c r="AH769" s="572"/>
      <c r="AI769" s="572"/>
      <c r="AJ769" s="572"/>
      <c r="AK769" s="572"/>
      <c r="AL769" s="572"/>
      <c r="AM769" s="572"/>
      <c r="AN769" s="572"/>
      <c r="AO769" s="572"/>
      <c r="AP769" s="572"/>
      <c r="AQ769" s="572"/>
      <c r="AR769" s="572"/>
      <c r="AS769" s="572"/>
      <c r="AT769" s="572"/>
      <c r="AU769" s="572"/>
    </row>
    <row r="770" spans="1:47" ht="15.75" customHeight="1">
      <c r="A770" s="335">
        <v>44571.517733935187</v>
      </c>
      <c r="B770" s="574" t="s">
        <v>3630</v>
      </c>
      <c r="C770" s="405" t="s">
        <v>3607</v>
      </c>
      <c r="D770" s="563" t="s">
        <v>6341</v>
      </c>
      <c r="E770" s="586">
        <v>8500</v>
      </c>
      <c r="F770" s="563" t="s">
        <v>3629</v>
      </c>
      <c r="G770" s="573" t="s">
        <v>19</v>
      </c>
      <c r="H770" s="573" t="s">
        <v>20</v>
      </c>
      <c r="I770" s="573" t="s">
        <v>19</v>
      </c>
      <c r="J770" s="573">
        <v>44062</v>
      </c>
      <c r="K770" s="573" t="s">
        <v>3795</v>
      </c>
      <c r="L770" s="572"/>
      <c r="M770" s="572"/>
      <c r="N770" s="572"/>
      <c r="O770" s="572"/>
      <c r="P770" s="572"/>
      <c r="Q770" s="572"/>
      <c r="R770" s="572"/>
      <c r="S770" s="572"/>
      <c r="T770" s="572"/>
      <c r="U770" s="572"/>
      <c r="V770" s="572"/>
      <c r="W770" s="572"/>
      <c r="X770" s="572"/>
      <c r="Y770" s="572"/>
      <c r="Z770" s="572"/>
      <c r="AA770" s="572"/>
      <c r="AB770" s="572"/>
      <c r="AC770" s="572"/>
      <c r="AD770" s="572"/>
      <c r="AE770" s="572"/>
      <c r="AF770" s="572"/>
      <c r="AG770" s="572"/>
      <c r="AH770" s="572"/>
      <c r="AI770" s="572"/>
      <c r="AJ770" s="572"/>
      <c r="AK770" s="572"/>
      <c r="AL770" s="572"/>
      <c r="AM770" s="572"/>
      <c r="AN770" s="572"/>
      <c r="AO770" s="572"/>
      <c r="AP770" s="572"/>
      <c r="AQ770" s="572"/>
      <c r="AR770" s="572"/>
      <c r="AS770" s="572"/>
      <c r="AT770" s="572"/>
      <c r="AU770" s="572"/>
    </row>
    <row r="771" spans="1:47" ht="15.75" customHeight="1">
      <c r="A771" s="335">
        <v>44571.517733935187</v>
      </c>
      <c r="B771" s="585" t="s">
        <v>6409</v>
      </c>
      <c r="C771" s="405" t="s">
        <v>2921</v>
      </c>
      <c r="D771" s="563" t="s">
        <v>6341</v>
      </c>
      <c r="E771" s="586" t="s">
        <v>6650</v>
      </c>
      <c r="F771" s="563" t="s">
        <v>3257</v>
      </c>
      <c r="G771" s="573" t="s">
        <v>19</v>
      </c>
      <c r="H771" s="573" t="s">
        <v>34</v>
      </c>
      <c r="I771" s="573" t="s">
        <v>35</v>
      </c>
      <c r="J771" s="573">
        <v>44295</v>
      </c>
      <c r="K771" s="573" t="s">
        <v>3802</v>
      </c>
      <c r="L771" s="572"/>
      <c r="M771" s="572"/>
      <c r="N771" s="572"/>
      <c r="O771" s="572"/>
      <c r="P771" s="572"/>
      <c r="Q771" s="572"/>
      <c r="R771" s="572"/>
      <c r="S771" s="572"/>
      <c r="T771" s="572"/>
      <c r="U771" s="572"/>
      <c r="V771" s="572"/>
      <c r="W771" s="572"/>
      <c r="X771" s="572"/>
      <c r="Y771" s="572"/>
      <c r="Z771" s="572"/>
      <c r="AA771" s="572"/>
      <c r="AB771" s="572"/>
      <c r="AC771" s="572"/>
      <c r="AD771" s="572"/>
      <c r="AE771" s="572"/>
      <c r="AF771" s="572"/>
      <c r="AG771" s="572"/>
      <c r="AH771" s="572"/>
      <c r="AI771" s="572"/>
      <c r="AJ771" s="572"/>
      <c r="AK771" s="572"/>
      <c r="AL771" s="572"/>
      <c r="AM771" s="572"/>
      <c r="AN771" s="572"/>
      <c r="AO771" s="572"/>
      <c r="AP771" s="572"/>
      <c r="AQ771" s="572"/>
      <c r="AR771" s="572"/>
      <c r="AS771" s="572"/>
      <c r="AT771" s="572"/>
      <c r="AU771" s="572"/>
    </row>
    <row r="772" spans="1:47" ht="15.75" customHeight="1">
      <c r="A772" s="335">
        <v>44572.448788240741</v>
      </c>
      <c r="B772" s="585" t="s">
        <v>6475</v>
      </c>
      <c r="C772" s="405" t="s">
        <v>2921</v>
      </c>
      <c r="D772" s="563" t="s">
        <v>6341</v>
      </c>
      <c r="E772" s="586" t="s">
        <v>6650</v>
      </c>
      <c r="F772" s="563" t="s">
        <v>3465</v>
      </c>
      <c r="G772" s="573" t="s">
        <v>19</v>
      </c>
      <c r="H772" s="573" t="s">
        <v>34</v>
      </c>
      <c r="I772" s="573" t="s">
        <v>262</v>
      </c>
      <c r="J772" s="573">
        <v>44319</v>
      </c>
      <c r="K772" s="573" t="s">
        <v>3795</v>
      </c>
      <c r="L772" s="572"/>
      <c r="M772" s="572"/>
      <c r="N772" s="572"/>
      <c r="O772" s="572"/>
      <c r="P772" s="572"/>
      <c r="Q772" s="572"/>
      <c r="R772" s="572"/>
      <c r="S772" s="572"/>
      <c r="T772" s="572"/>
      <c r="U772" s="572"/>
      <c r="V772" s="572"/>
      <c r="W772" s="572"/>
      <c r="X772" s="572"/>
      <c r="Y772" s="572"/>
      <c r="Z772" s="572"/>
      <c r="AA772" s="572"/>
      <c r="AB772" s="572"/>
      <c r="AC772" s="572"/>
      <c r="AD772" s="572"/>
      <c r="AE772" s="572"/>
      <c r="AF772" s="572"/>
      <c r="AG772" s="572"/>
      <c r="AH772" s="572"/>
      <c r="AI772" s="572"/>
      <c r="AJ772" s="572"/>
      <c r="AK772" s="572"/>
      <c r="AL772" s="572"/>
      <c r="AM772" s="572"/>
      <c r="AN772" s="572"/>
      <c r="AO772" s="572"/>
      <c r="AP772" s="572"/>
      <c r="AQ772" s="572"/>
      <c r="AR772" s="572"/>
      <c r="AS772" s="572"/>
      <c r="AT772" s="572"/>
      <c r="AU772" s="572"/>
    </row>
    <row r="773" spans="1:47" ht="15.75" customHeight="1">
      <c r="A773" s="335">
        <v>44573</v>
      </c>
      <c r="B773" s="619" t="s">
        <v>3660</v>
      </c>
      <c r="C773" s="405" t="s">
        <v>3607</v>
      </c>
      <c r="D773" s="563" t="s">
        <v>928</v>
      </c>
      <c r="E773" s="586">
        <v>9354.08</v>
      </c>
      <c r="F773" s="563" t="s">
        <v>3659</v>
      </c>
      <c r="G773" s="573" t="s">
        <v>19</v>
      </c>
      <c r="H773" s="573" t="s">
        <v>20</v>
      </c>
      <c r="I773" s="573" t="s">
        <v>3661</v>
      </c>
      <c r="J773" s="573">
        <v>43718</v>
      </c>
      <c r="K773" s="573" t="s">
        <v>3805</v>
      </c>
      <c r="L773" s="572"/>
      <c r="M773" s="572"/>
      <c r="N773" s="572"/>
      <c r="O773" s="572"/>
      <c r="P773" s="572"/>
      <c r="Q773" s="572"/>
      <c r="R773" s="572"/>
      <c r="S773" s="572"/>
      <c r="T773" s="572"/>
      <c r="U773" s="572"/>
      <c r="V773" s="572"/>
      <c r="W773" s="572"/>
      <c r="X773" s="572"/>
      <c r="Y773" s="572"/>
      <c r="Z773" s="572"/>
      <c r="AA773" s="572"/>
      <c r="AB773" s="572"/>
      <c r="AC773" s="572"/>
      <c r="AD773" s="572"/>
      <c r="AE773" s="572"/>
      <c r="AF773" s="572"/>
      <c r="AG773" s="572"/>
      <c r="AH773" s="572"/>
      <c r="AI773" s="572"/>
      <c r="AJ773" s="572"/>
      <c r="AK773" s="572"/>
      <c r="AL773" s="572"/>
      <c r="AM773" s="572"/>
      <c r="AN773" s="572"/>
      <c r="AO773" s="572"/>
      <c r="AP773" s="572"/>
      <c r="AQ773" s="572"/>
      <c r="AR773" s="572"/>
      <c r="AS773" s="572"/>
      <c r="AT773" s="572"/>
      <c r="AU773" s="572"/>
    </row>
    <row r="774" spans="1:47" ht="15.75" customHeight="1">
      <c r="A774" s="335">
        <v>44573</v>
      </c>
      <c r="B774" s="585" t="s">
        <v>6473</v>
      </c>
      <c r="C774" s="405" t="s">
        <v>2921</v>
      </c>
      <c r="D774" s="563" t="s">
        <v>6341</v>
      </c>
      <c r="E774" s="586">
        <v>3000</v>
      </c>
      <c r="F774" s="563" t="s">
        <v>3332</v>
      </c>
      <c r="G774" s="573" t="s">
        <v>19</v>
      </c>
      <c r="H774" s="573" t="s">
        <v>34</v>
      </c>
      <c r="I774" s="573" t="s">
        <v>262</v>
      </c>
      <c r="J774" s="573">
        <v>44322</v>
      </c>
      <c r="K774" s="573" t="s">
        <v>3795</v>
      </c>
      <c r="L774" s="572"/>
      <c r="M774" s="572"/>
      <c r="N774" s="572"/>
      <c r="O774" s="572"/>
      <c r="P774" s="572"/>
      <c r="Q774" s="572"/>
      <c r="R774" s="572"/>
      <c r="S774" s="572"/>
      <c r="T774" s="572"/>
      <c r="U774" s="572"/>
      <c r="V774" s="572"/>
      <c r="W774" s="572"/>
      <c r="X774" s="572"/>
      <c r="Y774" s="572"/>
      <c r="Z774" s="572"/>
      <c r="AA774" s="572"/>
      <c r="AB774" s="572"/>
      <c r="AC774" s="572"/>
      <c r="AD774" s="572"/>
      <c r="AE774" s="572"/>
      <c r="AF774" s="572"/>
      <c r="AG774" s="572"/>
      <c r="AH774" s="572"/>
      <c r="AI774" s="572"/>
      <c r="AJ774" s="572"/>
      <c r="AK774" s="572"/>
      <c r="AL774" s="572"/>
      <c r="AM774" s="572"/>
      <c r="AN774" s="572"/>
      <c r="AO774" s="572"/>
      <c r="AP774" s="572"/>
      <c r="AQ774" s="572"/>
      <c r="AR774" s="572"/>
      <c r="AS774" s="572"/>
      <c r="AT774" s="572"/>
      <c r="AU774" s="572"/>
    </row>
    <row r="775" spans="1:47" ht="15.75" customHeight="1">
      <c r="A775" s="335">
        <v>44575</v>
      </c>
      <c r="B775" s="609" t="s">
        <v>6651</v>
      </c>
      <c r="C775" s="405" t="s">
        <v>3785</v>
      </c>
      <c r="D775" s="563" t="s">
        <v>3110</v>
      </c>
      <c r="E775" s="586">
        <v>659874.72</v>
      </c>
      <c r="F775" s="563" t="s">
        <v>4847</v>
      </c>
      <c r="G775" s="563" t="s">
        <v>64</v>
      </c>
      <c r="H775" s="563" t="s">
        <v>20</v>
      </c>
      <c r="I775" s="563" t="s">
        <v>3973</v>
      </c>
      <c r="J775" s="573">
        <v>44005</v>
      </c>
      <c r="K775" s="563" t="s">
        <v>3789</v>
      </c>
      <c r="L775" s="572"/>
      <c r="M775" s="572"/>
      <c r="N775" s="572"/>
      <c r="O775" s="572"/>
      <c r="P775" s="572"/>
      <c r="Q775" s="572"/>
      <c r="R775" s="572"/>
      <c r="S775" s="572"/>
      <c r="T775" s="572"/>
      <c r="U775" s="572"/>
      <c r="V775" s="572"/>
      <c r="W775" s="572"/>
      <c r="X775" s="572"/>
      <c r="Y775" s="572"/>
      <c r="Z775" s="572"/>
      <c r="AA775" s="572"/>
      <c r="AB775" s="572"/>
      <c r="AC775" s="572"/>
      <c r="AD775" s="572"/>
      <c r="AE775" s="572"/>
      <c r="AF775" s="572"/>
      <c r="AG775" s="572"/>
      <c r="AH775" s="572"/>
      <c r="AI775" s="572"/>
      <c r="AJ775" s="572"/>
      <c r="AK775" s="572"/>
      <c r="AL775" s="572"/>
      <c r="AM775" s="572"/>
      <c r="AN775" s="572"/>
      <c r="AO775" s="572"/>
      <c r="AP775" s="572"/>
      <c r="AQ775" s="572"/>
      <c r="AR775" s="572"/>
      <c r="AS775" s="572"/>
      <c r="AT775" s="572"/>
      <c r="AU775" s="572"/>
    </row>
    <row r="776" spans="1:47" ht="15.75" customHeight="1">
      <c r="A776" s="335">
        <v>44575</v>
      </c>
      <c r="B776" s="618" t="s">
        <v>3699</v>
      </c>
      <c r="C776" s="405" t="s">
        <v>3607</v>
      </c>
      <c r="D776" s="563" t="s">
        <v>3110</v>
      </c>
      <c r="E776" s="586">
        <v>147515.9</v>
      </c>
      <c r="F776" s="563" t="s">
        <v>3698</v>
      </c>
      <c r="G776" s="573" t="s">
        <v>19</v>
      </c>
      <c r="H776" s="573" t="s">
        <v>20</v>
      </c>
      <c r="I776" s="573" t="s">
        <v>3072</v>
      </c>
      <c r="J776" s="573">
        <v>43873</v>
      </c>
      <c r="K776" s="573" t="s">
        <v>3789</v>
      </c>
      <c r="L776" s="572"/>
      <c r="M776" s="572"/>
      <c r="N776" s="572"/>
      <c r="O776" s="572"/>
      <c r="P776" s="572"/>
      <c r="Q776" s="572"/>
      <c r="R776" s="572"/>
      <c r="S776" s="572"/>
      <c r="T776" s="572"/>
      <c r="U776" s="572"/>
      <c r="V776" s="572"/>
      <c r="W776" s="572"/>
      <c r="X776" s="572"/>
      <c r="Y776" s="572"/>
      <c r="Z776" s="572"/>
      <c r="AA776" s="572"/>
      <c r="AB776" s="572"/>
      <c r="AC776" s="572"/>
      <c r="AD776" s="572"/>
      <c r="AE776" s="572"/>
      <c r="AF776" s="572"/>
      <c r="AG776" s="572"/>
      <c r="AH776" s="572"/>
      <c r="AI776" s="572"/>
      <c r="AJ776" s="572"/>
      <c r="AK776" s="572"/>
      <c r="AL776" s="572"/>
      <c r="AM776" s="572"/>
      <c r="AN776" s="572"/>
      <c r="AO776" s="572"/>
      <c r="AP776" s="572"/>
      <c r="AQ776" s="572"/>
      <c r="AR776" s="572"/>
      <c r="AS776" s="572"/>
      <c r="AT776" s="572"/>
      <c r="AU776" s="572"/>
    </row>
    <row r="777" spans="1:47" ht="15.75" customHeight="1">
      <c r="A777" s="335">
        <v>44575</v>
      </c>
      <c r="B777" s="619" t="s">
        <v>6455</v>
      </c>
      <c r="C777" s="405" t="s">
        <v>2921</v>
      </c>
      <c r="D777" s="563" t="s">
        <v>6341</v>
      </c>
      <c r="E777" s="586">
        <v>80000</v>
      </c>
      <c r="F777" s="563" t="s">
        <v>3141</v>
      </c>
      <c r="G777" s="573" t="s">
        <v>19</v>
      </c>
      <c r="H777" s="573" t="s">
        <v>34</v>
      </c>
      <c r="I777" s="573" t="s">
        <v>262</v>
      </c>
      <c r="J777" s="573">
        <v>44298</v>
      </c>
      <c r="K777" s="573" t="s">
        <v>3795</v>
      </c>
      <c r="L777" s="572"/>
      <c r="M777" s="572"/>
      <c r="N777" s="572"/>
      <c r="O777" s="572"/>
      <c r="P777" s="572"/>
      <c r="Q777" s="572"/>
      <c r="R777" s="572"/>
      <c r="S777" s="572"/>
      <c r="T777" s="572"/>
      <c r="U777" s="572"/>
      <c r="V777" s="572"/>
      <c r="W777" s="572"/>
      <c r="X777" s="572"/>
      <c r="Y777" s="572"/>
      <c r="Z777" s="572"/>
      <c r="AA777" s="572"/>
      <c r="AB777" s="572"/>
      <c r="AC777" s="572"/>
      <c r="AD777" s="572"/>
      <c r="AE777" s="572"/>
      <c r="AF777" s="572"/>
      <c r="AG777" s="572"/>
      <c r="AH777" s="572"/>
      <c r="AI777" s="572"/>
      <c r="AJ777" s="572"/>
      <c r="AK777" s="572"/>
      <c r="AL777" s="572"/>
      <c r="AM777" s="572"/>
      <c r="AN777" s="572"/>
      <c r="AO777" s="572"/>
      <c r="AP777" s="572"/>
      <c r="AQ777" s="572"/>
      <c r="AR777" s="572"/>
      <c r="AS777" s="572"/>
      <c r="AT777" s="572"/>
      <c r="AU777" s="572"/>
    </row>
    <row r="778" spans="1:47" ht="15.75" customHeight="1">
      <c r="A778" s="335">
        <v>44575</v>
      </c>
      <c r="B778" s="619" t="s">
        <v>6363</v>
      </c>
      <c r="C778" s="405" t="s">
        <v>2921</v>
      </c>
      <c r="D778" s="563" t="s">
        <v>6341</v>
      </c>
      <c r="E778" s="586">
        <v>5000</v>
      </c>
      <c r="F778" s="563" t="s">
        <v>3445</v>
      </c>
      <c r="G778" s="573" t="s">
        <v>2923</v>
      </c>
      <c r="H778" s="573" t="s">
        <v>20</v>
      </c>
      <c r="I778" s="573" t="s">
        <v>2924</v>
      </c>
      <c r="J778" s="573">
        <v>43894</v>
      </c>
      <c r="K778" s="573" t="s">
        <v>3805</v>
      </c>
      <c r="L778" s="572"/>
      <c r="M778" s="572"/>
      <c r="N778" s="572"/>
      <c r="O778" s="572"/>
      <c r="P778" s="572"/>
      <c r="Q778" s="572"/>
      <c r="R778" s="572"/>
      <c r="S778" s="572"/>
      <c r="T778" s="572"/>
      <c r="U778" s="572"/>
      <c r="V778" s="572"/>
      <c r="W778" s="572"/>
      <c r="X778" s="572"/>
      <c r="Y778" s="572"/>
      <c r="Z778" s="572"/>
      <c r="AA778" s="572"/>
      <c r="AB778" s="572"/>
      <c r="AC778" s="572"/>
      <c r="AD778" s="572"/>
      <c r="AE778" s="572"/>
      <c r="AF778" s="572"/>
      <c r="AG778" s="572"/>
      <c r="AH778" s="572"/>
      <c r="AI778" s="572"/>
      <c r="AJ778" s="572"/>
      <c r="AK778" s="572"/>
      <c r="AL778" s="572"/>
      <c r="AM778" s="572"/>
      <c r="AN778" s="572"/>
      <c r="AO778" s="572"/>
      <c r="AP778" s="572"/>
      <c r="AQ778" s="572"/>
      <c r="AR778" s="572"/>
      <c r="AS778" s="572"/>
      <c r="AT778" s="572"/>
      <c r="AU778" s="572"/>
    </row>
    <row r="779" spans="1:47" ht="15.75" customHeight="1">
      <c r="A779" s="335">
        <v>44578</v>
      </c>
      <c r="B779" s="619" t="s">
        <v>6455</v>
      </c>
      <c r="C779" s="405" t="s">
        <v>2921</v>
      </c>
      <c r="D779" s="563" t="s">
        <v>3110</v>
      </c>
      <c r="E779" s="586">
        <v>181959.12</v>
      </c>
      <c r="F779" s="563" t="s">
        <v>3141</v>
      </c>
      <c r="G779" s="573" t="s">
        <v>19</v>
      </c>
      <c r="H779" s="573" t="s">
        <v>34</v>
      </c>
      <c r="I779" s="573" t="s">
        <v>262</v>
      </c>
      <c r="J779" s="573">
        <v>44298</v>
      </c>
      <c r="K779" s="573" t="s">
        <v>3795</v>
      </c>
      <c r="L779" s="572"/>
      <c r="M779" s="572"/>
      <c r="N779" s="572"/>
      <c r="O779" s="572"/>
      <c r="P779" s="572"/>
      <c r="Q779" s="572"/>
      <c r="R779" s="572"/>
      <c r="S779" s="572"/>
      <c r="T779" s="572"/>
      <c r="U779" s="572"/>
      <c r="V779" s="572"/>
      <c r="W779" s="572"/>
      <c r="X779" s="572"/>
      <c r="Y779" s="572"/>
      <c r="Z779" s="572"/>
      <c r="AA779" s="572"/>
      <c r="AB779" s="572"/>
      <c r="AC779" s="572"/>
      <c r="AD779" s="572"/>
      <c r="AE779" s="572"/>
      <c r="AF779" s="572"/>
      <c r="AG779" s="572"/>
      <c r="AH779" s="572"/>
      <c r="AI779" s="572"/>
      <c r="AJ779" s="572"/>
      <c r="AK779" s="572"/>
      <c r="AL779" s="572"/>
      <c r="AM779" s="572"/>
      <c r="AN779" s="572"/>
      <c r="AO779" s="572"/>
      <c r="AP779" s="572"/>
      <c r="AQ779" s="572"/>
      <c r="AR779" s="572"/>
      <c r="AS779" s="572"/>
      <c r="AT779" s="572"/>
      <c r="AU779" s="572"/>
    </row>
    <row r="780" spans="1:47" ht="15.75" customHeight="1">
      <c r="A780" s="335">
        <v>44578</v>
      </c>
      <c r="B780" s="607" t="s">
        <v>6652</v>
      </c>
      <c r="C780" s="405" t="s">
        <v>3785</v>
      </c>
      <c r="D780" s="563" t="s">
        <v>6341</v>
      </c>
      <c r="E780" s="586">
        <v>50000</v>
      </c>
      <c r="F780" s="563" t="s">
        <v>3951</v>
      </c>
      <c r="G780" s="563" t="s">
        <v>19</v>
      </c>
      <c r="H780" s="563" t="s">
        <v>20</v>
      </c>
      <c r="I780" s="563" t="s">
        <v>3952</v>
      </c>
      <c r="J780" s="573">
        <v>44061</v>
      </c>
      <c r="K780" s="563" t="s">
        <v>3795</v>
      </c>
      <c r="L780" s="572"/>
      <c r="M780" s="572"/>
      <c r="N780" s="572"/>
      <c r="O780" s="572"/>
      <c r="P780" s="572"/>
      <c r="Q780" s="572"/>
      <c r="R780" s="572"/>
      <c r="S780" s="572"/>
      <c r="T780" s="572"/>
      <c r="U780" s="572"/>
      <c r="V780" s="572"/>
      <c r="W780" s="572"/>
      <c r="X780" s="572"/>
      <c r="Y780" s="572"/>
      <c r="Z780" s="572"/>
      <c r="AA780" s="572"/>
      <c r="AB780" s="572"/>
      <c r="AC780" s="572"/>
      <c r="AD780" s="572"/>
      <c r="AE780" s="572"/>
      <c r="AF780" s="572"/>
      <c r="AG780" s="572"/>
      <c r="AH780" s="572"/>
      <c r="AI780" s="572"/>
      <c r="AJ780" s="572"/>
      <c r="AK780" s="572"/>
      <c r="AL780" s="572"/>
      <c r="AM780" s="572"/>
      <c r="AN780" s="572"/>
      <c r="AO780" s="572"/>
      <c r="AP780" s="572"/>
      <c r="AQ780" s="572"/>
      <c r="AR780" s="572"/>
      <c r="AS780" s="572"/>
      <c r="AT780" s="572"/>
      <c r="AU780" s="572"/>
    </row>
    <row r="781" spans="1:47" ht="15.75" customHeight="1">
      <c r="A781" s="335">
        <v>44578</v>
      </c>
      <c r="B781" s="585" t="s">
        <v>6409</v>
      </c>
      <c r="C781" s="405" t="s">
        <v>2921</v>
      </c>
      <c r="D781" s="563" t="s">
        <v>6341</v>
      </c>
      <c r="E781" s="586">
        <v>10000</v>
      </c>
      <c r="F781" s="563" t="s">
        <v>3257</v>
      </c>
      <c r="G781" s="573" t="s">
        <v>19</v>
      </c>
      <c r="H781" s="573" t="s">
        <v>34</v>
      </c>
      <c r="I781" s="573" t="s">
        <v>35</v>
      </c>
      <c r="J781" s="573">
        <v>44295</v>
      </c>
      <c r="K781" s="573" t="s">
        <v>3802</v>
      </c>
      <c r="L781" s="572"/>
      <c r="M781" s="572"/>
      <c r="N781" s="572"/>
      <c r="O781" s="572"/>
      <c r="P781" s="572"/>
      <c r="Q781" s="572"/>
      <c r="R781" s="572"/>
      <c r="S781" s="572"/>
      <c r="T781" s="572"/>
      <c r="U781" s="572"/>
      <c r="V781" s="572"/>
      <c r="W781" s="572"/>
      <c r="X781" s="572"/>
      <c r="Y781" s="572"/>
      <c r="Z781" s="572"/>
      <c r="AA781" s="572"/>
      <c r="AB781" s="572"/>
      <c r="AC781" s="572"/>
      <c r="AD781" s="572"/>
      <c r="AE781" s="572"/>
      <c r="AF781" s="572"/>
      <c r="AG781" s="572"/>
      <c r="AH781" s="572"/>
      <c r="AI781" s="572"/>
      <c r="AJ781" s="572"/>
      <c r="AK781" s="572"/>
      <c r="AL781" s="572"/>
      <c r="AM781" s="572"/>
      <c r="AN781" s="572"/>
      <c r="AO781" s="572"/>
      <c r="AP781" s="572"/>
      <c r="AQ781" s="572"/>
      <c r="AR781" s="572"/>
      <c r="AS781" s="572"/>
      <c r="AT781" s="572"/>
      <c r="AU781" s="572"/>
    </row>
    <row r="782" spans="1:47" ht="15.75" customHeight="1">
      <c r="A782" s="335">
        <v>44578</v>
      </c>
      <c r="B782" s="585" t="s">
        <v>6653</v>
      </c>
      <c r="C782" s="405" t="s">
        <v>2921</v>
      </c>
      <c r="D782" s="563" t="s">
        <v>6341</v>
      </c>
      <c r="E782" s="586">
        <v>15000</v>
      </c>
      <c r="F782" s="563" t="s">
        <v>3268</v>
      </c>
      <c r="G782" s="573" t="s">
        <v>19</v>
      </c>
      <c r="H782" s="573" t="s">
        <v>34</v>
      </c>
      <c r="I782" s="573" t="s">
        <v>262</v>
      </c>
      <c r="J782" s="573">
        <v>44333</v>
      </c>
      <c r="K782" s="573" t="s">
        <v>3805</v>
      </c>
      <c r="L782" s="572"/>
      <c r="M782" s="572"/>
      <c r="N782" s="572"/>
      <c r="O782" s="572"/>
      <c r="P782" s="572"/>
      <c r="Q782" s="572"/>
      <c r="R782" s="572"/>
      <c r="S782" s="572"/>
      <c r="T782" s="572"/>
      <c r="U782" s="572"/>
      <c r="V782" s="572"/>
      <c r="W782" s="572"/>
      <c r="X782" s="572"/>
      <c r="Y782" s="572"/>
      <c r="Z782" s="572"/>
      <c r="AA782" s="572"/>
      <c r="AB782" s="572"/>
      <c r="AC782" s="572"/>
      <c r="AD782" s="572"/>
      <c r="AE782" s="572"/>
      <c r="AF782" s="572"/>
      <c r="AG782" s="572"/>
      <c r="AH782" s="572"/>
      <c r="AI782" s="572"/>
      <c r="AJ782" s="572"/>
      <c r="AK782" s="572"/>
      <c r="AL782" s="572"/>
      <c r="AM782" s="572"/>
      <c r="AN782" s="572"/>
      <c r="AO782" s="572"/>
      <c r="AP782" s="572"/>
      <c r="AQ782" s="572"/>
      <c r="AR782" s="572"/>
      <c r="AS782" s="572"/>
      <c r="AT782" s="572"/>
      <c r="AU782" s="572"/>
    </row>
    <row r="783" spans="1:47" ht="15.75" customHeight="1">
      <c r="A783" s="335">
        <v>44578</v>
      </c>
      <c r="B783" s="609" t="s">
        <v>6654</v>
      </c>
      <c r="C783" s="405" t="s">
        <v>3785</v>
      </c>
      <c r="D783" s="563" t="s">
        <v>3110</v>
      </c>
      <c r="E783" s="586">
        <v>109449.2</v>
      </c>
      <c r="F783" s="563" t="s">
        <v>3889</v>
      </c>
      <c r="G783" s="563" t="s">
        <v>64</v>
      </c>
      <c r="H783" s="563" t="s">
        <v>20</v>
      </c>
      <c r="I783" s="563" t="s">
        <v>3890</v>
      </c>
      <c r="J783" s="573">
        <v>44202</v>
      </c>
      <c r="K783" s="563" t="s">
        <v>3789</v>
      </c>
      <c r="L783" s="572"/>
      <c r="M783" s="572"/>
      <c r="N783" s="572"/>
      <c r="O783" s="572"/>
      <c r="P783" s="572"/>
      <c r="Q783" s="572"/>
      <c r="R783" s="572"/>
      <c r="S783" s="572"/>
      <c r="T783" s="572"/>
      <c r="U783" s="572"/>
      <c r="V783" s="572"/>
      <c r="W783" s="572"/>
      <c r="X783" s="572"/>
      <c r="Y783" s="572"/>
      <c r="Z783" s="572"/>
      <c r="AA783" s="572"/>
      <c r="AB783" s="572"/>
      <c r="AC783" s="572"/>
      <c r="AD783" s="572"/>
      <c r="AE783" s="572"/>
      <c r="AF783" s="572"/>
      <c r="AG783" s="572"/>
      <c r="AH783" s="572"/>
      <c r="AI783" s="572"/>
      <c r="AJ783" s="572"/>
      <c r="AK783" s="572"/>
      <c r="AL783" s="572"/>
      <c r="AM783" s="572"/>
      <c r="AN783" s="572"/>
      <c r="AO783" s="572"/>
      <c r="AP783" s="572"/>
      <c r="AQ783" s="572"/>
      <c r="AR783" s="572"/>
      <c r="AS783" s="572"/>
      <c r="AT783" s="572"/>
      <c r="AU783" s="572"/>
    </row>
    <row r="784" spans="1:47" ht="15.75" customHeight="1">
      <c r="A784" s="335">
        <v>44579</v>
      </c>
      <c r="B784" s="607" t="s">
        <v>6559</v>
      </c>
      <c r="C784" s="405" t="s">
        <v>3785</v>
      </c>
      <c r="D784" s="563" t="s">
        <v>928</v>
      </c>
      <c r="E784" s="586">
        <v>139991.04000000001</v>
      </c>
      <c r="F784" s="563" t="s">
        <v>6655</v>
      </c>
      <c r="G784" s="563" t="s">
        <v>19</v>
      </c>
      <c r="H784" s="563" t="s">
        <v>49</v>
      </c>
      <c r="I784" s="563" t="s">
        <v>328</v>
      </c>
      <c r="J784" s="573">
        <v>44204</v>
      </c>
      <c r="K784" s="563" t="s">
        <v>4010</v>
      </c>
      <c r="L784" s="572"/>
      <c r="M784" s="572"/>
      <c r="N784" s="572"/>
      <c r="O784" s="572"/>
      <c r="P784" s="572"/>
      <c r="Q784" s="572"/>
      <c r="R784" s="572"/>
      <c r="S784" s="572"/>
      <c r="T784" s="572"/>
      <c r="U784" s="572"/>
      <c r="V784" s="572"/>
      <c r="W784" s="572"/>
      <c r="X784" s="572"/>
      <c r="Y784" s="572"/>
      <c r="Z784" s="572"/>
      <c r="AA784" s="572"/>
      <c r="AB784" s="572"/>
      <c r="AC784" s="572"/>
      <c r="AD784" s="572"/>
      <c r="AE784" s="572"/>
      <c r="AF784" s="572"/>
      <c r="AG784" s="572"/>
      <c r="AH784" s="572"/>
      <c r="AI784" s="572"/>
      <c r="AJ784" s="572"/>
      <c r="AK784" s="572"/>
      <c r="AL784" s="572"/>
      <c r="AM784" s="572"/>
      <c r="AN784" s="572"/>
      <c r="AO784" s="572"/>
      <c r="AP784" s="572"/>
      <c r="AQ784" s="572"/>
      <c r="AR784" s="572"/>
      <c r="AS784" s="572"/>
      <c r="AT784" s="572"/>
      <c r="AU784" s="572"/>
    </row>
    <row r="785" spans="1:47" ht="15.75" customHeight="1">
      <c r="A785" s="335">
        <v>44579</v>
      </c>
      <c r="B785" s="598">
        <v>7048589</v>
      </c>
      <c r="C785" s="405" t="s">
        <v>3785</v>
      </c>
      <c r="D785" s="563" t="s">
        <v>928</v>
      </c>
      <c r="E785" s="586">
        <v>193747.43</v>
      </c>
      <c r="F785" s="563" t="s">
        <v>4913</v>
      </c>
      <c r="G785" s="573" t="s">
        <v>19</v>
      </c>
      <c r="H785" s="573" t="s">
        <v>49</v>
      </c>
      <c r="I785" s="573" t="s">
        <v>277</v>
      </c>
      <c r="J785" s="573">
        <v>44508</v>
      </c>
      <c r="K785" s="573" t="s">
        <v>3805</v>
      </c>
      <c r="L785" s="572"/>
      <c r="M785" s="572"/>
      <c r="N785" s="572"/>
      <c r="O785" s="572"/>
      <c r="P785" s="572"/>
      <c r="Q785" s="572"/>
      <c r="R785" s="572"/>
      <c r="S785" s="572"/>
      <c r="T785" s="572"/>
      <c r="U785" s="572"/>
      <c r="V785" s="572"/>
      <c r="W785" s="572"/>
      <c r="X785" s="572"/>
      <c r="Y785" s="572"/>
      <c r="Z785" s="572"/>
      <c r="AA785" s="572"/>
      <c r="AB785" s="572"/>
      <c r="AC785" s="572"/>
      <c r="AD785" s="572"/>
      <c r="AE785" s="572"/>
      <c r="AF785" s="572"/>
      <c r="AG785" s="572"/>
      <c r="AH785" s="572"/>
      <c r="AI785" s="572"/>
      <c r="AJ785" s="572"/>
      <c r="AK785" s="572"/>
      <c r="AL785" s="572"/>
      <c r="AM785" s="572"/>
      <c r="AN785" s="572"/>
      <c r="AO785" s="572"/>
      <c r="AP785" s="572"/>
      <c r="AQ785" s="572"/>
      <c r="AR785" s="572"/>
      <c r="AS785" s="572"/>
      <c r="AT785" s="572"/>
      <c r="AU785" s="572"/>
    </row>
    <row r="786" spans="1:47" ht="15.75" customHeight="1">
      <c r="A786" s="335">
        <v>44579</v>
      </c>
      <c r="B786" s="607" t="s">
        <v>6442</v>
      </c>
      <c r="C786" s="405" t="s">
        <v>3785</v>
      </c>
      <c r="D786" s="563" t="s">
        <v>6341</v>
      </c>
      <c r="E786" s="586">
        <v>12000</v>
      </c>
      <c r="F786" s="563" t="s">
        <v>5087</v>
      </c>
      <c r="G786" s="563" t="s">
        <v>64</v>
      </c>
      <c r="H786" s="563" t="s">
        <v>20</v>
      </c>
      <c r="I786" s="563" t="s">
        <v>4472</v>
      </c>
      <c r="J786" s="573">
        <v>44180</v>
      </c>
      <c r="K786" s="563" t="s">
        <v>3795</v>
      </c>
      <c r="L786" s="572"/>
      <c r="M786" s="572"/>
      <c r="N786" s="572"/>
      <c r="O786" s="572"/>
      <c r="P786" s="572"/>
      <c r="Q786" s="572"/>
      <c r="R786" s="572"/>
      <c r="S786" s="572"/>
      <c r="T786" s="572"/>
      <c r="U786" s="572"/>
      <c r="V786" s="572"/>
      <c r="W786" s="572"/>
      <c r="X786" s="572"/>
      <c r="Y786" s="572"/>
      <c r="Z786" s="572"/>
      <c r="AA786" s="572"/>
      <c r="AB786" s="572"/>
      <c r="AC786" s="572"/>
      <c r="AD786" s="572"/>
      <c r="AE786" s="572"/>
      <c r="AF786" s="572"/>
      <c r="AG786" s="572"/>
      <c r="AH786" s="572"/>
      <c r="AI786" s="572"/>
      <c r="AJ786" s="572"/>
      <c r="AK786" s="572"/>
      <c r="AL786" s="572"/>
      <c r="AM786" s="572"/>
      <c r="AN786" s="572"/>
      <c r="AO786" s="572"/>
      <c r="AP786" s="572"/>
      <c r="AQ786" s="572"/>
      <c r="AR786" s="572"/>
      <c r="AS786" s="572"/>
      <c r="AT786" s="572"/>
      <c r="AU786" s="572"/>
    </row>
    <row r="787" spans="1:47" ht="15.75" customHeight="1">
      <c r="A787" s="335">
        <v>44580</v>
      </c>
      <c r="B787" s="585" t="s">
        <v>6643</v>
      </c>
      <c r="C787" s="405" t="s">
        <v>2921</v>
      </c>
      <c r="D787" s="563" t="s">
        <v>3110</v>
      </c>
      <c r="E787" s="586">
        <v>0</v>
      </c>
      <c r="F787" s="563" t="s">
        <v>3151</v>
      </c>
      <c r="G787" s="573" t="s">
        <v>19</v>
      </c>
      <c r="H787" s="573" t="s">
        <v>34</v>
      </c>
      <c r="I787" s="573" t="s">
        <v>35</v>
      </c>
      <c r="J787" s="573">
        <v>44280</v>
      </c>
      <c r="K787" s="573" t="s">
        <v>3789</v>
      </c>
      <c r="L787" s="572"/>
      <c r="M787" s="572"/>
      <c r="N787" s="572"/>
      <c r="O787" s="572"/>
      <c r="P787" s="572"/>
      <c r="Q787" s="572"/>
      <c r="R787" s="572"/>
      <c r="S787" s="572"/>
      <c r="T787" s="572"/>
      <c r="U787" s="572"/>
      <c r="V787" s="572"/>
      <c r="W787" s="572"/>
      <c r="X787" s="572"/>
      <c r="Y787" s="572"/>
      <c r="Z787" s="572"/>
      <c r="AA787" s="572"/>
      <c r="AB787" s="572"/>
      <c r="AC787" s="572"/>
      <c r="AD787" s="572"/>
      <c r="AE787" s="572"/>
      <c r="AF787" s="572"/>
      <c r="AG787" s="572"/>
      <c r="AH787" s="572"/>
      <c r="AI787" s="572"/>
      <c r="AJ787" s="572"/>
      <c r="AK787" s="572"/>
      <c r="AL787" s="572"/>
      <c r="AM787" s="572"/>
      <c r="AN787" s="572"/>
      <c r="AO787" s="572"/>
      <c r="AP787" s="572"/>
      <c r="AQ787" s="572"/>
      <c r="AR787" s="572"/>
      <c r="AS787" s="572"/>
      <c r="AT787" s="572"/>
      <c r="AU787" s="572"/>
    </row>
    <row r="788" spans="1:47" ht="15.75" customHeight="1">
      <c r="A788" s="335">
        <v>44580</v>
      </c>
      <c r="B788" s="585" t="s">
        <v>6656</v>
      </c>
      <c r="C788" s="405" t="s">
        <v>2921</v>
      </c>
      <c r="D788" s="563" t="s">
        <v>6341</v>
      </c>
      <c r="E788" s="586">
        <v>25000</v>
      </c>
      <c r="F788" s="563" t="s">
        <v>3349</v>
      </c>
      <c r="G788" s="573" t="s">
        <v>2923</v>
      </c>
      <c r="H788" s="573" t="s">
        <v>20</v>
      </c>
      <c r="I788" s="573" t="s">
        <v>2924</v>
      </c>
      <c r="J788" s="573">
        <v>43811</v>
      </c>
      <c r="K788" s="573" t="s">
        <v>3805</v>
      </c>
      <c r="L788" s="572"/>
      <c r="M788" s="572"/>
      <c r="N788" s="572"/>
      <c r="O788" s="572"/>
      <c r="P788" s="572"/>
      <c r="Q788" s="572"/>
      <c r="R788" s="572"/>
      <c r="S788" s="572"/>
      <c r="T788" s="572"/>
      <c r="U788" s="572"/>
      <c r="V788" s="572"/>
      <c r="W788" s="572"/>
      <c r="X788" s="572"/>
      <c r="Y788" s="572"/>
      <c r="Z788" s="572"/>
      <c r="AA788" s="572"/>
      <c r="AB788" s="572"/>
      <c r="AC788" s="572"/>
      <c r="AD788" s="572"/>
      <c r="AE788" s="572"/>
      <c r="AF788" s="572"/>
      <c r="AG788" s="572"/>
      <c r="AH788" s="572"/>
      <c r="AI788" s="572"/>
      <c r="AJ788" s="572"/>
      <c r="AK788" s="572"/>
      <c r="AL788" s="572"/>
      <c r="AM788" s="572"/>
      <c r="AN788" s="572"/>
      <c r="AO788" s="572"/>
      <c r="AP788" s="572"/>
      <c r="AQ788" s="572"/>
      <c r="AR788" s="572"/>
      <c r="AS788" s="572"/>
      <c r="AT788" s="572"/>
      <c r="AU788" s="572"/>
    </row>
    <row r="789" spans="1:47" ht="15.75" customHeight="1">
      <c r="A789" s="335">
        <v>44581</v>
      </c>
      <c r="B789" s="585" t="s">
        <v>6657</v>
      </c>
      <c r="C789" s="405" t="s">
        <v>3785</v>
      </c>
      <c r="D789" s="563" t="s">
        <v>928</v>
      </c>
      <c r="E789" s="586">
        <v>13213.29</v>
      </c>
      <c r="F789" s="563" t="s">
        <v>4462</v>
      </c>
      <c r="G789" s="555" t="s">
        <v>19</v>
      </c>
      <c r="H789" s="616" t="s">
        <v>49</v>
      </c>
      <c r="I789" s="616" t="s">
        <v>328</v>
      </c>
      <c r="J789" s="617">
        <v>44405</v>
      </c>
      <c r="K789" s="556" t="s">
        <v>3795</v>
      </c>
      <c r="L789" s="572"/>
      <c r="M789" s="572"/>
      <c r="N789" s="572"/>
      <c r="O789" s="572"/>
      <c r="P789" s="572"/>
      <c r="Q789" s="572"/>
      <c r="R789" s="572"/>
      <c r="S789" s="572"/>
      <c r="T789" s="572"/>
      <c r="U789" s="572"/>
      <c r="V789" s="572"/>
      <c r="W789" s="572"/>
      <c r="X789" s="572"/>
      <c r="Y789" s="572"/>
      <c r="Z789" s="572"/>
      <c r="AA789" s="572"/>
      <c r="AB789" s="572"/>
      <c r="AC789" s="572"/>
      <c r="AD789" s="572"/>
      <c r="AE789" s="572"/>
      <c r="AF789" s="572"/>
      <c r="AG789" s="572"/>
      <c r="AH789" s="572"/>
      <c r="AI789" s="572"/>
      <c r="AJ789" s="572"/>
      <c r="AK789" s="572"/>
      <c r="AL789" s="572"/>
      <c r="AM789" s="572"/>
      <c r="AN789" s="572"/>
      <c r="AO789" s="572"/>
      <c r="AP789" s="572"/>
      <c r="AQ789" s="572"/>
      <c r="AR789" s="572"/>
      <c r="AS789" s="572"/>
      <c r="AT789" s="572"/>
      <c r="AU789" s="572"/>
    </row>
    <row r="790" spans="1:47" ht="15.75" customHeight="1">
      <c r="A790" s="335">
        <v>44581</v>
      </c>
      <c r="B790" s="585" t="s">
        <v>6417</v>
      </c>
      <c r="C790" s="405" t="s">
        <v>2921</v>
      </c>
      <c r="D790" s="563" t="s">
        <v>6341</v>
      </c>
      <c r="E790" s="587">
        <v>13800</v>
      </c>
      <c r="F790" s="563" t="s">
        <v>3533</v>
      </c>
      <c r="G790" s="573" t="s">
        <v>2923</v>
      </c>
      <c r="H790" s="573" t="s">
        <v>20</v>
      </c>
      <c r="I790" s="573" t="s">
        <v>2930</v>
      </c>
      <c r="J790" s="573">
        <v>43822</v>
      </c>
      <c r="K790" s="573" t="s">
        <v>3805</v>
      </c>
      <c r="L790" s="572"/>
      <c r="M790" s="572"/>
      <c r="N790" s="572"/>
      <c r="O790" s="572"/>
      <c r="P790" s="572"/>
      <c r="Q790" s="572"/>
      <c r="R790" s="572"/>
      <c r="S790" s="572"/>
      <c r="T790" s="572"/>
      <c r="U790" s="572"/>
      <c r="V790" s="572"/>
      <c r="W790" s="572"/>
      <c r="X790" s="572"/>
      <c r="Y790" s="572"/>
      <c r="Z790" s="572"/>
      <c r="AA790" s="572"/>
      <c r="AB790" s="572"/>
      <c r="AC790" s="572"/>
      <c r="AD790" s="572"/>
      <c r="AE790" s="572"/>
      <c r="AF790" s="572"/>
      <c r="AG790" s="572"/>
      <c r="AH790" s="572"/>
      <c r="AI790" s="572"/>
      <c r="AJ790" s="572"/>
      <c r="AK790" s="572"/>
      <c r="AL790" s="572"/>
      <c r="AM790" s="572"/>
      <c r="AN790" s="572"/>
      <c r="AO790" s="572"/>
      <c r="AP790" s="572"/>
      <c r="AQ790" s="572"/>
      <c r="AR790" s="572"/>
      <c r="AS790" s="572"/>
      <c r="AT790" s="572"/>
      <c r="AU790" s="572"/>
    </row>
    <row r="791" spans="1:47" ht="15.75" customHeight="1">
      <c r="A791" s="335">
        <v>44581</v>
      </c>
      <c r="B791" s="585" t="s">
        <v>6362</v>
      </c>
      <c r="C791" s="405" t="s">
        <v>2921</v>
      </c>
      <c r="D791" s="563" t="s">
        <v>3110</v>
      </c>
      <c r="E791" s="587">
        <v>3800</v>
      </c>
      <c r="F791" s="563" t="s">
        <v>3509</v>
      </c>
      <c r="G791" s="573" t="s">
        <v>2923</v>
      </c>
      <c r="H791" s="573" t="s">
        <v>20</v>
      </c>
      <c r="I791" s="573" t="s">
        <v>2924</v>
      </c>
      <c r="J791" s="573">
        <v>43717</v>
      </c>
      <c r="K791" s="573" t="s">
        <v>4188</v>
      </c>
      <c r="L791" s="591"/>
      <c r="M791" s="591"/>
      <c r="N791" s="591"/>
      <c r="O791" s="572"/>
      <c r="P791" s="572"/>
      <c r="Q791" s="572"/>
      <c r="R791" s="572"/>
      <c r="S791" s="572"/>
      <c r="T791" s="572"/>
      <c r="U791" s="572"/>
      <c r="V791" s="572"/>
      <c r="W791" s="572"/>
      <c r="X791" s="572"/>
      <c r="Y791" s="572"/>
      <c r="Z791" s="572"/>
      <c r="AA791" s="572"/>
      <c r="AB791" s="572"/>
      <c r="AC791" s="572"/>
      <c r="AD791" s="572"/>
      <c r="AE791" s="572"/>
      <c r="AF791" s="572"/>
      <c r="AG791" s="572"/>
      <c r="AH791" s="572"/>
      <c r="AI791" s="572"/>
      <c r="AJ791" s="572"/>
      <c r="AK791" s="572"/>
      <c r="AL791" s="572"/>
      <c r="AM791" s="572"/>
      <c r="AN791" s="572"/>
      <c r="AO791" s="572"/>
      <c r="AP791" s="572"/>
      <c r="AQ791" s="572"/>
      <c r="AR791" s="572"/>
      <c r="AS791" s="572"/>
      <c r="AT791" s="572"/>
      <c r="AU791" s="572"/>
    </row>
    <row r="792" spans="1:47" ht="15.75" customHeight="1">
      <c r="A792" s="335">
        <v>44581</v>
      </c>
      <c r="B792" s="585" t="s">
        <v>6622</v>
      </c>
      <c r="C792" s="405" t="s">
        <v>2921</v>
      </c>
      <c r="D792" s="563" t="s">
        <v>928</v>
      </c>
      <c r="E792" s="586">
        <v>11926.38</v>
      </c>
      <c r="F792" s="563" t="s">
        <v>3019</v>
      </c>
      <c r="G792" s="573" t="s">
        <v>2923</v>
      </c>
      <c r="H792" s="573" t="s">
        <v>20</v>
      </c>
      <c r="I792" s="573" t="s">
        <v>2924</v>
      </c>
      <c r="J792" s="573">
        <v>43769</v>
      </c>
      <c r="K792" s="573" t="s">
        <v>3805</v>
      </c>
      <c r="L792" s="572"/>
      <c r="M792" s="572"/>
      <c r="N792" s="572"/>
      <c r="O792" s="572"/>
      <c r="P792" s="572"/>
      <c r="Q792" s="572"/>
      <c r="R792" s="572"/>
      <c r="S792" s="572"/>
      <c r="T792" s="572"/>
      <c r="U792" s="572"/>
      <c r="V792" s="572"/>
      <c r="W792" s="572"/>
      <c r="X792" s="572"/>
      <c r="Y792" s="572"/>
      <c r="Z792" s="572"/>
      <c r="AA792" s="572"/>
      <c r="AB792" s="572"/>
      <c r="AC792" s="572"/>
      <c r="AD792" s="572"/>
      <c r="AE792" s="572"/>
      <c r="AF792" s="572"/>
      <c r="AG792" s="572"/>
      <c r="AH792" s="572"/>
      <c r="AI792" s="572"/>
      <c r="AJ792" s="572"/>
      <c r="AK792" s="572"/>
      <c r="AL792" s="572"/>
      <c r="AM792" s="572"/>
      <c r="AN792" s="572"/>
      <c r="AO792" s="572"/>
      <c r="AP792" s="572"/>
      <c r="AQ792" s="572"/>
      <c r="AR792" s="572"/>
      <c r="AS792" s="572"/>
      <c r="AT792" s="572"/>
      <c r="AU792" s="572"/>
    </row>
    <row r="793" spans="1:47" ht="15.75" customHeight="1">
      <c r="A793" s="335">
        <v>44582</v>
      </c>
      <c r="B793" s="585" t="s">
        <v>6413</v>
      </c>
      <c r="C793" s="405" t="s">
        <v>2921</v>
      </c>
      <c r="D793" s="563" t="s">
        <v>928</v>
      </c>
      <c r="E793" s="586">
        <v>219739.11</v>
      </c>
      <c r="F793" s="563" t="s">
        <v>3286</v>
      </c>
      <c r="G793" s="573" t="s">
        <v>19</v>
      </c>
      <c r="H793" s="573" t="s">
        <v>34</v>
      </c>
      <c r="I793" s="573" t="s">
        <v>35</v>
      </c>
      <c r="J793" s="573">
        <v>44319</v>
      </c>
      <c r="K793" s="573" t="s">
        <v>3795</v>
      </c>
      <c r="L793" s="572"/>
      <c r="M793" s="572"/>
      <c r="N793" s="572"/>
      <c r="O793" s="572"/>
      <c r="P793" s="572"/>
      <c r="Q793" s="572"/>
      <c r="R793" s="572"/>
      <c r="S793" s="572"/>
      <c r="T793" s="572"/>
      <c r="U793" s="572"/>
      <c r="V793" s="572"/>
      <c r="W793" s="572"/>
      <c r="X793" s="572"/>
      <c r="Y793" s="572"/>
      <c r="Z793" s="572"/>
      <c r="AA793" s="572"/>
      <c r="AB793" s="572"/>
      <c r="AC793" s="572"/>
      <c r="AD793" s="572"/>
      <c r="AE793" s="572"/>
      <c r="AF793" s="572"/>
      <c r="AG793" s="572"/>
      <c r="AH793" s="572"/>
      <c r="AI793" s="572"/>
      <c r="AJ793" s="572"/>
      <c r="AK793" s="572"/>
      <c r="AL793" s="572"/>
      <c r="AM793" s="572"/>
      <c r="AN793" s="572"/>
      <c r="AO793" s="572"/>
      <c r="AP793" s="572"/>
      <c r="AQ793" s="572"/>
      <c r="AR793" s="572"/>
      <c r="AS793" s="572"/>
      <c r="AT793" s="572"/>
      <c r="AU793" s="572"/>
    </row>
    <row r="794" spans="1:47" ht="15.75" customHeight="1">
      <c r="A794" s="335">
        <v>44582</v>
      </c>
      <c r="B794" s="578" t="s">
        <v>6349</v>
      </c>
      <c r="C794" s="405" t="s">
        <v>2921</v>
      </c>
      <c r="D794" s="563" t="s">
        <v>6341</v>
      </c>
      <c r="E794" s="586">
        <v>3000</v>
      </c>
      <c r="F794" s="563" t="s">
        <v>3228</v>
      </c>
      <c r="G794" s="573" t="s">
        <v>2923</v>
      </c>
      <c r="H794" s="573" t="s">
        <v>20</v>
      </c>
      <c r="I794" s="573" t="s">
        <v>2924</v>
      </c>
      <c r="J794" s="573">
        <v>43605</v>
      </c>
      <c r="K794" s="573" t="s">
        <v>3805</v>
      </c>
      <c r="L794" s="572"/>
      <c r="M794" s="572"/>
      <c r="N794" s="572"/>
      <c r="O794" s="572"/>
      <c r="P794" s="572"/>
      <c r="Q794" s="572"/>
      <c r="R794" s="572"/>
      <c r="S794" s="572"/>
      <c r="T794" s="572"/>
      <c r="U794" s="572"/>
      <c r="V794" s="572"/>
      <c r="W794" s="572"/>
      <c r="X794" s="572"/>
      <c r="Y794" s="572"/>
      <c r="Z794" s="572"/>
      <c r="AA794" s="572"/>
      <c r="AB794" s="572"/>
      <c r="AC794" s="572"/>
      <c r="AD794" s="572"/>
      <c r="AE794" s="572"/>
      <c r="AF794" s="572"/>
      <c r="AG794" s="572"/>
      <c r="AH794" s="572"/>
      <c r="AI794" s="572"/>
      <c r="AJ794" s="572"/>
      <c r="AK794" s="572"/>
      <c r="AL794" s="572"/>
      <c r="AM794" s="572"/>
      <c r="AN794" s="572"/>
      <c r="AO794" s="572"/>
      <c r="AP794" s="572"/>
      <c r="AQ794" s="572"/>
      <c r="AR794" s="572"/>
      <c r="AS794" s="572"/>
      <c r="AT794" s="572"/>
      <c r="AU794" s="572"/>
    </row>
    <row r="795" spans="1:47" ht="15.75" customHeight="1">
      <c r="A795" s="335">
        <v>44582</v>
      </c>
      <c r="B795" s="585" t="s">
        <v>6471</v>
      </c>
      <c r="C795" s="405" t="s">
        <v>2921</v>
      </c>
      <c r="D795" s="563" t="s">
        <v>6341</v>
      </c>
      <c r="E795" s="586">
        <v>30000</v>
      </c>
      <c r="F795" s="563" t="s">
        <v>3275</v>
      </c>
      <c r="G795" s="573" t="s">
        <v>19</v>
      </c>
      <c r="H795" s="573" t="s">
        <v>34</v>
      </c>
      <c r="I795" s="573" t="s">
        <v>262</v>
      </c>
      <c r="J795" s="573">
        <v>44280</v>
      </c>
      <c r="K795" s="573" t="s">
        <v>3795</v>
      </c>
      <c r="L795" s="572"/>
      <c r="M795" s="572"/>
      <c r="N795" s="572"/>
      <c r="O795" s="572"/>
      <c r="P795" s="572"/>
      <c r="Q795" s="572"/>
      <c r="R795" s="572"/>
      <c r="S795" s="572"/>
      <c r="T795" s="572"/>
      <c r="U795" s="572"/>
      <c r="V795" s="572"/>
      <c r="W795" s="572"/>
      <c r="X795" s="572"/>
      <c r="Y795" s="572"/>
      <c r="Z795" s="572"/>
      <c r="AA795" s="572"/>
      <c r="AB795" s="572"/>
      <c r="AC795" s="572"/>
      <c r="AD795" s="572"/>
      <c r="AE795" s="572"/>
      <c r="AF795" s="572"/>
      <c r="AG795" s="572"/>
      <c r="AH795" s="572"/>
      <c r="AI795" s="572"/>
      <c r="AJ795" s="572"/>
      <c r="AK795" s="572"/>
      <c r="AL795" s="572"/>
      <c r="AM795" s="572"/>
      <c r="AN795" s="572"/>
      <c r="AO795" s="572"/>
      <c r="AP795" s="572"/>
      <c r="AQ795" s="572"/>
      <c r="AR795" s="572"/>
      <c r="AS795" s="572"/>
      <c r="AT795" s="572"/>
      <c r="AU795" s="572"/>
    </row>
    <row r="796" spans="1:47" ht="15.75" customHeight="1">
      <c r="A796" s="335">
        <v>44582</v>
      </c>
      <c r="B796" s="585" t="s">
        <v>6536</v>
      </c>
      <c r="C796" s="405" t="s">
        <v>2921</v>
      </c>
      <c r="D796" s="563" t="s">
        <v>6341</v>
      </c>
      <c r="E796" s="586">
        <v>10000</v>
      </c>
      <c r="F796" s="563" t="s">
        <v>3554</v>
      </c>
      <c r="G796" s="573" t="s">
        <v>19</v>
      </c>
      <c r="H796" s="573" t="s">
        <v>34</v>
      </c>
      <c r="I796" s="573" t="s">
        <v>2971</v>
      </c>
      <c r="J796" s="573">
        <v>44267</v>
      </c>
      <c r="K796" s="573" t="s">
        <v>3795</v>
      </c>
      <c r="L796" s="572"/>
      <c r="M796" s="572"/>
      <c r="N796" s="572"/>
      <c r="O796" s="572"/>
      <c r="P796" s="572"/>
      <c r="Q796" s="572"/>
      <c r="R796" s="572"/>
      <c r="S796" s="572"/>
      <c r="T796" s="572"/>
      <c r="U796" s="572"/>
      <c r="V796" s="572"/>
      <c r="W796" s="572"/>
      <c r="X796" s="572"/>
      <c r="Y796" s="572"/>
      <c r="Z796" s="572"/>
      <c r="AA796" s="572"/>
      <c r="AB796" s="572"/>
      <c r="AC796" s="572"/>
      <c r="AD796" s="572"/>
      <c r="AE796" s="572"/>
      <c r="AF796" s="572"/>
      <c r="AG796" s="572"/>
      <c r="AH796" s="572"/>
      <c r="AI796" s="572"/>
      <c r="AJ796" s="572"/>
      <c r="AK796" s="572"/>
      <c r="AL796" s="572"/>
      <c r="AM796" s="572"/>
      <c r="AN796" s="572"/>
      <c r="AO796" s="572"/>
      <c r="AP796" s="572"/>
      <c r="AQ796" s="572"/>
      <c r="AR796" s="572"/>
      <c r="AS796" s="572"/>
      <c r="AT796" s="572"/>
      <c r="AU796" s="572"/>
    </row>
    <row r="797" spans="1:47" ht="15.75" customHeight="1">
      <c r="A797" s="335">
        <v>44582</v>
      </c>
      <c r="B797" s="532">
        <v>7082227</v>
      </c>
      <c r="C797" s="405" t="s">
        <v>3785</v>
      </c>
      <c r="D797" s="563" t="s">
        <v>6341</v>
      </c>
      <c r="E797" s="586">
        <v>25000</v>
      </c>
      <c r="F797" s="563" t="s">
        <v>4397</v>
      </c>
      <c r="G797" s="573" t="s">
        <v>19</v>
      </c>
      <c r="H797" s="573" t="s">
        <v>49</v>
      </c>
      <c r="I797" s="573" t="s">
        <v>5018</v>
      </c>
      <c r="J797" s="573">
        <v>44511</v>
      </c>
      <c r="K797" s="573" t="s">
        <v>3795</v>
      </c>
      <c r="L797" s="572"/>
      <c r="M797" s="572"/>
      <c r="N797" s="572"/>
      <c r="O797" s="572"/>
      <c r="P797" s="572"/>
      <c r="Q797" s="572"/>
      <c r="R797" s="572"/>
      <c r="S797" s="572"/>
      <c r="T797" s="572"/>
      <c r="U797" s="572"/>
      <c r="V797" s="572"/>
      <c r="W797" s="572"/>
      <c r="X797" s="572"/>
      <c r="Y797" s="572"/>
      <c r="Z797" s="572"/>
      <c r="AA797" s="572"/>
      <c r="AB797" s="572"/>
      <c r="AC797" s="572"/>
      <c r="AD797" s="572"/>
      <c r="AE797" s="572"/>
      <c r="AF797" s="572"/>
      <c r="AG797" s="572"/>
      <c r="AH797" s="572"/>
      <c r="AI797" s="572"/>
      <c r="AJ797" s="572"/>
      <c r="AK797" s="572"/>
      <c r="AL797" s="572"/>
      <c r="AM797" s="572"/>
      <c r="AN797" s="572"/>
      <c r="AO797" s="572"/>
      <c r="AP797" s="572"/>
      <c r="AQ797" s="572"/>
      <c r="AR797" s="572"/>
      <c r="AS797" s="572"/>
      <c r="AT797" s="572"/>
      <c r="AU797" s="572"/>
    </row>
    <row r="798" spans="1:47" ht="15.75" customHeight="1">
      <c r="A798" s="335">
        <v>44582</v>
      </c>
      <c r="B798" s="611" t="s">
        <v>6619</v>
      </c>
      <c r="C798" s="405" t="s">
        <v>3785</v>
      </c>
      <c r="D798" s="563" t="s">
        <v>6341</v>
      </c>
      <c r="E798" s="586">
        <v>10000</v>
      </c>
      <c r="F798" s="563" t="s">
        <v>6658</v>
      </c>
      <c r="G798" s="563" t="s">
        <v>19</v>
      </c>
      <c r="H798" s="563" t="s">
        <v>20</v>
      </c>
      <c r="I798" s="563" t="s">
        <v>3072</v>
      </c>
      <c r="J798" s="573">
        <v>44399</v>
      </c>
      <c r="K798" s="563" t="s">
        <v>6659</v>
      </c>
      <c r="L798" s="572"/>
      <c r="M798" s="572"/>
      <c r="N798" s="572"/>
      <c r="O798" s="572"/>
      <c r="P798" s="572"/>
      <c r="Q798" s="572"/>
      <c r="R798" s="572"/>
      <c r="S798" s="572"/>
      <c r="T798" s="572"/>
      <c r="U798" s="572"/>
      <c r="V798" s="572"/>
      <c r="W798" s="572"/>
      <c r="X798" s="572"/>
      <c r="Y798" s="572"/>
      <c r="Z798" s="572"/>
      <c r="AA798" s="572"/>
      <c r="AB798" s="572"/>
      <c r="AC798" s="572"/>
      <c r="AD798" s="572"/>
      <c r="AE798" s="572"/>
      <c r="AF798" s="572"/>
      <c r="AG798" s="572"/>
      <c r="AH798" s="572"/>
      <c r="AI798" s="572"/>
      <c r="AJ798" s="572"/>
      <c r="AK798" s="572"/>
      <c r="AL798" s="572"/>
      <c r="AM798" s="572"/>
      <c r="AN798" s="572"/>
      <c r="AO798" s="572"/>
      <c r="AP798" s="572"/>
      <c r="AQ798" s="572"/>
      <c r="AR798" s="572"/>
      <c r="AS798" s="572"/>
      <c r="AT798" s="572"/>
      <c r="AU798" s="572"/>
    </row>
    <row r="799" spans="1:47" ht="15.75" customHeight="1">
      <c r="A799" s="573">
        <v>44586</v>
      </c>
      <c r="B799" s="574" t="s">
        <v>6660</v>
      </c>
      <c r="C799" s="563" t="s">
        <v>3785</v>
      </c>
      <c r="D799" s="563" t="s">
        <v>928</v>
      </c>
      <c r="E799" s="575">
        <v>142585.32</v>
      </c>
      <c r="F799" s="563" t="s">
        <v>4913</v>
      </c>
      <c r="G799" s="563" t="s">
        <v>19</v>
      </c>
      <c r="H799" s="563" t="s">
        <v>49</v>
      </c>
      <c r="I799" s="598" t="s">
        <v>277</v>
      </c>
      <c r="J799" s="620">
        <v>44508</v>
      </c>
      <c r="K799" s="563" t="s">
        <v>3805</v>
      </c>
      <c r="L799" s="621"/>
      <c r="M799" s="621"/>
      <c r="N799" s="621"/>
      <c r="O799" s="621"/>
      <c r="P799" s="621"/>
      <c r="Q799" s="621"/>
      <c r="R799" s="621"/>
      <c r="S799" s="621"/>
      <c r="T799" s="621"/>
      <c r="U799" s="621"/>
      <c r="V799" s="621"/>
      <c r="W799" s="621"/>
      <c r="X799" s="621"/>
      <c r="Y799" s="621"/>
      <c r="Z799" s="621"/>
      <c r="AA799" s="621"/>
      <c r="AB799" s="572"/>
      <c r="AC799" s="572"/>
      <c r="AD799" s="572"/>
      <c r="AE799" s="572"/>
      <c r="AF799" s="572"/>
      <c r="AG799" s="572"/>
      <c r="AH799" s="572"/>
      <c r="AI799" s="572"/>
      <c r="AJ799" s="572"/>
      <c r="AK799" s="572"/>
      <c r="AL799" s="572"/>
      <c r="AM799" s="572"/>
      <c r="AN799" s="572"/>
      <c r="AO799" s="572"/>
      <c r="AP799" s="572"/>
      <c r="AQ799" s="572"/>
      <c r="AR799" s="572"/>
      <c r="AS799" s="572"/>
      <c r="AT799" s="572"/>
      <c r="AU799" s="572"/>
    </row>
    <row r="800" spans="1:47" ht="15.75" customHeight="1">
      <c r="A800" s="573">
        <v>44592</v>
      </c>
      <c r="B800" s="574" t="s">
        <v>6661</v>
      </c>
      <c r="C800" s="563" t="s">
        <v>3785</v>
      </c>
      <c r="D800" s="563" t="s">
        <v>6341</v>
      </c>
      <c r="E800" s="575">
        <v>3500</v>
      </c>
      <c r="F800" s="563" t="s">
        <v>4025</v>
      </c>
      <c r="G800" s="563" t="s">
        <v>19</v>
      </c>
      <c r="H800" s="563" t="s">
        <v>49</v>
      </c>
      <c r="I800" s="598" t="s">
        <v>166</v>
      </c>
      <c r="J800" s="620">
        <v>44523</v>
      </c>
      <c r="K800" s="563" t="s">
        <v>3802</v>
      </c>
      <c r="L800" s="565"/>
      <c r="M800" s="565"/>
      <c r="N800" s="565"/>
      <c r="O800" s="565"/>
      <c r="P800" s="565"/>
      <c r="Q800" s="565"/>
      <c r="R800" s="565"/>
      <c r="S800" s="565"/>
      <c r="T800" s="565"/>
      <c r="U800" s="565"/>
      <c r="V800" s="565"/>
      <c r="W800" s="565"/>
      <c r="X800" s="565"/>
      <c r="Y800" s="565"/>
      <c r="Z800" s="565"/>
      <c r="AA800" s="565"/>
      <c r="AB800" s="572"/>
      <c r="AC800" s="572"/>
      <c r="AD800" s="572"/>
      <c r="AE800" s="572"/>
      <c r="AF800" s="572"/>
      <c r="AG800" s="572"/>
      <c r="AH800" s="572"/>
      <c r="AI800" s="572"/>
      <c r="AJ800" s="572"/>
      <c r="AK800" s="572"/>
      <c r="AL800" s="572"/>
      <c r="AM800" s="572"/>
      <c r="AN800" s="572"/>
      <c r="AO800" s="572"/>
      <c r="AP800" s="572"/>
      <c r="AQ800" s="572"/>
      <c r="AR800" s="572"/>
      <c r="AS800" s="572"/>
      <c r="AT800" s="572"/>
      <c r="AU800" s="572"/>
    </row>
    <row r="801" spans="1:47" ht="15.75" customHeight="1">
      <c r="A801" s="577">
        <v>44592</v>
      </c>
      <c r="B801" s="605" t="s">
        <v>6472</v>
      </c>
      <c r="C801" s="405" t="s">
        <v>2921</v>
      </c>
      <c r="D801" s="563" t="s">
        <v>3110</v>
      </c>
      <c r="E801" s="586" t="s">
        <v>6662</v>
      </c>
      <c r="F801" s="563" t="s">
        <v>2993</v>
      </c>
      <c r="G801" s="573" t="s">
        <v>19</v>
      </c>
      <c r="H801" s="573" t="s">
        <v>34</v>
      </c>
      <c r="I801" s="573" t="s">
        <v>262</v>
      </c>
      <c r="J801" s="573">
        <v>44295</v>
      </c>
      <c r="K801" s="573" t="s">
        <v>3789</v>
      </c>
      <c r="L801" s="565"/>
      <c r="M801" s="565"/>
      <c r="N801" s="565"/>
      <c r="O801" s="565"/>
      <c r="P801" s="565"/>
      <c r="Q801" s="565"/>
      <c r="R801" s="565"/>
      <c r="S801" s="565"/>
      <c r="T801" s="565"/>
      <c r="U801" s="565"/>
      <c r="V801" s="565"/>
      <c r="W801" s="565"/>
      <c r="X801" s="565"/>
      <c r="Y801" s="565"/>
      <c r="Z801" s="565"/>
      <c r="AA801" s="565"/>
      <c r="AB801" s="572"/>
      <c r="AC801" s="572"/>
      <c r="AD801" s="572"/>
      <c r="AE801" s="572"/>
      <c r="AF801" s="572"/>
      <c r="AG801" s="572"/>
      <c r="AH801" s="572"/>
      <c r="AI801" s="572"/>
      <c r="AJ801" s="572"/>
      <c r="AK801" s="572"/>
      <c r="AL801" s="572"/>
      <c r="AM801" s="572"/>
      <c r="AN801" s="572"/>
      <c r="AO801" s="572"/>
      <c r="AP801" s="572"/>
      <c r="AQ801" s="572"/>
      <c r="AR801" s="572"/>
      <c r="AS801" s="572"/>
      <c r="AT801" s="572"/>
      <c r="AU801" s="572"/>
    </row>
    <row r="802" spans="1:47" ht="15.75" customHeight="1">
      <c r="A802" s="573">
        <v>44593</v>
      </c>
      <c r="B802" s="574" t="s">
        <v>6442</v>
      </c>
      <c r="C802" s="563" t="s">
        <v>3785</v>
      </c>
      <c r="D802" s="563" t="s">
        <v>6341</v>
      </c>
      <c r="E802" s="575">
        <v>11000</v>
      </c>
      <c r="F802" s="563" t="s">
        <v>5087</v>
      </c>
      <c r="G802" s="563" t="s">
        <v>64</v>
      </c>
      <c r="H802" s="563" t="s">
        <v>20</v>
      </c>
      <c r="I802" s="598" t="s">
        <v>4472</v>
      </c>
      <c r="J802" s="620">
        <v>44180</v>
      </c>
      <c r="K802" s="563" t="s">
        <v>3795</v>
      </c>
      <c r="L802" s="565"/>
      <c r="M802" s="565"/>
      <c r="N802" s="565"/>
      <c r="O802" s="565"/>
      <c r="P802" s="565"/>
      <c r="Q802" s="565"/>
      <c r="R802" s="565"/>
      <c r="S802" s="565"/>
      <c r="T802" s="565"/>
      <c r="U802" s="565"/>
      <c r="V802" s="565"/>
      <c r="W802" s="565"/>
      <c r="X802" s="565"/>
      <c r="Y802" s="565"/>
      <c r="Z802" s="565"/>
      <c r="AA802" s="565"/>
      <c r="AB802" s="572"/>
      <c r="AC802" s="572"/>
      <c r="AD802" s="572"/>
      <c r="AE802" s="572"/>
      <c r="AF802" s="572"/>
      <c r="AG802" s="572"/>
      <c r="AH802" s="572"/>
      <c r="AI802" s="572"/>
      <c r="AJ802" s="572"/>
      <c r="AK802" s="572"/>
      <c r="AL802" s="572"/>
      <c r="AM802" s="572"/>
      <c r="AN802" s="572"/>
      <c r="AO802" s="572"/>
      <c r="AP802" s="572"/>
      <c r="AQ802" s="572"/>
      <c r="AR802" s="572"/>
      <c r="AS802" s="572"/>
      <c r="AT802" s="572"/>
      <c r="AU802" s="572"/>
    </row>
    <row r="803" spans="1:47" ht="15.75" customHeight="1">
      <c r="A803" s="573">
        <v>44601</v>
      </c>
      <c r="B803" s="598" t="s">
        <v>6663</v>
      </c>
      <c r="C803" s="563" t="s">
        <v>3785</v>
      </c>
      <c r="D803" s="563" t="s">
        <v>6341</v>
      </c>
      <c r="E803" s="575">
        <v>25000</v>
      </c>
      <c r="F803" s="563" t="s">
        <v>1743</v>
      </c>
      <c r="G803" s="555" t="s">
        <v>19</v>
      </c>
      <c r="H803" s="555" t="s">
        <v>20</v>
      </c>
      <c r="I803" s="555" t="s">
        <v>6664</v>
      </c>
      <c r="J803" s="596">
        <v>44594</v>
      </c>
      <c r="K803" s="563" t="s">
        <v>3802</v>
      </c>
      <c r="L803" s="572"/>
      <c r="M803" s="572"/>
      <c r="N803" s="572"/>
      <c r="O803" s="572"/>
      <c r="P803" s="572"/>
      <c r="Q803" s="572"/>
      <c r="R803" s="572"/>
      <c r="S803" s="572"/>
      <c r="T803" s="572"/>
      <c r="U803" s="572"/>
      <c r="V803" s="572"/>
      <c r="W803" s="572"/>
      <c r="X803" s="572"/>
      <c r="Y803" s="572"/>
      <c r="Z803" s="572"/>
      <c r="AA803" s="572"/>
      <c r="AB803" s="572"/>
      <c r="AC803" s="572"/>
      <c r="AD803" s="572"/>
      <c r="AE803" s="572"/>
      <c r="AF803" s="572"/>
      <c r="AG803" s="572"/>
      <c r="AH803" s="572"/>
      <c r="AI803" s="572"/>
      <c r="AJ803" s="572"/>
      <c r="AK803" s="572"/>
      <c r="AL803" s="572"/>
      <c r="AM803" s="572"/>
      <c r="AN803" s="572"/>
      <c r="AO803" s="572"/>
      <c r="AP803" s="572"/>
      <c r="AQ803" s="572"/>
      <c r="AR803" s="572"/>
      <c r="AS803" s="572"/>
      <c r="AT803" s="572"/>
      <c r="AU803" s="572"/>
    </row>
    <row r="804" spans="1:47" ht="15.75" customHeight="1">
      <c r="A804" s="573">
        <v>44606</v>
      </c>
      <c r="B804" s="574" t="s">
        <v>6665</v>
      </c>
      <c r="C804" s="563" t="s">
        <v>3785</v>
      </c>
      <c r="D804" s="563" t="s">
        <v>6341</v>
      </c>
      <c r="E804" s="575">
        <v>45000</v>
      </c>
      <c r="F804" s="563" t="s">
        <v>3787</v>
      </c>
      <c r="G804" s="563" t="s">
        <v>19</v>
      </c>
      <c r="H804" s="563" t="s">
        <v>20</v>
      </c>
      <c r="I804" s="598" t="s">
        <v>3641</v>
      </c>
      <c r="J804" s="620">
        <v>44482</v>
      </c>
      <c r="K804" s="563" t="s">
        <v>3789</v>
      </c>
      <c r="L804" s="572"/>
      <c r="M804" s="572"/>
      <c r="N804" s="572"/>
      <c r="O804" s="572"/>
      <c r="P804" s="572"/>
      <c r="Q804" s="572"/>
      <c r="R804" s="572"/>
      <c r="S804" s="572"/>
      <c r="T804" s="572"/>
      <c r="U804" s="572"/>
      <c r="V804" s="572"/>
      <c r="W804" s="572"/>
      <c r="X804" s="572"/>
      <c r="Y804" s="572"/>
      <c r="Z804" s="572"/>
      <c r="AA804" s="572"/>
      <c r="AB804" s="572"/>
      <c r="AC804" s="572"/>
      <c r="AD804" s="572"/>
      <c r="AE804" s="572"/>
      <c r="AF804" s="572"/>
      <c r="AG804" s="572"/>
      <c r="AH804" s="572"/>
      <c r="AI804" s="572"/>
      <c r="AJ804" s="572"/>
      <c r="AK804" s="572"/>
      <c r="AL804" s="572"/>
      <c r="AM804" s="572"/>
      <c r="AN804" s="572"/>
      <c r="AO804" s="572"/>
      <c r="AP804" s="572"/>
      <c r="AQ804" s="572"/>
      <c r="AR804" s="572"/>
      <c r="AS804" s="572"/>
      <c r="AT804" s="572"/>
      <c r="AU804" s="572"/>
    </row>
    <row r="805" spans="1:47" ht="15.75" customHeight="1">
      <c r="A805" s="573">
        <v>44609</v>
      </c>
      <c r="B805" s="574" t="s">
        <v>6442</v>
      </c>
      <c r="C805" s="563" t="s">
        <v>3785</v>
      </c>
      <c r="D805" s="563" t="s">
        <v>6341</v>
      </c>
      <c r="E805" s="575">
        <v>10000</v>
      </c>
      <c r="F805" s="563" t="s">
        <v>5087</v>
      </c>
      <c r="G805" s="563" t="s">
        <v>64</v>
      </c>
      <c r="H805" s="555" t="s">
        <v>20</v>
      </c>
      <c r="I805" s="598" t="s">
        <v>4472</v>
      </c>
      <c r="J805" s="620">
        <v>44180</v>
      </c>
      <c r="K805" s="563" t="s">
        <v>3795</v>
      </c>
      <c r="L805" s="572"/>
      <c r="M805" s="572"/>
      <c r="N805" s="572"/>
      <c r="O805" s="572"/>
      <c r="P805" s="572"/>
      <c r="Q805" s="572"/>
      <c r="R805" s="572"/>
      <c r="S805" s="572"/>
      <c r="T805" s="572"/>
      <c r="U805" s="572"/>
      <c r="V805" s="572"/>
      <c r="W805" s="572"/>
      <c r="X805" s="572"/>
      <c r="Y805" s="572"/>
      <c r="Z805" s="572"/>
      <c r="AA805" s="572"/>
      <c r="AB805" s="572"/>
      <c r="AC805" s="572"/>
      <c r="AD805" s="572"/>
      <c r="AE805" s="572"/>
      <c r="AF805" s="572"/>
      <c r="AG805" s="572"/>
      <c r="AH805" s="572"/>
      <c r="AI805" s="572"/>
      <c r="AJ805" s="572"/>
      <c r="AK805" s="572"/>
      <c r="AL805" s="572"/>
      <c r="AM805" s="572"/>
      <c r="AN805" s="572"/>
      <c r="AO805" s="572"/>
      <c r="AP805" s="572"/>
      <c r="AQ805" s="572"/>
      <c r="AR805" s="572"/>
      <c r="AS805" s="572"/>
      <c r="AT805" s="572"/>
      <c r="AU805" s="572"/>
    </row>
    <row r="806" spans="1:47" ht="15.75" customHeight="1">
      <c r="A806" s="573">
        <v>44622</v>
      </c>
      <c r="B806" s="532">
        <v>858723</v>
      </c>
      <c r="C806" s="532" t="s">
        <v>2921</v>
      </c>
      <c r="D806" s="563" t="s">
        <v>6341</v>
      </c>
      <c r="E806" s="587">
        <v>25000</v>
      </c>
      <c r="F806" s="532" t="s">
        <v>3502</v>
      </c>
      <c r="G806" s="555" t="s">
        <v>19</v>
      </c>
      <c r="H806" s="563" t="s">
        <v>34</v>
      </c>
      <c r="I806" s="563" t="s">
        <v>35</v>
      </c>
      <c r="J806" s="593">
        <v>44585</v>
      </c>
      <c r="K806" s="598" t="s">
        <v>3802</v>
      </c>
      <c r="L806" s="572"/>
      <c r="M806" s="572"/>
      <c r="N806" s="572"/>
      <c r="O806" s="572"/>
      <c r="P806" s="572"/>
      <c r="Q806" s="572"/>
      <c r="R806" s="572"/>
      <c r="S806" s="572"/>
      <c r="T806" s="572"/>
      <c r="U806" s="572"/>
      <c r="V806" s="572"/>
      <c r="W806" s="572"/>
      <c r="X806" s="572"/>
      <c r="Y806" s="572"/>
      <c r="Z806" s="572"/>
      <c r="AA806" s="572"/>
      <c r="AB806" s="572"/>
      <c r="AC806" s="572"/>
      <c r="AD806" s="572"/>
      <c r="AE806" s="572"/>
      <c r="AF806" s="572"/>
      <c r="AG806" s="572"/>
      <c r="AH806" s="572"/>
      <c r="AI806" s="572"/>
      <c r="AJ806" s="572"/>
      <c r="AK806" s="572"/>
      <c r="AL806" s="572"/>
      <c r="AM806" s="572"/>
      <c r="AN806" s="572"/>
      <c r="AO806" s="572"/>
      <c r="AP806" s="572"/>
      <c r="AQ806" s="572"/>
      <c r="AR806" s="572"/>
      <c r="AS806" s="572"/>
      <c r="AT806" s="572"/>
      <c r="AU806" s="572"/>
    </row>
    <row r="807" spans="1:47" ht="15.75" customHeight="1">
      <c r="A807" s="573">
        <v>44622</v>
      </c>
      <c r="B807" s="532">
        <v>328970</v>
      </c>
      <c r="C807" s="532" t="s">
        <v>2921</v>
      </c>
      <c r="D807" s="563" t="s">
        <v>6341</v>
      </c>
      <c r="E807" s="587">
        <v>106000</v>
      </c>
      <c r="F807" s="556" t="s">
        <v>3253</v>
      </c>
      <c r="G807" s="555" t="s">
        <v>19</v>
      </c>
      <c r="H807" s="563" t="s">
        <v>34</v>
      </c>
      <c r="I807" s="563" t="s">
        <v>262</v>
      </c>
      <c r="J807" s="593">
        <v>44277</v>
      </c>
      <c r="K807" s="598" t="s">
        <v>3789</v>
      </c>
      <c r="L807" s="572"/>
      <c r="M807" s="572"/>
      <c r="N807" s="572"/>
      <c r="O807" s="572"/>
      <c r="P807" s="572"/>
      <c r="Q807" s="572"/>
      <c r="R807" s="572"/>
      <c r="S807" s="572"/>
      <c r="T807" s="572"/>
      <c r="U807" s="572"/>
      <c r="V807" s="572"/>
      <c r="W807" s="572"/>
      <c r="X807" s="572"/>
      <c r="Y807" s="572"/>
      <c r="Z807" s="572"/>
      <c r="AA807" s="572"/>
      <c r="AB807" s="572"/>
      <c r="AC807" s="572"/>
      <c r="AD807" s="572"/>
      <c r="AE807" s="572"/>
      <c r="AF807" s="572"/>
      <c r="AG807" s="572"/>
      <c r="AH807" s="572"/>
      <c r="AI807" s="572"/>
      <c r="AJ807" s="572"/>
      <c r="AK807" s="572"/>
      <c r="AL807" s="572"/>
      <c r="AM807" s="572"/>
      <c r="AN807" s="572"/>
      <c r="AO807" s="572"/>
      <c r="AP807" s="572"/>
      <c r="AQ807" s="572"/>
      <c r="AR807" s="572"/>
      <c r="AS807" s="572"/>
      <c r="AT807" s="572"/>
      <c r="AU807" s="572"/>
    </row>
    <row r="808" spans="1:47" ht="15.75" customHeight="1">
      <c r="A808" s="573">
        <v>44622</v>
      </c>
      <c r="B808" s="574" t="s">
        <v>6666</v>
      </c>
      <c r="C808" s="532" t="s">
        <v>2921</v>
      </c>
      <c r="D808" s="563" t="s">
        <v>6341</v>
      </c>
      <c r="E808" s="587">
        <v>100000</v>
      </c>
      <c r="F808" s="563" t="s">
        <v>6667</v>
      </c>
      <c r="G808" s="555" t="s">
        <v>19</v>
      </c>
      <c r="H808" s="563" t="s">
        <v>34</v>
      </c>
      <c r="I808" s="563" t="s">
        <v>262</v>
      </c>
      <c r="J808" s="573">
        <v>44448</v>
      </c>
      <c r="K808" s="563" t="s">
        <v>3789</v>
      </c>
      <c r="L808" s="572"/>
      <c r="M808" s="572"/>
      <c r="N808" s="572"/>
      <c r="O808" s="572"/>
      <c r="P808" s="572"/>
      <c r="Q808" s="572"/>
      <c r="R808" s="572"/>
      <c r="S808" s="572"/>
      <c r="T808" s="572"/>
      <c r="U808" s="572"/>
      <c r="V808" s="572"/>
      <c r="W808" s="572"/>
      <c r="X808" s="572"/>
      <c r="Y808" s="572"/>
      <c r="Z808" s="572"/>
      <c r="AA808" s="572"/>
      <c r="AB808" s="572"/>
      <c r="AC808" s="572"/>
      <c r="AD808" s="572"/>
      <c r="AE808" s="572"/>
      <c r="AF808" s="572"/>
      <c r="AG808" s="572"/>
      <c r="AH808" s="572"/>
      <c r="AI808" s="572"/>
      <c r="AJ808" s="572"/>
      <c r="AK808" s="572"/>
      <c r="AL808" s="572"/>
      <c r="AM808" s="572"/>
      <c r="AN808" s="572"/>
      <c r="AO808" s="572"/>
      <c r="AP808" s="572"/>
      <c r="AQ808" s="572"/>
      <c r="AR808" s="572"/>
      <c r="AS808" s="572"/>
      <c r="AT808" s="572"/>
      <c r="AU808" s="572"/>
    </row>
    <row r="809" spans="1:47" ht="15.75" customHeight="1">
      <c r="A809" s="573">
        <v>44622</v>
      </c>
      <c r="B809" s="532">
        <v>330028</v>
      </c>
      <c r="C809" s="532" t="s">
        <v>2921</v>
      </c>
      <c r="D809" s="563" t="s">
        <v>6341</v>
      </c>
      <c r="E809" s="575">
        <v>500</v>
      </c>
      <c r="F809" s="563" t="s">
        <v>437</v>
      </c>
      <c r="G809" s="555" t="s">
        <v>19</v>
      </c>
      <c r="H809" s="563" t="s">
        <v>34</v>
      </c>
      <c r="I809" s="563" t="s">
        <v>35</v>
      </c>
      <c r="J809" s="573">
        <v>44263</v>
      </c>
      <c r="K809" s="563" t="s">
        <v>3795</v>
      </c>
      <c r="L809" s="572"/>
      <c r="M809" s="572"/>
      <c r="N809" s="572"/>
      <c r="O809" s="572"/>
      <c r="P809" s="572"/>
      <c r="Q809" s="572"/>
      <c r="R809" s="572"/>
      <c r="S809" s="572"/>
      <c r="T809" s="572"/>
      <c r="U809" s="572"/>
      <c r="V809" s="572"/>
      <c r="W809" s="572"/>
      <c r="X809" s="572"/>
      <c r="Y809" s="572"/>
      <c r="Z809" s="572"/>
      <c r="AA809" s="572"/>
      <c r="AB809" s="572"/>
      <c r="AC809" s="572"/>
      <c r="AD809" s="572"/>
      <c r="AE809" s="572"/>
      <c r="AF809" s="572"/>
      <c r="AG809" s="572"/>
      <c r="AH809" s="572"/>
      <c r="AI809" s="572"/>
      <c r="AJ809" s="572"/>
      <c r="AK809" s="572"/>
      <c r="AL809" s="572"/>
      <c r="AM809" s="572"/>
      <c r="AN809" s="572"/>
      <c r="AO809" s="572"/>
      <c r="AP809" s="572"/>
      <c r="AQ809" s="572"/>
      <c r="AR809" s="572"/>
      <c r="AS809" s="572"/>
      <c r="AT809" s="572"/>
      <c r="AU809" s="572"/>
    </row>
    <row r="810" spans="1:47" ht="15.75" customHeight="1">
      <c r="A810" s="573">
        <v>44627</v>
      </c>
      <c r="B810" s="611" t="s">
        <v>6421</v>
      </c>
      <c r="C810" s="563" t="s">
        <v>3785</v>
      </c>
      <c r="D810" s="563" t="s">
        <v>6341</v>
      </c>
      <c r="E810" s="587">
        <v>8000</v>
      </c>
      <c r="F810" s="563" t="s">
        <v>3857</v>
      </c>
      <c r="G810" s="563" t="s">
        <v>2923</v>
      </c>
      <c r="H810" s="563" t="s">
        <v>3147</v>
      </c>
      <c r="I810" s="563" t="s">
        <v>2923</v>
      </c>
      <c r="J810" s="573">
        <v>44180</v>
      </c>
      <c r="K810" s="563" t="s">
        <v>3795</v>
      </c>
      <c r="L810" s="572"/>
      <c r="M810" s="572"/>
      <c r="N810" s="572"/>
      <c r="O810" s="572"/>
      <c r="P810" s="572"/>
      <c r="Q810" s="572"/>
      <c r="R810" s="572"/>
      <c r="S810" s="572"/>
      <c r="T810" s="572"/>
      <c r="U810" s="572"/>
      <c r="V810" s="572"/>
      <c r="W810" s="572"/>
      <c r="X810" s="572"/>
      <c r="Y810" s="572"/>
      <c r="Z810" s="572"/>
      <c r="AA810" s="572"/>
      <c r="AB810" s="572"/>
      <c r="AC810" s="572"/>
      <c r="AD810" s="572"/>
      <c r="AE810" s="572"/>
      <c r="AF810" s="572"/>
      <c r="AG810" s="572"/>
      <c r="AH810" s="572"/>
      <c r="AI810" s="572"/>
      <c r="AJ810" s="572"/>
      <c r="AK810" s="572"/>
      <c r="AL810" s="572"/>
      <c r="AM810" s="572"/>
      <c r="AN810" s="572"/>
      <c r="AO810" s="572"/>
      <c r="AP810" s="572"/>
      <c r="AQ810" s="572"/>
      <c r="AR810" s="572"/>
      <c r="AS810" s="572"/>
      <c r="AT810" s="572"/>
      <c r="AU810" s="572"/>
    </row>
    <row r="811" spans="1:47" ht="15.75" customHeight="1">
      <c r="A811" s="573">
        <v>44627</v>
      </c>
      <c r="B811" s="532">
        <v>4345500</v>
      </c>
      <c r="C811" s="532" t="s">
        <v>2921</v>
      </c>
      <c r="D811" s="563" t="s">
        <v>6341</v>
      </c>
      <c r="E811" s="587">
        <v>7500</v>
      </c>
      <c r="F811" s="563" t="s">
        <v>3191</v>
      </c>
      <c r="G811" s="563" t="s">
        <v>2923</v>
      </c>
      <c r="H811" s="573"/>
      <c r="I811" s="563" t="s">
        <v>2923</v>
      </c>
      <c r="J811" s="573">
        <v>43703</v>
      </c>
      <c r="K811" s="563" t="s">
        <v>4188</v>
      </c>
      <c r="L811" s="572"/>
      <c r="M811" s="572"/>
      <c r="N811" s="572"/>
      <c r="O811" s="572"/>
      <c r="P811" s="572"/>
      <c r="Q811" s="572"/>
      <c r="R811" s="572"/>
      <c r="S811" s="572"/>
      <c r="T811" s="572"/>
      <c r="U811" s="572"/>
      <c r="V811" s="572"/>
      <c r="W811" s="572"/>
      <c r="X811" s="572"/>
      <c r="Y811" s="572"/>
      <c r="Z811" s="572"/>
      <c r="AA811" s="572"/>
      <c r="AB811" s="572"/>
      <c r="AC811" s="572"/>
      <c r="AD811" s="572"/>
      <c r="AE811" s="572"/>
      <c r="AF811" s="572"/>
      <c r="AG811" s="572"/>
      <c r="AH811" s="572"/>
      <c r="AI811" s="572"/>
      <c r="AJ811" s="572"/>
      <c r="AK811" s="572"/>
      <c r="AL811" s="572"/>
      <c r="AM811" s="572"/>
      <c r="AN811" s="572"/>
      <c r="AO811" s="572"/>
      <c r="AP811" s="572"/>
      <c r="AQ811" s="572"/>
      <c r="AR811" s="572"/>
      <c r="AS811" s="572"/>
      <c r="AT811" s="572"/>
      <c r="AU811" s="572"/>
    </row>
    <row r="812" spans="1:47" ht="15.75" customHeight="1">
      <c r="A812" s="597">
        <v>44628</v>
      </c>
      <c r="B812" s="585" t="s">
        <v>6412</v>
      </c>
      <c r="C812" s="532" t="s">
        <v>3785</v>
      </c>
      <c r="D812" s="598" t="s">
        <v>6341</v>
      </c>
      <c r="E812" s="599">
        <v>5000</v>
      </c>
      <c r="F812" s="598" t="s">
        <v>4373</v>
      </c>
      <c r="G812" s="598" t="s">
        <v>64</v>
      </c>
      <c r="H812" s="598" t="s">
        <v>20</v>
      </c>
      <c r="I812" s="598" t="s">
        <v>3862</v>
      </c>
      <c r="J812" s="597">
        <v>44263</v>
      </c>
      <c r="K812" s="532" t="s">
        <v>3795</v>
      </c>
      <c r="L812" s="572"/>
      <c r="M812" s="572"/>
      <c r="N812" s="572"/>
      <c r="O812" s="572"/>
      <c r="P812" s="572"/>
      <c r="Q812" s="572"/>
      <c r="R812" s="572"/>
      <c r="S812" s="572"/>
      <c r="T812" s="572"/>
      <c r="U812" s="572"/>
      <c r="V812" s="572"/>
      <c r="W812" s="572"/>
      <c r="X812" s="572"/>
      <c r="Y812" s="572"/>
      <c r="Z812" s="572"/>
      <c r="AA812" s="572"/>
      <c r="AB812" s="572"/>
      <c r="AC812" s="572"/>
      <c r="AD812" s="572"/>
      <c r="AE812" s="572"/>
      <c r="AF812" s="572"/>
      <c r="AG812" s="572"/>
      <c r="AH812" s="572"/>
      <c r="AI812" s="572"/>
      <c r="AJ812" s="572"/>
      <c r="AK812" s="572"/>
      <c r="AL812" s="572"/>
      <c r="AM812" s="572"/>
      <c r="AN812" s="572"/>
      <c r="AO812" s="572"/>
      <c r="AP812" s="572"/>
      <c r="AQ812" s="572"/>
      <c r="AR812" s="572"/>
      <c r="AS812" s="572"/>
      <c r="AT812" s="572"/>
      <c r="AU812" s="572"/>
    </row>
    <row r="813" spans="1:47" ht="15.75" customHeight="1">
      <c r="A813" s="573">
        <v>44630</v>
      </c>
      <c r="B813" s="574" t="s">
        <v>6485</v>
      </c>
      <c r="C813" s="532" t="s">
        <v>2921</v>
      </c>
      <c r="D813" s="563" t="s">
        <v>6341</v>
      </c>
      <c r="E813" s="587">
        <v>40000</v>
      </c>
      <c r="F813" s="563" t="s">
        <v>1323</v>
      </c>
      <c r="G813" s="563" t="s">
        <v>19</v>
      </c>
      <c r="H813" s="563" t="s">
        <v>34</v>
      </c>
      <c r="I813" s="563" t="s">
        <v>35</v>
      </c>
      <c r="J813" s="573">
        <v>44319</v>
      </c>
      <c r="K813" s="563" t="s">
        <v>3795</v>
      </c>
      <c r="L813" s="572"/>
      <c r="M813" s="572"/>
      <c r="N813" s="572"/>
      <c r="O813" s="572"/>
      <c r="P813" s="572"/>
      <c r="Q813" s="572"/>
      <c r="R813" s="572"/>
      <c r="S813" s="572"/>
      <c r="T813" s="572"/>
      <c r="U813" s="572"/>
      <c r="V813" s="572"/>
      <c r="W813" s="572"/>
      <c r="X813" s="572"/>
      <c r="Y813" s="572"/>
      <c r="Z813" s="572"/>
      <c r="AA813" s="572"/>
      <c r="AB813" s="572"/>
      <c r="AC813" s="572"/>
      <c r="AD813" s="572"/>
      <c r="AE813" s="572"/>
      <c r="AF813" s="572"/>
      <c r="AG813" s="572"/>
      <c r="AH813" s="572"/>
      <c r="AI813" s="572"/>
      <c r="AJ813" s="572"/>
      <c r="AK813" s="572"/>
      <c r="AL813" s="572"/>
      <c r="AM813" s="572"/>
      <c r="AN813" s="572"/>
      <c r="AO813" s="572"/>
      <c r="AP813" s="572"/>
      <c r="AQ813" s="572"/>
      <c r="AR813" s="572"/>
      <c r="AS813" s="572"/>
      <c r="AT813" s="572"/>
      <c r="AU813" s="572"/>
    </row>
    <row r="814" spans="1:47" ht="15.75" customHeight="1">
      <c r="A814" s="573">
        <v>44630</v>
      </c>
      <c r="B814" s="574" t="s">
        <v>6668</v>
      </c>
      <c r="C814" s="532" t="s">
        <v>2921</v>
      </c>
      <c r="D814" s="563" t="s">
        <v>6341</v>
      </c>
      <c r="E814" s="587">
        <v>25000</v>
      </c>
      <c r="F814" s="563" t="s">
        <v>3502</v>
      </c>
      <c r="G814" s="563" t="s">
        <v>19</v>
      </c>
      <c r="H814" s="563" t="s">
        <v>34</v>
      </c>
      <c r="I814" s="563" t="s">
        <v>35</v>
      </c>
      <c r="J814" s="573">
        <v>44585</v>
      </c>
      <c r="K814" s="563" t="s">
        <v>3802</v>
      </c>
      <c r="L814" s="572"/>
      <c r="M814" s="572"/>
      <c r="N814" s="572"/>
      <c r="O814" s="572"/>
      <c r="P814" s="572"/>
      <c r="Q814" s="572"/>
      <c r="R814" s="572"/>
      <c r="S814" s="572"/>
      <c r="T814" s="572"/>
      <c r="U814" s="572"/>
      <c r="V814" s="572"/>
      <c r="W814" s="572"/>
      <c r="X814" s="572"/>
      <c r="Y814" s="572"/>
      <c r="Z814" s="572"/>
      <c r="AA814" s="572"/>
      <c r="AB814" s="572"/>
      <c r="AC814" s="572"/>
      <c r="AD814" s="572"/>
      <c r="AE814" s="572"/>
      <c r="AF814" s="572"/>
      <c r="AG814" s="572"/>
      <c r="AH814" s="572"/>
      <c r="AI814" s="572"/>
      <c r="AJ814" s="572"/>
      <c r="AK814" s="572"/>
      <c r="AL814" s="572"/>
      <c r="AM814" s="572"/>
      <c r="AN814" s="572"/>
      <c r="AO814" s="572"/>
      <c r="AP814" s="572"/>
      <c r="AQ814" s="572"/>
      <c r="AR814" s="572"/>
      <c r="AS814" s="572"/>
      <c r="AT814" s="572"/>
      <c r="AU814" s="572"/>
    </row>
    <row r="815" spans="1:47" ht="15.75" customHeight="1">
      <c r="A815" s="573">
        <v>44630</v>
      </c>
      <c r="B815" s="574" t="s">
        <v>6669</v>
      </c>
      <c r="C815" s="532" t="s">
        <v>2921</v>
      </c>
      <c r="D815" s="563" t="s">
        <v>6341</v>
      </c>
      <c r="E815" s="575">
        <v>16000</v>
      </c>
      <c r="F815" s="563" t="s">
        <v>2412</v>
      </c>
      <c r="G815" s="563" t="s">
        <v>19</v>
      </c>
      <c r="H815" s="563" t="s">
        <v>34</v>
      </c>
      <c r="I815" s="555" t="s">
        <v>262</v>
      </c>
      <c r="J815" s="573">
        <v>44462</v>
      </c>
      <c r="K815" s="563" t="s">
        <v>3809</v>
      </c>
      <c r="L815" s="572"/>
      <c r="M815" s="572"/>
      <c r="N815" s="572"/>
      <c r="O815" s="572"/>
      <c r="P815" s="572"/>
      <c r="Q815" s="572"/>
      <c r="R815" s="572"/>
      <c r="S815" s="572"/>
      <c r="T815" s="572"/>
      <c r="U815" s="572"/>
      <c r="V815" s="572"/>
      <c r="W815" s="572"/>
      <c r="X815" s="572"/>
      <c r="Y815" s="572"/>
      <c r="Z815" s="572"/>
      <c r="AA815" s="572"/>
      <c r="AB815" s="572"/>
      <c r="AC815" s="572"/>
      <c r="AD815" s="572"/>
      <c r="AE815" s="572"/>
      <c r="AF815" s="572"/>
      <c r="AG815" s="572"/>
      <c r="AH815" s="572"/>
      <c r="AI815" s="572"/>
      <c r="AJ815" s="572"/>
      <c r="AK815" s="572"/>
      <c r="AL815" s="572"/>
      <c r="AM815" s="572"/>
      <c r="AN815" s="572"/>
      <c r="AO815" s="572"/>
      <c r="AP815" s="572"/>
      <c r="AQ815" s="572"/>
      <c r="AR815" s="572"/>
      <c r="AS815" s="572"/>
      <c r="AT815" s="572"/>
      <c r="AU815" s="572"/>
    </row>
    <row r="816" spans="1:47" ht="15.75" customHeight="1">
      <c r="A816" s="573">
        <v>44630</v>
      </c>
      <c r="B816" s="532">
        <v>391760</v>
      </c>
      <c r="C816" s="532" t="s">
        <v>2921</v>
      </c>
      <c r="D816" s="563" t="s">
        <v>3110</v>
      </c>
      <c r="E816" s="575">
        <v>31234</v>
      </c>
      <c r="F816" s="532" t="s">
        <v>3453</v>
      </c>
      <c r="G816" s="555" t="s">
        <v>2923</v>
      </c>
      <c r="H816" s="555" t="s">
        <v>20</v>
      </c>
      <c r="I816" s="563" t="s">
        <v>2930</v>
      </c>
      <c r="J816" s="573">
        <v>43865</v>
      </c>
      <c r="K816" s="563" t="s">
        <v>3795</v>
      </c>
      <c r="L816" s="572"/>
      <c r="M816" s="572"/>
      <c r="N816" s="572"/>
      <c r="O816" s="572"/>
      <c r="P816" s="572"/>
      <c r="Q816" s="572"/>
      <c r="R816" s="572"/>
      <c r="S816" s="572"/>
      <c r="T816" s="572"/>
      <c r="U816" s="572"/>
      <c r="V816" s="572"/>
      <c r="W816" s="572"/>
      <c r="X816" s="572"/>
      <c r="Y816" s="572"/>
      <c r="Z816" s="572"/>
      <c r="AA816" s="572"/>
      <c r="AB816" s="572"/>
      <c r="AC816" s="572"/>
      <c r="AD816" s="572"/>
      <c r="AE816" s="572"/>
      <c r="AF816" s="572"/>
      <c r="AG816" s="572"/>
      <c r="AH816" s="572"/>
      <c r="AI816" s="572"/>
      <c r="AJ816" s="572"/>
      <c r="AK816" s="572"/>
      <c r="AL816" s="572"/>
      <c r="AM816" s="572"/>
      <c r="AN816" s="572"/>
      <c r="AO816" s="572"/>
      <c r="AP816" s="572"/>
      <c r="AQ816" s="572"/>
      <c r="AR816" s="572"/>
      <c r="AS816" s="572"/>
      <c r="AT816" s="572"/>
      <c r="AU816" s="572"/>
    </row>
    <row r="817" spans="1:47" ht="15.75" customHeight="1">
      <c r="A817" s="573">
        <v>44630</v>
      </c>
      <c r="B817" s="574" t="s">
        <v>6670</v>
      </c>
      <c r="C817" s="532" t="s">
        <v>2921</v>
      </c>
      <c r="D817" s="563" t="s">
        <v>6341</v>
      </c>
      <c r="E817" s="575">
        <v>10000</v>
      </c>
      <c r="F817" s="563" t="s">
        <v>745</v>
      </c>
      <c r="G817" s="563" t="s">
        <v>19</v>
      </c>
      <c r="H817" s="563" t="s">
        <v>34</v>
      </c>
      <c r="I817" s="563" t="s">
        <v>35</v>
      </c>
      <c r="J817" s="573">
        <v>44607</v>
      </c>
      <c r="K817" s="563" t="s">
        <v>3802</v>
      </c>
      <c r="L817" s="572"/>
      <c r="M817" s="572"/>
      <c r="N817" s="572"/>
      <c r="O817" s="572"/>
      <c r="P817" s="572"/>
      <c r="Q817" s="572"/>
      <c r="R817" s="572"/>
      <c r="S817" s="572"/>
      <c r="T817" s="572"/>
      <c r="U817" s="572"/>
      <c r="V817" s="572"/>
      <c r="W817" s="572"/>
      <c r="X817" s="572"/>
      <c r="Y817" s="572"/>
      <c r="Z817" s="572"/>
      <c r="AA817" s="572"/>
      <c r="AB817" s="572"/>
      <c r="AC817" s="572"/>
      <c r="AD817" s="572"/>
      <c r="AE817" s="572"/>
      <c r="AF817" s="572"/>
      <c r="AG817" s="572"/>
      <c r="AH817" s="572"/>
      <c r="AI817" s="572"/>
      <c r="AJ817" s="572"/>
      <c r="AK817" s="572"/>
      <c r="AL817" s="572"/>
      <c r="AM817" s="572"/>
      <c r="AN817" s="572"/>
      <c r="AO817" s="572"/>
      <c r="AP817" s="572"/>
      <c r="AQ817" s="572"/>
      <c r="AR817" s="572"/>
      <c r="AS817" s="572"/>
      <c r="AT817" s="572"/>
      <c r="AU817" s="572"/>
    </row>
    <row r="818" spans="1:47" ht="15.75" customHeight="1">
      <c r="A818" s="573">
        <v>44630</v>
      </c>
      <c r="B818" s="574" t="s">
        <v>6656</v>
      </c>
      <c r="C818" s="532" t="s">
        <v>2921</v>
      </c>
      <c r="D818" s="563" t="s">
        <v>6341</v>
      </c>
      <c r="E818" s="575">
        <v>20000</v>
      </c>
      <c r="F818" s="563" t="s">
        <v>6671</v>
      </c>
      <c r="G818" s="563" t="s">
        <v>2923</v>
      </c>
      <c r="H818" s="563" t="s">
        <v>20</v>
      </c>
      <c r="I818" s="563" t="s">
        <v>2924</v>
      </c>
      <c r="J818" s="573">
        <v>43811</v>
      </c>
      <c r="K818" s="563" t="s">
        <v>3805</v>
      </c>
      <c r="L818" s="572"/>
      <c r="M818" s="572"/>
      <c r="N818" s="572"/>
      <c r="O818" s="572"/>
      <c r="P818" s="572"/>
      <c r="Q818" s="572"/>
      <c r="R818" s="572"/>
      <c r="S818" s="572"/>
      <c r="T818" s="572"/>
      <c r="U818" s="572"/>
      <c r="V818" s="572"/>
      <c r="W818" s="572"/>
      <c r="X818" s="572"/>
      <c r="Y818" s="572"/>
      <c r="Z818" s="572"/>
      <c r="AA818" s="572"/>
      <c r="AB818" s="572"/>
      <c r="AC818" s="572"/>
      <c r="AD818" s="572"/>
      <c r="AE818" s="572"/>
      <c r="AF818" s="572"/>
      <c r="AG818" s="572"/>
      <c r="AH818" s="572"/>
      <c r="AI818" s="572"/>
      <c r="AJ818" s="572"/>
      <c r="AK818" s="572"/>
      <c r="AL818" s="572"/>
      <c r="AM818" s="572"/>
      <c r="AN818" s="572"/>
      <c r="AO818" s="572"/>
      <c r="AP818" s="572"/>
      <c r="AQ818" s="572"/>
      <c r="AR818" s="572"/>
      <c r="AS818" s="572"/>
      <c r="AT818" s="572"/>
      <c r="AU818" s="572"/>
    </row>
    <row r="819" spans="1:47" ht="15.75" customHeight="1">
      <c r="A819" s="573">
        <v>44634</v>
      </c>
      <c r="B819" s="588" t="s">
        <v>6672</v>
      </c>
      <c r="C819" s="563" t="s">
        <v>3785</v>
      </c>
      <c r="D819" s="563" t="s">
        <v>6341</v>
      </c>
      <c r="E819" s="575">
        <v>73500</v>
      </c>
      <c r="F819" s="563" t="s">
        <v>3839</v>
      </c>
      <c r="G819" s="555" t="s">
        <v>19</v>
      </c>
      <c r="H819" s="563" t="s">
        <v>49</v>
      </c>
      <c r="I819" s="563" t="s">
        <v>50</v>
      </c>
      <c r="J819" s="573">
        <v>44609</v>
      </c>
      <c r="K819" s="598" t="s">
        <v>3805</v>
      </c>
      <c r="L819" s="572"/>
      <c r="M819" s="572"/>
      <c r="N819" s="572"/>
      <c r="O819" s="572"/>
      <c r="P819" s="572"/>
      <c r="Q819" s="572"/>
      <c r="R819" s="572"/>
      <c r="S819" s="572"/>
      <c r="T819" s="572"/>
      <c r="U819" s="572"/>
      <c r="V819" s="572"/>
      <c r="W819" s="572"/>
      <c r="X819" s="572"/>
      <c r="Y819" s="572"/>
      <c r="Z819" s="572"/>
      <c r="AA819" s="572"/>
      <c r="AB819" s="572"/>
      <c r="AC819" s="572"/>
      <c r="AD819" s="572"/>
      <c r="AE819" s="572"/>
      <c r="AF819" s="572"/>
      <c r="AG819" s="572"/>
      <c r="AH819" s="572"/>
      <c r="AI819" s="572"/>
      <c r="AJ819" s="572"/>
      <c r="AK819" s="572"/>
      <c r="AL819" s="572"/>
      <c r="AM819" s="572"/>
      <c r="AN819" s="572"/>
      <c r="AO819" s="572"/>
      <c r="AP819" s="572"/>
      <c r="AQ819" s="572"/>
      <c r="AR819" s="572"/>
      <c r="AS819" s="572"/>
      <c r="AT819" s="572"/>
      <c r="AU819" s="572"/>
    </row>
    <row r="820" spans="1:47" ht="15.75" customHeight="1">
      <c r="A820" s="573">
        <v>44634</v>
      </c>
      <c r="B820" s="574" t="s">
        <v>6673</v>
      </c>
      <c r="C820" s="532" t="s">
        <v>2921</v>
      </c>
      <c r="D820" s="563" t="s">
        <v>3110</v>
      </c>
      <c r="E820" s="575">
        <v>229216</v>
      </c>
      <c r="F820" s="563" t="s">
        <v>2957</v>
      </c>
      <c r="G820" s="563" t="s">
        <v>2923</v>
      </c>
      <c r="H820" s="563" t="s">
        <v>20</v>
      </c>
      <c r="I820" s="563" t="s">
        <v>2930</v>
      </c>
      <c r="J820" s="573">
        <v>44186</v>
      </c>
      <c r="K820" s="563" t="s">
        <v>3795</v>
      </c>
      <c r="L820" s="572"/>
      <c r="M820" s="572"/>
      <c r="N820" s="572"/>
      <c r="O820" s="572"/>
      <c r="P820" s="572"/>
      <c r="Q820" s="572"/>
      <c r="R820" s="572"/>
      <c r="S820" s="572"/>
      <c r="T820" s="572"/>
      <c r="U820" s="572"/>
      <c r="V820" s="572"/>
      <c r="W820" s="572"/>
      <c r="X820" s="572"/>
      <c r="Y820" s="572"/>
      <c r="Z820" s="572"/>
      <c r="AA820" s="572"/>
      <c r="AB820" s="572"/>
      <c r="AC820" s="572"/>
      <c r="AD820" s="572"/>
      <c r="AE820" s="572"/>
      <c r="AF820" s="572"/>
      <c r="AG820" s="572"/>
      <c r="AH820" s="572"/>
      <c r="AI820" s="572"/>
      <c r="AJ820" s="572"/>
      <c r="AK820" s="572"/>
      <c r="AL820" s="572"/>
      <c r="AM820" s="572"/>
      <c r="AN820" s="572"/>
      <c r="AO820" s="572"/>
      <c r="AP820" s="572"/>
      <c r="AQ820" s="572"/>
      <c r="AR820" s="572"/>
      <c r="AS820" s="572"/>
      <c r="AT820" s="572"/>
      <c r="AU820" s="572"/>
    </row>
    <row r="821" spans="1:47" ht="15.75" customHeight="1">
      <c r="A821" s="573">
        <v>44634</v>
      </c>
      <c r="B821" s="574" t="s">
        <v>6674</v>
      </c>
      <c r="C821" s="532" t="s">
        <v>2921</v>
      </c>
      <c r="D821" s="563" t="s">
        <v>928</v>
      </c>
      <c r="E821" s="575">
        <v>184170</v>
      </c>
      <c r="F821" s="563" t="s">
        <v>3408</v>
      </c>
      <c r="G821" s="563" t="s">
        <v>19</v>
      </c>
      <c r="H821" s="563" t="s">
        <v>34</v>
      </c>
      <c r="I821" s="563" t="s">
        <v>35</v>
      </c>
      <c r="J821" s="573">
        <v>44280</v>
      </c>
      <c r="K821" s="563" t="s">
        <v>3789</v>
      </c>
      <c r="L821" s="572"/>
      <c r="M821" s="572"/>
      <c r="N821" s="572"/>
      <c r="O821" s="572"/>
      <c r="P821" s="572"/>
      <c r="Q821" s="572"/>
      <c r="R821" s="572"/>
      <c r="S821" s="572"/>
      <c r="T821" s="572"/>
      <c r="U821" s="572"/>
      <c r="V821" s="572"/>
      <c r="W821" s="572"/>
      <c r="X821" s="572"/>
      <c r="Y821" s="572"/>
      <c r="Z821" s="572"/>
      <c r="AA821" s="572"/>
      <c r="AB821" s="572"/>
      <c r="AC821" s="572"/>
      <c r="AD821" s="572"/>
      <c r="AE821" s="572"/>
      <c r="AF821" s="572"/>
      <c r="AG821" s="572"/>
      <c r="AH821" s="572"/>
      <c r="AI821" s="572"/>
      <c r="AJ821" s="572"/>
      <c r="AK821" s="572"/>
      <c r="AL821" s="572"/>
      <c r="AM821" s="572"/>
      <c r="AN821" s="572"/>
      <c r="AO821" s="572"/>
      <c r="AP821" s="572"/>
      <c r="AQ821" s="572"/>
      <c r="AR821" s="572"/>
      <c r="AS821" s="572"/>
      <c r="AT821" s="572"/>
      <c r="AU821" s="572"/>
    </row>
    <row r="822" spans="1:47" ht="15.75" customHeight="1">
      <c r="A822" s="573">
        <v>44634</v>
      </c>
      <c r="B822" s="622">
        <v>4663340</v>
      </c>
      <c r="C822" s="532" t="s">
        <v>2921</v>
      </c>
      <c r="D822" s="563" t="s">
        <v>928</v>
      </c>
      <c r="E822" s="575">
        <v>237755</v>
      </c>
      <c r="F822" s="623" t="s">
        <v>3406</v>
      </c>
      <c r="G822" s="563" t="s">
        <v>19</v>
      </c>
      <c r="H822" s="563" t="s">
        <v>34</v>
      </c>
      <c r="I822" s="563" t="s">
        <v>35</v>
      </c>
      <c r="J822" s="573">
        <v>44280</v>
      </c>
      <c r="K822" s="563" t="s">
        <v>3809</v>
      </c>
      <c r="L822" s="572"/>
      <c r="M822" s="572"/>
      <c r="N822" s="572"/>
      <c r="O822" s="572"/>
      <c r="P822" s="572"/>
      <c r="Q822" s="572"/>
      <c r="R822" s="572"/>
      <c r="S822" s="572"/>
      <c r="T822" s="572"/>
      <c r="U822" s="572"/>
      <c r="V822" s="572"/>
      <c r="W822" s="572"/>
      <c r="X822" s="572"/>
      <c r="Y822" s="572"/>
      <c r="Z822" s="572"/>
      <c r="AA822" s="572"/>
      <c r="AB822" s="572"/>
      <c r="AC822" s="572"/>
      <c r="AD822" s="572"/>
      <c r="AE822" s="572"/>
      <c r="AF822" s="572"/>
      <c r="AG822" s="572"/>
      <c r="AH822" s="572"/>
      <c r="AI822" s="572"/>
      <c r="AJ822" s="572"/>
      <c r="AK822" s="572"/>
      <c r="AL822" s="572"/>
      <c r="AM822" s="572"/>
      <c r="AN822" s="572"/>
      <c r="AO822" s="572"/>
      <c r="AP822" s="572"/>
      <c r="AQ822" s="572"/>
      <c r="AR822" s="572"/>
      <c r="AS822" s="572"/>
      <c r="AT822" s="572"/>
      <c r="AU822" s="572"/>
    </row>
    <row r="823" spans="1:47" ht="15.75" customHeight="1">
      <c r="A823" s="573">
        <v>44634</v>
      </c>
      <c r="B823" s="574" t="s">
        <v>6634</v>
      </c>
      <c r="C823" s="532" t="s">
        <v>2921</v>
      </c>
      <c r="D823" s="563" t="s">
        <v>6341</v>
      </c>
      <c r="E823" s="575">
        <v>63000</v>
      </c>
      <c r="F823" s="623" t="s">
        <v>3259</v>
      </c>
      <c r="G823" s="563" t="s">
        <v>19</v>
      </c>
      <c r="H823" s="563" t="s">
        <v>34</v>
      </c>
      <c r="I823" s="563" t="s">
        <v>35</v>
      </c>
      <c r="J823" s="573">
        <v>44263</v>
      </c>
      <c r="K823" s="563" t="s">
        <v>3795</v>
      </c>
      <c r="L823" s="572"/>
      <c r="M823" s="572"/>
      <c r="N823" s="572"/>
      <c r="O823" s="572"/>
      <c r="P823" s="572"/>
      <c r="Q823" s="572"/>
      <c r="R823" s="572"/>
      <c r="S823" s="572"/>
      <c r="T823" s="572"/>
      <c r="U823" s="572"/>
      <c r="V823" s="572"/>
      <c r="W823" s="572"/>
      <c r="X823" s="572"/>
      <c r="Y823" s="572"/>
      <c r="Z823" s="572"/>
      <c r="AA823" s="572"/>
      <c r="AB823" s="572"/>
      <c r="AC823" s="572"/>
      <c r="AD823" s="572"/>
      <c r="AE823" s="572"/>
      <c r="AF823" s="572"/>
      <c r="AG823" s="572"/>
      <c r="AH823" s="572"/>
      <c r="AI823" s="572"/>
      <c r="AJ823" s="572"/>
      <c r="AK823" s="572"/>
      <c r="AL823" s="572"/>
      <c r="AM823" s="572"/>
      <c r="AN823" s="572"/>
      <c r="AO823" s="572"/>
      <c r="AP823" s="572"/>
      <c r="AQ823" s="572"/>
      <c r="AR823" s="572"/>
      <c r="AS823" s="572"/>
      <c r="AT823" s="572"/>
      <c r="AU823" s="572"/>
    </row>
    <row r="824" spans="1:47" ht="15.75" customHeight="1">
      <c r="A824" s="573">
        <v>44634</v>
      </c>
      <c r="B824" s="574" t="s">
        <v>6473</v>
      </c>
      <c r="C824" s="532" t="s">
        <v>2921</v>
      </c>
      <c r="D824" s="563" t="s">
        <v>6341</v>
      </c>
      <c r="E824" s="575">
        <v>3000</v>
      </c>
      <c r="F824" s="563" t="s">
        <v>3332</v>
      </c>
      <c r="G824" s="563" t="s">
        <v>19</v>
      </c>
      <c r="H824" s="563" t="s">
        <v>34</v>
      </c>
      <c r="I824" s="563" t="s">
        <v>35</v>
      </c>
      <c r="J824" s="573">
        <v>44322</v>
      </c>
      <c r="K824" s="563" t="s">
        <v>3795</v>
      </c>
      <c r="L824" s="572"/>
      <c r="M824" s="572"/>
      <c r="N824" s="572"/>
      <c r="O824" s="572"/>
      <c r="P824" s="572"/>
      <c r="Q824" s="572"/>
      <c r="R824" s="572"/>
      <c r="S824" s="572"/>
      <c r="T824" s="572"/>
      <c r="U824" s="572"/>
      <c r="V824" s="572"/>
      <c r="W824" s="572"/>
      <c r="X824" s="572"/>
      <c r="Y824" s="572"/>
      <c r="Z824" s="572"/>
      <c r="AA824" s="572"/>
      <c r="AB824" s="572"/>
      <c r="AC824" s="572"/>
      <c r="AD824" s="572"/>
      <c r="AE824" s="572"/>
      <c r="AF824" s="572"/>
      <c r="AG824" s="572"/>
      <c r="AH824" s="572"/>
      <c r="AI824" s="572"/>
      <c r="AJ824" s="572"/>
      <c r="AK824" s="572"/>
      <c r="AL824" s="572"/>
      <c r="AM824" s="572"/>
      <c r="AN824" s="572"/>
      <c r="AO824" s="572"/>
      <c r="AP824" s="572"/>
      <c r="AQ824" s="572"/>
      <c r="AR824" s="572"/>
      <c r="AS824" s="572"/>
      <c r="AT824" s="572"/>
      <c r="AU824" s="572"/>
    </row>
    <row r="825" spans="1:47" ht="15.75" customHeight="1">
      <c r="A825" s="573">
        <v>44634</v>
      </c>
      <c r="B825" s="574" t="s">
        <v>6666</v>
      </c>
      <c r="C825" s="532" t="s">
        <v>2921</v>
      </c>
      <c r="D825" s="563" t="s">
        <v>928</v>
      </c>
      <c r="E825" s="575">
        <v>285598</v>
      </c>
      <c r="F825" s="532" t="s">
        <v>3360</v>
      </c>
      <c r="G825" s="563" t="s">
        <v>19</v>
      </c>
      <c r="H825" s="563" t="s">
        <v>34</v>
      </c>
      <c r="I825" s="563" t="s">
        <v>35</v>
      </c>
      <c r="J825" s="573">
        <v>44448</v>
      </c>
      <c r="K825" s="563" t="s">
        <v>3789</v>
      </c>
      <c r="L825" s="572"/>
      <c r="M825" s="572"/>
      <c r="N825" s="572"/>
      <c r="O825" s="572"/>
      <c r="P825" s="572"/>
      <c r="Q825" s="572"/>
      <c r="R825" s="572"/>
      <c r="S825" s="572"/>
      <c r="T825" s="572"/>
      <c r="U825" s="572"/>
      <c r="V825" s="572"/>
      <c r="W825" s="572"/>
      <c r="X825" s="572"/>
      <c r="Y825" s="572"/>
      <c r="Z825" s="572"/>
      <c r="AA825" s="572"/>
      <c r="AB825" s="572"/>
      <c r="AC825" s="572"/>
      <c r="AD825" s="572"/>
      <c r="AE825" s="572"/>
      <c r="AF825" s="572"/>
      <c r="AG825" s="572"/>
      <c r="AH825" s="572"/>
      <c r="AI825" s="572"/>
      <c r="AJ825" s="572"/>
      <c r="AK825" s="572"/>
      <c r="AL825" s="572"/>
      <c r="AM825" s="572"/>
      <c r="AN825" s="572"/>
      <c r="AO825" s="572"/>
      <c r="AP825" s="572"/>
      <c r="AQ825" s="572"/>
      <c r="AR825" s="572"/>
      <c r="AS825" s="572"/>
      <c r="AT825" s="572"/>
      <c r="AU825" s="572"/>
    </row>
    <row r="826" spans="1:47" ht="15.75" customHeight="1">
      <c r="A826" s="573">
        <v>44634</v>
      </c>
      <c r="B826" s="574" t="s">
        <v>6656</v>
      </c>
      <c r="C826" s="532" t="s">
        <v>2921</v>
      </c>
      <c r="D826" s="563" t="s">
        <v>6341</v>
      </c>
      <c r="E826" s="575">
        <v>15000</v>
      </c>
      <c r="F826" s="563" t="s">
        <v>6671</v>
      </c>
      <c r="G826" s="563" t="s">
        <v>2923</v>
      </c>
      <c r="H826" s="563" t="s">
        <v>20</v>
      </c>
      <c r="I826" s="563" t="s">
        <v>2924</v>
      </c>
      <c r="J826" s="573">
        <v>43811</v>
      </c>
      <c r="K826" s="563" t="s">
        <v>3805</v>
      </c>
      <c r="L826" s="572"/>
      <c r="M826" s="572"/>
      <c r="N826" s="572"/>
      <c r="O826" s="572"/>
      <c r="P826" s="572"/>
      <c r="Q826" s="572"/>
      <c r="R826" s="572"/>
      <c r="S826" s="572"/>
      <c r="T826" s="572"/>
      <c r="U826" s="572"/>
      <c r="V826" s="572"/>
      <c r="W826" s="572"/>
      <c r="X826" s="572"/>
      <c r="Y826" s="572"/>
      <c r="Z826" s="572"/>
      <c r="AA826" s="572"/>
      <c r="AB826" s="572"/>
      <c r="AC826" s="572"/>
      <c r="AD826" s="572"/>
      <c r="AE826" s="572"/>
      <c r="AF826" s="572"/>
      <c r="AG826" s="572"/>
      <c r="AH826" s="572"/>
      <c r="AI826" s="572"/>
      <c r="AJ826" s="572"/>
      <c r="AK826" s="572"/>
      <c r="AL826" s="572"/>
      <c r="AM826" s="572"/>
      <c r="AN826" s="572"/>
      <c r="AO826" s="572"/>
      <c r="AP826" s="572"/>
      <c r="AQ826" s="572"/>
      <c r="AR826" s="572"/>
      <c r="AS826" s="572"/>
      <c r="AT826" s="572"/>
      <c r="AU826" s="572"/>
    </row>
    <row r="827" spans="1:47" ht="15.75" customHeight="1">
      <c r="A827" s="577">
        <v>44634</v>
      </c>
      <c r="B827" s="605" t="s">
        <v>6675</v>
      </c>
      <c r="C827" s="405" t="s">
        <v>2921</v>
      </c>
      <c r="D827" s="563" t="s">
        <v>3110</v>
      </c>
      <c r="E827" s="586"/>
      <c r="F827" s="563" t="s">
        <v>3485</v>
      </c>
      <c r="G827" s="573" t="s">
        <v>19</v>
      </c>
      <c r="H827" s="573" t="s">
        <v>34</v>
      </c>
      <c r="I827" s="573" t="s">
        <v>2971</v>
      </c>
      <c r="J827" s="573">
        <v>44199</v>
      </c>
      <c r="K827" s="573" t="s">
        <v>3805</v>
      </c>
      <c r="L827" s="572"/>
      <c r="M827" s="572"/>
      <c r="N827" s="572"/>
      <c r="O827" s="572"/>
      <c r="P827" s="572"/>
      <c r="Q827" s="572"/>
      <c r="R827" s="572"/>
      <c r="S827" s="572"/>
      <c r="T827" s="572"/>
      <c r="U827" s="572"/>
      <c r="V827" s="572"/>
      <c r="W827" s="572"/>
      <c r="X827" s="572"/>
      <c r="Y827" s="572"/>
      <c r="Z827" s="572"/>
      <c r="AA827" s="572"/>
      <c r="AB827" s="572"/>
      <c r="AC827" s="572"/>
      <c r="AD827" s="572"/>
      <c r="AE827" s="572"/>
      <c r="AF827" s="572"/>
      <c r="AG827" s="572"/>
      <c r="AH827" s="572"/>
      <c r="AI827" s="572"/>
      <c r="AJ827" s="572"/>
      <c r="AK827" s="572"/>
      <c r="AL827" s="572"/>
      <c r="AM827" s="572"/>
      <c r="AN827" s="572"/>
      <c r="AO827" s="572"/>
      <c r="AP827" s="572"/>
      <c r="AQ827" s="572"/>
      <c r="AR827" s="572"/>
      <c r="AS827" s="572"/>
      <c r="AT827" s="572"/>
      <c r="AU827" s="572"/>
    </row>
    <row r="828" spans="1:47" ht="15.75" customHeight="1">
      <c r="A828" s="573">
        <v>44636</v>
      </c>
      <c r="B828" s="574" t="s">
        <v>6475</v>
      </c>
      <c r="C828" s="532" t="s">
        <v>2921</v>
      </c>
      <c r="D828" s="563" t="s">
        <v>6341</v>
      </c>
      <c r="E828" s="575">
        <v>10000</v>
      </c>
      <c r="F828" s="532" t="s">
        <v>3465</v>
      </c>
      <c r="G828" s="563" t="s">
        <v>19</v>
      </c>
      <c r="H828" s="563" t="s">
        <v>34</v>
      </c>
      <c r="I828" s="563" t="s">
        <v>35</v>
      </c>
      <c r="J828" s="573">
        <v>44319</v>
      </c>
      <c r="K828" s="563" t="s">
        <v>3795</v>
      </c>
      <c r="L828" s="572"/>
      <c r="M828" s="572"/>
      <c r="N828" s="572"/>
      <c r="O828" s="572"/>
      <c r="P828" s="572"/>
      <c r="Q828" s="572"/>
      <c r="R828" s="572"/>
      <c r="S828" s="572"/>
      <c r="T828" s="572"/>
      <c r="U828" s="572"/>
      <c r="V828" s="572"/>
      <c r="W828" s="572"/>
      <c r="X828" s="572"/>
      <c r="Y828" s="572"/>
      <c r="Z828" s="572"/>
      <c r="AA828" s="572"/>
      <c r="AB828" s="572"/>
      <c r="AC828" s="572"/>
      <c r="AD828" s="572"/>
      <c r="AE828" s="572"/>
      <c r="AF828" s="572"/>
      <c r="AG828" s="572"/>
      <c r="AH828" s="572"/>
      <c r="AI828" s="572"/>
      <c r="AJ828" s="572"/>
      <c r="AK828" s="572"/>
      <c r="AL828" s="572"/>
      <c r="AM828" s="572"/>
      <c r="AN828" s="572"/>
      <c r="AO828" s="572"/>
      <c r="AP828" s="572"/>
      <c r="AQ828" s="572"/>
      <c r="AR828" s="572"/>
      <c r="AS828" s="572"/>
      <c r="AT828" s="572"/>
      <c r="AU828" s="572"/>
    </row>
    <row r="829" spans="1:47" ht="15.75" customHeight="1">
      <c r="A829" s="573">
        <v>44636</v>
      </c>
      <c r="B829" s="574" t="s">
        <v>6656</v>
      </c>
      <c r="C829" s="532" t="s">
        <v>2921</v>
      </c>
      <c r="D829" s="563" t="s">
        <v>6341</v>
      </c>
      <c r="E829" s="575">
        <v>20000</v>
      </c>
      <c r="F829" s="563" t="s">
        <v>6671</v>
      </c>
      <c r="G829" s="563" t="s">
        <v>2923</v>
      </c>
      <c r="H829" s="563" t="s">
        <v>20</v>
      </c>
      <c r="I829" s="563" t="s">
        <v>2924</v>
      </c>
      <c r="J829" s="573">
        <v>43811</v>
      </c>
      <c r="K829" s="563" t="s">
        <v>3805</v>
      </c>
      <c r="L829" s="572"/>
      <c r="M829" s="572"/>
      <c r="N829" s="572"/>
      <c r="O829" s="572"/>
      <c r="P829" s="572"/>
      <c r="Q829" s="572"/>
      <c r="R829" s="572"/>
      <c r="S829" s="572"/>
      <c r="T829" s="572"/>
      <c r="U829" s="572"/>
      <c r="V829" s="572"/>
      <c r="W829" s="572"/>
      <c r="X829" s="572"/>
      <c r="Y829" s="572"/>
      <c r="Z829" s="572"/>
      <c r="AA829" s="572"/>
      <c r="AB829" s="572"/>
      <c r="AC829" s="572"/>
      <c r="AD829" s="572"/>
      <c r="AE829" s="572"/>
      <c r="AF829" s="572"/>
      <c r="AG829" s="572"/>
      <c r="AH829" s="572"/>
      <c r="AI829" s="572"/>
      <c r="AJ829" s="572"/>
      <c r="AK829" s="572"/>
      <c r="AL829" s="572"/>
      <c r="AM829" s="572"/>
      <c r="AN829" s="572"/>
      <c r="AO829" s="572"/>
      <c r="AP829" s="572"/>
      <c r="AQ829" s="572"/>
      <c r="AR829" s="572"/>
      <c r="AS829" s="572"/>
      <c r="AT829" s="572"/>
      <c r="AU829" s="572"/>
    </row>
    <row r="830" spans="1:47" ht="15.75" customHeight="1">
      <c r="A830" s="573">
        <v>44636</v>
      </c>
      <c r="B830" s="574" t="s">
        <v>6506</v>
      </c>
      <c r="C830" s="532" t="s">
        <v>2921</v>
      </c>
      <c r="D830" s="563" t="s">
        <v>6341</v>
      </c>
      <c r="E830" s="575">
        <v>1000000</v>
      </c>
      <c r="F830" s="563" t="s">
        <v>3358</v>
      </c>
      <c r="G830" s="563" t="s">
        <v>19</v>
      </c>
      <c r="H830" s="563" t="s">
        <v>34</v>
      </c>
      <c r="I830" s="563" t="s">
        <v>35</v>
      </c>
      <c r="J830" s="573">
        <v>44321</v>
      </c>
      <c r="K830" s="563" t="s">
        <v>3802</v>
      </c>
      <c r="L830" s="572"/>
      <c r="M830" s="572"/>
      <c r="N830" s="572"/>
      <c r="O830" s="572"/>
      <c r="P830" s="572"/>
      <c r="Q830" s="572"/>
      <c r="R830" s="572"/>
      <c r="S830" s="572"/>
      <c r="T830" s="572"/>
      <c r="U830" s="572"/>
      <c r="V830" s="572"/>
      <c r="W830" s="572"/>
      <c r="X830" s="572"/>
      <c r="Y830" s="572"/>
      <c r="Z830" s="572"/>
      <c r="AA830" s="572"/>
      <c r="AB830" s="572"/>
      <c r="AC830" s="572"/>
      <c r="AD830" s="572"/>
      <c r="AE830" s="572"/>
      <c r="AF830" s="572"/>
      <c r="AG830" s="572"/>
      <c r="AH830" s="572"/>
      <c r="AI830" s="572"/>
      <c r="AJ830" s="572"/>
      <c r="AK830" s="572"/>
      <c r="AL830" s="572"/>
      <c r="AM830" s="572"/>
      <c r="AN830" s="572"/>
      <c r="AO830" s="572"/>
      <c r="AP830" s="572"/>
      <c r="AQ830" s="572"/>
      <c r="AR830" s="572"/>
      <c r="AS830" s="572"/>
      <c r="AT830" s="572"/>
      <c r="AU830" s="572"/>
    </row>
    <row r="831" spans="1:47" ht="15.75" customHeight="1">
      <c r="A831" s="573">
        <v>44637</v>
      </c>
      <c r="B831" s="588" t="s">
        <v>6676</v>
      </c>
      <c r="C831" s="563" t="s">
        <v>3785</v>
      </c>
      <c r="D831" s="563" t="s">
        <v>6341</v>
      </c>
      <c r="E831" s="575">
        <v>7000</v>
      </c>
      <c r="F831" s="563" t="s">
        <v>4491</v>
      </c>
      <c r="G831" s="555" t="s">
        <v>19</v>
      </c>
      <c r="H831" s="563" t="s">
        <v>49</v>
      </c>
      <c r="I831" s="563" t="s">
        <v>50</v>
      </c>
      <c r="J831" s="573">
        <v>44615</v>
      </c>
      <c r="K831" s="598" t="s">
        <v>3795</v>
      </c>
      <c r="L831" s="572"/>
      <c r="M831" s="572"/>
      <c r="N831" s="572"/>
      <c r="O831" s="572"/>
      <c r="P831" s="572"/>
      <c r="Q831" s="572"/>
      <c r="R831" s="572"/>
      <c r="S831" s="572"/>
      <c r="T831" s="572"/>
      <c r="U831" s="572"/>
      <c r="V831" s="572"/>
      <c r="W831" s="572"/>
      <c r="X831" s="572"/>
      <c r="Y831" s="572"/>
      <c r="Z831" s="572"/>
      <c r="AA831" s="572"/>
      <c r="AB831" s="572"/>
      <c r="AC831" s="572"/>
      <c r="AD831" s="572"/>
      <c r="AE831" s="572"/>
      <c r="AF831" s="572"/>
      <c r="AG831" s="572"/>
      <c r="AH831" s="572"/>
      <c r="AI831" s="572"/>
      <c r="AJ831" s="572"/>
      <c r="AK831" s="572"/>
      <c r="AL831" s="572"/>
      <c r="AM831" s="572"/>
      <c r="AN831" s="572"/>
      <c r="AO831" s="572"/>
      <c r="AP831" s="572"/>
      <c r="AQ831" s="572"/>
      <c r="AR831" s="572"/>
      <c r="AS831" s="572"/>
      <c r="AT831" s="572"/>
      <c r="AU831" s="572"/>
    </row>
    <row r="832" spans="1:47" ht="15.75" customHeight="1">
      <c r="A832" s="573">
        <v>44641</v>
      </c>
      <c r="B832" s="585" t="s">
        <v>6677</v>
      </c>
      <c r="C832" s="563" t="s">
        <v>3785</v>
      </c>
      <c r="D832" s="563" t="s">
        <v>928</v>
      </c>
      <c r="E832" s="575">
        <v>100351.65</v>
      </c>
      <c r="F832" s="563" t="s">
        <v>4169</v>
      </c>
      <c r="G832" s="555" t="s">
        <v>19</v>
      </c>
      <c r="H832" s="555" t="s">
        <v>20</v>
      </c>
      <c r="I832" s="563" t="s">
        <v>6678</v>
      </c>
      <c r="J832" s="596">
        <v>44365</v>
      </c>
      <c r="K832" s="532" t="s">
        <v>3842</v>
      </c>
      <c r="L832" s="572"/>
      <c r="M832" s="572"/>
      <c r="N832" s="572"/>
      <c r="O832" s="572"/>
      <c r="P832" s="572"/>
      <c r="Q832" s="572"/>
      <c r="R832" s="572"/>
      <c r="S832" s="572"/>
      <c r="T832" s="572"/>
      <c r="U832" s="572"/>
      <c r="V832" s="572"/>
      <c r="W832" s="572"/>
      <c r="X832" s="572"/>
      <c r="Y832" s="572"/>
      <c r="Z832" s="572"/>
      <c r="AA832" s="572"/>
      <c r="AB832" s="572"/>
      <c r="AC832" s="572"/>
      <c r="AD832" s="572"/>
      <c r="AE832" s="572"/>
      <c r="AF832" s="572"/>
      <c r="AG832" s="572"/>
      <c r="AH832" s="572"/>
      <c r="AI832" s="572"/>
      <c r="AJ832" s="572"/>
      <c r="AK832" s="572"/>
      <c r="AL832" s="572"/>
      <c r="AM832" s="572"/>
      <c r="AN832" s="572"/>
      <c r="AO832" s="572"/>
      <c r="AP832" s="572"/>
      <c r="AQ832" s="572"/>
      <c r="AR832" s="572"/>
      <c r="AS832" s="572"/>
      <c r="AT832" s="572"/>
      <c r="AU832" s="572"/>
    </row>
    <row r="833" spans="1:47" ht="15.75" customHeight="1">
      <c r="A833" s="573">
        <v>44641</v>
      </c>
      <c r="B833" s="585" t="s">
        <v>6679</v>
      </c>
      <c r="C833" s="563" t="s">
        <v>3785</v>
      </c>
      <c r="D833" s="563" t="s">
        <v>928</v>
      </c>
      <c r="E833" s="575">
        <v>169950.33</v>
      </c>
      <c r="F833" s="532" t="s">
        <v>5148</v>
      </c>
      <c r="G833" s="555" t="s">
        <v>19</v>
      </c>
      <c r="H833" s="555" t="s">
        <v>2051</v>
      </c>
      <c r="I833" s="555" t="s">
        <v>6257</v>
      </c>
      <c r="J833" s="596">
        <v>44298</v>
      </c>
      <c r="K833" s="556" t="s">
        <v>3795</v>
      </c>
      <c r="L833" s="572"/>
      <c r="M833" s="572"/>
      <c r="N833" s="572"/>
      <c r="O833" s="572"/>
      <c r="P833" s="572"/>
      <c r="Q833" s="572"/>
      <c r="R833" s="572"/>
      <c r="S833" s="572"/>
      <c r="T833" s="572"/>
      <c r="U833" s="572"/>
      <c r="V833" s="572"/>
      <c r="W833" s="572"/>
      <c r="X833" s="572"/>
      <c r="Y833" s="572"/>
      <c r="Z833" s="572"/>
      <c r="AA833" s="572"/>
      <c r="AB833" s="572"/>
      <c r="AC833" s="572"/>
      <c r="AD833" s="572"/>
      <c r="AE833" s="572"/>
      <c r="AF833" s="572"/>
      <c r="AG833" s="572"/>
      <c r="AH833" s="572"/>
      <c r="AI833" s="572"/>
      <c r="AJ833" s="572"/>
      <c r="AK833" s="572"/>
      <c r="AL833" s="572"/>
      <c r="AM833" s="572"/>
      <c r="AN833" s="572"/>
      <c r="AO833" s="572"/>
      <c r="AP833" s="572"/>
      <c r="AQ833" s="572"/>
      <c r="AR833" s="572"/>
      <c r="AS833" s="572"/>
      <c r="AT833" s="572"/>
      <c r="AU833" s="572"/>
    </row>
    <row r="834" spans="1:47" ht="15.75" customHeight="1">
      <c r="A834" s="573">
        <v>44641</v>
      </c>
      <c r="B834" s="555">
        <v>226343</v>
      </c>
      <c r="C834" s="563" t="s">
        <v>3785</v>
      </c>
      <c r="D834" s="563" t="s">
        <v>928</v>
      </c>
      <c r="E834" s="575">
        <v>103307.43</v>
      </c>
      <c r="F834" s="563" t="s">
        <v>5387</v>
      </c>
      <c r="G834" s="555" t="s">
        <v>19</v>
      </c>
      <c r="H834" s="563" t="s">
        <v>49</v>
      </c>
      <c r="I834" s="555" t="s">
        <v>4134</v>
      </c>
      <c r="J834" s="573">
        <v>44469</v>
      </c>
      <c r="K834" s="532" t="s">
        <v>3789</v>
      </c>
      <c r="L834" s="572"/>
      <c r="M834" s="572"/>
      <c r="N834" s="572"/>
      <c r="O834" s="572"/>
      <c r="P834" s="572"/>
      <c r="Q834" s="572"/>
      <c r="R834" s="572"/>
      <c r="S834" s="572"/>
      <c r="T834" s="572"/>
      <c r="U834" s="572"/>
      <c r="V834" s="572"/>
      <c r="W834" s="572"/>
      <c r="X834" s="572"/>
      <c r="Y834" s="572"/>
      <c r="Z834" s="572"/>
      <c r="AA834" s="572"/>
      <c r="AB834" s="572"/>
      <c r="AC834" s="572"/>
      <c r="AD834" s="572"/>
      <c r="AE834" s="572"/>
      <c r="AF834" s="572"/>
      <c r="AG834" s="572"/>
      <c r="AH834" s="572"/>
      <c r="AI834" s="572"/>
      <c r="AJ834" s="572"/>
      <c r="AK834" s="572"/>
      <c r="AL834" s="572"/>
      <c r="AM834" s="572"/>
      <c r="AN834" s="572"/>
      <c r="AO834" s="572"/>
      <c r="AP834" s="572"/>
      <c r="AQ834" s="572"/>
      <c r="AR834" s="572"/>
      <c r="AS834" s="572"/>
      <c r="AT834" s="572"/>
      <c r="AU834" s="572"/>
    </row>
    <row r="835" spans="1:47" ht="15.75" customHeight="1">
      <c r="A835" s="573">
        <v>44641</v>
      </c>
      <c r="B835" s="598">
        <v>6986262</v>
      </c>
      <c r="C835" s="563" t="s">
        <v>3785</v>
      </c>
      <c r="D835" s="563" t="s">
        <v>6341</v>
      </c>
      <c r="E835" s="575">
        <v>25000</v>
      </c>
      <c r="F835" s="563" t="s">
        <v>4297</v>
      </c>
      <c r="G835" s="555" t="s">
        <v>19</v>
      </c>
      <c r="H835" s="563" t="s">
        <v>49</v>
      </c>
      <c r="I835" s="563" t="s">
        <v>4134</v>
      </c>
      <c r="J835" s="573">
        <v>44503</v>
      </c>
      <c r="K835" s="532" t="s">
        <v>3842</v>
      </c>
      <c r="L835" s="572"/>
      <c r="M835" s="572"/>
      <c r="N835" s="572"/>
      <c r="O835" s="572"/>
      <c r="P835" s="572"/>
      <c r="Q835" s="572"/>
      <c r="R835" s="572"/>
      <c r="S835" s="572"/>
      <c r="T835" s="572"/>
      <c r="U835" s="572"/>
      <c r="V835" s="572"/>
      <c r="W835" s="572"/>
      <c r="X835" s="572"/>
      <c r="Y835" s="572"/>
      <c r="Z835" s="572"/>
      <c r="AA835" s="572"/>
      <c r="AB835" s="572"/>
      <c r="AC835" s="572"/>
      <c r="AD835" s="572"/>
      <c r="AE835" s="572"/>
      <c r="AF835" s="572"/>
      <c r="AG835" s="572"/>
      <c r="AH835" s="572"/>
      <c r="AI835" s="572"/>
      <c r="AJ835" s="572"/>
      <c r="AK835" s="572"/>
      <c r="AL835" s="572"/>
      <c r="AM835" s="572"/>
      <c r="AN835" s="572"/>
      <c r="AO835" s="572"/>
      <c r="AP835" s="572"/>
      <c r="AQ835" s="572"/>
      <c r="AR835" s="572"/>
      <c r="AS835" s="572"/>
      <c r="AT835" s="572"/>
      <c r="AU835" s="572"/>
    </row>
    <row r="836" spans="1:47" ht="15.75" customHeight="1">
      <c r="A836" s="573">
        <v>44641</v>
      </c>
      <c r="B836" s="588" t="s">
        <v>6680</v>
      </c>
      <c r="C836" s="563" t="s">
        <v>3785</v>
      </c>
      <c r="D836" s="563" t="s">
        <v>928</v>
      </c>
      <c r="E836" s="575">
        <v>175092.43</v>
      </c>
      <c r="F836" s="563" t="s">
        <v>4336</v>
      </c>
      <c r="G836" s="555" t="s">
        <v>64</v>
      </c>
      <c r="H836" s="555" t="s">
        <v>20</v>
      </c>
      <c r="I836" s="555" t="s">
        <v>3634</v>
      </c>
      <c r="J836" s="573">
        <v>44075</v>
      </c>
      <c r="K836" s="598" t="s">
        <v>3795</v>
      </c>
      <c r="L836" s="572"/>
      <c r="M836" s="572"/>
      <c r="N836" s="572"/>
      <c r="O836" s="572"/>
      <c r="P836" s="572"/>
      <c r="Q836" s="572"/>
      <c r="R836" s="572"/>
      <c r="S836" s="572"/>
      <c r="T836" s="572"/>
      <c r="U836" s="572"/>
      <c r="V836" s="572"/>
      <c r="W836" s="572"/>
      <c r="X836" s="572"/>
      <c r="Y836" s="572"/>
      <c r="Z836" s="572"/>
      <c r="AA836" s="572"/>
      <c r="AB836" s="572"/>
      <c r="AC836" s="572"/>
      <c r="AD836" s="572"/>
      <c r="AE836" s="572"/>
      <c r="AF836" s="572"/>
      <c r="AG836" s="572"/>
      <c r="AH836" s="572"/>
      <c r="AI836" s="572"/>
      <c r="AJ836" s="572"/>
      <c r="AK836" s="572"/>
      <c r="AL836" s="572"/>
      <c r="AM836" s="572"/>
      <c r="AN836" s="572"/>
      <c r="AO836" s="572"/>
      <c r="AP836" s="572"/>
      <c r="AQ836" s="572"/>
      <c r="AR836" s="572"/>
      <c r="AS836" s="572"/>
      <c r="AT836" s="572"/>
      <c r="AU836" s="572"/>
    </row>
    <row r="837" spans="1:47" ht="15.75" customHeight="1">
      <c r="A837" s="573">
        <v>44643</v>
      </c>
      <c r="B837" s="588" t="s">
        <v>6681</v>
      </c>
      <c r="C837" s="563" t="s">
        <v>3785</v>
      </c>
      <c r="D837" s="563" t="s">
        <v>928</v>
      </c>
      <c r="E837" s="575">
        <v>101496.62</v>
      </c>
      <c r="F837" s="563" t="s">
        <v>5357</v>
      </c>
      <c r="G837" s="555" t="s">
        <v>64</v>
      </c>
      <c r="H837" s="563" t="s">
        <v>2051</v>
      </c>
      <c r="I837" s="563" t="s">
        <v>6257</v>
      </c>
      <c r="J837" s="573">
        <v>44256</v>
      </c>
      <c r="K837" s="598" t="s">
        <v>3789</v>
      </c>
      <c r="L837" s="572"/>
      <c r="M837" s="572"/>
      <c r="N837" s="572"/>
      <c r="O837" s="572"/>
      <c r="P837" s="572"/>
      <c r="Q837" s="572"/>
      <c r="R837" s="572"/>
      <c r="S837" s="572"/>
      <c r="T837" s="572"/>
      <c r="U837" s="572"/>
      <c r="V837" s="572"/>
      <c r="W837" s="572"/>
      <c r="X837" s="572"/>
      <c r="Y837" s="572"/>
      <c r="Z837" s="572"/>
      <c r="AA837" s="572"/>
      <c r="AB837" s="572"/>
      <c r="AC837" s="572"/>
      <c r="AD837" s="572"/>
      <c r="AE837" s="572"/>
      <c r="AF837" s="572"/>
      <c r="AG837" s="572"/>
      <c r="AH837" s="572"/>
      <c r="AI837" s="572"/>
      <c r="AJ837" s="572"/>
      <c r="AK837" s="572"/>
      <c r="AL837" s="572"/>
      <c r="AM837" s="572"/>
      <c r="AN837" s="572"/>
      <c r="AO837" s="572"/>
      <c r="AP837" s="572"/>
      <c r="AQ837" s="572"/>
      <c r="AR837" s="572"/>
      <c r="AS837" s="572"/>
      <c r="AT837" s="572"/>
      <c r="AU837" s="572"/>
    </row>
    <row r="838" spans="1:47" ht="15.75" customHeight="1">
      <c r="A838" s="573">
        <v>44644</v>
      </c>
      <c r="B838" s="574" t="s">
        <v>6647</v>
      </c>
      <c r="C838" s="532" t="s">
        <v>2921</v>
      </c>
      <c r="D838" s="563" t="s">
        <v>6341</v>
      </c>
      <c r="E838" s="575">
        <v>10000</v>
      </c>
      <c r="F838" s="563" t="s">
        <v>3146</v>
      </c>
      <c r="G838" s="563" t="s">
        <v>19</v>
      </c>
      <c r="H838" s="563" t="s">
        <v>34</v>
      </c>
      <c r="I838" s="563" t="s">
        <v>35</v>
      </c>
      <c r="J838" s="573">
        <v>44280</v>
      </c>
      <c r="K838" s="563" t="s">
        <v>3789</v>
      </c>
      <c r="L838" s="572"/>
      <c r="M838" s="572"/>
      <c r="N838" s="572"/>
      <c r="O838" s="572"/>
      <c r="P838" s="572"/>
      <c r="Q838" s="572"/>
      <c r="R838" s="572"/>
      <c r="S838" s="572"/>
      <c r="T838" s="572"/>
      <c r="U838" s="572"/>
      <c r="V838" s="572"/>
      <c r="W838" s="572"/>
      <c r="X838" s="572"/>
      <c r="Y838" s="572"/>
      <c r="Z838" s="572"/>
      <c r="AA838" s="572"/>
      <c r="AB838" s="572"/>
      <c r="AC838" s="572"/>
      <c r="AD838" s="572"/>
      <c r="AE838" s="572"/>
      <c r="AF838" s="572"/>
      <c r="AG838" s="572"/>
      <c r="AH838" s="572"/>
      <c r="AI838" s="572"/>
      <c r="AJ838" s="572"/>
      <c r="AK838" s="572"/>
      <c r="AL838" s="572"/>
      <c r="AM838" s="572"/>
      <c r="AN838" s="572"/>
      <c r="AO838" s="572"/>
      <c r="AP838" s="572"/>
      <c r="AQ838" s="572"/>
      <c r="AR838" s="572"/>
      <c r="AS838" s="572"/>
      <c r="AT838" s="572"/>
      <c r="AU838" s="572"/>
    </row>
    <row r="839" spans="1:47" ht="15.75" customHeight="1">
      <c r="A839" s="573">
        <v>44644</v>
      </c>
      <c r="B839" s="574" t="s">
        <v>6675</v>
      </c>
      <c r="C839" s="532" t="s">
        <v>2921</v>
      </c>
      <c r="D839" s="563" t="s">
        <v>928</v>
      </c>
      <c r="E839" s="575">
        <v>117357</v>
      </c>
      <c r="F839" s="563" t="s">
        <v>3485</v>
      </c>
      <c r="G839" s="563" t="s">
        <v>19</v>
      </c>
      <c r="H839" s="563" t="s">
        <v>34</v>
      </c>
      <c r="I839" s="563" t="s">
        <v>2971</v>
      </c>
      <c r="J839" s="573">
        <v>44330</v>
      </c>
      <c r="K839" s="563" t="s">
        <v>3805</v>
      </c>
      <c r="L839" s="572"/>
      <c r="M839" s="572"/>
      <c r="N839" s="572"/>
      <c r="O839" s="572"/>
      <c r="P839" s="572"/>
      <c r="Q839" s="572"/>
      <c r="R839" s="572"/>
      <c r="S839" s="572"/>
      <c r="T839" s="572"/>
      <c r="U839" s="572"/>
      <c r="V839" s="572"/>
      <c r="W839" s="572"/>
      <c r="X839" s="572"/>
      <c r="Y839" s="572"/>
      <c r="Z839" s="572"/>
      <c r="AA839" s="572"/>
      <c r="AB839" s="572"/>
      <c r="AC839" s="572"/>
      <c r="AD839" s="572"/>
      <c r="AE839" s="572"/>
      <c r="AF839" s="572"/>
      <c r="AG839" s="572"/>
      <c r="AH839" s="572"/>
      <c r="AI839" s="572"/>
      <c r="AJ839" s="572"/>
      <c r="AK839" s="572"/>
      <c r="AL839" s="572"/>
      <c r="AM839" s="572"/>
      <c r="AN839" s="572"/>
      <c r="AO839" s="572"/>
      <c r="AP839" s="572"/>
      <c r="AQ839" s="572"/>
      <c r="AR839" s="572"/>
      <c r="AS839" s="572"/>
      <c r="AT839" s="572"/>
      <c r="AU839" s="572"/>
    </row>
    <row r="840" spans="1:47" ht="15.75" customHeight="1">
      <c r="A840" s="573">
        <v>44644</v>
      </c>
      <c r="B840" s="574" t="s">
        <v>6682</v>
      </c>
      <c r="C840" s="532" t="s">
        <v>2921</v>
      </c>
      <c r="D840" s="563" t="s">
        <v>6341</v>
      </c>
      <c r="E840" s="575">
        <v>19000</v>
      </c>
      <c r="F840" s="563" t="s">
        <v>3243</v>
      </c>
      <c r="G840" s="563" t="s">
        <v>19</v>
      </c>
      <c r="H840" s="563" t="s">
        <v>34</v>
      </c>
      <c r="I840" s="563" t="s">
        <v>2971</v>
      </c>
      <c r="J840" s="573">
        <v>44263</v>
      </c>
      <c r="K840" s="563" t="s">
        <v>3795</v>
      </c>
      <c r="L840" s="572"/>
      <c r="M840" s="572"/>
      <c r="N840" s="572"/>
      <c r="O840" s="572"/>
      <c r="P840" s="572"/>
      <c r="Q840" s="572"/>
      <c r="R840" s="572"/>
      <c r="S840" s="572"/>
      <c r="T840" s="572"/>
      <c r="U840" s="572"/>
      <c r="V840" s="572"/>
      <c r="W840" s="572"/>
      <c r="X840" s="572"/>
      <c r="Y840" s="572"/>
      <c r="Z840" s="572"/>
      <c r="AA840" s="572"/>
      <c r="AB840" s="572"/>
      <c r="AC840" s="572"/>
      <c r="AD840" s="572"/>
      <c r="AE840" s="572"/>
      <c r="AF840" s="572"/>
      <c r="AG840" s="572"/>
      <c r="AH840" s="572"/>
      <c r="AI840" s="572"/>
      <c r="AJ840" s="572"/>
      <c r="AK840" s="572"/>
      <c r="AL840" s="572"/>
      <c r="AM840" s="572"/>
      <c r="AN840" s="572"/>
      <c r="AO840" s="572"/>
      <c r="AP840" s="572"/>
      <c r="AQ840" s="572"/>
      <c r="AR840" s="572"/>
      <c r="AS840" s="572"/>
      <c r="AT840" s="572"/>
      <c r="AU840" s="572"/>
    </row>
    <row r="841" spans="1:47" ht="15.75" customHeight="1">
      <c r="A841" s="573">
        <v>44644</v>
      </c>
      <c r="B841" s="574" t="s">
        <v>6683</v>
      </c>
      <c r="C841" s="532" t="s">
        <v>2921</v>
      </c>
      <c r="D841" s="563" t="s">
        <v>6341</v>
      </c>
      <c r="E841" s="575">
        <v>14000</v>
      </c>
      <c r="F841" s="563" t="s">
        <v>6684</v>
      </c>
      <c r="G841" s="563" t="s">
        <v>2923</v>
      </c>
      <c r="H841" s="563" t="s">
        <v>20</v>
      </c>
      <c r="I841" s="563" t="s">
        <v>2924</v>
      </c>
      <c r="J841" s="573">
        <v>43605</v>
      </c>
      <c r="K841" s="563" t="s">
        <v>3809</v>
      </c>
      <c r="L841" s="572"/>
      <c r="M841" s="572"/>
      <c r="N841" s="572"/>
      <c r="O841" s="572"/>
      <c r="P841" s="572"/>
      <c r="Q841" s="572"/>
      <c r="R841" s="572"/>
      <c r="S841" s="572"/>
      <c r="T841" s="572"/>
      <c r="U841" s="572"/>
      <c r="V841" s="572"/>
      <c r="W841" s="572"/>
      <c r="X841" s="572"/>
      <c r="Y841" s="572"/>
      <c r="Z841" s="572"/>
      <c r="AA841" s="572"/>
      <c r="AB841" s="572"/>
      <c r="AC841" s="572"/>
      <c r="AD841" s="572"/>
      <c r="AE841" s="572"/>
      <c r="AF841" s="572"/>
      <c r="AG841" s="572"/>
      <c r="AH841" s="572"/>
      <c r="AI841" s="572"/>
      <c r="AJ841" s="572"/>
      <c r="AK841" s="572"/>
      <c r="AL841" s="572"/>
      <c r="AM841" s="572"/>
      <c r="AN841" s="572"/>
      <c r="AO841" s="572"/>
      <c r="AP841" s="572"/>
      <c r="AQ841" s="572"/>
      <c r="AR841" s="572"/>
      <c r="AS841" s="572"/>
      <c r="AT841" s="572"/>
      <c r="AU841" s="572"/>
    </row>
    <row r="842" spans="1:47" ht="15.75" customHeight="1">
      <c r="A842" s="573">
        <v>44644</v>
      </c>
      <c r="B842" s="574" t="s">
        <v>6579</v>
      </c>
      <c r="C842" s="532" t="s">
        <v>2921</v>
      </c>
      <c r="D842" s="563" t="s">
        <v>6341</v>
      </c>
      <c r="E842" s="575">
        <v>5000</v>
      </c>
      <c r="F842" s="563" t="s">
        <v>480</v>
      </c>
      <c r="G842" s="563" t="s">
        <v>19</v>
      </c>
      <c r="H842" s="563" t="s">
        <v>34</v>
      </c>
      <c r="I842" s="563" t="s">
        <v>35</v>
      </c>
      <c r="J842" s="573">
        <v>44421</v>
      </c>
      <c r="K842" s="563" t="s">
        <v>3795</v>
      </c>
      <c r="L842" s="572"/>
      <c r="M842" s="572"/>
      <c r="N842" s="572"/>
      <c r="O842" s="572"/>
      <c r="P842" s="572"/>
      <c r="Q842" s="572"/>
      <c r="R842" s="572"/>
      <c r="S842" s="572"/>
      <c r="T842" s="572"/>
      <c r="U842" s="572"/>
      <c r="V842" s="572"/>
      <c r="W842" s="572"/>
      <c r="X842" s="572"/>
      <c r="Y842" s="572"/>
      <c r="Z842" s="572"/>
      <c r="AA842" s="572"/>
      <c r="AB842" s="572"/>
      <c r="AC842" s="572"/>
      <c r="AD842" s="572"/>
      <c r="AE842" s="572"/>
      <c r="AF842" s="572"/>
      <c r="AG842" s="572"/>
      <c r="AH842" s="572"/>
      <c r="AI842" s="572"/>
      <c r="AJ842" s="572"/>
      <c r="AK842" s="572"/>
      <c r="AL842" s="572"/>
      <c r="AM842" s="572"/>
      <c r="AN842" s="572"/>
      <c r="AO842" s="572"/>
      <c r="AP842" s="572"/>
      <c r="AQ842" s="572"/>
      <c r="AR842" s="572"/>
      <c r="AS842" s="572"/>
      <c r="AT842" s="572"/>
      <c r="AU842" s="572"/>
    </row>
    <row r="843" spans="1:47" ht="15.75" customHeight="1">
      <c r="A843" s="573">
        <v>44644</v>
      </c>
      <c r="B843" s="574" t="s">
        <v>6668</v>
      </c>
      <c r="C843" s="532" t="s">
        <v>2921</v>
      </c>
      <c r="D843" s="563" t="s">
        <v>6341</v>
      </c>
      <c r="E843" s="575">
        <v>25000</v>
      </c>
      <c r="F843" s="563" t="s">
        <v>3502</v>
      </c>
      <c r="G843" s="563" t="s">
        <v>19</v>
      </c>
      <c r="H843" s="563" t="s">
        <v>34</v>
      </c>
      <c r="I843" s="563" t="s">
        <v>35</v>
      </c>
      <c r="J843" s="573">
        <v>44585</v>
      </c>
      <c r="K843" s="563" t="s">
        <v>3802</v>
      </c>
      <c r="L843" s="572"/>
      <c r="M843" s="572"/>
      <c r="N843" s="572"/>
      <c r="O843" s="572"/>
      <c r="P843" s="572"/>
      <c r="Q843" s="572"/>
      <c r="R843" s="572"/>
      <c r="S843" s="572"/>
      <c r="T843" s="572"/>
      <c r="U843" s="572"/>
      <c r="V843" s="572"/>
      <c r="W843" s="572"/>
      <c r="X843" s="572"/>
      <c r="Y843" s="572"/>
      <c r="Z843" s="572"/>
      <c r="AA843" s="572"/>
      <c r="AB843" s="572"/>
      <c r="AC843" s="572"/>
      <c r="AD843" s="572"/>
      <c r="AE843" s="572"/>
      <c r="AF843" s="572"/>
      <c r="AG843" s="572"/>
      <c r="AH843" s="572"/>
      <c r="AI843" s="572"/>
      <c r="AJ843" s="572"/>
      <c r="AK843" s="572"/>
      <c r="AL843" s="572"/>
      <c r="AM843" s="572"/>
      <c r="AN843" s="572"/>
      <c r="AO843" s="572"/>
      <c r="AP843" s="572"/>
      <c r="AQ843" s="572"/>
      <c r="AR843" s="572"/>
      <c r="AS843" s="572"/>
      <c r="AT843" s="572"/>
      <c r="AU843" s="572"/>
    </row>
    <row r="844" spans="1:47" ht="15.75" customHeight="1">
      <c r="A844" s="573">
        <v>44644</v>
      </c>
      <c r="B844" s="574" t="s">
        <v>6685</v>
      </c>
      <c r="C844" s="532" t="s">
        <v>2921</v>
      </c>
      <c r="D844" s="563" t="s">
        <v>6341</v>
      </c>
      <c r="E844" s="575">
        <v>300000</v>
      </c>
      <c r="F844" s="563" t="s">
        <v>1530</v>
      </c>
      <c r="G844" s="563" t="s">
        <v>19</v>
      </c>
      <c r="H844" s="563" t="s">
        <v>34</v>
      </c>
      <c r="I844" s="563" t="s">
        <v>35</v>
      </c>
      <c r="J844" s="573"/>
      <c r="K844" s="563"/>
      <c r="L844" s="572"/>
      <c r="M844" s="572"/>
      <c r="N844" s="572"/>
      <c r="O844" s="572"/>
      <c r="P844" s="572"/>
      <c r="Q844" s="572"/>
      <c r="R844" s="572"/>
      <c r="S844" s="572"/>
      <c r="T844" s="572"/>
      <c r="U844" s="572"/>
      <c r="V844" s="572"/>
      <c r="W844" s="572"/>
      <c r="X844" s="572"/>
      <c r="Y844" s="572"/>
      <c r="Z844" s="572"/>
      <c r="AA844" s="572"/>
      <c r="AB844" s="572"/>
      <c r="AC844" s="572"/>
      <c r="AD844" s="572"/>
      <c r="AE844" s="572"/>
      <c r="AF844" s="572"/>
      <c r="AG844" s="572"/>
      <c r="AH844" s="572"/>
      <c r="AI844" s="572"/>
      <c r="AJ844" s="572"/>
      <c r="AK844" s="572"/>
      <c r="AL844" s="572"/>
      <c r="AM844" s="572"/>
      <c r="AN844" s="572"/>
      <c r="AO844" s="572"/>
      <c r="AP844" s="572"/>
      <c r="AQ844" s="572"/>
      <c r="AR844" s="572"/>
      <c r="AS844" s="572"/>
      <c r="AT844" s="572"/>
      <c r="AU844" s="572"/>
    </row>
    <row r="845" spans="1:47" ht="15.75" customHeight="1">
      <c r="A845" s="573">
        <v>44648</v>
      </c>
      <c r="B845" s="588" t="s">
        <v>6663</v>
      </c>
      <c r="C845" s="563" t="s">
        <v>3785</v>
      </c>
      <c r="D845" s="563" t="s">
        <v>6341</v>
      </c>
      <c r="E845" s="575">
        <v>15000</v>
      </c>
      <c r="F845" s="563" t="s">
        <v>1743</v>
      </c>
      <c r="G845" s="555" t="s">
        <v>19</v>
      </c>
      <c r="H845" s="555" t="s">
        <v>20</v>
      </c>
      <c r="I845" s="555" t="s">
        <v>6664</v>
      </c>
      <c r="J845" s="573">
        <v>44594</v>
      </c>
      <c r="K845" s="598" t="s">
        <v>3802</v>
      </c>
      <c r="L845" s="572"/>
      <c r="M845" s="572"/>
      <c r="N845" s="572"/>
      <c r="O845" s="572"/>
      <c r="P845" s="572"/>
      <c r="Q845" s="572"/>
      <c r="R845" s="572"/>
      <c r="S845" s="572"/>
      <c r="T845" s="572"/>
      <c r="U845" s="572"/>
      <c r="V845" s="572"/>
      <c r="W845" s="572"/>
      <c r="X845" s="572"/>
      <c r="Y845" s="572"/>
      <c r="Z845" s="572"/>
      <c r="AA845" s="572"/>
      <c r="AB845" s="572"/>
      <c r="AC845" s="572"/>
      <c r="AD845" s="572"/>
      <c r="AE845" s="572"/>
      <c r="AF845" s="572"/>
      <c r="AG845" s="572"/>
      <c r="AH845" s="572"/>
      <c r="AI845" s="572"/>
      <c r="AJ845" s="572"/>
      <c r="AK845" s="572"/>
      <c r="AL845" s="572"/>
      <c r="AM845" s="572"/>
      <c r="AN845" s="572"/>
      <c r="AO845" s="572"/>
      <c r="AP845" s="572"/>
      <c r="AQ845" s="572"/>
      <c r="AR845" s="572"/>
      <c r="AS845" s="572"/>
      <c r="AT845" s="572"/>
      <c r="AU845" s="572"/>
    </row>
    <row r="846" spans="1:47" ht="15.75" customHeight="1">
      <c r="A846" s="573">
        <v>44648</v>
      </c>
      <c r="B846" s="607" t="s">
        <v>6488</v>
      </c>
      <c r="C846" s="563" t="s">
        <v>3785</v>
      </c>
      <c r="D846" s="563" t="s">
        <v>928</v>
      </c>
      <c r="E846" s="575">
        <v>2232</v>
      </c>
      <c r="F846" s="556" t="s">
        <v>1184</v>
      </c>
      <c r="G846" s="555" t="s">
        <v>64</v>
      </c>
      <c r="H846" s="555" t="s">
        <v>20</v>
      </c>
      <c r="I846" s="555" t="s">
        <v>4104</v>
      </c>
      <c r="J846" s="593">
        <v>44145</v>
      </c>
      <c r="K846" s="598" t="s">
        <v>3789</v>
      </c>
      <c r="L846" s="572"/>
      <c r="M846" s="572"/>
      <c r="N846" s="572"/>
      <c r="O846" s="572"/>
      <c r="P846" s="572"/>
      <c r="Q846" s="572"/>
      <c r="R846" s="572"/>
      <c r="S846" s="572"/>
      <c r="T846" s="572"/>
      <c r="U846" s="572"/>
      <c r="V846" s="572"/>
      <c r="W846" s="572"/>
      <c r="X846" s="572"/>
      <c r="Y846" s="572"/>
      <c r="Z846" s="572"/>
      <c r="AA846" s="572"/>
      <c r="AB846" s="572"/>
      <c r="AC846" s="572"/>
      <c r="AD846" s="572"/>
      <c r="AE846" s="572"/>
      <c r="AF846" s="572"/>
      <c r="AG846" s="572"/>
      <c r="AH846" s="572"/>
      <c r="AI846" s="572"/>
      <c r="AJ846" s="572"/>
      <c r="AK846" s="572"/>
      <c r="AL846" s="572"/>
      <c r="AM846" s="572"/>
      <c r="AN846" s="572"/>
      <c r="AO846" s="572"/>
      <c r="AP846" s="572"/>
      <c r="AQ846" s="572"/>
      <c r="AR846" s="572"/>
      <c r="AS846" s="572"/>
      <c r="AT846" s="572"/>
      <c r="AU846" s="572"/>
    </row>
    <row r="847" spans="1:47" ht="15.75" customHeight="1">
      <c r="A847" s="573">
        <v>44650</v>
      </c>
      <c r="B847" s="607" t="s">
        <v>6686</v>
      </c>
      <c r="C847" s="563" t="s">
        <v>3785</v>
      </c>
      <c r="D847" s="563" t="s">
        <v>3110</v>
      </c>
      <c r="E847" s="575">
        <v>129000</v>
      </c>
      <c r="F847" s="556" t="s">
        <v>4932</v>
      </c>
      <c r="G847" s="555" t="s">
        <v>64</v>
      </c>
      <c r="H847" s="563" t="s">
        <v>2051</v>
      </c>
      <c r="I847" s="555" t="s">
        <v>6251</v>
      </c>
      <c r="J847" s="593">
        <v>44216</v>
      </c>
      <c r="K847" s="598" t="s">
        <v>3789</v>
      </c>
      <c r="L847" s="572"/>
      <c r="M847" s="572"/>
      <c r="N847" s="572"/>
      <c r="O847" s="572"/>
      <c r="P847" s="572"/>
      <c r="Q847" s="572"/>
      <c r="R847" s="572"/>
      <c r="S847" s="572"/>
      <c r="T847" s="572"/>
      <c r="U847" s="572"/>
      <c r="V847" s="572"/>
      <c r="W847" s="572"/>
      <c r="X847" s="572"/>
      <c r="Y847" s="572"/>
      <c r="Z847" s="572"/>
      <c r="AA847" s="572"/>
      <c r="AB847" s="572"/>
      <c r="AC847" s="572"/>
      <c r="AD847" s="572"/>
      <c r="AE847" s="572"/>
      <c r="AF847" s="572"/>
      <c r="AG847" s="572"/>
      <c r="AH847" s="572"/>
      <c r="AI847" s="572"/>
      <c r="AJ847" s="572"/>
      <c r="AK847" s="572"/>
      <c r="AL847" s="572"/>
      <c r="AM847" s="572"/>
      <c r="AN847" s="572"/>
      <c r="AO847" s="572"/>
      <c r="AP847" s="572"/>
      <c r="AQ847" s="572"/>
      <c r="AR847" s="572"/>
      <c r="AS847" s="572"/>
      <c r="AT847" s="572"/>
      <c r="AU847" s="572"/>
    </row>
    <row r="848" spans="1:47" ht="15.75" customHeight="1">
      <c r="A848" s="573">
        <v>44650</v>
      </c>
      <c r="B848" s="607" t="s">
        <v>6687</v>
      </c>
      <c r="C848" s="563" t="s">
        <v>3785</v>
      </c>
      <c r="D848" s="563" t="s">
        <v>3110</v>
      </c>
      <c r="E848" s="575">
        <v>630477</v>
      </c>
      <c r="F848" s="556" t="s">
        <v>4932</v>
      </c>
      <c r="G848" s="555" t="s">
        <v>64</v>
      </c>
      <c r="H848" s="563" t="s">
        <v>2051</v>
      </c>
      <c r="I848" s="555" t="s">
        <v>6251</v>
      </c>
      <c r="J848" s="593">
        <v>44207</v>
      </c>
      <c r="K848" s="598" t="s">
        <v>3842</v>
      </c>
      <c r="L848" s="572"/>
      <c r="M848" s="572"/>
      <c r="N848" s="572"/>
      <c r="O848" s="572"/>
      <c r="P848" s="572"/>
      <c r="Q848" s="572"/>
      <c r="R848" s="572"/>
      <c r="S848" s="572"/>
      <c r="T848" s="572"/>
      <c r="U848" s="572"/>
      <c r="V848" s="572"/>
      <c r="W848" s="572"/>
      <c r="X848" s="572"/>
      <c r="Y848" s="572"/>
      <c r="Z848" s="572"/>
      <c r="AA848" s="572"/>
      <c r="AB848" s="572"/>
      <c r="AC848" s="572"/>
      <c r="AD848" s="572"/>
      <c r="AE848" s="572"/>
      <c r="AF848" s="572"/>
      <c r="AG848" s="572"/>
      <c r="AH848" s="572"/>
      <c r="AI848" s="572"/>
      <c r="AJ848" s="572"/>
      <c r="AK848" s="572"/>
      <c r="AL848" s="572"/>
      <c r="AM848" s="572"/>
      <c r="AN848" s="572"/>
      <c r="AO848" s="572"/>
      <c r="AP848" s="572"/>
      <c r="AQ848" s="572"/>
      <c r="AR848" s="572"/>
      <c r="AS848" s="572"/>
      <c r="AT848" s="572"/>
      <c r="AU848" s="572"/>
    </row>
    <row r="849" spans="1:47" ht="15.75" customHeight="1">
      <c r="A849" s="573">
        <v>44650</v>
      </c>
      <c r="B849" s="607" t="s">
        <v>6688</v>
      </c>
      <c r="C849" s="563" t="s">
        <v>3785</v>
      </c>
      <c r="D849" s="563" t="s">
        <v>3110</v>
      </c>
      <c r="E849" s="575">
        <v>152856.49</v>
      </c>
      <c r="F849" s="532" t="s">
        <v>4092</v>
      </c>
      <c r="G849" s="555" t="s">
        <v>64</v>
      </c>
      <c r="H849" s="563" t="s">
        <v>2051</v>
      </c>
      <c r="I849" s="555" t="s">
        <v>6251</v>
      </c>
      <c r="J849" s="593">
        <v>44385</v>
      </c>
      <c r="K849" s="598" t="s">
        <v>3789</v>
      </c>
      <c r="L849" s="572"/>
      <c r="M849" s="572"/>
      <c r="N849" s="572"/>
      <c r="O849" s="572"/>
      <c r="P849" s="572"/>
      <c r="Q849" s="572"/>
      <c r="R849" s="572"/>
      <c r="S849" s="572"/>
      <c r="T849" s="572"/>
      <c r="U849" s="572"/>
      <c r="V849" s="572"/>
      <c r="W849" s="572"/>
      <c r="X849" s="572"/>
      <c r="Y849" s="572"/>
      <c r="Z849" s="572"/>
      <c r="AA849" s="572"/>
      <c r="AB849" s="572"/>
      <c r="AC849" s="572"/>
      <c r="AD849" s="572"/>
      <c r="AE849" s="572"/>
      <c r="AF849" s="572"/>
      <c r="AG849" s="572"/>
      <c r="AH849" s="572"/>
      <c r="AI849" s="572"/>
      <c r="AJ849" s="572"/>
      <c r="AK849" s="572"/>
      <c r="AL849" s="572"/>
      <c r="AM849" s="572"/>
      <c r="AN849" s="572"/>
      <c r="AO849" s="572"/>
      <c r="AP849" s="572"/>
      <c r="AQ849" s="572"/>
      <c r="AR849" s="572"/>
      <c r="AS849" s="572"/>
      <c r="AT849" s="572"/>
      <c r="AU849" s="572"/>
    </row>
    <row r="850" spans="1:47" ht="15.75" customHeight="1">
      <c r="A850" s="573">
        <v>44650</v>
      </c>
      <c r="B850" s="574" t="s">
        <v>6689</v>
      </c>
      <c r="C850" s="532" t="s">
        <v>3785</v>
      </c>
      <c r="D850" s="563" t="s">
        <v>6341</v>
      </c>
      <c r="E850" s="575">
        <v>22140.93</v>
      </c>
      <c r="F850" s="563" t="s">
        <v>6690</v>
      </c>
      <c r="G850" s="563" t="s">
        <v>19</v>
      </c>
      <c r="H850" s="563" t="s">
        <v>49</v>
      </c>
      <c r="I850" s="563" t="s">
        <v>50</v>
      </c>
      <c r="J850" s="573">
        <v>44656</v>
      </c>
      <c r="K850" s="563" t="s">
        <v>3795</v>
      </c>
      <c r="L850" s="572"/>
      <c r="M850" s="572"/>
      <c r="N850" s="572"/>
      <c r="O850" s="572"/>
      <c r="P850" s="572"/>
      <c r="Q850" s="572"/>
      <c r="R850" s="572"/>
      <c r="S850" s="572"/>
      <c r="T850" s="572"/>
      <c r="U850" s="572"/>
      <c r="V850" s="572"/>
      <c r="W850" s="572"/>
      <c r="X850" s="572"/>
      <c r="Y850" s="572"/>
      <c r="Z850" s="572"/>
      <c r="AA850" s="572"/>
      <c r="AB850" s="572"/>
      <c r="AC850" s="572"/>
      <c r="AD850" s="572"/>
      <c r="AE850" s="572"/>
      <c r="AF850" s="572"/>
      <c r="AG850" s="572"/>
      <c r="AH850" s="572"/>
      <c r="AI850" s="572"/>
      <c r="AJ850" s="572"/>
      <c r="AK850" s="572"/>
      <c r="AL850" s="572"/>
      <c r="AM850" s="572"/>
      <c r="AN850" s="572"/>
      <c r="AO850" s="572"/>
      <c r="AP850" s="572"/>
      <c r="AQ850" s="572"/>
      <c r="AR850" s="572"/>
      <c r="AS850" s="572"/>
      <c r="AT850" s="572"/>
      <c r="AU850" s="572"/>
    </row>
    <row r="851" spans="1:47" ht="15.75" customHeight="1">
      <c r="A851" s="573">
        <v>44651</v>
      </c>
      <c r="B851" s="607" t="s">
        <v>6691</v>
      </c>
      <c r="C851" s="563" t="s">
        <v>3785</v>
      </c>
      <c r="D851" s="563" t="s">
        <v>3110</v>
      </c>
      <c r="E851" s="575">
        <v>230428.79</v>
      </c>
      <c r="F851" s="624" t="s">
        <v>5395</v>
      </c>
      <c r="G851" s="555" t="s">
        <v>64</v>
      </c>
      <c r="H851" s="563" t="s">
        <v>2051</v>
      </c>
      <c r="I851" s="555" t="s">
        <v>6251</v>
      </c>
      <c r="J851" s="593">
        <v>44294</v>
      </c>
      <c r="K851" s="598" t="s">
        <v>3789</v>
      </c>
      <c r="L851" s="572"/>
      <c r="M851" s="572"/>
      <c r="N851" s="572"/>
      <c r="O851" s="572"/>
      <c r="P851" s="572"/>
      <c r="Q851" s="572"/>
      <c r="R851" s="572"/>
      <c r="S851" s="572"/>
      <c r="T851" s="572"/>
      <c r="U851" s="572"/>
      <c r="V851" s="572"/>
      <c r="W851" s="572"/>
      <c r="X851" s="572"/>
      <c r="Y851" s="572"/>
      <c r="Z851" s="572"/>
      <c r="AA851" s="572"/>
      <c r="AB851" s="572"/>
      <c r="AC851" s="572"/>
      <c r="AD851" s="572"/>
      <c r="AE851" s="572"/>
      <c r="AF851" s="572"/>
      <c r="AG851" s="572"/>
      <c r="AH851" s="572"/>
      <c r="AI851" s="572"/>
      <c r="AJ851" s="572"/>
      <c r="AK851" s="572"/>
      <c r="AL851" s="572"/>
      <c r="AM851" s="572"/>
      <c r="AN851" s="572"/>
      <c r="AO851" s="572"/>
      <c r="AP851" s="572"/>
      <c r="AQ851" s="572"/>
      <c r="AR851" s="572"/>
      <c r="AS851" s="572"/>
      <c r="AT851" s="572"/>
      <c r="AU851" s="572"/>
    </row>
    <row r="852" spans="1:47" ht="15.75" customHeight="1">
      <c r="A852" s="573">
        <v>44651</v>
      </c>
      <c r="B852" s="588" t="s">
        <v>6692</v>
      </c>
      <c r="C852" s="563" t="s">
        <v>3785</v>
      </c>
      <c r="D852" s="563" t="s">
        <v>3110</v>
      </c>
      <c r="E852" s="575">
        <v>281890.89</v>
      </c>
      <c r="F852" s="563" t="s">
        <v>4275</v>
      </c>
      <c r="G852" s="555" t="s">
        <v>19</v>
      </c>
      <c r="H852" s="555" t="s">
        <v>49</v>
      </c>
      <c r="I852" s="555" t="s">
        <v>328</v>
      </c>
      <c r="J852" s="573">
        <v>44300</v>
      </c>
      <c r="K852" s="598" t="s">
        <v>3795</v>
      </c>
      <c r="L852" s="572"/>
      <c r="M852" s="572"/>
      <c r="N852" s="572"/>
      <c r="O852" s="572"/>
      <c r="P852" s="572"/>
      <c r="Q852" s="572"/>
      <c r="R852" s="572"/>
      <c r="S852" s="572"/>
      <c r="T852" s="572"/>
      <c r="U852" s="572"/>
      <c r="V852" s="572"/>
      <c r="W852" s="572"/>
      <c r="X852" s="572"/>
      <c r="Y852" s="572"/>
      <c r="Z852" s="572"/>
      <c r="AA852" s="572"/>
      <c r="AB852" s="572"/>
      <c r="AC852" s="572"/>
      <c r="AD852" s="572"/>
      <c r="AE852" s="572"/>
      <c r="AF852" s="572"/>
      <c r="AG852" s="572"/>
      <c r="AH852" s="572"/>
      <c r="AI852" s="572"/>
      <c r="AJ852" s="572"/>
      <c r="AK852" s="572"/>
      <c r="AL852" s="572"/>
      <c r="AM852" s="572"/>
      <c r="AN852" s="572"/>
      <c r="AO852" s="572"/>
      <c r="AP852" s="572"/>
      <c r="AQ852" s="572"/>
      <c r="AR852" s="572"/>
      <c r="AS852" s="572"/>
      <c r="AT852" s="572"/>
      <c r="AU852" s="572"/>
    </row>
    <row r="853" spans="1:47" ht="15.75" customHeight="1">
      <c r="A853" s="573">
        <v>44651</v>
      </c>
      <c r="B853" s="574">
        <v>804771</v>
      </c>
      <c r="C853" s="532" t="s">
        <v>2921</v>
      </c>
      <c r="D853" s="563" t="s">
        <v>928</v>
      </c>
      <c r="E853" s="575">
        <v>84500</v>
      </c>
      <c r="F853" s="563" t="s">
        <v>3392</v>
      </c>
      <c r="G853" s="563" t="s">
        <v>2989</v>
      </c>
      <c r="H853" s="563" t="s">
        <v>20</v>
      </c>
      <c r="I853" s="563" t="s">
        <v>2989</v>
      </c>
      <c r="J853" s="573">
        <v>43441</v>
      </c>
      <c r="K853" s="563" t="s">
        <v>3809</v>
      </c>
      <c r="L853" s="572"/>
      <c r="M853" s="572"/>
      <c r="N853" s="572"/>
      <c r="O853" s="572"/>
      <c r="P853" s="572"/>
      <c r="Q853" s="572"/>
      <c r="R853" s="572"/>
      <c r="S853" s="572"/>
      <c r="T853" s="572"/>
      <c r="U853" s="572"/>
      <c r="V853" s="572"/>
      <c r="W853" s="572"/>
      <c r="X853" s="572"/>
      <c r="Y853" s="572"/>
      <c r="Z853" s="572"/>
      <c r="AA853" s="572"/>
      <c r="AB853" s="572"/>
      <c r="AC853" s="572"/>
      <c r="AD853" s="572"/>
      <c r="AE853" s="572"/>
      <c r="AF853" s="572"/>
      <c r="AG853" s="572"/>
      <c r="AH853" s="572"/>
      <c r="AI853" s="572"/>
      <c r="AJ853" s="572"/>
      <c r="AK853" s="572"/>
      <c r="AL853" s="572"/>
      <c r="AM853" s="572"/>
      <c r="AN853" s="572"/>
      <c r="AO853" s="572"/>
      <c r="AP853" s="572"/>
      <c r="AQ853" s="572"/>
      <c r="AR853" s="572"/>
      <c r="AS853" s="572"/>
      <c r="AT853" s="572"/>
      <c r="AU853" s="572"/>
    </row>
    <row r="854" spans="1:47" ht="15.75" customHeight="1">
      <c r="A854" s="573">
        <v>44651</v>
      </c>
      <c r="B854" s="574" t="s">
        <v>6484</v>
      </c>
      <c r="C854" s="532" t="s">
        <v>2921</v>
      </c>
      <c r="D854" s="563" t="s">
        <v>928</v>
      </c>
      <c r="E854" s="575">
        <v>32277</v>
      </c>
      <c r="F854" s="563" t="s">
        <v>2943</v>
      </c>
      <c r="G854" s="563" t="s">
        <v>2923</v>
      </c>
      <c r="H854" s="563" t="s">
        <v>20</v>
      </c>
      <c r="I854" s="563" t="s">
        <v>2924</v>
      </c>
      <c r="J854" s="573">
        <v>43753</v>
      </c>
      <c r="K854" s="563" t="s">
        <v>3795</v>
      </c>
      <c r="L854" s="572"/>
      <c r="M854" s="572"/>
      <c r="N854" s="572"/>
      <c r="O854" s="572"/>
      <c r="P854" s="572"/>
      <c r="Q854" s="572"/>
      <c r="R854" s="572"/>
      <c r="S854" s="572"/>
      <c r="T854" s="572"/>
      <c r="U854" s="572"/>
      <c r="V854" s="572"/>
      <c r="W854" s="572"/>
      <c r="X854" s="572"/>
      <c r="Y854" s="572"/>
      <c r="Z854" s="572"/>
      <c r="AA854" s="572"/>
      <c r="AB854" s="572"/>
      <c r="AC854" s="572"/>
      <c r="AD854" s="572"/>
      <c r="AE854" s="572"/>
      <c r="AF854" s="572"/>
      <c r="AG854" s="572"/>
      <c r="AH854" s="572"/>
      <c r="AI854" s="572"/>
      <c r="AJ854" s="572"/>
      <c r="AK854" s="572"/>
      <c r="AL854" s="572"/>
      <c r="AM854" s="572"/>
      <c r="AN854" s="572"/>
      <c r="AO854" s="572"/>
      <c r="AP854" s="572"/>
      <c r="AQ854" s="572"/>
      <c r="AR854" s="572"/>
      <c r="AS854" s="572"/>
      <c r="AT854" s="572"/>
      <c r="AU854" s="572"/>
    </row>
    <row r="855" spans="1:47" ht="15.75" customHeight="1">
      <c r="A855" s="573">
        <v>44652</v>
      </c>
      <c r="B855" s="574" t="s">
        <v>6473</v>
      </c>
      <c r="C855" s="532" t="s">
        <v>2921</v>
      </c>
      <c r="D855" s="563" t="s">
        <v>3110</v>
      </c>
      <c r="E855" s="575">
        <v>15091.06</v>
      </c>
      <c r="F855" s="563" t="s">
        <v>3332</v>
      </c>
      <c r="G855" s="563" t="s">
        <v>19</v>
      </c>
      <c r="H855" s="563" t="s">
        <v>34</v>
      </c>
      <c r="I855" s="563" t="s">
        <v>262</v>
      </c>
      <c r="J855" s="573">
        <v>44322</v>
      </c>
      <c r="K855" s="573" t="s">
        <v>3795</v>
      </c>
      <c r="L855" s="572"/>
      <c r="M855" s="572"/>
      <c r="N855" s="572"/>
      <c r="O855" s="572"/>
      <c r="P855" s="572"/>
      <c r="Q855" s="572"/>
      <c r="R855" s="572"/>
      <c r="S855" s="572"/>
      <c r="T855" s="572"/>
      <c r="U855" s="572"/>
      <c r="V855" s="572"/>
      <c r="W855" s="572"/>
      <c r="X855" s="572"/>
      <c r="Y855" s="572"/>
      <c r="Z855" s="572"/>
      <c r="AA855" s="572"/>
      <c r="AB855" s="572"/>
      <c r="AC855" s="572"/>
      <c r="AD855" s="572"/>
      <c r="AE855" s="572"/>
      <c r="AF855" s="572"/>
      <c r="AG855" s="572"/>
      <c r="AH855" s="572"/>
      <c r="AI855" s="572"/>
      <c r="AJ855" s="572"/>
      <c r="AK855" s="572"/>
      <c r="AL855" s="572"/>
      <c r="AM855" s="572"/>
      <c r="AN855" s="572"/>
      <c r="AO855" s="572"/>
      <c r="AP855" s="572"/>
      <c r="AQ855" s="572"/>
      <c r="AR855" s="572"/>
      <c r="AS855" s="572"/>
      <c r="AT855" s="572"/>
      <c r="AU855" s="572"/>
    </row>
    <row r="856" spans="1:47" ht="15.75" customHeight="1">
      <c r="A856" s="573">
        <v>44652</v>
      </c>
      <c r="B856" s="574" t="s">
        <v>6672</v>
      </c>
      <c r="C856" s="532" t="s">
        <v>3785</v>
      </c>
      <c r="D856" s="563" t="s">
        <v>6341</v>
      </c>
      <c r="E856" s="575">
        <v>31400</v>
      </c>
      <c r="F856" s="563" t="s">
        <v>3839</v>
      </c>
      <c r="G856" s="563" t="s">
        <v>19</v>
      </c>
      <c r="H856" s="563" t="s">
        <v>49</v>
      </c>
      <c r="I856" s="573" t="s">
        <v>50</v>
      </c>
      <c r="J856" s="573">
        <v>44609</v>
      </c>
      <c r="K856" s="563" t="s">
        <v>3805</v>
      </c>
      <c r="L856" s="572"/>
      <c r="M856" s="572"/>
      <c r="N856" s="572"/>
      <c r="O856" s="572"/>
      <c r="P856" s="572"/>
      <c r="Q856" s="572"/>
      <c r="R856" s="572"/>
      <c r="S856" s="572"/>
      <c r="T856" s="572"/>
      <c r="U856" s="572"/>
      <c r="V856" s="572"/>
      <c r="W856" s="572"/>
      <c r="X856" s="572"/>
      <c r="Y856" s="572"/>
      <c r="Z856" s="572"/>
      <c r="AA856" s="572"/>
      <c r="AB856" s="572"/>
      <c r="AC856" s="572"/>
      <c r="AD856" s="572"/>
      <c r="AE856" s="572"/>
      <c r="AF856" s="572"/>
      <c r="AG856" s="572"/>
      <c r="AH856" s="572"/>
      <c r="AI856" s="572"/>
      <c r="AJ856" s="572"/>
      <c r="AK856" s="572"/>
      <c r="AL856" s="572"/>
      <c r="AM856" s="572"/>
      <c r="AN856" s="572"/>
      <c r="AO856" s="572"/>
      <c r="AP856" s="572"/>
      <c r="AQ856" s="572"/>
      <c r="AR856" s="572"/>
      <c r="AS856" s="572"/>
      <c r="AT856" s="572"/>
      <c r="AU856" s="572"/>
    </row>
    <row r="857" spans="1:47" ht="15.75" customHeight="1">
      <c r="A857" s="573">
        <v>44655</v>
      </c>
      <c r="B857" s="574" t="s">
        <v>6408</v>
      </c>
      <c r="C857" s="532" t="s">
        <v>2921</v>
      </c>
      <c r="D857" s="563" t="s">
        <v>6341</v>
      </c>
      <c r="E857" s="575">
        <v>40000</v>
      </c>
      <c r="F857" s="532" t="s">
        <v>6693</v>
      </c>
      <c r="G857" s="563" t="s">
        <v>19</v>
      </c>
      <c r="H857" s="563" t="s">
        <v>34</v>
      </c>
      <c r="I857" s="563" t="s">
        <v>35</v>
      </c>
      <c r="J857" s="573">
        <v>44321</v>
      </c>
      <c r="K857" s="563" t="s">
        <v>3795</v>
      </c>
      <c r="L857" s="572"/>
      <c r="M857" s="572"/>
      <c r="N857" s="572"/>
      <c r="O857" s="572"/>
      <c r="P857" s="572"/>
      <c r="Q857" s="572"/>
      <c r="R857" s="572"/>
      <c r="S857" s="572"/>
      <c r="T857" s="572"/>
      <c r="U857" s="572"/>
      <c r="V857" s="572"/>
      <c r="W857" s="572"/>
      <c r="X857" s="572"/>
      <c r="Y857" s="572"/>
      <c r="Z857" s="572"/>
      <c r="AA857" s="572"/>
      <c r="AB857" s="572"/>
      <c r="AC857" s="572"/>
      <c r="AD857" s="572"/>
      <c r="AE857" s="572"/>
      <c r="AF857" s="572"/>
      <c r="AG857" s="572"/>
      <c r="AH857" s="572"/>
      <c r="AI857" s="572"/>
      <c r="AJ857" s="572"/>
      <c r="AK857" s="572"/>
      <c r="AL857" s="572"/>
      <c r="AM857" s="572"/>
      <c r="AN857" s="572"/>
      <c r="AO857" s="572"/>
      <c r="AP857" s="572"/>
      <c r="AQ857" s="572"/>
      <c r="AR857" s="572"/>
      <c r="AS857" s="572"/>
      <c r="AT857" s="572"/>
      <c r="AU857" s="572"/>
    </row>
    <row r="858" spans="1:47" ht="15.75" customHeight="1">
      <c r="A858" s="573">
        <v>44656</v>
      </c>
      <c r="B858" s="574" t="s">
        <v>6694</v>
      </c>
      <c r="C858" s="532" t="s">
        <v>3785</v>
      </c>
      <c r="D858" s="563" t="s">
        <v>3110</v>
      </c>
      <c r="E858" s="575">
        <v>171724.96</v>
      </c>
      <c r="F858" s="563" t="s">
        <v>4771</v>
      </c>
      <c r="G858" s="563" t="s">
        <v>19</v>
      </c>
      <c r="H858" s="563" t="s">
        <v>49</v>
      </c>
      <c r="I858" s="573" t="s">
        <v>328</v>
      </c>
      <c r="J858" s="573">
        <v>44274</v>
      </c>
      <c r="K858" s="563" t="s">
        <v>3795</v>
      </c>
      <c r="L858" s="572"/>
      <c r="M858" s="572"/>
      <c r="N858" s="572"/>
      <c r="O858" s="572"/>
      <c r="P858" s="572"/>
      <c r="Q858" s="572"/>
      <c r="R858" s="572"/>
      <c r="S858" s="572"/>
      <c r="T858" s="572"/>
      <c r="U858" s="572"/>
      <c r="V858" s="572"/>
      <c r="W858" s="572"/>
      <c r="X858" s="572"/>
      <c r="Y858" s="572"/>
      <c r="Z858" s="572"/>
      <c r="AA858" s="572"/>
      <c r="AB858" s="572"/>
      <c r="AC858" s="572"/>
      <c r="AD858" s="572"/>
      <c r="AE858" s="572"/>
      <c r="AF858" s="572"/>
      <c r="AG858" s="572"/>
      <c r="AH858" s="572"/>
      <c r="AI858" s="572"/>
      <c r="AJ858" s="572"/>
      <c r="AK858" s="572"/>
      <c r="AL858" s="572"/>
      <c r="AM858" s="572"/>
      <c r="AN858" s="572"/>
      <c r="AO858" s="572"/>
      <c r="AP858" s="572"/>
      <c r="AQ858" s="572"/>
      <c r="AR858" s="572"/>
      <c r="AS858" s="572"/>
      <c r="AT858" s="572"/>
      <c r="AU858" s="572"/>
    </row>
    <row r="859" spans="1:47" ht="15.75" customHeight="1">
      <c r="A859" s="573">
        <v>44656</v>
      </c>
      <c r="B859" s="574" t="s">
        <v>6668</v>
      </c>
      <c r="C859" s="532" t="s">
        <v>2921</v>
      </c>
      <c r="D859" s="563" t="s">
        <v>6341</v>
      </c>
      <c r="E859" s="575">
        <v>25000</v>
      </c>
      <c r="F859" s="532" t="s">
        <v>6695</v>
      </c>
      <c r="G859" s="563" t="s">
        <v>19</v>
      </c>
      <c r="H859" s="563" t="s">
        <v>34</v>
      </c>
      <c r="I859" s="563" t="s">
        <v>35</v>
      </c>
      <c r="J859" s="573">
        <v>44263</v>
      </c>
      <c r="K859" s="563" t="s">
        <v>3805</v>
      </c>
      <c r="L859" s="572"/>
      <c r="M859" s="572"/>
      <c r="N859" s="572"/>
      <c r="O859" s="572"/>
      <c r="P859" s="572"/>
      <c r="Q859" s="572"/>
      <c r="R859" s="572"/>
      <c r="S859" s="572"/>
      <c r="T859" s="572"/>
      <c r="U859" s="572"/>
      <c r="V859" s="572"/>
      <c r="W859" s="572"/>
      <c r="X859" s="572"/>
      <c r="Y859" s="572"/>
      <c r="Z859" s="572"/>
      <c r="AA859" s="572"/>
      <c r="AB859" s="572"/>
      <c r="AC859" s="572"/>
      <c r="AD859" s="572"/>
      <c r="AE859" s="572"/>
      <c r="AF859" s="572"/>
      <c r="AG859" s="572"/>
      <c r="AH859" s="572"/>
      <c r="AI859" s="572"/>
      <c r="AJ859" s="572"/>
      <c r="AK859" s="572"/>
      <c r="AL859" s="572"/>
      <c r="AM859" s="572"/>
      <c r="AN859" s="572"/>
      <c r="AO859" s="572"/>
      <c r="AP859" s="572"/>
      <c r="AQ859" s="572"/>
      <c r="AR859" s="572"/>
      <c r="AS859" s="572"/>
      <c r="AT859" s="572"/>
      <c r="AU859" s="572"/>
    </row>
    <row r="860" spans="1:47" ht="15.75" customHeight="1">
      <c r="A860" s="573">
        <v>44657</v>
      </c>
      <c r="B860" s="574" t="s">
        <v>6696</v>
      </c>
      <c r="C860" s="532" t="s">
        <v>3785</v>
      </c>
      <c r="D860" s="563" t="s">
        <v>3110</v>
      </c>
      <c r="E860" s="575">
        <v>221711.79</v>
      </c>
      <c r="F860" s="563" t="s">
        <v>3985</v>
      </c>
      <c r="G860" s="563" t="s">
        <v>19</v>
      </c>
      <c r="H860" s="563" t="s">
        <v>2051</v>
      </c>
      <c r="I860" s="573" t="s">
        <v>6251</v>
      </c>
      <c r="J860" s="573">
        <v>44252</v>
      </c>
      <c r="K860" s="563" t="s">
        <v>3789</v>
      </c>
      <c r="L860" s="572"/>
      <c r="M860" s="572"/>
      <c r="N860" s="572"/>
      <c r="O860" s="572"/>
      <c r="P860" s="572"/>
      <c r="Q860" s="572"/>
      <c r="R860" s="572"/>
      <c r="S860" s="572"/>
      <c r="T860" s="572"/>
      <c r="U860" s="572"/>
      <c r="V860" s="572"/>
      <c r="W860" s="572"/>
      <c r="X860" s="572"/>
      <c r="Y860" s="572"/>
      <c r="Z860" s="572"/>
      <c r="AA860" s="572"/>
      <c r="AB860" s="572"/>
      <c r="AC860" s="572"/>
      <c r="AD860" s="572"/>
      <c r="AE860" s="572"/>
      <c r="AF860" s="572"/>
      <c r="AG860" s="572"/>
      <c r="AH860" s="572"/>
      <c r="AI860" s="572"/>
      <c r="AJ860" s="572"/>
      <c r="AK860" s="572"/>
      <c r="AL860" s="572"/>
      <c r="AM860" s="572"/>
      <c r="AN860" s="572"/>
      <c r="AO860" s="572"/>
      <c r="AP860" s="572"/>
      <c r="AQ860" s="572"/>
      <c r="AR860" s="572"/>
      <c r="AS860" s="572"/>
      <c r="AT860" s="572"/>
      <c r="AU860" s="572"/>
    </row>
    <row r="861" spans="1:47" ht="15.75" customHeight="1">
      <c r="A861" s="573">
        <v>44657</v>
      </c>
      <c r="B861" s="574" t="s">
        <v>6697</v>
      </c>
      <c r="C861" s="532" t="s">
        <v>2921</v>
      </c>
      <c r="D861" s="563" t="s">
        <v>6341</v>
      </c>
      <c r="E861" s="575">
        <v>31000</v>
      </c>
      <c r="F861" s="532" t="s">
        <v>6698</v>
      </c>
      <c r="G861" s="563" t="s">
        <v>19</v>
      </c>
      <c r="H861" s="563" t="s">
        <v>34</v>
      </c>
      <c r="I861" s="563" t="s">
        <v>262</v>
      </c>
      <c r="J861" s="573">
        <v>44382</v>
      </c>
      <c r="K861" s="563" t="s">
        <v>3789</v>
      </c>
      <c r="L861" s="572"/>
      <c r="M861" s="572"/>
      <c r="N861" s="572"/>
      <c r="O861" s="572"/>
      <c r="P861" s="572"/>
      <c r="Q861" s="572"/>
      <c r="R861" s="572"/>
      <c r="S861" s="572"/>
      <c r="T861" s="572"/>
      <c r="U861" s="572"/>
      <c r="V861" s="572"/>
      <c r="W861" s="572"/>
      <c r="X861" s="572"/>
      <c r="Y861" s="572"/>
      <c r="Z861" s="572"/>
      <c r="AA861" s="572"/>
      <c r="AB861" s="572"/>
      <c r="AC861" s="572"/>
      <c r="AD861" s="572"/>
      <c r="AE861" s="572"/>
      <c r="AF861" s="572"/>
      <c r="AG861" s="572"/>
      <c r="AH861" s="572"/>
      <c r="AI861" s="572"/>
      <c r="AJ861" s="572"/>
      <c r="AK861" s="572"/>
      <c r="AL861" s="572"/>
      <c r="AM861" s="572"/>
      <c r="AN861" s="572"/>
      <c r="AO861" s="572"/>
      <c r="AP861" s="572"/>
      <c r="AQ861" s="572"/>
      <c r="AR861" s="572"/>
      <c r="AS861" s="572"/>
      <c r="AT861" s="572"/>
      <c r="AU861" s="572"/>
    </row>
    <row r="862" spans="1:47" ht="15.75" customHeight="1">
      <c r="A862" s="573">
        <v>44658</v>
      </c>
      <c r="B862" s="574" t="s">
        <v>6699</v>
      </c>
      <c r="C862" s="532" t="s">
        <v>2921</v>
      </c>
      <c r="D862" s="563" t="s">
        <v>6341</v>
      </c>
      <c r="E862" s="575">
        <v>105000</v>
      </c>
      <c r="F862" s="563" t="s">
        <v>1155</v>
      </c>
      <c r="G862" s="563" t="s">
        <v>19</v>
      </c>
      <c r="H862" s="563" t="s">
        <v>34</v>
      </c>
      <c r="I862" s="573" t="s">
        <v>616</v>
      </c>
      <c r="J862" s="573">
        <v>44677</v>
      </c>
      <c r="K862" s="563" t="s">
        <v>3802</v>
      </c>
      <c r="L862" s="572"/>
      <c r="M862" s="572"/>
      <c r="N862" s="572"/>
      <c r="O862" s="572"/>
      <c r="P862" s="572"/>
      <c r="Q862" s="572"/>
      <c r="R862" s="572"/>
      <c r="S862" s="572"/>
      <c r="T862" s="572"/>
      <c r="U862" s="572"/>
      <c r="V862" s="572"/>
      <c r="W862" s="572"/>
      <c r="X862" s="572"/>
      <c r="Y862" s="572"/>
      <c r="Z862" s="572"/>
      <c r="AA862" s="572"/>
      <c r="AB862" s="572"/>
      <c r="AC862" s="572"/>
      <c r="AD862" s="572"/>
      <c r="AE862" s="572"/>
      <c r="AF862" s="572"/>
      <c r="AG862" s="572"/>
      <c r="AH862" s="572"/>
      <c r="AI862" s="572"/>
      <c r="AJ862" s="572"/>
      <c r="AK862" s="572"/>
      <c r="AL862" s="572"/>
      <c r="AM862" s="572"/>
      <c r="AN862" s="572"/>
      <c r="AO862" s="572"/>
      <c r="AP862" s="572"/>
      <c r="AQ862" s="572"/>
      <c r="AR862" s="572"/>
      <c r="AS862" s="572"/>
      <c r="AT862" s="572"/>
      <c r="AU862" s="572"/>
    </row>
    <row r="863" spans="1:47" ht="15.75" customHeight="1">
      <c r="A863" s="573">
        <v>44658</v>
      </c>
      <c r="B863" s="574" t="s">
        <v>6663</v>
      </c>
      <c r="C863" s="532" t="s">
        <v>3785</v>
      </c>
      <c r="D863" s="563" t="s">
        <v>6341</v>
      </c>
      <c r="E863" s="575">
        <v>25000</v>
      </c>
      <c r="F863" s="563" t="s">
        <v>1743</v>
      </c>
      <c r="G863" s="563" t="s">
        <v>19</v>
      </c>
      <c r="H863" s="563" t="s">
        <v>20</v>
      </c>
      <c r="I863" s="573" t="s">
        <v>5036</v>
      </c>
      <c r="J863" s="573">
        <v>44594</v>
      </c>
      <c r="K863" s="563" t="s">
        <v>3802</v>
      </c>
      <c r="L863" s="572"/>
      <c r="M863" s="572"/>
      <c r="N863" s="572"/>
      <c r="O863" s="572"/>
      <c r="P863" s="572"/>
      <c r="Q863" s="572"/>
      <c r="R863" s="572"/>
      <c r="S863" s="572"/>
      <c r="T863" s="572"/>
      <c r="U863" s="572"/>
      <c r="V863" s="572"/>
      <c r="W863" s="572"/>
      <c r="X863" s="572"/>
      <c r="Y863" s="572"/>
      <c r="Z863" s="572"/>
      <c r="AA863" s="572"/>
      <c r="AB863" s="572"/>
      <c r="AC863" s="572"/>
      <c r="AD863" s="572"/>
      <c r="AE863" s="572"/>
      <c r="AF863" s="572"/>
      <c r="AG863" s="572"/>
      <c r="AH863" s="572"/>
      <c r="AI863" s="572"/>
      <c r="AJ863" s="572"/>
      <c r="AK863" s="572"/>
      <c r="AL863" s="572"/>
      <c r="AM863" s="572"/>
      <c r="AN863" s="572"/>
      <c r="AO863" s="572"/>
      <c r="AP863" s="572"/>
      <c r="AQ863" s="572"/>
      <c r="AR863" s="572"/>
      <c r="AS863" s="572"/>
      <c r="AT863" s="572"/>
      <c r="AU863" s="572"/>
    </row>
    <row r="864" spans="1:47" ht="15.75" customHeight="1">
      <c r="A864" s="573">
        <v>44658</v>
      </c>
      <c r="B864" s="574" t="s">
        <v>6700</v>
      </c>
      <c r="C864" s="532" t="s">
        <v>2921</v>
      </c>
      <c r="D864" s="563" t="s">
        <v>6341</v>
      </c>
      <c r="E864" s="575">
        <v>15000</v>
      </c>
      <c r="F864" s="532" t="s">
        <v>3138</v>
      </c>
      <c r="G864" s="563" t="s">
        <v>19</v>
      </c>
      <c r="H864" s="563" t="s">
        <v>34</v>
      </c>
      <c r="I864" s="563" t="s">
        <v>262</v>
      </c>
      <c r="J864" s="573">
        <v>44602</v>
      </c>
      <c r="K864" s="563" t="s">
        <v>3795</v>
      </c>
      <c r="L864" s="572"/>
      <c r="M864" s="572"/>
      <c r="N864" s="572"/>
      <c r="O864" s="572"/>
      <c r="P864" s="572"/>
      <c r="Q864" s="572"/>
      <c r="R864" s="572"/>
      <c r="S864" s="572"/>
      <c r="T864" s="572"/>
      <c r="U864" s="572"/>
      <c r="V864" s="572"/>
      <c r="W864" s="572"/>
      <c r="X864" s="572"/>
      <c r="Y864" s="572"/>
      <c r="Z864" s="572"/>
      <c r="AA864" s="572"/>
      <c r="AB864" s="572"/>
      <c r="AC864" s="572"/>
      <c r="AD864" s="572"/>
      <c r="AE864" s="572"/>
      <c r="AF864" s="572"/>
      <c r="AG864" s="572"/>
      <c r="AH864" s="572"/>
      <c r="AI864" s="572"/>
      <c r="AJ864" s="572"/>
      <c r="AK864" s="572"/>
      <c r="AL864" s="572"/>
      <c r="AM864" s="572"/>
      <c r="AN864" s="572"/>
      <c r="AO864" s="572"/>
      <c r="AP864" s="572"/>
      <c r="AQ864" s="572"/>
      <c r="AR864" s="572"/>
      <c r="AS864" s="572"/>
      <c r="AT864" s="572"/>
      <c r="AU864" s="572"/>
    </row>
    <row r="865" spans="1:47" ht="15.75" customHeight="1">
      <c r="A865" s="573">
        <v>44658</v>
      </c>
      <c r="B865" s="574" t="s">
        <v>6471</v>
      </c>
      <c r="C865" s="532" t="s">
        <v>2921</v>
      </c>
      <c r="D865" s="563" t="s">
        <v>6341</v>
      </c>
      <c r="E865" s="575">
        <v>24500</v>
      </c>
      <c r="F865" s="532" t="s">
        <v>6701</v>
      </c>
      <c r="G865" s="563" t="s">
        <v>19</v>
      </c>
      <c r="H865" s="563" t="s">
        <v>34</v>
      </c>
      <c r="I865" s="563" t="s">
        <v>262</v>
      </c>
      <c r="J865" s="573">
        <v>44439</v>
      </c>
      <c r="K865" s="563" t="s">
        <v>3805</v>
      </c>
      <c r="L865" s="572"/>
      <c r="M865" s="572"/>
      <c r="N865" s="572"/>
      <c r="O865" s="572"/>
      <c r="P865" s="572"/>
      <c r="Q865" s="572"/>
      <c r="R865" s="572"/>
      <c r="S865" s="572"/>
      <c r="T865" s="572"/>
      <c r="U865" s="572"/>
      <c r="V865" s="572"/>
      <c r="W865" s="572"/>
      <c r="X865" s="572"/>
      <c r="Y865" s="572"/>
      <c r="Z865" s="572"/>
      <c r="AA865" s="572"/>
      <c r="AB865" s="572"/>
      <c r="AC865" s="572"/>
      <c r="AD865" s="572"/>
      <c r="AE865" s="572"/>
      <c r="AF865" s="572"/>
      <c r="AG865" s="572"/>
      <c r="AH865" s="572"/>
      <c r="AI865" s="572"/>
      <c r="AJ865" s="572"/>
      <c r="AK865" s="572"/>
      <c r="AL865" s="572"/>
      <c r="AM865" s="572"/>
      <c r="AN865" s="572"/>
      <c r="AO865" s="572"/>
      <c r="AP865" s="572"/>
      <c r="AQ865" s="572"/>
      <c r="AR865" s="572"/>
      <c r="AS865" s="572"/>
      <c r="AT865" s="572"/>
      <c r="AU865" s="572"/>
    </row>
    <row r="866" spans="1:47" ht="15.75" customHeight="1">
      <c r="A866" s="577">
        <v>44658</v>
      </c>
      <c r="B866" s="605" t="s">
        <v>6702</v>
      </c>
      <c r="C866" s="405" t="s">
        <v>2921</v>
      </c>
      <c r="D866" s="563" t="s">
        <v>3110</v>
      </c>
      <c r="E866" s="586" t="s">
        <v>6703</v>
      </c>
      <c r="F866" s="563" t="s">
        <v>3293</v>
      </c>
      <c r="G866" s="573" t="s">
        <v>19</v>
      </c>
      <c r="H866" s="573" t="s">
        <v>34</v>
      </c>
      <c r="I866" s="573" t="s">
        <v>262</v>
      </c>
      <c r="J866" s="573">
        <v>44440</v>
      </c>
      <c r="K866" s="573" t="s">
        <v>3795</v>
      </c>
      <c r="L866" s="572"/>
      <c r="M866" s="572"/>
      <c r="N866" s="572"/>
      <c r="O866" s="572"/>
      <c r="P866" s="572"/>
      <c r="Q866" s="572"/>
      <c r="R866" s="572"/>
      <c r="S866" s="572"/>
      <c r="T866" s="572"/>
      <c r="U866" s="572"/>
      <c r="V866" s="572"/>
      <c r="W866" s="572"/>
      <c r="X866" s="572"/>
      <c r="Y866" s="572"/>
      <c r="Z866" s="572"/>
      <c r="AA866" s="572"/>
      <c r="AB866" s="572"/>
      <c r="AC866" s="572"/>
      <c r="AD866" s="572"/>
      <c r="AE866" s="572"/>
      <c r="AF866" s="572"/>
      <c r="AG866" s="572"/>
      <c r="AH866" s="572"/>
      <c r="AI866" s="572"/>
      <c r="AJ866" s="572"/>
      <c r="AK866" s="572"/>
      <c r="AL866" s="572"/>
      <c r="AM866" s="572"/>
      <c r="AN866" s="572"/>
      <c r="AO866" s="572"/>
      <c r="AP866" s="572"/>
      <c r="AQ866" s="572"/>
      <c r="AR866" s="572"/>
      <c r="AS866" s="572"/>
      <c r="AT866" s="572"/>
      <c r="AU866" s="572"/>
    </row>
    <row r="867" spans="1:47" ht="15.75" customHeight="1">
      <c r="A867" s="573">
        <v>44659</v>
      </c>
      <c r="B867" s="574" t="s">
        <v>6704</v>
      </c>
      <c r="C867" s="532" t="s">
        <v>3785</v>
      </c>
      <c r="D867" s="563" t="s">
        <v>3110</v>
      </c>
      <c r="E867" s="575">
        <v>2966054.05</v>
      </c>
      <c r="F867" s="563" t="s">
        <v>4009</v>
      </c>
      <c r="G867" s="563" t="s">
        <v>19</v>
      </c>
      <c r="H867" s="563" t="s">
        <v>2051</v>
      </c>
      <c r="I867" s="573" t="s">
        <v>6251</v>
      </c>
      <c r="J867" s="573">
        <v>44426</v>
      </c>
      <c r="K867" s="563" t="s">
        <v>4011</v>
      </c>
      <c r="L867" s="572"/>
      <c r="M867" s="572"/>
      <c r="N867" s="572"/>
      <c r="O867" s="572"/>
      <c r="P867" s="572"/>
      <c r="Q867" s="572"/>
      <c r="R867" s="572"/>
      <c r="S867" s="572"/>
      <c r="T867" s="572"/>
      <c r="U867" s="572"/>
      <c r="V867" s="572"/>
      <c r="W867" s="572"/>
      <c r="X867" s="572"/>
      <c r="Y867" s="572"/>
      <c r="Z867" s="572"/>
      <c r="AA867" s="572"/>
      <c r="AB867" s="572"/>
      <c r="AC867" s="572"/>
      <c r="AD867" s="572"/>
      <c r="AE867" s="572"/>
      <c r="AF867" s="572"/>
      <c r="AG867" s="572"/>
      <c r="AH867" s="572"/>
      <c r="AI867" s="572"/>
      <c r="AJ867" s="572"/>
      <c r="AK867" s="572"/>
      <c r="AL867" s="572"/>
      <c r="AM867" s="572"/>
      <c r="AN867" s="572"/>
      <c r="AO867" s="572"/>
      <c r="AP867" s="572"/>
      <c r="AQ867" s="572"/>
      <c r="AR867" s="572"/>
      <c r="AS867" s="572"/>
      <c r="AT867" s="572"/>
      <c r="AU867" s="572"/>
    </row>
    <row r="868" spans="1:47" ht="15.75" customHeight="1">
      <c r="A868" s="573">
        <v>44659</v>
      </c>
      <c r="B868" s="574" t="s">
        <v>6559</v>
      </c>
      <c r="C868" s="532" t="s">
        <v>3785</v>
      </c>
      <c r="D868" s="563" t="s">
        <v>3110</v>
      </c>
      <c r="E868" s="575">
        <v>2132.5500000000002</v>
      </c>
      <c r="F868" s="563" t="s">
        <v>4009</v>
      </c>
      <c r="G868" s="563" t="s">
        <v>19</v>
      </c>
      <c r="H868" s="563" t="s">
        <v>2051</v>
      </c>
      <c r="I868" s="573" t="s">
        <v>6251</v>
      </c>
      <c r="J868" s="573">
        <v>44204</v>
      </c>
      <c r="K868" s="563" t="s">
        <v>4010</v>
      </c>
      <c r="L868" s="572"/>
      <c r="M868" s="572"/>
      <c r="N868" s="572"/>
      <c r="O868" s="572"/>
      <c r="P868" s="572"/>
      <c r="Q868" s="572"/>
      <c r="R868" s="572"/>
      <c r="S868" s="572"/>
      <c r="T868" s="572"/>
      <c r="U868" s="572"/>
      <c r="V868" s="572"/>
      <c r="W868" s="572"/>
      <c r="X868" s="572"/>
      <c r="Y868" s="572"/>
      <c r="Z868" s="572"/>
      <c r="AA868" s="572"/>
      <c r="AB868" s="572"/>
      <c r="AC868" s="572"/>
      <c r="AD868" s="572"/>
      <c r="AE868" s="572"/>
      <c r="AF868" s="572"/>
      <c r="AG868" s="572"/>
      <c r="AH868" s="572"/>
      <c r="AI868" s="572"/>
      <c r="AJ868" s="572"/>
      <c r="AK868" s="572"/>
      <c r="AL868" s="572"/>
      <c r="AM868" s="572"/>
      <c r="AN868" s="572"/>
      <c r="AO868" s="572"/>
      <c r="AP868" s="572"/>
      <c r="AQ868" s="572"/>
      <c r="AR868" s="572"/>
      <c r="AS868" s="572"/>
      <c r="AT868" s="572"/>
      <c r="AU868" s="572"/>
    </row>
    <row r="869" spans="1:47" ht="15.75" customHeight="1">
      <c r="A869" s="573">
        <v>44659</v>
      </c>
      <c r="B869" s="574" t="s">
        <v>6480</v>
      </c>
      <c r="C869" s="532" t="s">
        <v>3785</v>
      </c>
      <c r="D869" s="563" t="s">
        <v>3110</v>
      </c>
      <c r="E869" s="575">
        <v>2832.67</v>
      </c>
      <c r="F869" s="563" t="s">
        <v>3935</v>
      </c>
      <c r="G869" s="563" t="s">
        <v>19</v>
      </c>
      <c r="H869" s="563" t="s">
        <v>2051</v>
      </c>
      <c r="I869" s="573" t="s">
        <v>6251</v>
      </c>
      <c r="J869" s="573">
        <v>44298</v>
      </c>
      <c r="K869" s="563" t="s">
        <v>3805</v>
      </c>
      <c r="L869" s="572"/>
      <c r="M869" s="572"/>
      <c r="N869" s="572"/>
      <c r="O869" s="572"/>
      <c r="P869" s="572"/>
      <c r="Q869" s="572"/>
      <c r="R869" s="572"/>
      <c r="S869" s="572"/>
      <c r="T869" s="572"/>
      <c r="U869" s="572"/>
      <c r="V869" s="572"/>
      <c r="W869" s="572"/>
      <c r="X869" s="572"/>
      <c r="Y869" s="572"/>
      <c r="Z869" s="572"/>
      <c r="AA869" s="572"/>
      <c r="AB869" s="572"/>
      <c r="AC869" s="572"/>
      <c r="AD869" s="572"/>
      <c r="AE869" s="572"/>
      <c r="AF869" s="572"/>
      <c r="AG869" s="572"/>
      <c r="AH869" s="572"/>
      <c r="AI869" s="572"/>
      <c r="AJ869" s="572"/>
      <c r="AK869" s="572"/>
      <c r="AL869" s="572"/>
      <c r="AM869" s="572"/>
      <c r="AN869" s="572"/>
      <c r="AO869" s="572"/>
      <c r="AP869" s="572"/>
      <c r="AQ869" s="572"/>
      <c r="AR869" s="572"/>
      <c r="AS869" s="572"/>
      <c r="AT869" s="572"/>
      <c r="AU869" s="572"/>
    </row>
    <row r="870" spans="1:47" ht="15.75" customHeight="1">
      <c r="A870" s="573">
        <v>44659</v>
      </c>
      <c r="B870" s="574" t="s">
        <v>6705</v>
      </c>
      <c r="C870" s="532" t="s">
        <v>3785</v>
      </c>
      <c r="D870" s="563" t="s">
        <v>3110</v>
      </c>
      <c r="E870" s="575">
        <v>815208.64</v>
      </c>
      <c r="F870" s="563" t="s">
        <v>4054</v>
      </c>
      <c r="G870" s="563" t="s">
        <v>19</v>
      </c>
      <c r="H870" s="563" t="s">
        <v>49</v>
      </c>
      <c r="I870" s="573" t="s">
        <v>6251</v>
      </c>
      <c r="J870" s="573">
        <v>44445</v>
      </c>
      <c r="K870" s="563" t="s">
        <v>4011</v>
      </c>
      <c r="L870" s="572"/>
      <c r="M870" s="572"/>
      <c r="N870" s="572"/>
      <c r="O870" s="572"/>
      <c r="P870" s="572"/>
      <c r="Q870" s="572"/>
      <c r="R870" s="572"/>
      <c r="S870" s="572"/>
      <c r="T870" s="572"/>
      <c r="U870" s="572"/>
      <c r="V870" s="572"/>
      <c r="W870" s="572"/>
      <c r="X870" s="572"/>
      <c r="Y870" s="572"/>
      <c r="Z870" s="572"/>
      <c r="AA870" s="572"/>
      <c r="AB870" s="572"/>
      <c r="AC870" s="572"/>
      <c r="AD870" s="572"/>
      <c r="AE870" s="572"/>
      <c r="AF870" s="572"/>
      <c r="AG870" s="572"/>
      <c r="AH870" s="572"/>
      <c r="AI870" s="572"/>
      <c r="AJ870" s="572"/>
      <c r="AK870" s="572"/>
      <c r="AL870" s="572"/>
      <c r="AM870" s="572"/>
      <c r="AN870" s="572"/>
      <c r="AO870" s="572"/>
      <c r="AP870" s="572"/>
      <c r="AQ870" s="572"/>
      <c r="AR870" s="572"/>
      <c r="AS870" s="572"/>
      <c r="AT870" s="572"/>
      <c r="AU870" s="572"/>
    </row>
    <row r="871" spans="1:47" ht="15.75" customHeight="1">
      <c r="A871" s="573">
        <v>44662</v>
      </c>
      <c r="B871" s="574" t="s">
        <v>3630</v>
      </c>
      <c r="C871" s="532" t="s">
        <v>3607</v>
      </c>
      <c r="D871" s="563" t="s">
        <v>6341</v>
      </c>
      <c r="E871" s="575">
        <v>3000</v>
      </c>
      <c r="F871" s="563" t="s">
        <v>3629</v>
      </c>
      <c r="G871" s="563" t="s">
        <v>19</v>
      </c>
      <c r="H871" s="563" t="s">
        <v>19</v>
      </c>
      <c r="I871" s="573" t="s">
        <v>6244</v>
      </c>
      <c r="J871" s="573">
        <v>44062</v>
      </c>
      <c r="K871" s="563" t="s">
        <v>3795</v>
      </c>
      <c r="L871" s="572"/>
      <c r="M871" s="572"/>
      <c r="N871" s="572"/>
      <c r="O871" s="572"/>
      <c r="P871" s="572"/>
      <c r="Q871" s="572"/>
      <c r="R871" s="572"/>
      <c r="S871" s="572"/>
      <c r="T871" s="572"/>
      <c r="U871" s="572"/>
      <c r="V871" s="572"/>
      <c r="W871" s="572"/>
      <c r="X871" s="572"/>
      <c r="Y871" s="572"/>
      <c r="Z871" s="572"/>
      <c r="AA871" s="572"/>
      <c r="AB871" s="572"/>
      <c r="AC871" s="572"/>
      <c r="AD871" s="572"/>
      <c r="AE871" s="572"/>
      <c r="AF871" s="572"/>
      <c r="AG871" s="572"/>
      <c r="AH871" s="572"/>
      <c r="AI871" s="572"/>
      <c r="AJ871" s="572"/>
      <c r="AK871" s="572"/>
      <c r="AL871" s="572"/>
      <c r="AM871" s="572"/>
      <c r="AN871" s="572"/>
      <c r="AO871" s="572"/>
      <c r="AP871" s="572"/>
      <c r="AQ871" s="572"/>
      <c r="AR871" s="572"/>
      <c r="AS871" s="572"/>
      <c r="AT871" s="572"/>
      <c r="AU871" s="572"/>
    </row>
    <row r="872" spans="1:47" ht="15.75" customHeight="1">
      <c r="A872" s="573">
        <v>44662</v>
      </c>
      <c r="B872" s="574" t="s">
        <v>6675</v>
      </c>
      <c r="C872" s="532" t="s">
        <v>2921</v>
      </c>
      <c r="D872" s="563" t="s">
        <v>928</v>
      </c>
      <c r="E872" s="575">
        <v>119000</v>
      </c>
      <c r="F872" s="532" t="s">
        <v>3485</v>
      </c>
      <c r="G872" s="563" t="s">
        <v>19</v>
      </c>
      <c r="H872" s="563" t="s">
        <v>34</v>
      </c>
      <c r="I872" s="563" t="s">
        <v>2971</v>
      </c>
      <c r="J872" s="573">
        <v>44199</v>
      </c>
      <c r="K872" s="573" t="s">
        <v>3805</v>
      </c>
      <c r="L872" s="572"/>
      <c r="M872" s="572"/>
      <c r="N872" s="572"/>
      <c r="O872" s="572"/>
      <c r="P872" s="572"/>
      <c r="Q872" s="572"/>
      <c r="R872" s="572"/>
      <c r="S872" s="572"/>
      <c r="T872" s="572"/>
      <c r="U872" s="572"/>
      <c r="V872" s="572"/>
      <c r="W872" s="572"/>
      <c r="X872" s="572"/>
      <c r="Y872" s="572"/>
      <c r="Z872" s="572"/>
      <c r="AA872" s="572"/>
      <c r="AB872" s="572"/>
      <c r="AC872" s="572"/>
      <c r="AD872" s="572"/>
      <c r="AE872" s="572"/>
      <c r="AF872" s="572"/>
      <c r="AG872" s="572"/>
      <c r="AH872" s="572"/>
      <c r="AI872" s="572"/>
      <c r="AJ872" s="572"/>
      <c r="AK872" s="572"/>
      <c r="AL872" s="572"/>
      <c r="AM872" s="572"/>
      <c r="AN872" s="572"/>
      <c r="AO872" s="572"/>
      <c r="AP872" s="572"/>
      <c r="AQ872" s="572"/>
      <c r="AR872" s="572"/>
      <c r="AS872" s="572"/>
      <c r="AT872" s="572"/>
      <c r="AU872" s="572"/>
    </row>
    <row r="873" spans="1:47" ht="15.75" customHeight="1">
      <c r="A873" s="573">
        <v>44663</v>
      </c>
      <c r="B873" s="574" t="s">
        <v>6706</v>
      </c>
      <c r="C873" s="532" t="s">
        <v>3785</v>
      </c>
      <c r="D873" s="563" t="s">
        <v>6341</v>
      </c>
      <c r="E873" s="575">
        <v>50000</v>
      </c>
      <c r="F873" s="532" t="s">
        <v>2052</v>
      </c>
      <c r="G873" s="563" t="s">
        <v>19</v>
      </c>
      <c r="H873" s="563" t="s">
        <v>49</v>
      </c>
      <c r="I873" s="563" t="s">
        <v>50</v>
      </c>
      <c r="J873" s="573">
        <v>44614</v>
      </c>
      <c r="K873" s="563" t="s">
        <v>3795</v>
      </c>
      <c r="L873" s="572"/>
      <c r="M873" s="572"/>
      <c r="N873" s="572"/>
      <c r="O873" s="572"/>
      <c r="P873" s="572"/>
      <c r="Q873" s="572"/>
      <c r="R873" s="572"/>
      <c r="S873" s="572"/>
      <c r="T873" s="572"/>
      <c r="U873" s="572"/>
      <c r="V873" s="572"/>
      <c r="W873" s="572"/>
      <c r="X873" s="572"/>
      <c r="Y873" s="572"/>
      <c r="Z873" s="572"/>
      <c r="AA873" s="572"/>
      <c r="AB873" s="572"/>
      <c r="AC873" s="572"/>
      <c r="AD873" s="572"/>
      <c r="AE873" s="572"/>
      <c r="AF873" s="572"/>
      <c r="AG873" s="572"/>
      <c r="AH873" s="572"/>
      <c r="AI873" s="572"/>
      <c r="AJ873" s="572"/>
      <c r="AK873" s="572"/>
      <c r="AL873" s="572"/>
      <c r="AM873" s="572"/>
      <c r="AN873" s="572"/>
      <c r="AO873" s="572"/>
      <c r="AP873" s="572"/>
      <c r="AQ873" s="572"/>
      <c r="AR873" s="572"/>
      <c r="AS873" s="572"/>
      <c r="AT873" s="572"/>
      <c r="AU873" s="572"/>
    </row>
    <row r="874" spans="1:47" ht="15.75" customHeight="1">
      <c r="A874" s="573">
        <v>44663</v>
      </c>
      <c r="B874" s="574" t="s">
        <v>6707</v>
      </c>
      <c r="C874" s="532" t="s">
        <v>2921</v>
      </c>
      <c r="D874" s="563" t="s">
        <v>6341</v>
      </c>
      <c r="E874" s="575">
        <v>33000</v>
      </c>
      <c r="F874" s="532" t="s">
        <v>6708</v>
      </c>
      <c r="G874" s="563" t="s">
        <v>19</v>
      </c>
      <c r="H874" s="563" t="s">
        <v>34</v>
      </c>
      <c r="I874" s="563" t="s">
        <v>262</v>
      </c>
      <c r="J874" s="573">
        <v>44615</v>
      </c>
      <c r="K874" s="563" t="s">
        <v>3805</v>
      </c>
      <c r="L874" s="572"/>
      <c r="M874" s="572"/>
      <c r="N874" s="572"/>
      <c r="O874" s="572"/>
      <c r="P874" s="572"/>
      <c r="Q874" s="572"/>
      <c r="R874" s="572"/>
      <c r="S874" s="572"/>
      <c r="T874" s="572"/>
      <c r="U874" s="572"/>
      <c r="V874" s="572"/>
      <c r="W874" s="572"/>
      <c r="X874" s="572"/>
      <c r="Y874" s="572"/>
      <c r="Z874" s="572"/>
      <c r="AA874" s="572"/>
      <c r="AB874" s="572"/>
      <c r="AC874" s="572"/>
      <c r="AD874" s="572"/>
      <c r="AE874" s="572"/>
      <c r="AF874" s="572"/>
      <c r="AG874" s="572"/>
      <c r="AH874" s="572"/>
      <c r="AI874" s="572"/>
      <c r="AJ874" s="572"/>
      <c r="AK874" s="572"/>
      <c r="AL874" s="572"/>
      <c r="AM874" s="572"/>
      <c r="AN874" s="572"/>
      <c r="AO874" s="572"/>
      <c r="AP874" s="572"/>
      <c r="AQ874" s="572"/>
      <c r="AR874" s="572"/>
      <c r="AS874" s="572"/>
      <c r="AT874" s="572"/>
      <c r="AU874" s="572"/>
    </row>
    <row r="875" spans="1:47" ht="15.75" customHeight="1">
      <c r="A875" s="573">
        <v>44663</v>
      </c>
      <c r="B875" s="574" t="s">
        <v>6709</v>
      </c>
      <c r="C875" s="532" t="s">
        <v>3785</v>
      </c>
      <c r="D875" s="563" t="s">
        <v>6341</v>
      </c>
      <c r="E875" s="575">
        <v>129700</v>
      </c>
      <c r="F875" s="532" t="s">
        <v>5103</v>
      </c>
      <c r="G875" s="563" t="s">
        <v>64</v>
      </c>
      <c r="H875" s="563" t="s">
        <v>20</v>
      </c>
      <c r="I875" s="563" t="s">
        <v>4128</v>
      </c>
      <c r="J875" s="573">
        <v>44320</v>
      </c>
      <c r="K875" s="563" t="s">
        <v>3789</v>
      </c>
      <c r="L875" s="572"/>
      <c r="M875" s="572"/>
      <c r="N875" s="572"/>
      <c r="O875" s="572"/>
      <c r="P875" s="572"/>
      <c r="Q875" s="572"/>
      <c r="R875" s="572"/>
      <c r="S875" s="572"/>
      <c r="T875" s="572"/>
      <c r="U875" s="572"/>
      <c r="V875" s="572"/>
      <c r="W875" s="572"/>
      <c r="X875" s="572"/>
      <c r="Y875" s="572"/>
      <c r="Z875" s="572"/>
      <c r="AA875" s="572"/>
      <c r="AB875" s="572"/>
      <c r="AC875" s="572"/>
      <c r="AD875" s="572"/>
      <c r="AE875" s="572"/>
      <c r="AF875" s="572"/>
      <c r="AG875" s="572"/>
      <c r="AH875" s="572"/>
      <c r="AI875" s="572"/>
      <c r="AJ875" s="572"/>
      <c r="AK875" s="572"/>
      <c r="AL875" s="572"/>
      <c r="AM875" s="572"/>
      <c r="AN875" s="572"/>
      <c r="AO875" s="572"/>
      <c r="AP875" s="572"/>
      <c r="AQ875" s="572"/>
      <c r="AR875" s="572"/>
      <c r="AS875" s="572"/>
      <c r="AT875" s="572"/>
      <c r="AU875" s="572"/>
    </row>
    <row r="876" spans="1:47" ht="15.75" customHeight="1">
      <c r="A876" s="573">
        <v>44663</v>
      </c>
      <c r="B876" s="574" t="s">
        <v>6347</v>
      </c>
      <c r="C876" s="532" t="s">
        <v>2921</v>
      </c>
      <c r="D876" s="563" t="s">
        <v>6341</v>
      </c>
      <c r="E876" s="575">
        <v>6000</v>
      </c>
      <c r="F876" s="532" t="s">
        <v>3191</v>
      </c>
      <c r="G876" s="563" t="s">
        <v>2923</v>
      </c>
      <c r="H876" s="563" t="s">
        <v>20</v>
      </c>
      <c r="I876" s="563" t="s">
        <v>2924</v>
      </c>
      <c r="J876" s="573">
        <v>43703</v>
      </c>
      <c r="K876" s="573" t="s">
        <v>4188</v>
      </c>
      <c r="L876" s="572"/>
      <c r="M876" s="572"/>
      <c r="N876" s="572"/>
      <c r="O876" s="572"/>
      <c r="P876" s="572"/>
      <c r="Q876" s="572"/>
      <c r="R876" s="572"/>
      <c r="S876" s="572"/>
      <c r="T876" s="572"/>
      <c r="U876" s="572"/>
      <c r="V876" s="572"/>
      <c r="W876" s="572"/>
      <c r="X876" s="572"/>
      <c r="Y876" s="572"/>
      <c r="Z876" s="572"/>
      <c r="AA876" s="572"/>
      <c r="AB876" s="572"/>
      <c r="AC876" s="572"/>
      <c r="AD876" s="572"/>
      <c r="AE876" s="572"/>
      <c r="AF876" s="572"/>
      <c r="AG876" s="572"/>
      <c r="AH876" s="572"/>
      <c r="AI876" s="572"/>
      <c r="AJ876" s="572"/>
      <c r="AK876" s="572"/>
      <c r="AL876" s="572"/>
      <c r="AM876" s="572"/>
      <c r="AN876" s="572"/>
      <c r="AO876" s="572"/>
      <c r="AP876" s="572"/>
      <c r="AQ876" s="572"/>
      <c r="AR876" s="572"/>
      <c r="AS876" s="572"/>
      <c r="AT876" s="572"/>
      <c r="AU876" s="572"/>
    </row>
    <row r="877" spans="1:47" ht="15.75" customHeight="1">
      <c r="A877" s="573">
        <v>44665</v>
      </c>
      <c r="B877" s="574" t="s">
        <v>6710</v>
      </c>
      <c r="C877" s="532" t="s">
        <v>3785</v>
      </c>
      <c r="D877" s="563" t="s">
        <v>3110</v>
      </c>
      <c r="E877" s="575">
        <v>66169.95</v>
      </c>
      <c r="F877" s="563" t="s">
        <v>3844</v>
      </c>
      <c r="G877" s="563" t="s">
        <v>19</v>
      </c>
      <c r="H877" s="563" t="s">
        <v>49</v>
      </c>
      <c r="I877" s="573" t="s">
        <v>328</v>
      </c>
      <c r="J877" s="573">
        <v>44547</v>
      </c>
      <c r="K877" s="563" t="s">
        <v>3809</v>
      </c>
      <c r="L877" s="572"/>
      <c r="M877" s="572"/>
      <c r="N877" s="572"/>
      <c r="O877" s="572"/>
      <c r="P877" s="572"/>
      <c r="Q877" s="572"/>
      <c r="R877" s="572"/>
      <c r="S877" s="572"/>
      <c r="T877" s="572"/>
      <c r="U877" s="572"/>
      <c r="V877" s="572"/>
      <c r="W877" s="572"/>
      <c r="X877" s="572"/>
      <c r="Y877" s="572"/>
      <c r="Z877" s="572"/>
      <c r="AA877" s="572"/>
      <c r="AB877" s="572"/>
      <c r="AC877" s="572"/>
      <c r="AD877" s="572"/>
      <c r="AE877" s="572"/>
      <c r="AF877" s="572"/>
      <c r="AG877" s="572"/>
      <c r="AH877" s="572"/>
      <c r="AI877" s="572"/>
      <c r="AJ877" s="572"/>
      <c r="AK877" s="572"/>
      <c r="AL877" s="572"/>
      <c r="AM877" s="572"/>
      <c r="AN877" s="572"/>
      <c r="AO877" s="572"/>
      <c r="AP877" s="572"/>
      <c r="AQ877" s="572"/>
      <c r="AR877" s="572"/>
      <c r="AS877" s="572"/>
      <c r="AT877" s="572"/>
      <c r="AU877" s="572"/>
    </row>
    <row r="878" spans="1:47" ht="15.75" customHeight="1">
      <c r="A878" s="573">
        <v>44669</v>
      </c>
      <c r="B878" s="574" t="s">
        <v>6711</v>
      </c>
      <c r="C878" s="532" t="s">
        <v>3785</v>
      </c>
      <c r="D878" s="563" t="s">
        <v>3110</v>
      </c>
      <c r="E878" s="575">
        <v>154271.19</v>
      </c>
      <c r="F878" s="563" t="s">
        <v>4693</v>
      </c>
      <c r="G878" s="563" t="s">
        <v>19</v>
      </c>
      <c r="H878" s="563" t="s">
        <v>20</v>
      </c>
      <c r="I878" s="573" t="s">
        <v>73</v>
      </c>
      <c r="J878" s="573">
        <v>44389</v>
      </c>
      <c r="K878" s="563" t="s">
        <v>3789</v>
      </c>
      <c r="L878" s="572"/>
      <c r="M878" s="572"/>
      <c r="N878" s="572"/>
      <c r="O878" s="572"/>
      <c r="P878" s="572"/>
      <c r="Q878" s="572"/>
      <c r="R878" s="572"/>
      <c r="S878" s="572"/>
      <c r="T878" s="572"/>
      <c r="U878" s="572"/>
      <c r="V878" s="572"/>
      <c r="W878" s="572"/>
      <c r="X878" s="572"/>
      <c r="Y878" s="572"/>
      <c r="Z878" s="572"/>
      <c r="AA878" s="572"/>
      <c r="AB878" s="572"/>
      <c r="AC878" s="572"/>
      <c r="AD878" s="572"/>
      <c r="AE878" s="572"/>
      <c r="AF878" s="572"/>
      <c r="AG878" s="572"/>
      <c r="AH878" s="572"/>
      <c r="AI878" s="572"/>
      <c r="AJ878" s="572"/>
      <c r="AK878" s="572"/>
      <c r="AL878" s="572"/>
      <c r="AM878" s="572"/>
      <c r="AN878" s="572"/>
      <c r="AO878" s="572"/>
      <c r="AP878" s="572"/>
      <c r="AQ878" s="572"/>
      <c r="AR878" s="572"/>
      <c r="AS878" s="572"/>
      <c r="AT878" s="572"/>
      <c r="AU878" s="572"/>
    </row>
    <row r="879" spans="1:47" ht="15.75" customHeight="1">
      <c r="A879" s="573">
        <v>44669</v>
      </c>
      <c r="B879" s="574" t="s">
        <v>6712</v>
      </c>
      <c r="C879" s="532" t="s">
        <v>3785</v>
      </c>
      <c r="D879" s="563" t="s">
        <v>6341</v>
      </c>
      <c r="E879" s="575">
        <v>20000</v>
      </c>
      <c r="F879" s="563" t="s">
        <v>4962</v>
      </c>
      <c r="G879" s="563" t="s">
        <v>19</v>
      </c>
      <c r="H879" s="563" t="s">
        <v>20</v>
      </c>
      <c r="I879" s="573" t="s">
        <v>3641</v>
      </c>
      <c r="J879" s="573">
        <v>44424</v>
      </c>
      <c r="K879" s="563" t="s">
        <v>3805</v>
      </c>
      <c r="L879" s="572"/>
      <c r="M879" s="572"/>
      <c r="N879" s="572"/>
      <c r="O879" s="572"/>
      <c r="P879" s="572"/>
      <c r="Q879" s="572"/>
      <c r="R879" s="572"/>
      <c r="S879" s="572"/>
      <c r="T879" s="572"/>
      <c r="U879" s="572"/>
      <c r="V879" s="572"/>
      <c r="W879" s="572"/>
      <c r="X879" s="572"/>
      <c r="Y879" s="572"/>
      <c r="Z879" s="572"/>
      <c r="AA879" s="572"/>
      <c r="AB879" s="572"/>
      <c r="AC879" s="572"/>
      <c r="AD879" s="572"/>
      <c r="AE879" s="572"/>
      <c r="AF879" s="572"/>
      <c r="AG879" s="572"/>
      <c r="AH879" s="572"/>
      <c r="AI879" s="572"/>
      <c r="AJ879" s="572"/>
      <c r="AK879" s="572"/>
      <c r="AL879" s="572"/>
      <c r="AM879" s="572"/>
      <c r="AN879" s="572"/>
      <c r="AO879" s="572"/>
      <c r="AP879" s="572"/>
      <c r="AQ879" s="572"/>
      <c r="AR879" s="572"/>
      <c r="AS879" s="572"/>
      <c r="AT879" s="572"/>
      <c r="AU879" s="572"/>
    </row>
    <row r="880" spans="1:47" ht="15.75" customHeight="1">
      <c r="A880" s="573">
        <v>44669</v>
      </c>
      <c r="B880" s="574" t="s">
        <v>6412</v>
      </c>
      <c r="C880" s="532" t="s">
        <v>3785</v>
      </c>
      <c r="D880" s="563" t="s">
        <v>6341</v>
      </c>
      <c r="E880" s="575">
        <v>25000</v>
      </c>
      <c r="F880" s="563" t="s">
        <v>4373</v>
      </c>
      <c r="G880" s="563" t="s">
        <v>64</v>
      </c>
      <c r="H880" s="563" t="s">
        <v>20</v>
      </c>
      <c r="I880" s="573" t="s">
        <v>3862</v>
      </c>
      <c r="J880" s="573">
        <v>44263</v>
      </c>
      <c r="K880" s="563" t="s">
        <v>3795</v>
      </c>
      <c r="L880" s="572"/>
      <c r="M880" s="572"/>
      <c r="N880" s="572"/>
      <c r="O880" s="572"/>
      <c r="P880" s="572"/>
      <c r="Q880" s="572"/>
      <c r="R880" s="572"/>
      <c r="S880" s="572"/>
      <c r="T880" s="572"/>
      <c r="U880" s="572"/>
      <c r="V880" s="572"/>
      <c r="W880" s="572"/>
      <c r="X880" s="572"/>
      <c r="Y880" s="572"/>
      <c r="Z880" s="572"/>
      <c r="AA880" s="572"/>
      <c r="AB880" s="572"/>
      <c r="AC880" s="572"/>
      <c r="AD880" s="572"/>
      <c r="AE880" s="572"/>
      <c r="AF880" s="572"/>
      <c r="AG880" s="572"/>
      <c r="AH880" s="572"/>
      <c r="AI880" s="572"/>
      <c r="AJ880" s="572"/>
      <c r="AK880" s="572"/>
      <c r="AL880" s="572"/>
      <c r="AM880" s="572"/>
      <c r="AN880" s="572"/>
      <c r="AO880" s="572"/>
      <c r="AP880" s="572"/>
      <c r="AQ880" s="572"/>
      <c r="AR880" s="572"/>
      <c r="AS880" s="572"/>
      <c r="AT880" s="572"/>
      <c r="AU880" s="572"/>
    </row>
    <row r="881" spans="1:47" ht="15.75" customHeight="1">
      <c r="A881" s="573">
        <v>44669</v>
      </c>
      <c r="B881" s="574" t="s">
        <v>6689</v>
      </c>
      <c r="C881" s="532" t="s">
        <v>3785</v>
      </c>
      <c r="D881" s="563" t="s">
        <v>6341</v>
      </c>
      <c r="E881" s="575">
        <v>10000</v>
      </c>
      <c r="F881" s="532" t="s">
        <v>6690</v>
      </c>
      <c r="G881" s="563" t="s">
        <v>19</v>
      </c>
      <c r="H881" s="563" t="s">
        <v>49</v>
      </c>
      <c r="I881" s="563" t="s">
        <v>50</v>
      </c>
      <c r="J881" s="573">
        <v>44656</v>
      </c>
      <c r="K881" s="563" t="s">
        <v>3795</v>
      </c>
      <c r="L881" s="572"/>
      <c r="M881" s="572"/>
      <c r="N881" s="572"/>
      <c r="O881" s="572"/>
      <c r="P881" s="572"/>
      <c r="Q881" s="572"/>
      <c r="R881" s="572"/>
      <c r="S881" s="572"/>
      <c r="T881" s="572"/>
      <c r="U881" s="572"/>
      <c r="V881" s="572"/>
      <c r="W881" s="572"/>
      <c r="X881" s="572"/>
      <c r="Y881" s="572"/>
      <c r="Z881" s="572"/>
      <c r="AA881" s="572"/>
      <c r="AB881" s="572"/>
      <c r="AC881" s="572"/>
      <c r="AD881" s="572"/>
      <c r="AE881" s="572"/>
      <c r="AF881" s="572"/>
      <c r="AG881" s="572"/>
      <c r="AH881" s="572"/>
      <c r="AI881" s="572"/>
      <c r="AJ881" s="572"/>
      <c r="AK881" s="572"/>
      <c r="AL881" s="572"/>
      <c r="AM881" s="572"/>
      <c r="AN881" s="572"/>
      <c r="AO881" s="572"/>
      <c r="AP881" s="572"/>
      <c r="AQ881" s="572"/>
      <c r="AR881" s="572"/>
      <c r="AS881" s="572"/>
      <c r="AT881" s="572"/>
      <c r="AU881" s="572"/>
    </row>
    <row r="882" spans="1:47" ht="15.75" customHeight="1">
      <c r="A882" s="573">
        <v>44669</v>
      </c>
      <c r="B882" s="574">
        <v>7542389</v>
      </c>
      <c r="C882" s="532" t="s">
        <v>3785</v>
      </c>
      <c r="D882" s="563" t="s">
        <v>6341</v>
      </c>
      <c r="E882" s="575">
        <v>1000</v>
      </c>
      <c r="F882" s="532" t="s">
        <v>4844</v>
      </c>
      <c r="G882" s="563" t="s">
        <v>64</v>
      </c>
      <c r="H882" s="563" t="s">
        <v>20</v>
      </c>
      <c r="I882" s="563" t="s">
        <v>3847</v>
      </c>
      <c r="J882" s="573">
        <v>44579</v>
      </c>
      <c r="K882" s="563" t="s">
        <v>4150</v>
      </c>
      <c r="L882" s="572"/>
      <c r="M882" s="572"/>
      <c r="N882" s="572"/>
      <c r="O882" s="572"/>
      <c r="P882" s="572"/>
      <c r="Q882" s="572"/>
      <c r="R882" s="572"/>
      <c r="S882" s="572"/>
      <c r="T882" s="572"/>
      <c r="U882" s="572"/>
      <c r="V882" s="572"/>
      <c r="W882" s="572"/>
      <c r="X882" s="572"/>
      <c r="Y882" s="572"/>
      <c r="Z882" s="572"/>
      <c r="AA882" s="572"/>
      <c r="AB882" s="572"/>
      <c r="AC882" s="572"/>
      <c r="AD882" s="572"/>
      <c r="AE882" s="572"/>
      <c r="AF882" s="572"/>
      <c r="AG882" s="572"/>
      <c r="AH882" s="572"/>
      <c r="AI882" s="572"/>
      <c r="AJ882" s="572"/>
      <c r="AK882" s="572"/>
      <c r="AL882" s="572"/>
      <c r="AM882" s="572"/>
      <c r="AN882" s="572"/>
      <c r="AO882" s="572"/>
      <c r="AP882" s="572"/>
      <c r="AQ882" s="572"/>
      <c r="AR882" s="572"/>
      <c r="AS882" s="572"/>
      <c r="AT882" s="572"/>
      <c r="AU882" s="572"/>
    </row>
    <row r="883" spans="1:47" ht="15.75" customHeight="1">
      <c r="A883" s="573">
        <v>44669</v>
      </c>
      <c r="B883" s="574" t="s">
        <v>6442</v>
      </c>
      <c r="C883" s="532" t="s">
        <v>3785</v>
      </c>
      <c r="D883" s="563" t="s">
        <v>6341</v>
      </c>
      <c r="E883" s="575">
        <v>5000</v>
      </c>
      <c r="F883" s="532" t="s">
        <v>5087</v>
      </c>
      <c r="G883" s="563" t="s">
        <v>64</v>
      </c>
      <c r="H883" s="563" t="s">
        <v>20</v>
      </c>
      <c r="I883" s="563" t="s">
        <v>4472</v>
      </c>
      <c r="J883" s="573">
        <v>44180</v>
      </c>
      <c r="K883" s="563" t="s">
        <v>3795</v>
      </c>
      <c r="L883" s="572"/>
      <c r="M883" s="572"/>
      <c r="N883" s="572"/>
      <c r="O883" s="572"/>
      <c r="P883" s="572"/>
      <c r="Q883" s="572"/>
      <c r="R883" s="572"/>
      <c r="S883" s="572"/>
      <c r="T883" s="572"/>
      <c r="U883" s="572"/>
      <c r="V883" s="572"/>
      <c r="W883" s="572"/>
      <c r="X883" s="572"/>
      <c r="Y883" s="572"/>
      <c r="Z883" s="572"/>
      <c r="AA883" s="572"/>
      <c r="AB883" s="572"/>
      <c r="AC883" s="572"/>
      <c r="AD883" s="572"/>
      <c r="AE883" s="572"/>
      <c r="AF883" s="572"/>
      <c r="AG883" s="572"/>
      <c r="AH883" s="572"/>
      <c r="AI883" s="572"/>
      <c r="AJ883" s="572"/>
      <c r="AK883" s="572"/>
      <c r="AL883" s="572"/>
      <c r="AM883" s="572"/>
      <c r="AN883" s="572"/>
      <c r="AO883" s="572"/>
      <c r="AP883" s="572"/>
      <c r="AQ883" s="572"/>
      <c r="AR883" s="572"/>
      <c r="AS883" s="572"/>
      <c r="AT883" s="572"/>
      <c r="AU883" s="572"/>
    </row>
    <row r="884" spans="1:47" ht="15.75" customHeight="1">
      <c r="A884" s="573">
        <v>44670</v>
      </c>
      <c r="B884" s="574" t="s">
        <v>6656</v>
      </c>
      <c r="C884" s="532" t="s">
        <v>2921</v>
      </c>
      <c r="D884" s="563" t="s">
        <v>6341</v>
      </c>
      <c r="E884" s="575">
        <v>62000</v>
      </c>
      <c r="F884" s="532" t="s">
        <v>6713</v>
      </c>
      <c r="G884" s="563" t="s">
        <v>2923</v>
      </c>
      <c r="H884" s="563" t="s">
        <v>20</v>
      </c>
      <c r="I884" s="563" t="s">
        <v>2924</v>
      </c>
      <c r="J884" s="573">
        <v>43811</v>
      </c>
      <c r="K884" s="563" t="s">
        <v>3805</v>
      </c>
      <c r="L884" s="572"/>
      <c r="M884" s="572"/>
      <c r="N884" s="572"/>
      <c r="O884" s="572"/>
      <c r="P884" s="572"/>
      <c r="Q884" s="572"/>
      <c r="R884" s="572"/>
      <c r="S884" s="572"/>
      <c r="T884" s="572"/>
      <c r="U884" s="572"/>
      <c r="V884" s="572"/>
      <c r="W884" s="572"/>
      <c r="X884" s="572"/>
      <c r="Y884" s="572"/>
      <c r="Z884" s="572"/>
      <c r="AA884" s="572"/>
      <c r="AB884" s="572"/>
      <c r="AC884" s="572"/>
      <c r="AD884" s="572"/>
      <c r="AE884" s="572"/>
      <c r="AF884" s="572"/>
      <c r="AG884" s="572"/>
      <c r="AH884" s="572"/>
      <c r="AI884" s="572"/>
      <c r="AJ884" s="572"/>
      <c r="AK884" s="572"/>
      <c r="AL884" s="572"/>
      <c r="AM884" s="572"/>
      <c r="AN884" s="572"/>
      <c r="AO884" s="572"/>
      <c r="AP884" s="572"/>
      <c r="AQ884" s="572"/>
      <c r="AR884" s="572"/>
      <c r="AS884" s="572"/>
      <c r="AT884" s="572"/>
      <c r="AU884" s="572"/>
    </row>
    <row r="885" spans="1:47" ht="15.75" customHeight="1">
      <c r="A885" s="573">
        <v>44671</v>
      </c>
      <c r="B885" s="574" t="s">
        <v>6714</v>
      </c>
      <c r="C885" s="532" t="s">
        <v>3785</v>
      </c>
      <c r="D885" s="563" t="s">
        <v>928</v>
      </c>
      <c r="E885" s="575">
        <v>581895.17000000004</v>
      </c>
      <c r="F885" s="532" t="s">
        <v>3808</v>
      </c>
      <c r="G885" s="563" t="s">
        <v>19</v>
      </c>
      <c r="H885" s="563" t="s">
        <v>49</v>
      </c>
      <c r="I885" s="563" t="s">
        <v>5258</v>
      </c>
      <c r="J885" s="573">
        <v>44084</v>
      </c>
      <c r="K885" s="563" t="s">
        <v>3809</v>
      </c>
      <c r="L885" s="572"/>
      <c r="M885" s="572"/>
      <c r="N885" s="572"/>
      <c r="O885" s="572"/>
      <c r="P885" s="572"/>
      <c r="Q885" s="572"/>
      <c r="R885" s="572"/>
      <c r="S885" s="572"/>
      <c r="T885" s="572"/>
      <c r="U885" s="572"/>
      <c r="V885" s="572"/>
      <c r="W885" s="572"/>
      <c r="X885" s="572"/>
      <c r="Y885" s="572"/>
      <c r="Z885" s="572"/>
      <c r="AA885" s="572"/>
      <c r="AB885" s="572"/>
      <c r="AC885" s="572"/>
      <c r="AD885" s="572"/>
      <c r="AE885" s="572"/>
      <c r="AF885" s="572"/>
      <c r="AG885" s="572"/>
      <c r="AH885" s="572"/>
      <c r="AI885" s="572"/>
      <c r="AJ885" s="572"/>
      <c r="AK885" s="572"/>
      <c r="AL885" s="572"/>
      <c r="AM885" s="572"/>
      <c r="AN885" s="572"/>
      <c r="AO885" s="572"/>
      <c r="AP885" s="572"/>
      <c r="AQ885" s="572"/>
      <c r="AR885" s="572"/>
      <c r="AS885" s="572"/>
      <c r="AT885" s="572"/>
      <c r="AU885" s="572"/>
    </row>
    <row r="886" spans="1:47" ht="15.75" customHeight="1">
      <c r="A886" s="573">
        <v>44671</v>
      </c>
      <c r="B886" s="574" t="s">
        <v>6715</v>
      </c>
      <c r="C886" s="532" t="s">
        <v>3785</v>
      </c>
      <c r="D886" s="563" t="s">
        <v>6341</v>
      </c>
      <c r="E886" s="575">
        <v>10000</v>
      </c>
      <c r="F886" s="532" t="s">
        <v>4738</v>
      </c>
      <c r="G886" s="563" t="s">
        <v>19</v>
      </c>
      <c r="H886" s="563" t="s">
        <v>49</v>
      </c>
      <c r="I886" s="563" t="s">
        <v>166</v>
      </c>
      <c r="J886" s="573">
        <v>44645</v>
      </c>
      <c r="K886" s="563" t="s">
        <v>3802</v>
      </c>
      <c r="L886" s="572"/>
      <c r="M886" s="572"/>
      <c r="N886" s="572"/>
      <c r="O886" s="572"/>
      <c r="P886" s="572"/>
      <c r="Q886" s="572"/>
      <c r="R886" s="572"/>
      <c r="S886" s="572"/>
      <c r="T886" s="572"/>
      <c r="U886" s="572"/>
      <c r="V886" s="572"/>
      <c r="W886" s="572"/>
      <c r="X886" s="572"/>
      <c r="Y886" s="572"/>
      <c r="Z886" s="572"/>
      <c r="AA886" s="572"/>
      <c r="AB886" s="572"/>
      <c r="AC886" s="572"/>
      <c r="AD886" s="572"/>
      <c r="AE886" s="572"/>
      <c r="AF886" s="572"/>
      <c r="AG886" s="572"/>
      <c r="AH886" s="572"/>
      <c r="AI886" s="572"/>
      <c r="AJ886" s="572"/>
      <c r="AK886" s="572"/>
      <c r="AL886" s="572"/>
      <c r="AM886" s="572"/>
      <c r="AN886" s="572"/>
      <c r="AO886" s="572"/>
      <c r="AP886" s="572"/>
      <c r="AQ886" s="572"/>
      <c r="AR886" s="572"/>
      <c r="AS886" s="572"/>
      <c r="AT886" s="572"/>
      <c r="AU886" s="572"/>
    </row>
    <row r="887" spans="1:47" ht="15.75" customHeight="1">
      <c r="A887" s="573">
        <v>44671</v>
      </c>
      <c r="B887" s="574" t="s">
        <v>6475</v>
      </c>
      <c r="C887" s="532" t="s">
        <v>2921</v>
      </c>
      <c r="D887" s="563" t="s">
        <v>6341</v>
      </c>
      <c r="E887" s="575">
        <v>15000</v>
      </c>
      <c r="F887" s="532" t="s">
        <v>6716</v>
      </c>
      <c r="G887" s="563" t="s">
        <v>19</v>
      </c>
      <c r="H887" s="563" t="s">
        <v>34</v>
      </c>
      <c r="I887" s="563" t="s">
        <v>262</v>
      </c>
      <c r="J887" s="573">
        <v>44319</v>
      </c>
      <c r="K887" s="563" t="s">
        <v>3795</v>
      </c>
      <c r="L887" s="572"/>
      <c r="M887" s="572"/>
      <c r="N887" s="572"/>
      <c r="O887" s="572"/>
      <c r="P887" s="572"/>
      <c r="Q887" s="572"/>
      <c r="R887" s="572"/>
      <c r="S887" s="572"/>
      <c r="T887" s="572"/>
      <c r="U887" s="572"/>
      <c r="V887" s="572"/>
      <c r="W887" s="572"/>
      <c r="X887" s="572"/>
      <c r="Y887" s="572"/>
      <c r="Z887" s="572"/>
      <c r="AA887" s="572"/>
      <c r="AB887" s="572"/>
      <c r="AC887" s="572"/>
      <c r="AD887" s="572"/>
      <c r="AE887" s="572"/>
      <c r="AF887" s="572"/>
      <c r="AG887" s="572"/>
      <c r="AH887" s="572"/>
      <c r="AI887" s="572"/>
      <c r="AJ887" s="572"/>
      <c r="AK887" s="572"/>
      <c r="AL887" s="572"/>
      <c r="AM887" s="572"/>
      <c r="AN887" s="572"/>
      <c r="AO887" s="572"/>
      <c r="AP887" s="572"/>
      <c r="AQ887" s="572"/>
      <c r="AR887" s="572"/>
      <c r="AS887" s="572"/>
      <c r="AT887" s="572"/>
      <c r="AU887" s="572"/>
    </row>
    <row r="888" spans="1:47" ht="15.75" customHeight="1">
      <c r="A888" s="573">
        <v>44671</v>
      </c>
      <c r="B888" s="574" t="s">
        <v>6519</v>
      </c>
      <c r="C888" s="532" t="s">
        <v>2921</v>
      </c>
      <c r="D888" s="563" t="s">
        <v>6341</v>
      </c>
      <c r="E888" s="575">
        <v>911.9</v>
      </c>
      <c r="F888" s="532" t="s">
        <v>745</v>
      </c>
      <c r="G888" s="563" t="s">
        <v>19</v>
      </c>
      <c r="H888" s="563" t="s">
        <v>34</v>
      </c>
      <c r="I888" s="563" t="s">
        <v>35</v>
      </c>
      <c r="J888" s="573">
        <v>44280</v>
      </c>
      <c r="K888" s="563" t="s">
        <v>3795</v>
      </c>
      <c r="L888" s="572"/>
      <c r="M888" s="572"/>
      <c r="N888" s="572"/>
      <c r="O888" s="572"/>
      <c r="P888" s="572"/>
      <c r="Q888" s="572"/>
      <c r="R888" s="572"/>
      <c r="S888" s="572"/>
      <c r="T888" s="572"/>
      <c r="U888" s="572"/>
      <c r="V888" s="572"/>
      <c r="W888" s="572"/>
      <c r="X888" s="572"/>
      <c r="Y888" s="572"/>
      <c r="Z888" s="572"/>
      <c r="AA888" s="572"/>
      <c r="AB888" s="572"/>
      <c r="AC888" s="572"/>
      <c r="AD888" s="572"/>
      <c r="AE888" s="572"/>
      <c r="AF888" s="572"/>
      <c r="AG888" s="572"/>
      <c r="AH888" s="572"/>
      <c r="AI888" s="572"/>
      <c r="AJ888" s="572"/>
      <c r="AK888" s="572"/>
      <c r="AL888" s="572"/>
      <c r="AM888" s="572"/>
      <c r="AN888" s="572"/>
      <c r="AO888" s="572"/>
      <c r="AP888" s="572"/>
      <c r="AQ888" s="572"/>
      <c r="AR888" s="572"/>
      <c r="AS888" s="572"/>
      <c r="AT888" s="572"/>
      <c r="AU888" s="572"/>
    </row>
    <row r="889" spans="1:47" ht="15.75" customHeight="1">
      <c r="A889" s="573">
        <v>44673</v>
      </c>
      <c r="B889" s="574" t="s">
        <v>6676</v>
      </c>
      <c r="C889" s="532" t="s">
        <v>3785</v>
      </c>
      <c r="D889" s="563" t="s">
        <v>6341</v>
      </c>
      <c r="E889" s="575">
        <v>146000</v>
      </c>
      <c r="F889" s="532" t="s">
        <v>4491</v>
      </c>
      <c r="G889" s="563" t="s">
        <v>19</v>
      </c>
      <c r="H889" s="563" t="s">
        <v>49</v>
      </c>
      <c r="I889" s="563" t="s">
        <v>50</v>
      </c>
      <c r="J889" s="573">
        <v>44615</v>
      </c>
      <c r="K889" s="563" t="s">
        <v>3795</v>
      </c>
      <c r="L889" s="572"/>
      <c r="M889" s="572"/>
      <c r="N889" s="572"/>
      <c r="O889" s="572"/>
      <c r="P889" s="572"/>
      <c r="Q889" s="572"/>
      <c r="R889" s="572"/>
      <c r="S889" s="572"/>
      <c r="T889" s="572"/>
      <c r="U889" s="572"/>
      <c r="V889" s="572"/>
      <c r="W889" s="572"/>
      <c r="X889" s="572"/>
      <c r="Y889" s="572"/>
      <c r="Z889" s="572"/>
      <c r="AA889" s="572"/>
      <c r="AB889" s="572"/>
      <c r="AC889" s="572"/>
      <c r="AD889" s="572"/>
      <c r="AE889" s="572"/>
      <c r="AF889" s="572"/>
      <c r="AG889" s="572"/>
      <c r="AH889" s="572"/>
      <c r="AI889" s="572"/>
      <c r="AJ889" s="572"/>
      <c r="AK889" s="572"/>
      <c r="AL889" s="572"/>
      <c r="AM889" s="572"/>
      <c r="AN889" s="572"/>
      <c r="AO889" s="572"/>
      <c r="AP889" s="572"/>
      <c r="AQ889" s="572"/>
      <c r="AR889" s="572"/>
      <c r="AS889" s="572"/>
      <c r="AT889" s="572"/>
      <c r="AU889" s="572"/>
    </row>
    <row r="890" spans="1:47" ht="15.75" customHeight="1">
      <c r="A890" s="573">
        <v>44673</v>
      </c>
      <c r="B890" s="574" t="s">
        <v>6717</v>
      </c>
      <c r="C890" s="532" t="s">
        <v>3785</v>
      </c>
      <c r="D890" s="563" t="s">
        <v>3110</v>
      </c>
      <c r="E890" s="575">
        <v>114850.92</v>
      </c>
      <c r="F890" s="532" t="s">
        <v>4409</v>
      </c>
      <c r="G890" s="563" t="s">
        <v>19</v>
      </c>
      <c r="H890" s="563" t="s">
        <v>49</v>
      </c>
      <c r="I890" s="563" t="s">
        <v>328</v>
      </c>
      <c r="J890" s="573">
        <v>44462</v>
      </c>
      <c r="K890" s="563" t="s">
        <v>3795</v>
      </c>
      <c r="L890" s="572"/>
      <c r="M890" s="572"/>
      <c r="N890" s="572"/>
      <c r="O890" s="572"/>
      <c r="P890" s="572"/>
      <c r="Q890" s="572"/>
      <c r="R890" s="572"/>
      <c r="S890" s="572"/>
      <c r="T890" s="572"/>
      <c r="U890" s="572"/>
      <c r="V890" s="572"/>
      <c r="W890" s="572"/>
      <c r="X890" s="572"/>
      <c r="Y890" s="572"/>
      <c r="Z890" s="572"/>
      <c r="AA890" s="572"/>
      <c r="AB890" s="572"/>
      <c r="AC890" s="572"/>
      <c r="AD890" s="572"/>
      <c r="AE890" s="572"/>
      <c r="AF890" s="572"/>
      <c r="AG890" s="572"/>
      <c r="AH890" s="572"/>
      <c r="AI890" s="572"/>
      <c r="AJ890" s="572"/>
      <c r="AK890" s="572"/>
      <c r="AL890" s="572"/>
      <c r="AM890" s="572"/>
      <c r="AN890" s="572"/>
      <c r="AO890" s="572"/>
      <c r="AP890" s="572"/>
      <c r="AQ890" s="572"/>
      <c r="AR890" s="572"/>
      <c r="AS890" s="572"/>
      <c r="AT890" s="572"/>
      <c r="AU890" s="572"/>
    </row>
    <row r="891" spans="1:47" ht="15.75" customHeight="1">
      <c r="A891" s="573">
        <v>44673</v>
      </c>
      <c r="B891" s="574" t="s">
        <v>6718</v>
      </c>
      <c r="C891" s="532" t="s">
        <v>3785</v>
      </c>
      <c r="D891" s="563" t="s">
        <v>6341</v>
      </c>
      <c r="E891" s="575">
        <v>100000</v>
      </c>
      <c r="F891" s="532" t="s">
        <v>6719</v>
      </c>
      <c r="G891" s="563" t="s">
        <v>19</v>
      </c>
      <c r="H891" s="563" t="s">
        <v>49</v>
      </c>
      <c r="I891" s="573" t="s">
        <v>6326</v>
      </c>
      <c r="J891" s="573">
        <v>44454</v>
      </c>
      <c r="K891" s="563" t="s">
        <v>3795</v>
      </c>
      <c r="L891" s="572"/>
      <c r="M891" s="572"/>
      <c r="N891" s="572"/>
      <c r="O891" s="572"/>
      <c r="P891" s="572"/>
      <c r="Q891" s="572"/>
      <c r="R891" s="572"/>
      <c r="S891" s="572"/>
      <c r="T891" s="572"/>
      <c r="U891" s="572"/>
      <c r="V891" s="572"/>
      <c r="W891" s="572"/>
      <c r="X891" s="572"/>
      <c r="Y891" s="572"/>
      <c r="Z891" s="572"/>
      <c r="AA891" s="572"/>
      <c r="AB891" s="572"/>
      <c r="AC891" s="572"/>
      <c r="AD891" s="572"/>
      <c r="AE891" s="572"/>
      <c r="AF891" s="572"/>
      <c r="AG891" s="572"/>
      <c r="AH891" s="572"/>
      <c r="AI891" s="572"/>
      <c r="AJ891" s="572"/>
      <c r="AK891" s="572"/>
      <c r="AL891" s="572"/>
      <c r="AM891" s="572"/>
      <c r="AN891" s="572"/>
      <c r="AO891" s="572"/>
      <c r="AP891" s="572"/>
      <c r="AQ891" s="572"/>
      <c r="AR891" s="572"/>
      <c r="AS891" s="572"/>
      <c r="AT891" s="572"/>
      <c r="AU891" s="572"/>
    </row>
    <row r="892" spans="1:47" ht="15.75" customHeight="1">
      <c r="A892" s="573">
        <v>44673</v>
      </c>
      <c r="B892" s="574" t="s">
        <v>6504</v>
      </c>
      <c r="C892" s="532" t="s">
        <v>2921</v>
      </c>
      <c r="D892" s="563" t="s">
        <v>6341</v>
      </c>
      <c r="E892" s="575">
        <v>100000</v>
      </c>
      <c r="F892" s="532" t="s">
        <v>6720</v>
      </c>
      <c r="G892" s="563" t="s">
        <v>19</v>
      </c>
      <c r="H892" s="563" t="s">
        <v>34</v>
      </c>
      <c r="I892" s="563" t="s">
        <v>262</v>
      </c>
      <c r="J892" s="573">
        <v>44321</v>
      </c>
      <c r="K892" s="563" t="s">
        <v>3805</v>
      </c>
      <c r="L892" s="572"/>
      <c r="M892" s="572"/>
      <c r="N892" s="572"/>
      <c r="O892" s="572"/>
      <c r="P892" s="572"/>
      <c r="Q892" s="572"/>
      <c r="R892" s="572"/>
      <c r="S892" s="572"/>
      <c r="T892" s="572"/>
      <c r="U892" s="572"/>
      <c r="V892" s="572"/>
      <c r="W892" s="572"/>
      <c r="X892" s="572"/>
      <c r="Y892" s="572"/>
      <c r="Z892" s="572"/>
      <c r="AA892" s="572"/>
      <c r="AB892" s="572"/>
      <c r="AC892" s="572"/>
      <c r="AD892" s="572"/>
      <c r="AE892" s="572"/>
      <c r="AF892" s="572"/>
      <c r="AG892" s="572"/>
      <c r="AH892" s="572"/>
      <c r="AI892" s="572"/>
      <c r="AJ892" s="572"/>
      <c r="AK892" s="572"/>
      <c r="AL892" s="572"/>
      <c r="AM892" s="572"/>
      <c r="AN892" s="572"/>
      <c r="AO892" s="572"/>
      <c r="AP892" s="572"/>
      <c r="AQ892" s="572"/>
      <c r="AR892" s="572"/>
      <c r="AS892" s="572"/>
      <c r="AT892" s="572"/>
      <c r="AU892" s="572"/>
    </row>
    <row r="893" spans="1:47" ht="15.75" customHeight="1">
      <c r="A893" s="573">
        <v>44676</v>
      </c>
      <c r="B893" s="574" t="s">
        <v>6653</v>
      </c>
      <c r="C893" s="532" t="s">
        <v>2921</v>
      </c>
      <c r="D893" s="563" t="s">
        <v>6341</v>
      </c>
      <c r="E893" s="575">
        <v>20000</v>
      </c>
      <c r="F893" s="532" t="s">
        <v>3268</v>
      </c>
      <c r="G893" s="563" t="s">
        <v>19</v>
      </c>
      <c r="H893" s="563" t="s">
        <v>34</v>
      </c>
      <c r="I893" s="563" t="s">
        <v>262</v>
      </c>
      <c r="J893" s="573">
        <v>44333</v>
      </c>
      <c r="K893" s="563" t="s">
        <v>3805</v>
      </c>
      <c r="L893" s="572"/>
      <c r="M893" s="572"/>
      <c r="N893" s="572"/>
      <c r="O893" s="572"/>
      <c r="P893" s="572"/>
      <c r="Q893" s="572"/>
      <c r="R893" s="572"/>
      <c r="S893" s="572"/>
      <c r="T893" s="572"/>
      <c r="U893" s="572"/>
      <c r="V893" s="572"/>
      <c r="W893" s="572"/>
      <c r="X893" s="572"/>
      <c r="Y893" s="572"/>
      <c r="Z893" s="572"/>
      <c r="AA893" s="572"/>
      <c r="AB893" s="572"/>
      <c r="AC893" s="572"/>
      <c r="AD893" s="572"/>
      <c r="AE893" s="572"/>
      <c r="AF893" s="572"/>
      <c r="AG893" s="572"/>
      <c r="AH893" s="572"/>
      <c r="AI893" s="572"/>
      <c r="AJ893" s="572"/>
      <c r="AK893" s="572"/>
      <c r="AL893" s="572"/>
      <c r="AM893" s="572"/>
      <c r="AN893" s="572"/>
      <c r="AO893" s="572"/>
      <c r="AP893" s="572"/>
      <c r="AQ893" s="572"/>
      <c r="AR893" s="572"/>
      <c r="AS893" s="572"/>
      <c r="AT893" s="572"/>
      <c r="AU893" s="572"/>
    </row>
    <row r="894" spans="1:47" ht="15.75" customHeight="1">
      <c r="A894" s="577">
        <v>44676</v>
      </c>
      <c r="B894" s="605" t="s">
        <v>6721</v>
      </c>
      <c r="C894" s="405" t="s">
        <v>2921</v>
      </c>
      <c r="D894" s="563" t="s">
        <v>3110</v>
      </c>
      <c r="E894" s="586" t="s">
        <v>6722</v>
      </c>
      <c r="F894" s="563" t="s">
        <v>3074</v>
      </c>
      <c r="G894" s="573" t="s">
        <v>19</v>
      </c>
      <c r="H894" s="573" t="s">
        <v>34</v>
      </c>
      <c r="I894" s="573" t="s">
        <v>35</v>
      </c>
      <c r="J894" s="573">
        <v>44263</v>
      </c>
      <c r="K894" s="573" t="s">
        <v>3809</v>
      </c>
      <c r="L894" s="572"/>
      <c r="M894" s="572"/>
      <c r="N894" s="572"/>
      <c r="O894" s="572"/>
      <c r="P894" s="572"/>
      <c r="Q894" s="572"/>
      <c r="R894" s="572"/>
      <c r="S894" s="572"/>
      <c r="T894" s="572"/>
      <c r="U894" s="572"/>
      <c r="V894" s="572"/>
      <c r="W894" s="572"/>
      <c r="X894" s="572"/>
      <c r="Y894" s="572"/>
      <c r="Z894" s="572"/>
      <c r="AA894" s="572"/>
      <c r="AB894" s="572"/>
      <c r="AC894" s="572"/>
      <c r="AD894" s="572"/>
      <c r="AE894" s="572"/>
      <c r="AF894" s="572"/>
      <c r="AG894" s="572"/>
      <c r="AH894" s="572"/>
      <c r="AI894" s="572"/>
      <c r="AJ894" s="572"/>
      <c r="AK894" s="572"/>
      <c r="AL894" s="572"/>
      <c r="AM894" s="572"/>
      <c r="AN894" s="572"/>
      <c r="AO894" s="572"/>
      <c r="AP894" s="572"/>
      <c r="AQ894" s="572"/>
      <c r="AR894" s="572"/>
      <c r="AS894" s="572"/>
      <c r="AT894" s="572"/>
      <c r="AU894" s="572"/>
    </row>
    <row r="895" spans="1:47" ht="15.75" customHeight="1">
      <c r="A895" s="573">
        <v>44677</v>
      </c>
      <c r="B895" s="574" t="s">
        <v>6723</v>
      </c>
      <c r="C895" s="532" t="s">
        <v>2921</v>
      </c>
      <c r="D895" s="563" t="s">
        <v>6341</v>
      </c>
      <c r="E895" s="575">
        <v>62000</v>
      </c>
      <c r="F895" s="563" t="s">
        <v>3277</v>
      </c>
      <c r="G895" s="563" t="s">
        <v>2989</v>
      </c>
      <c r="H895" s="563" t="s">
        <v>20</v>
      </c>
      <c r="I895" s="573" t="s">
        <v>2989</v>
      </c>
      <c r="J895" s="573">
        <v>43439</v>
      </c>
      <c r="K895" s="563" t="s">
        <v>3809</v>
      </c>
      <c r="L895" s="572"/>
      <c r="M895" s="572"/>
      <c r="N895" s="572"/>
      <c r="O895" s="572"/>
      <c r="P895" s="572"/>
      <c r="Q895" s="572"/>
      <c r="R895" s="572"/>
      <c r="S895" s="572"/>
      <c r="T895" s="572"/>
      <c r="U895" s="572"/>
      <c r="V895" s="572"/>
      <c r="W895" s="572"/>
      <c r="X895" s="572"/>
      <c r="Y895" s="572"/>
      <c r="Z895" s="572"/>
      <c r="AA895" s="572"/>
      <c r="AB895" s="572"/>
      <c r="AC895" s="572"/>
      <c r="AD895" s="572"/>
      <c r="AE895" s="572"/>
      <c r="AF895" s="572"/>
      <c r="AG895" s="572"/>
      <c r="AH895" s="572"/>
      <c r="AI895" s="572"/>
      <c r="AJ895" s="572"/>
      <c r="AK895" s="572"/>
      <c r="AL895" s="572"/>
      <c r="AM895" s="572"/>
      <c r="AN895" s="572"/>
      <c r="AO895" s="572"/>
      <c r="AP895" s="572"/>
      <c r="AQ895" s="572"/>
      <c r="AR895" s="572"/>
      <c r="AS895" s="572"/>
      <c r="AT895" s="572"/>
      <c r="AU895" s="572"/>
    </row>
    <row r="896" spans="1:47" ht="15.75" customHeight="1">
      <c r="A896" s="573">
        <v>44677</v>
      </c>
      <c r="B896" s="574" t="s">
        <v>3630</v>
      </c>
      <c r="C896" s="532" t="s">
        <v>3607</v>
      </c>
      <c r="D896" s="563" t="s">
        <v>6341</v>
      </c>
      <c r="E896" s="575">
        <v>3000</v>
      </c>
      <c r="F896" s="532" t="s">
        <v>3629</v>
      </c>
      <c r="G896" s="563" t="s">
        <v>19</v>
      </c>
      <c r="H896" s="563" t="s">
        <v>19</v>
      </c>
      <c r="I896" s="573" t="s">
        <v>6244</v>
      </c>
      <c r="J896" s="573">
        <v>44062</v>
      </c>
      <c r="K896" s="563" t="s">
        <v>3795</v>
      </c>
      <c r="L896" s="572"/>
      <c r="M896" s="572"/>
      <c r="N896" s="572"/>
      <c r="O896" s="572"/>
      <c r="P896" s="572"/>
      <c r="Q896" s="572"/>
      <c r="R896" s="572"/>
      <c r="S896" s="572"/>
      <c r="T896" s="572"/>
      <c r="U896" s="572"/>
      <c r="V896" s="572"/>
      <c r="W896" s="572"/>
      <c r="X896" s="572"/>
      <c r="Y896" s="572"/>
      <c r="Z896" s="572"/>
      <c r="AA896" s="572"/>
      <c r="AB896" s="572"/>
      <c r="AC896" s="572"/>
      <c r="AD896" s="572"/>
      <c r="AE896" s="572"/>
      <c r="AF896" s="572"/>
      <c r="AG896" s="572"/>
      <c r="AH896" s="572"/>
      <c r="AI896" s="572"/>
      <c r="AJ896" s="572"/>
      <c r="AK896" s="572"/>
      <c r="AL896" s="572"/>
      <c r="AM896" s="572"/>
      <c r="AN896" s="572"/>
      <c r="AO896" s="572"/>
      <c r="AP896" s="572"/>
      <c r="AQ896" s="572"/>
      <c r="AR896" s="572"/>
      <c r="AS896" s="572"/>
      <c r="AT896" s="572"/>
      <c r="AU896" s="572"/>
    </row>
    <row r="897" spans="1:47" ht="15.75" customHeight="1">
      <c r="A897" s="573">
        <v>44677</v>
      </c>
      <c r="B897" s="584" t="s">
        <v>6724</v>
      </c>
      <c r="C897" s="625" t="s">
        <v>3785</v>
      </c>
      <c r="D897" s="626" t="s">
        <v>928</v>
      </c>
      <c r="E897" s="627">
        <v>118629.88</v>
      </c>
      <c r="F897" s="625" t="s">
        <v>4370</v>
      </c>
      <c r="G897" s="626" t="s">
        <v>19</v>
      </c>
      <c r="H897" s="626" t="s">
        <v>20</v>
      </c>
      <c r="I897" s="626" t="s">
        <v>3683</v>
      </c>
      <c r="J897" s="628">
        <v>44405</v>
      </c>
      <c r="K897" s="626" t="s">
        <v>3809</v>
      </c>
      <c r="L897" s="572"/>
      <c r="M897" s="572"/>
      <c r="N897" s="572"/>
      <c r="O897" s="572"/>
      <c r="P897" s="572"/>
      <c r="Q897" s="572"/>
      <c r="R897" s="572"/>
      <c r="S897" s="572"/>
      <c r="T897" s="572"/>
      <c r="U897" s="572"/>
      <c r="V897" s="572"/>
      <c r="W897" s="572"/>
      <c r="X897" s="572"/>
      <c r="Y897" s="572"/>
      <c r="Z897" s="572"/>
      <c r="AA897" s="572"/>
      <c r="AB897" s="572"/>
      <c r="AC897" s="572"/>
      <c r="AD897" s="572"/>
      <c r="AE897" s="572"/>
      <c r="AF897" s="572"/>
      <c r="AG897" s="572"/>
      <c r="AH897" s="572"/>
      <c r="AI897" s="572"/>
      <c r="AJ897" s="572"/>
      <c r="AK897" s="572"/>
      <c r="AL897" s="572"/>
      <c r="AM897" s="572"/>
      <c r="AN897" s="572"/>
      <c r="AO897" s="572"/>
      <c r="AP897" s="572"/>
      <c r="AQ897" s="572"/>
      <c r="AR897" s="572"/>
      <c r="AS897" s="572"/>
      <c r="AT897" s="572"/>
      <c r="AU897" s="572"/>
    </row>
    <row r="898" spans="1:47" ht="15.75" customHeight="1">
      <c r="A898" s="573">
        <v>44677</v>
      </c>
      <c r="B898" s="574" t="s">
        <v>6485</v>
      </c>
      <c r="C898" s="532" t="s">
        <v>2921</v>
      </c>
      <c r="D898" s="563" t="s">
        <v>6341</v>
      </c>
      <c r="E898" s="575">
        <v>31000</v>
      </c>
      <c r="F898" s="532" t="s">
        <v>1323</v>
      </c>
      <c r="G898" s="563" t="s">
        <v>19</v>
      </c>
      <c r="H898" s="563" t="s">
        <v>34</v>
      </c>
      <c r="I898" s="563" t="s">
        <v>35</v>
      </c>
      <c r="J898" s="573">
        <v>44319</v>
      </c>
      <c r="K898" s="563" t="s">
        <v>3795</v>
      </c>
      <c r="L898" s="572"/>
      <c r="M898" s="572"/>
      <c r="N898" s="572"/>
      <c r="O898" s="572"/>
      <c r="P898" s="572"/>
      <c r="Q898" s="572"/>
      <c r="R898" s="572"/>
      <c r="S898" s="572"/>
      <c r="T898" s="572"/>
      <c r="U898" s="572"/>
      <c r="V898" s="572"/>
      <c r="W898" s="572"/>
      <c r="X898" s="572"/>
      <c r="Y898" s="572"/>
      <c r="Z898" s="572"/>
      <c r="AA898" s="572"/>
      <c r="AB898" s="572"/>
      <c r="AC898" s="572"/>
      <c r="AD898" s="572"/>
      <c r="AE898" s="572"/>
      <c r="AF898" s="572"/>
      <c r="AG898" s="572"/>
      <c r="AH898" s="572"/>
      <c r="AI898" s="572"/>
      <c r="AJ898" s="572"/>
      <c r="AK898" s="572"/>
      <c r="AL898" s="572"/>
      <c r="AM898" s="572"/>
      <c r="AN898" s="572"/>
      <c r="AO898" s="572"/>
      <c r="AP898" s="572"/>
      <c r="AQ898" s="572"/>
      <c r="AR898" s="572"/>
      <c r="AS898" s="572"/>
      <c r="AT898" s="572"/>
      <c r="AU898" s="572"/>
    </row>
    <row r="899" spans="1:47" ht="15.75" customHeight="1">
      <c r="A899" s="573">
        <v>44679</v>
      </c>
      <c r="B899" s="574" t="s">
        <v>6609</v>
      </c>
      <c r="C899" s="532" t="s">
        <v>2921</v>
      </c>
      <c r="D899" s="563" t="s">
        <v>6341</v>
      </c>
      <c r="E899" s="575">
        <v>15000</v>
      </c>
      <c r="F899" s="532" t="s">
        <v>6725</v>
      </c>
      <c r="G899" s="563" t="s">
        <v>19</v>
      </c>
      <c r="H899" s="563" t="s">
        <v>34</v>
      </c>
      <c r="I899" s="563" t="s">
        <v>35</v>
      </c>
      <c r="J899" s="573">
        <v>44323</v>
      </c>
      <c r="K899" s="563" t="s">
        <v>3842</v>
      </c>
      <c r="L899" s="572"/>
      <c r="M899" s="572"/>
      <c r="N899" s="572"/>
      <c r="O899" s="572"/>
      <c r="P899" s="572"/>
      <c r="Q899" s="572"/>
      <c r="R899" s="572"/>
      <c r="S899" s="572"/>
      <c r="T899" s="572"/>
      <c r="U899" s="572"/>
      <c r="V899" s="572"/>
      <c r="W899" s="572"/>
      <c r="X899" s="572"/>
      <c r="Y899" s="572"/>
      <c r="Z899" s="572"/>
      <c r="AA899" s="572"/>
      <c r="AB899" s="572"/>
      <c r="AC899" s="572"/>
      <c r="AD899" s="572"/>
      <c r="AE899" s="572"/>
      <c r="AF899" s="572"/>
      <c r="AG899" s="572"/>
      <c r="AH899" s="572"/>
      <c r="AI899" s="572"/>
      <c r="AJ899" s="572"/>
      <c r="AK899" s="572"/>
      <c r="AL899" s="572"/>
      <c r="AM899" s="572"/>
      <c r="AN899" s="572"/>
      <c r="AO899" s="572"/>
      <c r="AP899" s="572"/>
      <c r="AQ899" s="572"/>
      <c r="AR899" s="572"/>
      <c r="AS899" s="572"/>
      <c r="AT899" s="572"/>
      <c r="AU899" s="572"/>
    </row>
    <row r="900" spans="1:47" ht="15.75" customHeight="1">
      <c r="A900" s="573">
        <v>44679</v>
      </c>
      <c r="B900" s="574" t="s">
        <v>6726</v>
      </c>
      <c r="C900" s="532" t="s">
        <v>2921</v>
      </c>
      <c r="D900" s="563" t="s">
        <v>6341</v>
      </c>
      <c r="E900" s="575">
        <v>75000</v>
      </c>
      <c r="F900" s="532" t="s">
        <v>6727</v>
      </c>
      <c r="G900" s="563" t="s">
        <v>19</v>
      </c>
      <c r="H900" s="563" t="s">
        <v>34</v>
      </c>
      <c r="I900" s="563" t="s">
        <v>2971</v>
      </c>
      <c r="J900" s="573">
        <v>44644</v>
      </c>
      <c r="K900" s="563" t="s">
        <v>3805</v>
      </c>
      <c r="L900" s="572"/>
      <c r="M900" s="572"/>
      <c r="N900" s="572"/>
      <c r="O900" s="572"/>
      <c r="P900" s="572"/>
      <c r="Q900" s="572"/>
      <c r="R900" s="572"/>
      <c r="S900" s="572"/>
      <c r="T900" s="572"/>
      <c r="U900" s="572"/>
      <c r="V900" s="572"/>
      <c r="W900" s="572"/>
      <c r="X900" s="572"/>
      <c r="Y900" s="572"/>
      <c r="Z900" s="572"/>
      <c r="AA900" s="572"/>
      <c r="AB900" s="572"/>
      <c r="AC900" s="572"/>
      <c r="AD900" s="572"/>
      <c r="AE900" s="572"/>
      <c r="AF900" s="572"/>
      <c r="AG900" s="572"/>
      <c r="AH900" s="572"/>
      <c r="AI900" s="572"/>
      <c r="AJ900" s="572"/>
      <c r="AK900" s="572"/>
      <c r="AL900" s="572"/>
      <c r="AM900" s="572"/>
      <c r="AN900" s="572"/>
      <c r="AO900" s="572"/>
      <c r="AP900" s="572"/>
      <c r="AQ900" s="572"/>
      <c r="AR900" s="572"/>
      <c r="AS900" s="572"/>
      <c r="AT900" s="572"/>
      <c r="AU900" s="572"/>
    </row>
    <row r="901" spans="1:47" ht="15.75" customHeight="1">
      <c r="A901" s="573">
        <v>44680</v>
      </c>
      <c r="B901" s="574" t="s">
        <v>6728</v>
      </c>
      <c r="C901" s="532" t="s">
        <v>2921</v>
      </c>
      <c r="D901" s="563" t="s">
        <v>6341</v>
      </c>
      <c r="E901" s="575">
        <v>31000</v>
      </c>
      <c r="F901" s="532" t="s">
        <v>6729</v>
      </c>
      <c r="G901" s="563" t="s">
        <v>19</v>
      </c>
      <c r="H901" s="563" t="s">
        <v>34</v>
      </c>
      <c r="I901" s="563" t="s">
        <v>2971</v>
      </c>
      <c r="J901" s="573">
        <v>44568</v>
      </c>
      <c r="K901" s="563" t="s">
        <v>3802</v>
      </c>
      <c r="L901" s="572"/>
      <c r="M901" s="572"/>
      <c r="N901" s="572"/>
      <c r="O901" s="572"/>
      <c r="P901" s="572"/>
      <c r="Q901" s="572"/>
      <c r="R901" s="572"/>
      <c r="S901" s="572"/>
      <c r="T901" s="572"/>
      <c r="U901" s="572"/>
      <c r="V901" s="572"/>
      <c r="W901" s="572"/>
      <c r="X901" s="572"/>
      <c r="Y901" s="572"/>
      <c r="Z901" s="572"/>
      <c r="AA901" s="572"/>
      <c r="AB901" s="572"/>
      <c r="AC901" s="572"/>
      <c r="AD901" s="572"/>
      <c r="AE901" s="572"/>
      <c r="AF901" s="572"/>
      <c r="AG901" s="572"/>
      <c r="AH901" s="572"/>
      <c r="AI901" s="572"/>
      <c r="AJ901" s="572"/>
      <c r="AK901" s="572"/>
      <c r="AL901" s="572"/>
      <c r="AM901" s="572"/>
      <c r="AN901" s="572"/>
      <c r="AO901" s="572"/>
      <c r="AP901" s="572"/>
      <c r="AQ901" s="572"/>
      <c r="AR901" s="572"/>
      <c r="AS901" s="572"/>
      <c r="AT901" s="572"/>
      <c r="AU901" s="572"/>
    </row>
    <row r="902" spans="1:47" ht="15.75" customHeight="1">
      <c r="A902" s="597">
        <v>44680</v>
      </c>
      <c r="B902" s="629" t="s">
        <v>6730</v>
      </c>
      <c r="C902" s="532" t="s">
        <v>3785</v>
      </c>
      <c r="D902" s="598" t="s">
        <v>3110</v>
      </c>
      <c r="E902" s="599">
        <v>288923.90000000002</v>
      </c>
      <c r="F902" s="532" t="s">
        <v>6731</v>
      </c>
      <c r="G902" s="598" t="s">
        <v>19</v>
      </c>
      <c r="H902" s="598" t="s">
        <v>49</v>
      </c>
      <c r="I902" s="598" t="s">
        <v>4134</v>
      </c>
      <c r="J902" s="597">
        <v>44398</v>
      </c>
      <c r="K902" s="532" t="s">
        <v>3802</v>
      </c>
      <c r="L902" s="572"/>
      <c r="M902" s="572"/>
      <c r="N902" s="572"/>
      <c r="O902" s="572"/>
      <c r="P902" s="572"/>
      <c r="Q902" s="572"/>
      <c r="R902" s="572"/>
      <c r="S902" s="572"/>
      <c r="T902" s="572"/>
      <c r="U902" s="572"/>
      <c r="V902" s="572"/>
      <c r="W902" s="572"/>
      <c r="X902" s="572"/>
      <c r="Y902" s="572"/>
      <c r="Z902" s="572"/>
      <c r="AA902" s="572"/>
      <c r="AB902" s="572"/>
      <c r="AC902" s="572"/>
      <c r="AD902" s="572"/>
      <c r="AE902" s="572"/>
      <c r="AF902" s="572"/>
      <c r="AG902" s="572"/>
      <c r="AH902" s="572"/>
      <c r="AI902" s="572"/>
      <c r="AJ902" s="572"/>
      <c r="AK902" s="572"/>
      <c r="AL902" s="572"/>
      <c r="AM902" s="572"/>
      <c r="AN902" s="572"/>
      <c r="AO902" s="572"/>
      <c r="AP902" s="572"/>
      <c r="AQ902" s="572"/>
      <c r="AR902" s="572"/>
      <c r="AS902" s="572"/>
      <c r="AT902" s="572"/>
      <c r="AU902" s="572"/>
    </row>
    <row r="903" spans="1:47" ht="15.75" customHeight="1">
      <c r="A903" s="573">
        <v>44682</v>
      </c>
      <c r="B903" s="532" t="s">
        <v>6548</v>
      </c>
      <c r="C903" s="532" t="s">
        <v>2921</v>
      </c>
      <c r="D903" s="563" t="s">
        <v>3110</v>
      </c>
      <c r="E903" s="575">
        <v>7399239.3600000003</v>
      </c>
      <c r="F903" s="555" t="s">
        <v>3224</v>
      </c>
      <c r="G903" s="555" t="s">
        <v>2989</v>
      </c>
      <c r="H903" s="555" t="s">
        <v>20</v>
      </c>
      <c r="I903" s="555" t="s">
        <v>2989</v>
      </c>
      <c r="J903" s="596">
        <v>44021</v>
      </c>
      <c r="K903" s="556" t="s">
        <v>3795</v>
      </c>
      <c r="L903" s="572"/>
      <c r="M903" s="572"/>
      <c r="N903" s="572"/>
      <c r="O903" s="572"/>
      <c r="P903" s="572"/>
      <c r="Q903" s="572"/>
      <c r="R903" s="572"/>
      <c r="S903" s="572"/>
      <c r="T903" s="572"/>
      <c r="U903" s="572"/>
      <c r="V903" s="572"/>
      <c r="W903" s="572"/>
      <c r="X903" s="572"/>
      <c r="Y903" s="572"/>
      <c r="Z903" s="572"/>
      <c r="AA903" s="572"/>
      <c r="AB903" s="572"/>
      <c r="AC903" s="572"/>
      <c r="AD903" s="572"/>
      <c r="AE903" s="572"/>
      <c r="AF903" s="572"/>
      <c r="AG903" s="572"/>
      <c r="AH903" s="572"/>
      <c r="AI903" s="572"/>
      <c r="AJ903" s="572"/>
      <c r="AK903" s="572"/>
      <c r="AL903" s="572"/>
      <c r="AM903" s="572"/>
      <c r="AN903" s="572"/>
      <c r="AO903" s="572"/>
      <c r="AP903" s="572"/>
      <c r="AQ903" s="572"/>
      <c r="AR903" s="572"/>
      <c r="AS903" s="572"/>
      <c r="AT903" s="572"/>
      <c r="AU903" s="572"/>
    </row>
    <row r="904" spans="1:47" ht="15.75" customHeight="1">
      <c r="A904" s="573">
        <v>44682</v>
      </c>
      <c r="B904" s="532" t="s">
        <v>6732</v>
      </c>
      <c r="C904" s="532" t="s">
        <v>2921</v>
      </c>
      <c r="D904" s="563" t="s">
        <v>3110</v>
      </c>
      <c r="E904" s="575">
        <v>4668228.6100000003</v>
      </c>
      <c r="F904" s="555" t="s">
        <v>3224</v>
      </c>
      <c r="G904" s="555" t="s">
        <v>2989</v>
      </c>
      <c r="H904" s="555" t="s">
        <v>20</v>
      </c>
      <c r="I904" s="555" t="s">
        <v>2989</v>
      </c>
      <c r="J904" s="596">
        <v>44029</v>
      </c>
      <c r="K904" s="556" t="s">
        <v>3809</v>
      </c>
      <c r="L904" s="572"/>
      <c r="M904" s="572"/>
      <c r="N904" s="572"/>
      <c r="O904" s="572"/>
      <c r="P904" s="572"/>
      <c r="Q904" s="572"/>
      <c r="R904" s="572"/>
      <c r="S904" s="572"/>
      <c r="T904" s="572"/>
      <c r="U904" s="572"/>
      <c r="V904" s="572"/>
      <c r="W904" s="572"/>
      <c r="X904" s="572"/>
      <c r="Y904" s="572"/>
      <c r="Z904" s="572"/>
      <c r="AA904" s="572"/>
      <c r="AB904" s="572"/>
      <c r="AC904" s="572"/>
      <c r="AD904" s="572"/>
      <c r="AE904" s="572"/>
      <c r="AF904" s="572"/>
      <c r="AG904" s="572"/>
      <c r="AH904" s="572"/>
      <c r="AI904" s="572"/>
      <c r="AJ904" s="572"/>
      <c r="AK904" s="572"/>
      <c r="AL904" s="572"/>
      <c r="AM904" s="572"/>
      <c r="AN904" s="572"/>
      <c r="AO904" s="572"/>
      <c r="AP904" s="572"/>
      <c r="AQ904" s="572"/>
      <c r="AR904" s="572"/>
      <c r="AS904" s="572"/>
      <c r="AT904" s="572"/>
      <c r="AU904" s="572"/>
    </row>
    <row r="905" spans="1:47" ht="15.75" customHeight="1">
      <c r="A905" s="573">
        <v>44683</v>
      </c>
      <c r="B905" s="574" t="s">
        <v>6555</v>
      </c>
      <c r="C905" s="532" t="s">
        <v>3785</v>
      </c>
      <c r="D905" s="563" t="s">
        <v>3110</v>
      </c>
      <c r="E905" s="575">
        <v>160249.53</v>
      </c>
      <c r="F905" s="532" t="s">
        <v>3931</v>
      </c>
      <c r="G905" s="563" t="s">
        <v>64</v>
      </c>
      <c r="H905" s="563" t="s">
        <v>20</v>
      </c>
      <c r="I905" s="563" t="s">
        <v>3634</v>
      </c>
      <c r="J905" s="573">
        <v>44362</v>
      </c>
      <c r="K905" s="563" t="s">
        <v>3805</v>
      </c>
      <c r="L905" s="572"/>
      <c r="M905" s="572"/>
      <c r="N905" s="572"/>
      <c r="O905" s="572"/>
      <c r="P905" s="572"/>
      <c r="Q905" s="572"/>
      <c r="R905" s="572"/>
      <c r="S905" s="572"/>
      <c r="T905" s="572"/>
      <c r="U905" s="572"/>
      <c r="V905" s="572"/>
      <c r="W905" s="572"/>
      <c r="X905" s="572"/>
      <c r="Y905" s="572"/>
      <c r="Z905" s="572"/>
      <c r="AA905" s="572"/>
      <c r="AB905" s="572"/>
      <c r="AC905" s="572"/>
      <c r="AD905" s="572"/>
      <c r="AE905" s="572"/>
      <c r="AF905" s="572"/>
      <c r="AG905" s="572"/>
      <c r="AH905" s="572"/>
      <c r="AI905" s="572"/>
      <c r="AJ905" s="572"/>
      <c r="AK905" s="572"/>
      <c r="AL905" s="572"/>
      <c r="AM905" s="572"/>
      <c r="AN905" s="572"/>
      <c r="AO905" s="572"/>
      <c r="AP905" s="572"/>
      <c r="AQ905" s="572"/>
      <c r="AR905" s="572"/>
      <c r="AS905" s="572"/>
      <c r="AT905" s="572"/>
      <c r="AU905" s="572"/>
    </row>
    <row r="906" spans="1:47" ht="15.75" customHeight="1">
      <c r="A906" s="573">
        <v>44683</v>
      </c>
      <c r="B906" s="574" t="s">
        <v>6733</v>
      </c>
      <c r="C906" s="532" t="s">
        <v>3785</v>
      </c>
      <c r="D906" s="563" t="s">
        <v>3110</v>
      </c>
      <c r="E906" s="575">
        <v>128785.37</v>
      </c>
      <c r="F906" s="532" t="s">
        <v>6734</v>
      </c>
      <c r="G906" s="563" t="s">
        <v>19</v>
      </c>
      <c r="H906" s="563" t="s">
        <v>49</v>
      </c>
      <c r="I906" s="563" t="s">
        <v>328</v>
      </c>
      <c r="J906" s="573">
        <v>44355</v>
      </c>
      <c r="K906" s="556" t="s">
        <v>3802</v>
      </c>
      <c r="L906" s="572"/>
      <c r="M906" s="572"/>
      <c r="N906" s="572"/>
      <c r="O906" s="572"/>
      <c r="P906" s="572"/>
      <c r="Q906" s="572"/>
      <c r="R906" s="572"/>
      <c r="S906" s="572"/>
      <c r="T906" s="572"/>
      <c r="U906" s="572"/>
      <c r="V906" s="572"/>
      <c r="W906" s="572"/>
      <c r="X906" s="572"/>
      <c r="Y906" s="572"/>
      <c r="Z906" s="572"/>
      <c r="AA906" s="572"/>
      <c r="AB906" s="572"/>
      <c r="AC906" s="572"/>
      <c r="AD906" s="572"/>
      <c r="AE906" s="572"/>
      <c r="AF906" s="572"/>
      <c r="AG906" s="572"/>
      <c r="AH906" s="572"/>
      <c r="AI906" s="572"/>
      <c r="AJ906" s="572"/>
      <c r="AK906" s="572"/>
      <c r="AL906" s="572"/>
      <c r="AM906" s="572"/>
      <c r="AN906" s="572"/>
      <c r="AO906" s="572"/>
      <c r="AP906" s="572"/>
      <c r="AQ906" s="572"/>
      <c r="AR906" s="572"/>
      <c r="AS906" s="572"/>
      <c r="AT906" s="572"/>
      <c r="AU906" s="572"/>
    </row>
    <row r="907" spans="1:47" ht="15.75" customHeight="1">
      <c r="A907" s="573">
        <v>44683</v>
      </c>
      <c r="B907" s="574" t="s">
        <v>6735</v>
      </c>
      <c r="C907" s="532" t="s">
        <v>3785</v>
      </c>
      <c r="D907" s="563" t="s">
        <v>3110</v>
      </c>
      <c r="E907" s="575">
        <v>158853.29</v>
      </c>
      <c r="F907" s="532" t="s">
        <v>5328</v>
      </c>
      <c r="G907" s="555" t="s">
        <v>19</v>
      </c>
      <c r="H907" s="555" t="s">
        <v>49</v>
      </c>
      <c r="I907" s="555" t="s">
        <v>328</v>
      </c>
      <c r="J907" s="596">
        <v>44229</v>
      </c>
      <c r="K907" s="556" t="s">
        <v>3789</v>
      </c>
      <c r="L907" s="572"/>
      <c r="M907" s="572"/>
      <c r="N907" s="572"/>
      <c r="O907" s="572"/>
      <c r="P907" s="572"/>
      <c r="Q907" s="572"/>
      <c r="R907" s="572"/>
      <c r="S907" s="572"/>
      <c r="T907" s="572"/>
      <c r="U907" s="572"/>
      <c r="V907" s="572"/>
      <c r="W907" s="572"/>
      <c r="X907" s="572"/>
      <c r="Y907" s="572"/>
      <c r="Z907" s="572"/>
      <c r="AA907" s="572"/>
      <c r="AB907" s="572"/>
      <c r="AC907" s="572"/>
      <c r="AD907" s="572"/>
      <c r="AE907" s="572"/>
      <c r="AF907" s="572"/>
      <c r="AG907" s="572"/>
      <c r="AH907" s="572"/>
      <c r="AI907" s="572"/>
      <c r="AJ907" s="572"/>
      <c r="AK907" s="572"/>
      <c r="AL907" s="572"/>
      <c r="AM907" s="572"/>
      <c r="AN907" s="572"/>
      <c r="AO907" s="572"/>
      <c r="AP907" s="572"/>
      <c r="AQ907" s="572"/>
      <c r="AR907" s="572"/>
      <c r="AS907" s="572"/>
      <c r="AT907" s="572"/>
      <c r="AU907" s="572"/>
    </row>
    <row r="908" spans="1:47" ht="15.75" customHeight="1">
      <c r="A908" s="573">
        <v>44683</v>
      </c>
      <c r="B908" s="574" t="s">
        <v>6706</v>
      </c>
      <c r="C908" s="532" t="s">
        <v>3785</v>
      </c>
      <c r="D908" s="563" t="s">
        <v>6341</v>
      </c>
      <c r="E908" s="575">
        <v>11329.01</v>
      </c>
      <c r="F908" s="532" t="s">
        <v>2052</v>
      </c>
      <c r="G908" s="555" t="s">
        <v>19</v>
      </c>
      <c r="H908" s="555" t="s">
        <v>49</v>
      </c>
      <c r="I908" s="555" t="s">
        <v>50</v>
      </c>
      <c r="J908" s="596">
        <v>44614</v>
      </c>
      <c r="K908" s="556" t="s">
        <v>3795</v>
      </c>
      <c r="L908" s="572"/>
      <c r="M908" s="572"/>
      <c r="N908" s="572"/>
      <c r="O908" s="572"/>
      <c r="P908" s="572"/>
      <c r="Q908" s="572"/>
      <c r="R908" s="572"/>
      <c r="S908" s="572"/>
      <c r="T908" s="572"/>
      <c r="U908" s="572"/>
      <c r="V908" s="572"/>
      <c r="W908" s="572"/>
      <c r="X908" s="572"/>
      <c r="Y908" s="572"/>
      <c r="Z908" s="572"/>
      <c r="AA908" s="572"/>
      <c r="AB908" s="572"/>
      <c r="AC908" s="572"/>
      <c r="AD908" s="572"/>
      <c r="AE908" s="572"/>
      <c r="AF908" s="572"/>
      <c r="AG908" s="572"/>
      <c r="AH908" s="572"/>
      <c r="AI908" s="572"/>
      <c r="AJ908" s="572"/>
      <c r="AK908" s="572"/>
      <c r="AL908" s="572"/>
      <c r="AM908" s="572"/>
      <c r="AN908" s="572"/>
      <c r="AO908" s="572"/>
      <c r="AP908" s="572"/>
      <c r="AQ908" s="572"/>
      <c r="AR908" s="572"/>
      <c r="AS908" s="572"/>
      <c r="AT908" s="572"/>
      <c r="AU908" s="572"/>
    </row>
    <row r="909" spans="1:47" ht="15.75" customHeight="1">
      <c r="A909" s="573">
        <v>44683</v>
      </c>
      <c r="B909" s="574">
        <v>350690</v>
      </c>
      <c r="C909" s="532" t="s">
        <v>2921</v>
      </c>
      <c r="D909" s="563" t="s">
        <v>6341</v>
      </c>
      <c r="E909" s="575">
        <v>100000</v>
      </c>
      <c r="F909" s="532" t="s">
        <v>3043</v>
      </c>
      <c r="G909" s="555" t="s">
        <v>19</v>
      </c>
      <c r="H909" s="555" t="s">
        <v>34</v>
      </c>
      <c r="I909" s="555" t="s">
        <v>262</v>
      </c>
      <c r="J909" s="596">
        <v>44438</v>
      </c>
      <c r="K909" s="556" t="s">
        <v>3795</v>
      </c>
      <c r="L909" s="572"/>
      <c r="M909" s="572"/>
      <c r="N909" s="572"/>
      <c r="O909" s="572"/>
      <c r="P909" s="572"/>
      <c r="Q909" s="572"/>
      <c r="R909" s="572"/>
      <c r="S909" s="572"/>
      <c r="T909" s="572"/>
      <c r="U909" s="572"/>
      <c r="V909" s="572"/>
      <c r="W909" s="572"/>
      <c r="X909" s="572"/>
      <c r="Y909" s="572"/>
      <c r="Z909" s="572"/>
      <c r="AA909" s="572"/>
      <c r="AB909" s="572"/>
      <c r="AC909" s="572"/>
      <c r="AD909" s="572"/>
      <c r="AE909" s="572"/>
      <c r="AF909" s="572"/>
      <c r="AG909" s="572"/>
      <c r="AH909" s="572"/>
      <c r="AI909" s="572"/>
      <c r="AJ909" s="572"/>
      <c r="AK909" s="572"/>
      <c r="AL909" s="572"/>
      <c r="AM909" s="572"/>
      <c r="AN909" s="572"/>
      <c r="AO909" s="572"/>
      <c r="AP909" s="572"/>
      <c r="AQ909" s="572"/>
      <c r="AR909" s="572"/>
      <c r="AS909" s="572"/>
      <c r="AT909" s="572"/>
      <c r="AU909" s="572"/>
    </row>
    <row r="910" spans="1:47" ht="15.75" customHeight="1">
      <c r="A910" s="573">
        <v>44683</v>
      </c>
      <c r="B910" s="574" t="s">
        <v>6408</v>
      </c>
      <c r="C910" s="532" t="s">
        <v>2921</v>
      </c>
      <c r="D910" s="563" t="s">
        <v>6341</v>
      </c>
      <c r="E910" s="575">
        <v>40000</v>
      </c>
      <c r="F910" s="532" t="s">
        <v>6693</v>
      </c>
      <c r="G910" s="555" t="s">
        <v>19</v>
      </c>
      <c r="H910" s="555" t="s">
        <v>34</v>
      </c>
      <c r="I910" s="555" t="s">
        <v>35</v>
      </c>
      <c r="J910" s="596">
        <v>44321</v>
      </c>
      <c r="K910" s="556" t="s">
        <v>3795</v>
      </c>
      <c r="L910" s="572"/>
      <c r="M910" s="572"/>
      <c r="N910" s="572"/>
      <c r="O910" s="572"/>
      <c r="P910" s="572"/>
      <c r="Q910" s="572"/>
      <c r="R910" s="572"/>
      <c r="S910" s="572"/>
      <c r="T910" s="572"/>
      <c r="U910" s="572"/>
      <c r="V910" s="572"/>
      <c r="W910" s="572"/>
      <c r="X910" s="572"/>
      <c r="Y910" s="572"/>
      <c r="Z910" s="572"/>
      <c r="AA910" s="572"/>
      <c r="AB910" s="572"/>
      <c r="AC910" s="572"/>
      <c r="AD910" s="572"/>
      <c r="AE910" s="572"/>
      <c r="AF910" s="572"/>
      <c r="AG910" s="572"/>
      <c r="AH910" s="572"/>
      <c r="AI910" s="572"/>
      <c r="AJ910" s="572"/>
      <c r="AK910" s="572"/>
      <c r="AL910" s="572"/>
      <c r="AM910" s="572"/>
      <c r="AN910" s="572"/>
      <c r="AO910" s="572"/>
      <c r="AP910" s="572"/>
      <c r="AQ910" s="572"/>
      <c r="AR910" s="572"/>
      <c r="AS910" s="572"/>
      <c r="AT910" s="572"/>
      <c r="AU910" s="572"/>
    </row>
    <row r="911" spans="1:47" ht="15.75" customHeight="1">
      <c r="A911" s="573">
        <v>44683</v>
      </c>
      <c r="B911" s="574" t="s">
        <v>6668</v>
      </c>
      <c r="C911" s="532" t="s">
        <v>2921</v>
      </c>
      <c r="D911" s="563" t="s">
        <v>6341</v>
      </c>
      <c r="E911" s="575">
        <v>25000</v>
      </c>
      <c r="F911" s="532" t="s">
        <v>6695</v>
      </c>
      <c r="G911" s="555" t="s">
        <v>19</v>
      </c>
      <c r="H911" s="555" t="s">
        <v>34</v>
      </c>
      <c r="I911" s="555" t="s">
        <v>35</v>
      </c>
      <c r="J911" s="596">
        <v>44263</v>
      </c>
      <c r="K911" s="556" t="s">
        <v>3805</v>
      </c>
      <c r="L911" s="572"/>
      <c r="M911" s="572"/>
      <c r="N911" s="572"/>
      <c r="O911" s="572"/>
      <c r="P911" s="572"/>
      <c r="Q911" s="572"/>
      <c r="R911" s="572"/>
      <c r="S911" s="572"/>
      <c r="T911" s="572"/>
      <c r="U911" s="572"/>
      <c r="V911" s="572"/>
      <c r="W911" s="572"/>
      <c r="X911" s="572"/>
      <c r="Y911" s="572"/>
      <c r="Z911" s="572"/>
      <c r="AA911" s="572"/>
      <c r="AB911" s="572"/>
      <c r="AC911" s="572"/>
      <c r="AD911" s="572"/>
      <c r="AE911" s="572"/>
      <c r="AF911" s="572"/>
      <c r="AG911" s="572"/>
      <c r="AH911" s="572"/>
      <c r="AI911" s="572"/>
      <c r="AJ911" s="572"/>
      <c r="AK911" s="572"/>
      <c r="AL911" s="572"/>
      <c r="AM911" s="572"/>
      <c r="AN911" s="572"/>
      <c r="AO911" s="572"/>
      <c r="AP911" s="572"/>
      <c r="AQ911" s="572"/>
      <c r="AR911" s="572"/>
      <c r="AS911" s="572"/>
      <c r="AT911" s="572"/>
      <c r="AU911" s="572"/>
    </row>
    <row r="912" spans="1:47" ht="15.75" customHeight="1">
      <c r="A912" s="573">
        <v>44683</v>
      </c>
      <c r="B912" s="574" t="s">
        <v>6683</v>
      </c>
      <c r="C912" s="532" t="s">
        <v>2921</v>
      </c>
      <c r="D912" s="563" t="s">
        <v>6341</v>
      </c>
      <c r="E912" s="575">
        <v>14000</v>
      </c>
      <c r="F912" s="532" t="s">
        <v>3228</v>
      </c>
      <c r="G912" s="555" t="s">
        <v>2923</v>
      </c>
      <c r="H912" s="555" t="s">
        <v>20</v>
      </c>
      <c r="I912" s="555" t="s">
        <v>2924</v>
      </c>
      <c r="J912" s="596">
        <v>43605</v>
      </c>
      <c r="K912" s="556" t="s">
        <v>3809</v>
      </c>
      <c r="L912" s="572"/>
      <c r="M912" s="572"/>
      <c r="N912" s="572"/>
      <c r="O912" s="572"/>
      <c r="P912" s="572"/>
      <c r="Q912" s="572"/>
      <c r="R912" s="572"/>
      <c r="S912" s="572"/>
      <c r="T912" s="572"/>
      <c r="U912" s="572"/>
      <c r="V912" s="572"/>
      <c r="W912" s="572"/>
      <c r="X912" s="572"/>
      <c r="Y912" s="572"/>
      <c r="Z912" s="572"/>
      <c r="AA912" s="572"/>
      <c r="AB912" s="572"/>
      <c r="AC912" s="572"/>
      <c r="AD912" s="572"/>
      <c r="AE912" s="572"/>
      <c r="AF912" s="572"/>
      <c r="AG912" s="572"/>
      <c r="AH912" s="572"/>
      <c r="AI912" s="572"/>
      <c r="AJ912" s="572"/>
      <c r="AK912" s="572"/>
      <c r="AL912" s="572"/>
      <c r="AM912" s="572"/>
      <c r="AN912" s="572"/>
      <c r="AO912" s="572"/>
      <c r="AP912" s="572"/>
      <c r="AQ912" s="572"/>
      <c r="AR912" s="572"/>
      <c r="AS912" s="572"/>
      <c r="AT912" s="572"/>
      <c r="AU912" s="572"/>
    </row>
    <row r="913" spans="1:47" ht="15.75" customHeight="1">
      <c r="A913" s="573">
        <v>44684</v>
      </c>
      <c r="B913" s="574" t="s">
        <v>6736</v>
      </c>
      <c r="C913" s="532" t="s">
        <v>3785</v>
      </c>
      <c r="D913" s="563" t="s">
        <v>3110</v>
      </c>
      <c r="E913" s="575">
        <v>398221.67</v>
      </c>
      <c r="F913" s="532" t="s">
        <v>4385</v>
      </c>
      <c r="G913" s="555" t="s">
        <v>19</v>
      </c>
      <c r="H913" s="555" t="s">
        <v>49</v>
      </c>
      <c r="I913" s="555" t="s">
        <v>4134</v>
      </c>
      <c r="J913" s="596">
        <v>44454</v>
      </c>
      <c r="K913" s="556" t="s">
        <v>3802</v>
      </c>
      <c r="L913" s="572"/>
      <c r="M913" s="572"/>
      <c r="N913" s="572"/>
      <c r="O913" s="572"/>
      <c r="P913" s="572"/>
      <c r="Q913" s="572"/>
      <c r="R913" s="572"/>
      <c r="S913" s="572"/>
      <c r="T913" s="572"/>
      <c r="U913" s="572"/>
      <c r="V913" s="572"/>
      <c r="W913" s="572"/>
      <c r="X913" s="572"/>
      <c r="Y913" s="572"/>
      <c r="Z913" s="572"/>
      <c r="AA913" s="572"/>
      <c r="AB913" s="572"/>
      <c r="AC913" s="572"/>
      <c r="AD913" s="572"/>
      <c r="AE913" s="572"/>
      <c r="AF913" s="572"/>
      <c r="AG913" s="572"/>
      <c r="AH913" s="572"/>
      <c r="AI913" s="572"/>
      <c r="AJ913" s="572"/>
      <c r="AK913" s="572"/>
      <c r="AL913" s="572"/>
      <c r="AM913" s="572"/>
      <c r="AN913" s="572"/>
      <c r="AO913" s="572"/>
      <c r="AP913" s="572"/>
      <c r="AQ913" s="572"/>
      <c r="AR913" s="572"/>
      <c r="AS913" s="572"/>
      <c r="AT913" s="572"/>
      <c r="AU913" s="572"/>
    </row>
    <row r="914" spans="1:47" ht="15.75" customHeight="1">
      <c r="A914" s="573">
        <v>44685</v>
      </c>
      <c r="B914" s="555">
        <v>4740849</v>
      </c>
      <c r="C914" s="532" t="s">
        <v>3785</v>
      </c>
      <c r="D914" s="563" t="s">
        <v>928</v>
      </c>
      <c r="E914" s="575">
        <v>83984.540000000008</v>
      </c>
      <c r="F914" s="532" t="s">
        <v>5103</v>
      </c>
      <c r="G914" s="555" t="s">
        <v>64</v>
      </c>
      <c r="H914" s="555" t="s">
        <v>20</v>
      </c>
      <c r="I914" s="555" t="s">
        <v>4128</v>
      </c>
      <c r="J914" s="596">
        <v>44320</v>
      </c>
      <c r="K914" s="556" t="s">
        <v>3789</v>
      </c>
      <c r="L914" s="572"/>
      <c r="M914" s="572"/>
      <c r="N914" s="572"/>
      <c r="O914" s="572"/>
      <c r="P914" s="572"/>
      <c r="Q914" s="572"/>
      <c r="R914" s="572"/>
      <c r="S914" s="572"/>
      <c r="T914" s="572"/>
      <c r="U914" s="572"/>
      <c r="V914" s="572"/>
      <c r="W914" s="572"/>
      <c r="X914" s="572"/>
      <c r="Y914" s="572"/>
      <c r="Z914" s="572"/>
      <c r="AA914" s="572"/>
      <c r="AB914" s="572"/>
      <c r="AC914" s="572"/>
      <c r="AD914" s="572"/>
      <c r="AE914" s="572"/>
      <c r="AF914" s="572"/>
      <c r="AG914" s="572"/>
      <c r="AH914" s="572"/>
      <c r="AI914" s="572"/>
      <c r="AJ914" s="572"/>
      <c r="AK914" s="572"/>
      <c r="AL914" s="572"/>
      <c r="AM914" s="572"/>
      <c r="AN914" s="572"/>
      <c r="AO914" s="572"/>
      <c r="AP914" s="572"/>
      <c r="AQ914" s="572"/>
      <c r="AR914" s="572"/>
      <c r="AS914" s="572"/>
      <c r="AT914" s="572"/>
      <c r="AU914" s="572"/>
    </row>
    <row r="915" spans="1:47" ht="15.75" customHeight="1">
      <c r="A915" s="573">
        <v>44685</v>
      </c>
      <c r="B915" s="555" t="s">
        <v>6737</v>
      </c>
      <c r="C915" s="532" t="s">
        <v>3785</v>
      </c>
      <c r="D915" s="563" t="s">
        <v>6341</v>
      </c>
      <c r="E915" s="575">
        <v>60000</v>
      </c>
      <c r="F915" s="532" t="s">
        <v>6738</v>
      </c>
      <c r="G915" s="555" t="s">
        <v>19</v>
      </c>
      <c r="H915" s="555" t="s">
        <v>20</v>
      </c>
      <c r="I915" s="555" t="s">
        <v>3072</v>
      </c>
      <c r="J915" s="596">
        <v>44294</v>
      </c>
      <c r="K915" s="556" t="s">
        <v>4494</v>
      </c>
      <c r="L915" s="572"/>
      <c r="M915" s="572"/>
      <c r="N915" s="572"/>
      <c r="O915" s="572"/>
      <c r="P915" s="572"/>
      <c r="Q915" s="572"/>
      <c r="R915" s="572"/>
      <c r="S915" s="572"/>
      <c r="T915" s="572"/>
      <c r="U915" s="572"/>
      <c r="V915" s="572"/>
      <c r="W915" s="572"/>
      <c r="X915" s="572"/>
      <c r="Y915" s="572"/>
      <c r="Z915" s="572"/>
      <c r="AA915" s="572"/>
      <c r="AB915" s="572"/>
      <c r="AC915" s="572"/>
      <c r="AD915" s="572"/>
      <c r="AE915" s="572"/>
      <c r="AF915" s="572"/>
      <c r="AG915" s="572"/>
      <c r="AH915" s="572"/>
      <c r="AI915" s="572"/>
      <c r="AJ915" s="572"/>
      <c r="AK915" s="572"/>
      <c r="AL915" s="572"/>
      <c r="AM915" s="572"/>
      <c r="AN915" s="572"/>
      <c r="AO915" s="572"/>
      <c r="AP915" s="572"/>
      <c r="AQ915" s="572"/>
      <c r="AR915" s="572"/>
      <c r="AS915" s="572"/>
      <c r="AT915" s="572"/>
      <c r="AU915" s="572"/>
    </row>
    <row r="916" spans="1:47" ht="15.75" customHeight="1">
      <c r="A916" s="573">
        <v>44685</v>
      </c>
      <c r="B916" s="555">
        <v>6121090</v>
      </c>
      <c r="C916" s="532" t="s">
        <v>3785</v>
      </c>
      <c r="D916" s="563" t="s">
        <v>3110</v>
      </c>
      <c r="E916" s="575">
        <v>46583.9</v>
      </c>
      <c r="F916" s="532" t="s">
        <v>4271</v>
      </c>
      <c r="G916" s="555" t="s">
        <v>19</v>
      </c>
      <c r="H916" s="555" t="s">
        <v>49</v>
      </c>
      <c r="I916" s="555" t="s">
        <v>328</v>
      </c>
      <c r="J916" s="596">
        <v>44421</v>
      </c>
      <c r="K916" s="556" t="s">
        <v>3789</v>
      </c>
      <c r="L916" s="572"/>
      <c r="M916" s="572"/>
      <c r="N916" s="572"/>
      <c r="O916" s="572"/>
      <c r="P916" s="572"/>
      <c r="Q916" s="572"/>
      <c r="R916" s="572"/>
      <c r="S916" s="572"/>
      <c r="T916" s="572"/>
      <c r="U916" s="572"/>
      <c r="V916" s="572"/>
      <c r="W916" s="572"/>
      <c r="X916" s="572"/>
      <c r="Y916" s="572"/>
      <c r="Z916" s="572"/>
      <c r="AA916" s="572"/>
      <c r="AB916" s="572"/>
      <c r="AC916" s="572"/>
      <c r="AD916" s="572"/>
      <c r="AE916" s="572"/>
      <c r="AF916" s="572"/>
      <c r="AG916" s="572"/>
      <c r="AH916" s="572"/>
      <c r="AI916" s="572"/>
      <c r="AJ916" s="572"/>
      <c r="AK916" s="572"/>
      <c r="AL916" s="572"/>
      <c r="AM916" s="572"/>
      <c r="AN916" s="572"/>
      <c r="AO916" s="572"/>
      <c r="AP916" s="572"/>
      <c r="AQ916" s="572"/>
      <c r="AR916" s="572"/>
      <c r="AS916" s="572"/>
      <c r="AT916" s="572"/>
      <c r="AU916" s="572"/>
    </row>
    <row r="917" spans="1:47" ht="15.75" customHeight="1">
      <c r="A917" s="573">
        <v>44686</v>
      </c>
      <c r="B917" s="555">
        <v>3600186</v>
      </c>
      <c r="C917" s="532" t="s">
        <v>3785</v>
      </c>
      <c r="D917" s="563" t="s">
        <v>3110</v>
      </c>
      <c r="E917" s="575">
        <v>1122976.82</v>
      </c>
      <c r="F917" s="532" t="s">
        <v>5287</v>
      </c>
      <c r="G917" s="555" t="s">
        <v>19</v>
      </c>
      <c r="H917" s="555" t="s">
        <v>49</v>
      </c>
      <c r="I917" s="555" t="s">
        <v>4134</v>
      </c>
      <c r="J917" s="596">
        <v>44454</v>
      </c>
      <c r="K917" s="556" t="s">
        <v>3802</v>
      </c>
      <c r="L917" s="572"/>
      <c r="M917" s="572"/>
      <c r="N917" s="572"/>
      <c r="O917" s="572"/>
      <c r="P917" s="572"/>
      <c r="Q917" s="572"/>
      <c r="R917" s="572"/>
      <c r="S917" s="572"/>
      <c r="T917" s="572"/>
      <c r="U917" s="572"/>
      <c r="V917" s="572"/>
      <c r="W917" s="572"/>
      <c r="X917" s="572"/>
      <c r="Y917" s="572"/>
      <c r="Z917" s="572"/>
      <c r="AA917" s="572"/>
      <c r="AB917" s="572"/>
      <c r="AC917" s="572"/>
      <c r="AD917" s="572"/>
      <c r="AE917" s="572"/>
      <c r="AF917" s="572"/>
      <c r="AG917" s="572"/>
      <c r="AH917" s="572"/>
      <c r="AI917" s="572"/>
      <c r="AJ917" s="572"/>
      <c r="AK917" s="572"/>
      <c r="AL917" s="572"/>
      <c r="AM917" s="572"/>
      <c r="AN917" s="572"/>
      <c r="AO917" s="572"/>
      <c r="AP917" s="572"/>
      <c r="AQ917" s="572"/>
      <c r="AR917" s="572"/>
      <c r="AS917" s="572"/>
      <c r="AT917" s="572"/>
      <c r="AU917" s="572"/>
    </row>
    <row r="918" spans="1:47" ht="15.75" customHeight="1">
      <c r="A918" s="573">
        <v>44686</v>
      </c>
      <c r="B918" s="555" t="s">
        <v>6739</v>
      </c>
      <c r="C918" s="532" t="s">
        <v>3785</v>
      </c>
      <c r="D918" s="563" t="s">
        <v>6341</v>
      </c>
      <c r="E918" s="575">
        <v>50000.87</v>
      </c>
      <c r="F918" s="532" t="s">
        <v>1887</v>
      </c>
      <c r="G918" s="555" t="s">
        <v>19</v>
      </c>
      <c r="H918" s="555" t="s">
        <v>49</v>
      </c>
      <c r="I918" s="555" t="s">
        <v>328</v>
      </c>
      <c r="J918" s="596">
        <v>44379</v>
      </c>
      <c r="K918" s="556" t="s">
        <v>3789</v>
      </c>
      <c r="L918" s="572"/>
      <c r="M918" s="572"/>
      <c r="N918" s="572"/>
      <c r="O918" s="572"/>
      <c r="P918" s="572"/>
      <c r="Q918" s="572"/>
      <c r="R918" s="572"/>
      <c r="S918" s="572"/>
      <c r="T918" s="572"/>
      <c r="U918" s="572"/>
      <c r="V918" s="572"/>
      <c r="W918" s="572"/>
      <c r="X918" s="572"/>
      <c r="Y918" s="572"/>
      <c r="Z918" s="572"/>
      <c r="AA918" s="572"/>
      <c r="AB918" s="572"/>
      <c r="AC918" s="572"/>
      <c r="AD918" s="572"/>
      <c r="AE918" s="572"/>
      <c r="AF918" s="572"/>
      <c r="AG918" s="572"/>
      <c r="AH918" s="572"/>
      <c r="AI918" s="572"/>
      <c r="AJ918" s="572"/>
      <c r="AK918" s="572"/>
      <c r="AL918" s="572"/>
      <c r="AM918" s="572"/>
      <c r="AN918" s="572"/>
      <c r="AO918" s="572"/>
      <c r="AP918" s="572"/>
      <c r="AQ918" s="572"/>
      <c r="AR918" s="572"/>
      <c r="AS918" s="572"/>
      <c r="AT918" s="572"/>
      <c r="AU918" s="572"/>
    </row>
    <row r="919" spans="1:47" ht="15.75" customHeight="1">
      <c r="A919" s="573">
        <v>44686</v>
      </c>
      <c r="B919" s="555">
        <v>4920156</v>
      </c>
      <c r="C919" s="532" t="s">
        <v>3785</v>
      </c>
      <c r="D919" s="563" t="s">
        <v>6341</v>
      </c>
      <c r="E919" s="575">
        <v>10000</v>
      </c>
      <c r="F919" s="532" t="s">
        <v>4373</v>
      </c>
      <c r="G919" s="555" t="s">
        <v>64</v>
      </c>
      <c r="H919" s="555" t="s">
        <v>20</v>
      </c>
      <c r="I919" s="555" t="s">
        <v>3862</v>
      </c>
      <c r="J919" s="596">
        <v>44263</v>
      </c>
      <c r="K919" s="556" t="s">
        <v>3795</v>
      </c>
      <c r="L919" s="572"/>
      <c r="M919" s="572"/>
      <c r="N919" s="572"/>
      <c r="O919" s="572"/>
      <c r="P919" s="572"/>
      <c r="Q919" s="572"/>
      <c r="R919" s="572"/>
      <c r="S919" s="572"/>
      <c r="T919" s="572"/>
      <c r="U919" s="572"/>
      <c r="V919" s="572"/>
      <c r="W919" s="572"/>
      <c r="X919" s="572"/>
      <c r="Y919" s="572"/>
      <c r="Z919" s="572"/>
      <c r="AA919" s="572"/>
      <c r="AB919" s="572"/>
      <c r="AC919" s="572"/>
      <c r="AD919" s="572"/>
      <c r="AE919" s="572"/>
      <c r="AF919" s="572"/>
      <c r="AG919" s="572"/>
      <c r="AH919" s="572"/>
      <c r="AI919" s="572"/>
      <c r="AJ919" s="572"/>
      <c r="AK919" s="572"/>
      <c r="AL919" s="572"/>
      <c r="AM919" s="572"/>
      <c r="AN919" s="572"/>
      <c r="AO919" s="572"/>
      <c r="AP919" s="572"/>
      <c r="AQ919" s="572"/>
      <c r="AR919" s="572"/>
      <c r="AS919" s="572"/>
      <c r="AT919" s="572"/>
      <c r="AU919" s="572"/>
    </row>
    <row r="920" spans="1:47" ht="15.75" customHeight="1">
      <c r="A920" s="573">
        <v>44687</v>
      </c>
      <c r="B920" s="532" t="s">
        <v>6520</v>
      </c>
      <c r="C920" s="532" t="s">
        <v>2921</v>
      </c>
      <c r="D920" s="563" t="s">
        <v>6341</v>
      </c>
      <c r="E920" s="575">
        <v>10000</v>
      </c>
      <c r="F920" s="555" t="s">
        <v>937</v>
      </c>
      <c r="G920" s="555" t="s">
        <v>19</v>
      </c>
      <c r="H920" s="555" t="s">
        <v>34</v>
      </c>
      <c r="I920" s="555" t="s">
        <v>262</v>
      </c>
      <c r="J920" s="596">
        <v>44328</v>
      </c>
      <c r="K920" s="556" t="s">
        <v>3789</v>
      </c>
      <c r="L920" s="572"/>
      <c r="M920" s="572"/>
      <c r="N920" s="572"/>
      <c r="O920" s="572"/>
      <c r="P920" s="572"/>
      <c r="Q920" s="572"/>
      <c r="R920" s="572"/>
      <c r="S920" s="572"/>
      <c r="T920" s="572"/>
      <c r="U920" s="572"/>
      <c r="V920" s="572"/>
      <c r="W920" s="572"/>
      <c r="X920" s="572"/>
      <c r="Y920" s="572"/>
      <c r="Z920" s="572"/>
      <c r="AA920" s="572"/>
      <c r="AB920" s="572"/>
      <c r="AC920" s="572"/>
      <c r="AD920" s="572"/>
      <c r="AE920" s="572"/>
      <c r="AF920" s="572"/>
      <c r="AG920" s="572"/>
      <c r="AH920" s="572"/>
      <c r="AI920" s="572"/>
      <c r="AJ920" s="572"/>
      <c r="AK920" s="572"/>
      <c r="AL920" s="572"/>
      <c r="AM920" s="572"/>
      <c r="AN920" s="572"/>
      <c r="AO920" s="572"/>
      <c r="AP920" s="572"/>
      <c r="AQ920" s="572"/>
      <c r="AR920" s="572"/>
      <c r="AS920" s="572"/>
      <c r="AT920" s="572"/>
      <c r="AU920" s="572"/>
    </row>
    <row r="921" spans="1:47" ht="15.75" customHeight="1">
      <c r="A921" s="573">
        <v>44687</v>
      </c>
      <c r="B921" s="532" t="s">
        <v>6609</v>
      </c>
      <c r="C921" s="532" t="s">
        <v>2921</v>
      </c>
      <c r="D921" s="563" t="s">
        <v>6341</v>
      </c>
      <c r="E921" s="575">
        <v>100000</v>
      </c>
      <c r="F921" s="555" t="s">
        <v>3339</v>
      </c>
      <c r="G921" s="555" t="s">
        <v>19</v>
      </c>
      <c r="H921" s="555" t="s">
        <v>34</v>
      </c>
      <c r="I921" s="555" t="s">
        <v>35</v>
      </c>
      <c r="J921" s="596">
        <v>44323</v>
      </c>
      <c r="K921" s="556" t="s">
        <v>3842</v>
      </c>
      <c r="L921" s="572"/>
      <c r="M921" s="572"/>
      <c r="N921" s="572"/>
      <c r="O921" s="572"/>
      <c r="P921" s="572"/>
      <c r="Q921" s="572"/>
      <c r="R921" s="572"/>
      <c r="S921" s="572"/>
      <c r="T921" s="572"/>
      <c r="U921" s="572"/>
      <c r="V921" s="572"/>
      <c r="W921" s="572"/>
      <c r="X921" s="572"/>
      <c r="Y921" s="572"/>
      <c r="Z921" s="572"/>
      <c r="AA921" s="572"/>
      <c r="AB921" s="572"/>
      <c r="AC921" s="572"/>
      <c r="AD921" s="572"/>
      <c r="AE921" s="572"/>
      <c r="AF921" s="572"/>
      <c r="AG921" s="572"/>
      <c r="AH921" s="572"/>
      <c r="AI921" s="572"/>
      <c r="AJ921" s="572"/>
      <c r="AK921" s="572"/>
      <c r="AL921" s="572"/>
      <c r="AM921" s="572"/>
      <c r="AN921" s="572"/>
      <c r="AO921" s="572"/>
      <c r="AP921" s="572"/>
      <c r="AQ921" s="572"/>
      <c r="AR921" s="572"/>
      <c r="AS921" s="572"/>
      <c r="AT921" s="572"/>
      <c r="AU921" s="572"/>
    </row>
    <row r="922" spans="1:47" ht="15.75" customHeight="1">
      <c r="A922" s="573">
        <v>44687</v>
      </c>
      <c r="B922" s="555">
        <v>4862815</v>
      </c>
      <c r="C922" s="532" t="s">
        <v>3785</v>
      </c>
      <c r="D922" s="563" t="s">
        <v>6341</v>
      </c>
      <c r="E922" s="575">
        <v>70000</v>
      </c>
      <c r="F922" s="532" t="s">
        <v>6740</v>
      </c>
      <c r="G922" s="555" t="s">
        <v>19</v>
      </c>
      <c r="H922" s="555" t="s">
        <v>49</v>
      </c>
      <c r="I922" s="555" t="s">
        <v>328</v>
      </c>
      <c r="J922" s="596">
        <v>44251</v>
      </c>
      <c r="K922" s="556" t="s">
        <v>3809</v>
      </c>
      <c r="L922" s="572"/>
      <c r="M922" s="572"/>
      <c r="N922" s="572"/>
      <c r="O922" s="572"/>
      <c r="P922" s="572"/>
      <c r="Q922" s="572"/>
      <c r="R922" s="572"/>
      <c r="S922" s="572"/>
      <c r="T922" s="572"/>
      <c r="U922" s="572"/>
      <c r="V922" s="572"/>
      <c r="W922" s="572"/>
      <c r="X922" s="572"/>
      <c r="Y922" s="572"/>
      <c r="Z922" s="572"/>
      <c r="AA922" s="572"/>
      <c r="AB922" s="572"/>
      <c r="AC922" s="572"/>
      <c r="AD922" s="572"/>
      <c r="AE922" s="572"/>
      <c r="AF922" s="572"/>
      <c r="AG922" s="572"/>
      <c r="AH922" s="572"/>
      <c r="AI922" s="572"/>
      <c r="AJ922" s="572"/>
      <c r="AK922" s="572"/>
      <c r="AL922" s="572"/>
      <c r="AM922" s="572"/>
      <c r="AN922" s="572"/>
      <c r="AO922" s="572"/>
      <c r="AP922" s="572"/>
      <c r="AQ922" s="572"/>
      <c r="AR922" s="572"/>
      <c r="AS922" s="572"/>
      <c r="AT922" s="572"/>
      <c r="AU922" s="572"/>
    </row>
    <row r="923" spans="1:47" ht="15.75" customHeight="1">
      <c r="A923" s="573">
        <v>44691</v>
      </c>
      <c r="B923" s="555">
        <v>4345500</v>
      </c>
      <c r="C923" s="532" t="s">
        <v>2921</v>
      </c>
      <c r="D923" s="563" t="s">
        <v>6341</v>
      </c>
      <c r="E923" s="575">
        <v>35000</v>
      </c>
      <c r="F923" s="532" t="s">
        <v>3191</v>
      </c>
      <c r="G923" s="555" t="s">
        <v>2923</v>
      </c>
      <c r="H923" s="555" t="s">
        <v>20</v>
      </c>
      <c r="I923" s="555" t="s">
        <v>2924</v>
      </c>
      <c r="J923" s="596">
        <v>43703</v>
      </c>
      <c r="K923" s="556" t="s">
        <v>4188</v>
      </c>
      <c r="L923" s="572"/>
      <c r="M923" s="572"/>
      <c r="N923" s="572"/>
      <c r="O923" s="572"/>
      <c r="P923" s="572"/>
      <c r="Q923" s="572"/>
      <c r="R923" s="572"/>
      <c r="S923" s="572"/>
      <c r="T923" s="572"/>
      <c r="U923" s="572"/>
      <c r="V923" s="572"/>
      <c r="W923" s="572"/>
      <c r="X923" s="572"/>
      <c r="Y923" s="572"/>
      <c r="Z923" s="572"/>
      <c r="AA923" s="572"/>
      <c r="AB923" s="572"/>
      <c r="AC923" s="572"/>
      <c r="AD923" s="572"/>
      <c r="AE923" s="572"/>
      <c r="AF923" s="572"/>
      <c r="AG923" s="572"/>
      <c r="AH923" s="572"/>
      <c r="AI923" s="572"/>
      <c r="AJ923" s="572"/>
      <c r="AK923" s="572"/>
      <c r="AL923" s="572"/>
      <c r="AM923" s="572"/>
      <c r="AN923" s="572"/>
      <c r="AO923" s="572"/>
      <c r="AP923" s="572"/>
      <c r="AQ923" s="572"/>
      <c r="AR923" s="572"/>
      <c r="AS923" s="572"/>
      <c r="AT923" s="572"/>
      <c r="AU923" s="572"/>
    </row>
    <row r="924" spans="1:47" ht="15.75" customHeight="1">
      <c r="A924" s="573">
        <v>44691</v>
      </c>
      <c r="B924" s="532">
        <v>3952119</v>
      </c>
      <c r="C924" s="532" t="s">
        <v>3785</v>
      </c>
      <c r="D924" s="563" t="s">
        <v>6341</v>
      </c>
      <c r="E924" s="575">
        <v>7000</v>
      </c>
      <c r="F924" s="555" t="s">
        <v>249</v>
      </c>
      <c r="G924" s="555" t="s">
        <v>19</v>
      </c>
      <c r="H924" s="555" t="s">
        <v>20</v>
      </c>
      <c r="I924" s="555" t="s">
        <v>6328</v>
      </c>
      <c r="J924" s="596">
        <v>44335</v>
      </c>
      <c r="K924" s="556" t="s">
        <v>3842</v>
      </c>
      <c r="L924" s="572"/>
      <c r="M924" s="572"/>
      <c r="N924" s="572"/>
      <c r="O924" s="572"/>
      <c r="P924" s="572"/>
      <c r="Q924" s="572"/>
      <c r="R924" s="572"/>
      <c r="S924" s="572"/>
      <c r="T924" s="572"/>
      <c r="U924" s="572"/>
      <c r="V924" s="572"/>
      <c r="W924" s="572"/>
      <c r="X924" s="572"/>
      <c r="Y924" s="572"/>
      <c r="Z924" s="572"/>
      <c r="AA924" s="572"/>
      <c r="AB924" s="572"/>
      <c r="AC924" s="572"/>
      <c r="AD924" s="572"/>
      <c r="AE924" s="572"/>
      <c r="AF924" s="572"/>
      <c r="AG924" s="572"/>
      <c r="AH924" s="572"/>
      <c r="AI924" s="572"/>
      <c r="AJ924" s="572"/>
      <c r="AK924" s="572"/>
      <c r="AL924" s="572"/>
      <c r="AM924" s="572"/>
      <c r="AN924" s="572"/>
      <c r="AO924" s="572"/>
      <c r="AP924" s="572"/>
      <c r="AQ924" s="572"/>
      <c r="AR924" s="572"/>
      <c r="AS924" s="572"/>
      <c r="AT924" s="572"/>
      <c r="AU924" s="572"/>
    </row>
    <row r="925" spans="1:47" ht="15.75" customHeight="1">
      <c r="A925" s="573">
        <v>44691</v>
      </c>
      <c r="B925" s="532">
        <v>5681841</v>
      </c>
      <c r="C925" s="532" t="s">
        <v>3785</v>
      </c>
      <c r="D925" s="563" t="s">
        <v>6341</v>
      </c>
      <c r="E925" s="575">
        <v>50000</v>
      </c>
      <c r="F925" s="555" t="s">
        <v>5251</v>
      </c>
      <c r="G925" s="555" t="s">
        <v>19</v>
      </c>
      <c r="H925" s="563" t="s">
        <v>49</v>
      </c>
      <c r="I925" s="563" t="s">
        <v>166</v>
      </c>
      <c r="J925" s="573">
        <v>44469</v>
      </c>
      <c r="K925" s="556" t="s">
        <v>3805</v>
      </c>
      <c r="L925" s="572"/>
      <c r="M925" s="572"/>
      <c r="N925" s="572"/>
      <c r="O925" s="572"/>
      <c r="P925" s="572"/>
      <c r="Q925" s="572"/>
      <c r="R925" s="572"/>
      <c r="S925" s="572"/>
      <c r="T925" s="572"/>
      <c r="U925" s="572"/>
      <c r="V925" s="572"/>
      <c r="W925" s="572"/>
      <c r="X925" s="572"/>
      <c r="Y925" s="572"/>
      <c r="Z925" s="572"/>
      <c r="AA925" s="572"/>
      <c r="AB925" s="572"/>
      <c r="AC925" s="572"/>
      <c r="AD925" s="572"/>
      <c r="AE925" s="572"/>
      <c r="AF925" s="572"/>
      <c r="AG925" s="572"/>
      <c r="AH925" s="572"/>
      <c r="AI925" s="572"/>
      <c r="AJ925" s="572"/>
      <c r="AK925" s="572"/>
      <c r="AL925" s="572"/>
      <c r="AM925" s="572"/>
      <c r="AN925" s="572"/>
      <c r="AO925" s="572"/>
      <c r="AP925" s="572"/>
      <c r="AQ925" s="572"/>
      <c r="AR925" s="572"/>
      <c r="AS925" s="572"/>
      <c r="AT925" s="572"/>
      <c r="AU925" s="572"/>
    </row>
    <row r="926" spans="1:47" ht="15.75" customHeight="1">
      <c r="A926" s="573">
        <v>44691</v>
      </c>
      <c r="B926" s="532">
        <v>322629</v>
      </c>
      <c r="C926" s="532" t="s">
        <v>2921</v>
      </c>
      <c r="D926" s="563" t="s">
        <v>6341</v>
      </c>
      <c r="E926" s="575">
        <v>520000</v>
      </c>
      <c r="F926" s="555" t="s">
        <v>419</v>
      </c>
      <c r="G926" s="555" t="s">
        <v>19</v>
      </c>
      <c r="H926" s="563" t="s">
        <v>34</v>
      </c>
      <c r="I926" s="563" t="s">
        <v>35</v>
      </c>
      <c r="J926" s="573">
        <v>44267</v>
      </c>
      <c r="K926" s="556" t="s">
        <v>3795</v>
      </c>
      <c r="L926" s="572"/>
      <c r="M926" s="572"/>
      <c r="N926" s="572"/>
      <c r="O926" s="572"/>
      <c r="P926" s="572"/>
      <c r="Q926" s="572"/>
      <c r="R926" s="572"/>
      <c r="S926" s="572"/>
      <c r="T926" s="572"/>
      <c r="U926" s="572"/>
      <c r="V926" s="572"/>
      <c r="W926" s="572"/>
      <c r="X926" s="572"/>
      <c r="Y926" s="572"/>
      <c r="Z926" s="572"/>
      <c r="AA926" s="572"/>
      <c r="AB926" s="572"/>
      <c r="AC926" s="572"/>
      <c r="AD926" s="572"/>
      <c r="AE926" s="572"/>
      <c r="AF926" s="572"/>
      <c r="AG926" s="572"/>
      <c r="AH926" s="572"/>
      <c r="AI926" s="572"/>
      <c r="AJ926" s="572"/>
      <c r="AK926" s="572"/>
      <c r="AL926" s="572"/>
      <c r="AM926" s="572"/>
      <c r="AN926" s="572"/>
      <c r="AO926" s="572"/>
      <c r="AP926" s="572"/>
      <c r="AQ926" s="572"/>
      <c r="AR926" s="572"/>
      <c r="AS926" s="572"/>
      <c r="AT926" s="572"/>
      <c r="AU926" s="572"/>
    </row>
    <row r="927" spans="1:47" ht="15.75" customHeight="1">
      <c r="A927" s="573">
        <v>44691</v>
      </c>
      <c r="B927" s="532" t="s">
        <v>6519</v>
      </c>
      <c r="C927" s="532" t="s">
        <v>2921</v>
      </c>
      <c r="D927" s="563" t="s">
        <v>6341</v>
      </c>
      <c r="E927" s="575">
        <v>30995.22</v>
      </c>
      <c r="F927" s="555" t="s">
        <v>745</v>
      </c>
      <c r="G927" s="555" t="s">
        <v>19</v>
      </c>
      <c r="H927" s="555" t="s">
        <v>34</v>
      </c>
      <c r="I927" s="555" t="s">
        <v>35</v>
      </c>
      <c r="J927" s="596">
        <v>44280</v>
      </c>
      <c r="K927" s="556" t="s">
        <v>3795</v>
      </c>
      <c r="L927" s="572"/>
      <c r="M927" s="572"/>
      <c r="N927" s="572"/>
      <c r="O927" s="572"/>
      <c r="P927" s="572"/>
      <c r="Q927" s="572"/>
      <c r="R927" s="572"/>
      <c r="S927" s="572"/>
      <c r="T927" s="572"/>
      <c r="U927" s="572"/>
      <c r="V927" s="572"/>
      <c r="W927" s="572"/>
      <c r="X927" s="572"/>
      <c r="Y927" s="572"/>
      <c r="Z927" s="572"/>
      <c r="AA927" s="572"/>
      <c r="AB927" s="572"/>
      <c r="AC927" s="572"/>
      <c r="AD927" s="572"/>
      <c r="AE927" s="572"/>
      <c r="AF927" s="572"/>
      <c r="AG927" s="572"/>
      <c r="AH927" s="572"/>
      <c r="AI927" s="572"/>
      <c r="AJ927" s="572"/>
      <c r="AK927" s="572"/>
      <c r="AL927" s="572"/>
      <c r="AM927" s="572"/>
      <c r="AN927" s="572"/>
      <c r="AO927" s="572"/>
      <c r="AP927" s="572"/>
      <c r="AQ927" s="572"/>
      <c r="AR927" s="572"/>
      <c r="AS927" s="572"/>
      <c r="AT927" s="572"/>
      <c r="AU927" s="572"/>
    </row>
    <row r="928" spans="1:47" ht="15.75" customHeight="1">
      <c r="A928" s="573">
        <v>44692</v>
      </c>
      <c r="B928" s="532">
        <v>461432</v>
      </c>
      <c r="C928" s="532" t="s">
        <v>2921</v>
      </c>
      <c r="D928" s="563" t="s">
        <v>6341</v>
      </c>
      <c r="E928" s="575">
        <v>89300</v>
      </c>
      <c r="F928" s="555" t="s">
        <v>3564</v>
      </c>
      <c r="G928" s="555" t="s">
        <v>19</v>
      </c>
      <c r="H928" s="563" t="s">
        <v>34</v>
      </c>
      <c r="I928" s="563" t="s">
        <v>262</v>
      </c>
      <c r="J928" s="573">
        <v>44319</v>
      </c>
      <c r="K928" s="556" t="s">
        <v>3809</v>
      </c>
      <c r="L928" s="572"/>
      <c r="M928" s="572"/>
      <c r="N928" s="572"/>
      <c r="O928" s="572"/>
      <c r="P928" s="572"/>
      <c r="Q928" s="572"/>
      <c r="R928" s="572"/>
      <c r="S928" s="572"/>
      <c r="T928" s="572"/>
      <c r="U928" s="572"/>
      <c r="V928" s="572"/>
      <c r="W928" s="572"/>
      <c r="X928" s="572"/>
      <c r="Y928" s="572"/>
      <c r="Z928" s="572"/>
      <c r="AA928" s="572"/>
      <c r="AB928" s="572"/>
      <c r="AC928" s="572"/>
      <c r="AD928" s="572"/>
      <c r="AE928" s="572"/>
      <c r="AF928" s="572"/>
      <c r="AG928" s="572"/>
      <c r="AH928" s="572"/>
      <c r="AI928" s="572"/>
      <c r="AJ928" s="572"/>
      <c r="AK928" s="572"/>
      <c r="AL928" s="572"/>
      <c r="AM928" s="572"/>
      <c r="AN928" s="572"/>
      <c r="AO928" s="572"/>
      <c r="AP928" s="572"/>
      <c r="AQ928" s="572"/>
      <c r="AR928" s="572"/>
      <c r="AS928" s="572"/>
      <c r="AT928" s="572"/>
      <c r="AU928" s="572"/>
    </row>
    <row r="929" spans="1:47" ht="15.75" customHeight="1">
      <c r="A929" s="573">
        <v>44692</v>
      </c>
      <c r="B929" s="574" t="s">
        <v>6663</v>
      </c>
      <c r="C929" s="532" t="s">
        <v>3785</v>
      </c>
      <c r="D929" s="563" t="s">
        <v>6341</v>
      </c>
      <c r="E929" s="575">
        <v>30000</v>
      </c>
      <c r="F929" s="563" t="s">
        <v>1743</v>
      </c>
      <c r="G929" s="589" t="s">
        <v>19</v>
      </c>
      <c r="H929" s="563" t="s">
        <v>20</v>
      </c>
      <c r="I929" s="573" t="s">
        <v>5036</v>
      </c>
      <c r="J929" s="573">
        <v>44594</v>
      </c>
      <c r="K929" s="563" t="s">
        <v>3802</v>
      </c>
      <c r="L929" s="572"/>
      <c r="M929" s="572"/>
      <c r="N929" s="572"/>
      <c r="O929" s="572"/>
      <c r="P929" s="572"/>
      <c r="Q929" s="572"/>
      <c r="R929" s="572"/>
      <c r="S929" s="572"/>
      <c r="T929" s="572"/>
      <c r="U929" s="572"/>
      <c r="V929" s="572"/>
      <c r="W929" s="572"/>
      <c r="X929" s="572"/>
      <c r="Y929" s="572"/>
      <c r="Z929" s="572"/>
      <c r="AA929" s="572"/>
      <c r="AB929" s="572"/>
      <c r="AC929" s="572"/>
      <c r="AD929" s="572"/>
      <c r="AE929" s="572"/>
      <c r="AF929" s="572"/>
      <c r="AG929" s="572"/>
      <c r="AH929" s="572"/>
      <c r="AI929" s="572"/>
      <c r="AJ929" s="572"/>
      <c r="AK929" s="572"/>
      <c r="AL929" s="572"/>
      <c r="AM929" s="572"/>
      <c r="AN929" s="572"/>
      <c r="AO929" s="572"/>
      <c r="AP929" s="572"/>
      <c r="AQ929" s="572"/>
      <c r="AR929" s="572"/>
      <c r="AS929" s="572"/>
      <c r="AT929" s="572"/>
      <c r="AU929" s="572"/>
    </row>
    <row r="930" spans="1:47" ht="15.75" customHeight="1">
      <c r="A930" s="573">
        <v>44693</v>
      </c>
      <c r="B930" s="532">
        <v>2214585</v>
      </c>
      <c r="C930" s="532" t="s">
        <v>3785</v>
      </c>
      <c r="D930" s="563" t="s">
        <v>6341</v>
      </c>
      <c r="E930" s="575">
        <v>296037.19</v>
      </c>
      <c r="F930" s="555" t="s">
        <v>4972</v>
      </c>
      <c r="G930" s="555" t="s">
        <v>64</v>
      </c>
      <c r="H930" s="563" t="s">
        <v>20</v>
      </c>
      <c r="I930" s="563" t="s">
        <v>3973</v>
      </c>
      <c r="J930" s="573">
        <v>44085</v>
      </c>
      <c r="K930" s="556" t="s">
        <v>3789</v>
      </c>
      <c r="L930" s="572"/>
      <c r="M930" s="572"/>
      <c r="N930" s="572"/>
      <c r="O930" s="572"/>
      <c r="P930" s="572"/>
      <c r="Q930" s="572"/>
      <c r="R930" s="572"/>
      <c r="S930" s="572"/>
      <c r="T930" s="572"/>
      <c r="U930" s="572"/>
      <c r="V930" s="572"/>
      <c r="W930" s="572"/>
      <c r="X930" s="572"/>
      <c r="Y930" s="572"/>
      <c r="Z930" s="572"/>
      <c r="AA930" s="572"/>
      <c r="AB930" s="572"/>
      <c r="AC930" s="572"/>
      <c r="AD930" s="572"/>
      <c r="AE930" s="572"/>
      <c r="AF930" s="572"/>
      <c r="AG930" s="572"/>
      <c r="AH930" s="572"/>
      <c r="AI930" s="572"/>
      <c r="AJ930" s="572"/>
      <c r="AK930" s="572"/>
      <c r="AL930" s="572"/>
      <c r="AM930" s="572"/>
      <c r="AN930" s="572"/>
      <c r="AO930" s="572"/>
      <c r="AP930" s="572"/>
      <c r="AQ930" s="572"/>
      <c r="AR930" s="572"/>
      <c r="AS930" s="572"/>
      <c r="AT930" s="572"/>
      <c r="AU930" s="572"/>
    </row>
    <row r="931" spans="1:47" ht="15.75" customHeight="1">
      <c r="A931" s="573">
        <v>44693</v>
      </c>
      <c r="B931" s="532">
        <v>4886679</v>
      </c>
      <c r="C931" s="532" t="s">
        <v>3785</v>
      </c>
      <c r="D931" s="563" t="s">
        <v>6341</v>
      </c>
      <c r="E931" s="575">
        <v>187153.1</v>
      </c>
      <c r="F931" s="555" t="s">
        <v>4977</v>
      </c>
      <c r="G931" s="555" t="s">
        <v>64</v>
      </c>
      <c r="H931" s="563" t="s">
        <v>20</v>
      </c>
      <c r="I931" s="563" t="s">
        <v>3634</v>
      </c>
      <c r="J931" s="563">
        <v>0</v>
      </c>
      <c r="K931" s="556" t="s">
        <v>3842</v>
      </c>
      <c r="L931" s="572"/>
      <c r="M931" s="572"/>
      <c r="N931" s="572"/>
      <c r="O931" s="572"/>
      <c r="P931" s="572"/>
      <c r="Q931" s="572"/>
      <c r="R931" s="572"/>
      <c r="S931" s="572"/>
      <c r="T931" s="572"/>
      <c r="U931" s="572"/>
      <c r="V931" s="572"/>
      <c r="W931" s="572"/>
      <c r="X931" s="572"/>
      <c r="Y931" s="572"/>
      <c r="Z931" s="572"/>
      <c r="AA931" s="572"/>
      <c r="AB931" s="572"/>
      <c r="AC931" s="572"/>
      <c r="AD931" s="572"/>
      <c r="AE931" s="572"/>
      <c r="AF931" s="572"/>
      <c r="AG931" s="572"/>
      <c r="AH931" s="572"/>
      <c r="AI931" s="572"/>
      <c r="AJ931" s="572"/>
      <c r="AK931" s="572"/>
      <c r="AL931" s="572"/>
      <c r="AM931" s="572"/>
      <c r="AN931" s="572"/>
      <c r="AO931" s="572"/>
      <c r="AP931" s="572"/>
      <c r="AQ931" s="572"/>
      <c r="AR931" s="572"/>
      <c r="AS931" s="572"/>
      <c r="AT931" s="572"/>
      <c r="AU931" s="572"/>
    </row>
    <row r="932" spans="1:47" ht="15.75" customHeight="1">
      <c r="A932" s="573">
        <v>44693</v>
      </c>
      <c r="B932" s="532">
        <v>4084071</v>
      </c>
      <c r="C932" s="532" t="s">
        <v>3785</v>
      </c>
      <c r="D932" s="563" t="s">
        <v>6341</v>
      </c>
      <c r="E932" s="575">
        <v>15000</v>
      </c>
      <c r="F932" s="555" t="s">
        <v>3800</v>
      </c>
      <c r="G932" s="555" t="s">
        <v>19</v>
      </c>
      <c r="H932" s="555" t="s">
        <v>20</v>
      </c>
      <c r="I932" s="555" t="s">
        <v>3801</v>
      </c>
      <c r="J932" s="596">
        <v>44326</v>
      </c>
      <c r="K932" s="556" t="s">
        <v>3795</v>
      </c>
      <c r="L932" s="572"/>
      <c r="M932" s="572"/>
      <c r="N932" s="572"/>
      <c r="O932" s="572"/>
      <c r="P932" s="572"/>
      <c r="Q932" s="572"/>
      <c r="R932" s="572"/>
      <c r="S932" s="572"/>
      <c r="T932" s="572"/>
      <c r="U932" s="572"/>
      <c r="V932" s="572"/>
      <c r="W932" s="572"/>
      <c r="X932" s="572"/>
      <c r="Y932" s="572"/>
      <c r="Z932" s="572"/>
      <c r="AA932" s="572"/>
      <c r="AB932" s="572"/>
      <c r="AC932" s="572"/>
      <c r="AD932" s="572"/>
      <c r="AE932" s="572"/>
      <c r="AF932" s="572"/>
      <c r="AG932" s="572"/>
      <c r="AH932" s="572"/>
      <c r="AI932" s="572"/>
      <c r="AJ932" s="572"/>
      <c r="AK932" s="572"/>
      <c r="AL932" s="572"/>
      <c r="AM932" s="572"/>
      <c r="AN932" s="572"/>
      <c r="AO932" s="572"/>
      <c r="AP932" s="572"/>
      <c r="AQ932" s="572"/>
      <c r="AR932" s="572"/>
      <c r="AS932" s="572"/>
      <c r="AT932" s="572"/>
      <c r="AU932" s="572"/>
    </row>
    <row r="933" spans="1:47" ht="15.75" customHeight="1">
      <c r="A933" s="573">
        <v>44693</v>
      </c>
      <c r="B933" s="585" t="s">
        <v>6474</v>
      </c>
      <c r="C933" s="405" t="s">
        <v>2921</v>
      </c>
      <c r="D933" s="563" t="s">
        <v>6341</v>
      </c>
      <c r="E933" s="586">
        <v>10000</v>
      </c>
      <c r="F933" s="563" t="s">
        <v>3238</v>
      </c>
      <c r="G933" s="573" t="s">
        <v>19</v>
      </c>
      <c r="H933" s="573" t="s">
        <v>34</v>
      </c>
      <c r="I933" s="573" t="s">
        <v>2971</v>
      </c>
      <c r="J933" s="573">
        <v>44266</v>
      </c>
      <c r="K933" s="573" t="s">
        <v>3805</v>
      </c>
      <c r="L933" s="572"/>
      <c r="M933" s="572"/>
      <c r="N933" s="572"/>
      <c r="O933" s="572"/>
      <c r="P933" s="572"/>
      <c r="Q933" s="572"/>
      <c r="R933" s="572"/>
      <c r="S933" s="572"/>
      <c r="T933" s="572"/>
      <c r="U933" s="572"/>
      <c r="V933" s="572"/>
      <c r="W933" s="572"/>
      <c r="X933" s="572"/>
      <c r="Y933" s="572"/>
      <c r="Z933" s="572"/>
      <c r="AA933" s="572"/>
      <c r="AB933" s="572"/>
      <c r="AC933" s="572"/>
      <c r="AD933" s="572"/>
      <c r="AE933" s="572"/>
      <c r="AF933" s="572"/>
      <c r="AG933" s="572"/>
      <c r="AH933" s="572"/>
      <c r="AI933" s="572"/>
      <c r="AJ933" s="572"/>
      <c r="AK933" s="572"/>
      <c r="AL933" s="572"/>
      <c r="AM933" s="572"/>
      <c r="AN933" s="572"/>
      <c r="AO933" s="572"/>
      <c r="AP933" s="572"/>
      <c r="AQ933" s="572"/>
      <c r="AR933" s="572"/>
      <c r="AS933" s="572"/>
      <c r="AT933" s="572"/>
      <c r="AU933" s="572"/>
    </row>
    <row r="934" spans="1:47" ht="15.75" customHeight="1">
      <c r="A934" s="573">
        <v>44694</v>
      </c>
      <c r="B934" s="532">
        <v>4401235</v>
      </c>
      <c r="C934" s="532" t="s">
        <v>3785</v>
      </c>
      <c r="D934" s="563" t="s">
        <v>6341</v>
      </c>
      <c r="E934" s="575">
        <v>59000</v>
      </c>
      <c r="F934" s="555" t="s">
        <v>6741</v>
      </c>
      <c r="G934" s="598" t="s">
        <v>19</v>
      </c>
      <c r="H934" s="598" t="s">
        <v>20</v>
      </c>
      <c r="I934" s="598" t="s">
        <v>4142</v>
      </c>
      <c r="J934" s="596">
        <v>44089</v>
      </c>
      <c r="K934" s="556" t="s">
        <v>3802</v>
      </c>
      <c r="L934" s="572"/>
      <c r="M934" s="572"/>
      <c r="N934" s="572"/>
      <c r="O934" s="572"/>
      <c r="P934" s="572"/>
      <c r="Q934" s="572"/>
      <c r="R934" s="572"/>
      <c r="S934" s="572"/>
      <c r="T934" s="572"/>
      <c r="U934" s="572"/>
      <c r="V934" s="572"/>
      <c r="W934" s="572"/>
      <c r="X934" s="572"/>
      <c r="Y934" s="572"/>
      <c r="Z934" s="572"/>
      <c r="AA934" s="572"/>
      <c r="AB934" s="572"/>
      <c r="AC934" s="572"/>
      <c r="AD934" s="572"/>
      <c r="AE934" s="572"/>
      <c r="AF934" s="572"/>
      <c r="AG934" s="572"/>
      <c r="AH934" s="572"/>
      <c r="AI934" s="572"/>
      <c r="AJ934" s="572"/>
      <c r="AK934" s="572"/>
      <c r="AL934" s="572"/>
      <c r="AM934" s="572"/>
      <c r="AN934" s="572"/>
      <c r="AO934" s="572"/>
      <c r="AP934" s="572"/>
      <c r="AQ934" s="572"/>
      <c r="AR934" s="572"/>
      <c r="AS934" s="572"/>
      <c r="AT934" s="572"/>
      <c r="AU934" s="572"/>
    </row>
    <row r="935" spans="1:47" ht="15.75" customHeight="1">
      <c r="A935" s="573">
        <v>44694</v>
      </c>
      <c r="B935" s="532">
        <v>7438369</v>
      </c>
      <c r="C935" s="532" t="s">
        <v>3785</v>
      </c>
      <c r="D935" s="563" t="s">
        <v>3110</v>
      </c>
      <c r="E935" s="575">
        <v>28617.08</v>
      </c>
      <c r="F935" s="555" t="s">
        <v>4844</v>
      </c>
      <c r="G935" s="555" t="s">
        <v>64</v>
      </c>
      <c r="H935" s="555" t="s">
        <v>20</v>
      </c>
      <c r="I935" s="555" t="s">
        <v>3847</v>
      </c>
      <c r="J935" s="596">
        <v>44551</v>
      </c>
      <c r="K935" s="556" t="s">
        <v>3809</v>
      </c>
      <c r="L935" s="572"/>
      <c r="M935" s="572"/>
      <c r="N935" s="572"/>
      <c r="O935" s="572"/>
      <c r="P935" s="572"/>
      <c r="Q935" s="572"/>
      <c r="R935" s="572"/>
      <c r="S935" s="572"/>
      <c r="T935" s="572"/>
      <c r="U935" s="572"/>
      <c r="V935" s="572"/>
      <c r="W935" s="572"/>
      <c r="X935" s="572"/>
      <c r="Y935" s="572"/>
      <c r="Z935" s="572"/>
      <c r="AA935" s="572"/>
      <c r="AB935" s="572"/>
      <c r="AC935" s="572"/>
      <c r="AD935" s="572"/>
      <c r="AE935" s="572"/>
      <c r="AF935" s="572"/>
      <c r="AG935" s="572"/>
      <c r="AH935" s="572"/>
      <c r="AI935" s="572"/>
      <c r="AJ935" s="572"/>
      <c r="AK935" s="572"/>
      <c r="AL935" s="572"/>
      <c r="AM935" s="572"/>
      <c r="AN935" s="572"/>
      <c r="AO935" s="572"/>
      <c r="AP935" s="572"/>
      <c r="AQ935" s="572"/>
      <c r="AR935" s="572"/>
      <c r="AS935" s="572"/>
      <c r="AT935" s="572"/>
      <c r="AU935" s="572"/>
    </row>
    <row r="936" spans="1:47" ht="15.75" customHeight="1">
      <c r="A936" s="573">
        <v>44694</v>
      </c>
      <c r="B936" s="532">
        <v>7542389</v>
      </c>
      <c r="C936" s="532" t="s">
        <v>3785</v>
      </c>
      <c r="D936" s="563" t="s">
        <v>3110</v>
      </c>
      <c r="E936" s="575">
        <v>131457.67000000001</v>
      </c>
      <c r="F936" s="555" t="s">
        <v>4844</v>
      </c>
      <c r="G936" s="555" t="s">
        <v>64</v>
      </c>
      <c r="H936" s="555" t="s">
        <v>20</v>
      </c>
      <c r="I936" s="555" t="s">
        <v>3847</v>
      </c>
      <c r="J936" s="596">
        <v>44579</v>
      </c>
      <c r="K936" s="556" t="s">
        <v>3802</v>
      </c>
      <c r="L936" s="572"/>
      <c r="M936" s="572"/>
      <c r="N936" s="572"/>
      <c r="O936" s="572"/>
      <c r="P936" s="572"/>
      <c r="Q936" s="572"/>
      <c r="R936" s="572"/>
      <c r="S936" s="572"/>
      <c r="T936" s="572"/>
      <c r="U936" s="572"/>
      <c r="V936" s="572"/>
      <c r="W936" s="572"/>
      <c r="X936" s="572"/>
      <c r="Y936" s="572"/>
      <c r="Z936" s="572"/>
      <c r="AA936" s="572"/>
      <c r="AB936" s="572"/>
      <c r="AC936" s="572"/>
      <c r="AD936" s="572"/>
      <c r="AE936" s="572"/>
      <c r="AF936" s="572"/>
      <c r="AG936" s="572"/>
      <c r="AH936" s="572"/>
      <c r="AI936" s="572"/>
      <c r="AJ936" s="572"/>
      <c r="AK936" s="572"/>
      <c r="AL936" s="572"/>
      <c r="AM936" s="572"/>
      <c r="AN936" s="572"/>
      <c r="AO936" s="572"/>
      <c r="AP936" s="572"/>
      <c r="AQ936" s="572"/>
      <c r="AR936" s="572"/>
      <c r="AS936" s="572"/>
      <c r="AT936" s="572"/>
      <c r="AU936" s="572"/>
    </row>
    <row r="937" spans="1:47" ht="15.75" customHeight="1">
      <c r="A937" s="573">
        <v>44694</v>
      </c>
      <c r="B937" s="532">
        <v>461432</v>
      </c>
      <c r="C937" s="532" t="s">
        <v>2921</v>
      </c>
      <c r="D937" s="563" t="s">
        <v>6341</v>
      </c>
      <c r="E937" s="575">
        <v>1000</v>
      </c>
      <c r="F937" s="555" t="s">
        <v>3564</v>
      </c>
      <c r="G937" s="555" t="s">
        <v>19</v>
      </c>
      <c r="H937" s="563" t="s">
        <v>34</v>
      </c>
      <c r="I937" s="563" t="s">
        <v>262</v>
      </c>
      <c r="J937" s="573">
        <v>44319</v>
      </c>
      <c r="K937" s="556" t="s">
        <v>3809</v>
      </c>
      <c r="L937" s="572"/>
      <c r="M937" s="572"/>
      <c r="N937" s="572"/>
      <c r="O937" s="572"/>
      <c r="P937" s="572"/>
      <c r="Q937" s="572"/>
      <c r="R937" s="572"/>
      <c r="S937" s="572"/>
      <c r="T937" s="572"/>
      <c r="U937" s="572"/>
      <c r="V937" s="572"/>
      <c r="W937" s="572"/>
      <c r="X937" s="572"/>
      <c r="Y937" s="572"/>
      <c r="Z937" s="572"/>
      <c r="AA937" s="572"/>
      <c r="AB937" s="572"/>
      <c r="AC937" s="572"/>
      <c r="AD937" s="572"/>
      <c r="AE937" s="572"/>
      <c r="AF937" s="572"/>
      <c r="AG937" s="572"/>
      <c r="AH937" s="572"/>
      <c r="AI937" s="572"/>
      <c r="AJ937" s="572"/>
      <c r="AK937" s="572"/>
      <c r="AL937" s="572"/>
      <c r="AM937" s="572"/>
      <c r="AN937" s="572"/>
      <c r="AO937" s="572"/>
      <c r="AP937" s="572"/>
      <c r="AQ937" s="572"/>
      <c r="AR937" s="572"/>
      <c r="AS937" s="572"/>
      <c r="AT937" s="572"/>
      <c r="AU937" s="572"/>
    </row>
    <row r="938" spans="1:47" ht="15.75" customHeight="1">
      <c r="A938" s="573">
        <v>44694</v>
      </c>
      <c r="B938" s="555" t="s">
        <v>6668</v>
      </c>
      <c r="C938" s="532" t="s">
        <v>2921</v>
      </c>
      <c r="D938" s="563" t="s">
        <v>6341</v>
      </c>
      <c r="E938" s="575">
        <v>20000</v>
      </c>
      <c r="F938" s="532" t="s">
        <v>6695</v>
      </c>
      <c r="G938" s="555" t="s">
        <v>19</v>
      </c>
      <c r="H938" s="555" t="s">
        <v>34</v>
      </c>
      <c r="I938" s="555" t="s">
        <v>35</v>
      </c>
      <c r="J938" s="596">
        <v>44263</v>
      </c>
      <c r="K938" s="556" t="s">
        <v>3805</v>
      </c>
      <c r="L938" s="572"/>
      <c r="M938" s="572"/>
      <c r="N938" s="572"/>
      <c r="O938" s="572"/>
      <c r="P938" s="572"/>
      <c r="Q938" s="572"/>
      <c r="R938" s="572"/>
      <c r="S938" s="572"/>
      <c r="T938" s="572"/>
      <c r="U938" s="572"/>
      <c r="V938" s="572"/>
      <c r="W938" s="572"/>
      <c r="X938" s="572"/>
      <c r="Y938" s="572"/>
      <c r="Z938" s="572"/>
      <c r="AA938" s="572"/>
      <c r="AB938" s="572"/>
      <c r="AC938" s="572"/>
      <c r="AD938" s="572"/>
      <c r="AE938" s="572"/>
      <c r="AF938" s="572"/>
      <c r="AG938" s="572"/>
      <c r="AH938" s="572"/>
      <c r="AI938" s="572"/>
      <c r="AJ938" s="572"/>
      <c r="AK938" s="572"/>
      <c r="AL938" s="572"/>
      <c r="AM938" s="572"/>
      <c r="AN938" s="572"/>
      <c r="AO938" s="572"/>
      <c r="AP938" s="572"/>
      <c r="AQ938" s="572"/>
      <c r="AR938" s="572"/>
      <c r="AS938" s="572"/>
      <c r="AT938" s="572"/>
      <c r="AU938" s="572"/>
    </row>
    <row r="939" spans="1:47" ht="15.75" customHeight="1">
      <c r="A939" s="573">
        <v>44698</v>
      </c>
      <c r="B939" s="532">
        <v>320910</v>
      </c>
      <c r="C939" s="532" t="s">
        <v>2921</v>
      </c>
      <c r="D939" s="563" t="s">
        <v>6341</v>
      </c>
      <c r="E939" s="575">
        <v>54000</v>
      </c>
      <c r="F939" s="555" t="s">
        <v>6742</v>
      </c>
      <c r="G939" s="555" t="s">
        <v>19</v>
      </c>
      <c r="H939" s="555" t="s">
        <v>34</v>
      </c>
      <c r="I939" s="555" t="s">
        <v>35</v>
      </c>
      <c r="J939" s="596">
        <v>44328</v>
      </c>
      <c r="K939" s="556" t="s">
        <v>3795</v>
      </c>
      <c r="L939" s="572"/>
      <c r="M939" s="572"/>
      <c r="N939" s="572"/>
      <c r="O939" s="572"/>
      <c r="P939" s="572"/>
      <c r="Q939" s="572"/>
      <c r="R939" s="572"/>
      <c r="S939" s="572"/>
      <c r="T939" s="572"/>
      <c r="U939" s="572"/>
      <c r="V939" s="572"/>
      <c r="W939" s="572"/>
      <c r="X939" s="572"/>
      <c r="Y939" s="572"/>
      <c r="Z939" s="572"/>
      <c r="AA939" s="572"/>
      <c r="AB939" s="572"/>
      <c r="AC939" s="572"/>
      <c r="AD939" s="572"/>
      <c r="AE939" s="572"/>
      <c r="AF939" s="572"/>
      <c r="AG939" s="572"/>
      <c r="AH939" s="572"/>
      <c r="AI939" s="572"/>
      <c r="AJ939" s="572"/>
      <c r="AK939" s="572"/>
      <c r="AL939" s="572"/>
      <c r="AM939" s="572"/>
      <c r="AN939" s="572"/>
      <c r="AO939" s="572"/>
      <c r="AP939" s="572"/>
      <c r="AQ939" s="572"/>
      <c r="AR939" s="572"/>
      <c r="AS939" s="572"/>
      <c r="AT939" s="572"/>
      <c r="AU939" s="572"/>
    </row>
    <row r="940" spans="1:47" ht="15.75" customHeight="1">
      <c r="A940" s="597">
        <v>44701</v>
      </c>
      <c r="B940" s="585" t="s">
        <v>6572</v>
      </c>
      <c r="C940" s="532" t="s">
        <v>2921</v>
      </c>
      <c r="D940" s="598" t="s">
        <v>3110</v>
      </c>
      <c r="E940" s="599">
        <v>120119.71</v>
      </c>
      <c r="F940" s="598" t="s">
        <v>3396</v>
      </c>
      <c r="G940" s="598" t="s">
        <v>19</v>
      </c>
      <c r="H940" s="598" t="s">
        <v>34</v>
      </c>
      <c r="I940" s="598" t="s">
        <v>262</v>
      </c>
      <c r="J940" s="597">
        <v>44391</v>
      </c>
      <c r="K940" s="532" t="s">
        <v>3795</v>
      </c>
      <c r="L940" s="572"/>
      <c r="M940" s="572"/>
      <c r="N940" s="572"/>
      <c r="O940" s="572"/>
      <c r="P940" s="572"/>
      <c r="Q940" s="572"/>
      <c r="R940" s="572"/>
      <c r="S940" s="572"/>
      <c r="T940" s="572"/>
      <c r="U940" s="572"/>
      <c r="V940" s="572"/>
      <c r="W940" s="572"/>
      <c r="X940" s="572"/>
      <c r="Y940" s="572"/>
      <c r="Z940" s="572"/>
      <c r="AA940" s="572"/>
      <c r="AB940" s="572"/>
      <c r="AC940" s="572"/>
      <c r="AD940" s="572"/>
      <c r="AE940" s="572"/>
      <c r="AF940" s="572"/>
      <c r="AG940" s="572"/>
      <c r="AH940" s="572"/>
      <c r="AI940" s="572"/>
      <c r="AJ940" s="572"/>
      <c r="AK940" s="572"/>
      <c r="AL940" s="572"/>
      <c r="AM940" s="572"/>
      <c r="AN940" s="572"/>
      <c r="AO940" s="572"/>
      <c r="AP940" s="572"/>
      <c r="AQ940" s="572"/>
      <c r="AR940" s="572"/>
      <c r="AS940" s="572"/>
      <c r="AT940" s="572"/>
      <c r="AU940" s="572"/>
    </row>
    <row r="941" spans="1:47" ht="15.75" customHeight="1">
      <c r="A941" s="573">
        <v>44704</v>
      </c>
      <c r="B941" s="532">
        <v>461432</v>
      </c>
      <c r="C941" s="532" t="s">
        <v>2921</v>
      </c>
      <c r="D941" s="563" t="s">
        <v>6341</v>
      </c>
      <c r="E941" s="575">
        <v>12200</v>
      </c>
      <c r="F941" s="555" t="s">
        <v>3564</v>
      </c>
      <c r="G941" s="555" t="s">
        <v>19</v>
      </c>
      <c r="H941" s="563" t="s">
        <v>34</v>
      </c>
      <c r="I941" s="563" t="s">
        <v>262</v>
      </c>
      <c r="J941" s="573">
        <v>44319</v>
      </c>
      <c r="K941" s="556" t="s">
        <v>3809</v>
      </c>
      <c r="L941" s="572"/>
      <c r="M941" s="572"/>
      <c r="N941" s="572"/>
      <c r="O941" s="572"/>
      <c r="P941" s="572"/>
      <c r="Q941" s="572"/>
      <c r="R941" s="572"/>
      <c r="S941" s="572"/>
      <c r="T941" s="572"/>
      <c r="U941" s="572"/>
      <c r="V941" s="572"/>
      <c r="W941" s="572"/>
      <c r="X941" s="572"/>
      <c r="Y941" s="572"/>
      <c r="Z941" s="572"/>
      <c r="AA941" s="572"/>
      <c r="AB941" s="572"/>
      <c r="AC941" s="572"/>
      <c r="AD941" s="572"/>
      <c r="AE941" s="572"/>
      <c r="AF941" s="572"/>
      <c r="AG941" s="572"/>
      <c r="AH941" s="572"/>
      <c r="AI941" s="572"/>
      <c r="AJ941" s="572"/>
      <c r="AK941" s="572"/>
      <c r="AL941" s="572"/>
      <c r="AM941" s="572"/>
      <c r="AN941" s="572"/>
      <c r="AO941" s="572"/>
      <c r="AP941" s="572"/>
      <c r="AQ941" s="572"/>
      <c r="AR941" s="572"/>
      <c r="AS941" s="572"/>
      <c r="AT941" s="572"/>
      <c r="AU941" s="572"/>
    </row>
    <row r="942" spans="1:47" ht="15.75" customHeight="1">
      <c r="A942" s="573">
        <v>44704</v>
      </c>
      <c r="B942" s="532">
        <v>5593800</v>
      </c>
      <c r="C942" s="532" t="s">
        <v>3785</v>
      </c>
      <c r="D942" s="563" t="s">
        <v>3110</v>
      </c>
      <c r="E942" s="575">
        <v>97983.24</v>
      </c>
      <c r="F942" s="555" t="s">
        <v>6743</v>
      </c>
      <c r="G942" s="555" t="s">
        <v>19</v>
      </c>
      <c r="H942" s="555" t="s">
        <v>49</v>
      </c>
      <c r="I942" s="555" t="s">
        <v>328</v>
      </c>
      <c r="J942" s="596">
        <v>44344</v>
      </c>
      <c r="K942" s="532" t="s">
        <v>3789</v>
      </c>
      <c r="L942" s="572"/>
      <c r="M942" s="572"/>
      <c r="N942" s="572"/>
      <c r="O942" s="572"/>
      <c r="P942" s="572"/>
      <c r="Q942" s="572"/>
      <c r="R942" s="572"/>
      <c r="S942" s="572"/>
      <c r="T942" s="572"/>
      <c r="U942" s="572"/>
      <c r="V942" s="572"/>
      <c r="W942" s="572"/>
      <c r="X942" s="572"/>
      <c r="Y942" s="572"/>
      <c r="Z942" s="572"/>
      <c r="AA942" s="572"/>
      <c r="AB942" s="572"/>
      <c r="AC942" s="572"/>
      <c r="AD942" s="572"/>
      <c r="AE942" s="572"/>
      <c r="AF942" s="572"/>
      <c r="AG942" s="572"/>
      <c r="AH942" s="572"/>
      <c r="AI942" s="572"/>
      <c r="AJ942" s="572"/>
      <c r="AK942" s="572"/>
      <c r="AL942" s="572"/>
      <c r="AM942" s="572"/>
      <c r="AN942" s="572"/>
      <c r="AO942" s="572"/>
      <c r="AP942" s="572"/>
      <c r="AQ942" s="572"/>
      <c r="AR942" s="572"/>
      <c r="AS942" s="572"/>
      <c r="AT942" s="572"/>
      <c r="AU942" s="572"/>
    </row>
    <row r="943" spans="1:47" ht="15.75" customHeight="1">
      <c r="A943" s="573">
        <v>44704</v>
      </c>
      <c r="B943" s="532">
        <v>6986262</v>
      </c>
      <c r="C943" s="532" t="s">
        <v>3785</v>
      </c>
      <c r="D943" s="563" t="s">
        <v>6341</v>
      </c>
      <c r="E943" s="575">
        <v>20000</v>
      </c>
      <c r="F943" s="555" t="s">
        <v>4297</v>
      </c>
      <c r="G943" s="555" t="s">
        <v>19</v>
      </c>
      <c r="H943" s="555" t="s">
        <v>49</v>
      </c>
      <c r="I943" s="555" t="s">
        <v>4134</v>
      </c>
      <c r="J943" s="596">
        <v>44503</v>
      </c>
      <c r="K943" s="532" t="s">
        <v>3842</v>
      </c>
      <c r="L943" s="572"/>
      <c r="M943" s="572"/>
      <c r="N943" s="572"/>
      <c r="O943" s="572"/>
      <c r="P943" s="572"/>
      <c r="Q943" s="572"/>
      <c r="R943" s="572"/>
      <c r="S943" s="572"/>
      <c r="T943" s="572"/>
      <c r="U943" s="572"/>
      <c r="V943" s="572"/>
      <c r="W943" s="572"/>
      <c r="X943" s="572"/>
      <c r="Y943" s="572"/>
      <c r="Z943" s="572"/>
      <c r="AA943" s="572"/>
      <c r="AB943" s="572"/>
      <c r="AC943" s="572"/>
      <c r="AD943" s="572"/>
      <c r="AE943" s="572"/>
      <c r="AF943" s="572"/>
      <c r="AG943" s="572"/>
      <c r="AH943" s="572"/>
      <c r="AI943" s="572"/>
      <c r="AJ943" s="572"/>
      <c r="AK943" s="572"/>
      <c r="AL943" s="572"/>
      <c r="AM943" s="572"/>
      <c r="AN943" s="572"/>
      <c r="AO943" s="572"/>
      <c r="AP943" s="572"/>
      <c r="AQ943" s="572"/>
      <c r="AR943" s="572"/>
      <c r="AS943" s="572"/>
      <c r="AT943" s="572"/>
      <c r="AU943" s="572"/>
    </row>
    <row r="944" spans="1:47" ht="15.75" customHeight="1">
      <c r="A944" s="573">
        <v>44705</v>
      </c>
      <c r="B944" s="630" t="s">
        <v>6744</v>
      </c>
      <c r="C944" s="625" t="s">
        <v>3785</v>
      </c>
      <c r="D944" s="626" t="s">
        <v>6341</v>
      </c>
      <c r="E944" s="627">
        <v>150000</v>
      </c>
      <c r="F944" s="616" t="s">
        <v>4075</v>
      </c>
      <c r="G944" s="616" t="s">
        <v>19</v>
      </c>
      <c r="H944" s="616" t="s">
        <v>49</v>
      </c>
      <c r="I944" s="616" t="s">
        <v>6326</v>
      </c>
      <c r="J944" s="631">
        <v>44130</v>
      </c>
      <c r="K944" s="625" t="s">
        <v>3795</v>
      </c>
      <c r="L944" s="572"/>
      <c r="M944" s="572"/>
      <c r="N944" s="572"/>
      <c r="O944" s="572"/>
      <c r="P944" s="572"/>
      <c r="Q944" s="572"/>
      <c r="R944" s="572"/>
      <c r="S944" s="572"/>
      <c r="T944" s="572"/>
      <c r="U944" s="572"/>
      <c r="V944" s="572"/>
      <c r="W944" s="572"/>
      <c r="X944" s="572"/>
      <c r="Y944" s="572"/>
      <c r="Z944" s="572"/>
      <c r="AA944" s="572"/>
      <c r="AB944" s="572"/>
      <c r="AC944" s="572"/>
      <c r="AD944" s="572"/>
      <c r="AE944" s="572"/>
      <c r="AF944" s="572"/>
      <c r="AG944" s="572"/>
      <c r="AH944" s="572"/>
      <c r="AI944" s="572"/>
      <c r="AJ944" s="572"/>
      <c r="AK944" s="572"/>
      <c r="AL944" s="572"/>
      <c r="AM944" s="572"/>
      <c r="AN944" s="572"/>
      <c r="AO944" s="572"/>
      <c r="AP944" s="572"/>
      <c r="AQ944" s="572"/>
      <c r="AR944" s="572"/>
      <c r="AS944" s="572"/>
      <c r="AT944" s="572"/>
      <c r="AU944" s="572"/>
    </row>
    <row r="945" spans="1:47" ht="15.75" customHeight="1">
      <c r="A945" s="573">
        <v>44707</v>
      </c>
      <c r="B945" s="625">
        <v>6866947</v>
      </c>
      <c r="C945" s="625" t="s">
        <v>3785</v>
      </c>
      <c r="D945" s="626" t="s">
        <v>6341</v>
      </c>
      <c r="E945" s="627">
        <v>5000</v>
      </c>
      <c r="F945" s="616" t="s">
        <v>4050</v>
      </c>
      <c r="G945" s="616" t="s">
        <v>19</v>
      </c>
      <c r="H945" s="616" t="s">
        <v>49</v>
      </c>
      <c r="I945" s="616" t="s">
        <v>328</v>
      </c>
      <c r="J945" s="631">
        <v>44497</v>
      </c>
      <c r="K945" s="625" t="s">
        <v>3805</v>
      </c>
      <c r="L945" s="572"/>
      <c r="M945" s="572"/>
      <c r="N945" s="572"/>
      <c r="O945" s="572"/>
      <c r="P945" s="572"/>
      <c r="Q945" s="572"/>
      <c r="R945" s="572"/>
      <c r="S945" s="572"/>
      <c r="T945" s="572"/>
      <c r="U945" s="572"/>
      <c r="V945" s="572"/>
      <c r="W945" s="572"/>
      <c r="X945" s="572"/>
      <c r="Y945" s="572"/>
      <c r="Z945" s="572"/>
      <c r="AA945" s="572"/>
      <c r="AB945" s="572"/>
      <c r="AC945" s="572"/>
      <c r="AD945" s="572"/>
      <c r="AE945" s="572"/>
      <c r="AF945" s="572"/>
      <c r="AG945" s="572"/>
      <c r="AH945" s="572"/>
      <c r="AI945" s="572"/>
      <c r="AJ945" s="572"/>
      <c r="AK945" s="572"/>
      <c r="AL945" s="572"/>
      <c r="AM945" s="572"/>
      <c r="AN945" s="572"/>
      <c r="AO945" s="572"/>
      <c r="AP945" s="572"/>
      <c r="AQ945" s="572"/>
      <c r="AR945" s="572"/>
      <c r="AS945" s="572"/>
      <c r="AT945" s="572"/>
      <c r="AU945" s="572"/>
    </row>
    <row r="946" spans="1:47" ht="15.75" customHeight="1">
      <c r="A946" s="573">
        <v>44707</v>
      </c>
      <c r="B946" s="625">
        <v>385035</v>
      </c>
      <c r="C946" s="625" t="s">
        <v>2921</v>
      </c>
      <c r="D946" s="626" t="s">
        <v>6341</v>
      </c>
      <c r="E946" s="627">
        <v>53252</v>
      </c>
      <c r="F946" s="616" t="s">
        <v>6745</v>
      </c>
      <c r="G946" s="626" t="s">
        <v>2923</v>
      </c>
      <c r="H946" s="626" t="s">
        <v>20</v>
      </c>
      <c r="I946" s="626" t="s">
        <v>2924</v>
      </c>
      <c r="J946" s="632">
        <v>43811</v>
      </c>
      <c r="K946" s="633" t="s">
        <v>3805</v>
      </c>
      <c r="L946" s="572"/>
      <c r="M946" s="572"/>
      <c r="N946" s="572"/>
      <c r="O946" s="572"/>
      <c r="P946" s="572"/>
      <c r="Q946" s="572"/>
      <c r="R946" s="572"/>
      <c r="S946" s="572"/>
      <c r="T946" s="572"/>
      <c r="U946" s="572"/>
      <c r="V946" s="572"/>
      <c r="W946" s="572"/>
      <c r="X946" s="572"/>
      <c r="Y946" s="572"/>
      <c r="Z946" s="572"/>
      <c r="AA946" s="572"/>
      <c r="AB946" s="572"/>
      <c r="AC946" s="572"/>
      <c r="AD946" s="572"/>
      <c r="AE946" s="572"/>
      <c r="AF946" s="572"/>
      <c r="AG946" s="572"/>
      <c r="AH946" s="572"/>
      <c r="AI946" s="572"/>
      <c r="AJ946" s="572"/>
      <c r="AK946" s="572"/>
      <c r="AL946" s="572"/>
      <c r="AM946" s="572"/>
      <c r="AN946" s="572"/>
      <c r="AO946" s="572"/>
      <c r="AP946" s="572"/>
      <c r="AQ946" s="572"/>
      <c r="AR946" s="572"/>
      <c r="AS946" s="572"/>
      <c r="AT946" s="572"/>
      <c r="AU946" s="572"/>
    </row>
    <row r="947" spans="1:47" ht="15.75" customHeight="1">
      <c r="A947" s="573">
        <v>44707</v>
      </c>
      <c r="B947" s="625">
        <v>798500</v>
      </c>
      <c r="C947" s="625" t="s">
        <v>2921</v>
      </c>
      <c r="D947" s="626" t="s">
        <v>6341</v>
      </c>
      <c r="E947" s="627">
        <v>15000</v>
      </c>
      <c r="F947" s="616" t="s">
        <v>6746</v>
      </c>
      <c r="G947" s="616" t="s">
        <v>19</v>
      </c>
      <c r="H947" s="626" t="s">
        <v>34</v>
      </c>
      <c r="I947" s="626" t="s">
        <v>2971</v>
      </c>
      <c r="J947" s="628">
        <v>44299</v>
      </c>
      <c r="K947" s="633" t="s">
        <v>3795</v>
      </c>
      <c r="L947" s="572"/>
      <c r="M947" s="572"/>
      <c r="N947" s="572"/>
      <c r="O947" s="572"/>
      <c r="P947" s="572"/>
      <c r="Q947" s="572"/>
      <c r="R947" s="572"/>
      <c r="S947" s="572"/>
      <c r="T947" s="572"/>
      <c r="U947" s="572"/>
      <c r="V947" s="572"/>
      <c r="W947" s="572"/>
      <c r="X947" s="572"/>
      <c r="Y947" s="572"/>
      <c r="Z947" s="572"/>
      <c r="AA947" s="572"/>
      <c r="AB947" s="572"/>
      <c r="AC947" s="572"/>
      <c r="AD947" s="572"/>
      <c r="AE947" s="572"/>
      <c r="AF947" s="572"/>
      <c r="AG947" s="572"/>
      <c r="AH947" s="572"/>
      <c r="AI947" s="572"/>
      <c r="AJ947" s="572"/>
      <c r="AK947" s="572"/>
      <c r="AL947" s="572"/>
      <c r="AM947" s="572"/>
      <c r="AN947" s="572"/>
      <c r="AO947" s="572"/>
      <c r="AP947" s="572"/>
      <c r="AQ947" s="572"/>
      <c r="AR947" s="572"/>
      <c r="AS947" s="572"/>
      <c r="AT947" s="572"/>
      <c r="AU947" s="572"/>
    </row>
    <row r="948" spans="1:47" ht="15.75" customHeight="1">
      <c r="A948" s="573">
        <v>44713</v>
      </c>
      <c r="B948" s="625">
        <v>4681835</v>
      </c>
      <c r="C948" s="625" t="s">
        <v>3785</v>
      </c>
      <c r="D948" s="626" t="s">
        <v>3110</v>
      </c>
      <c r="E948" s="627">
        <v>93639.74</v>
      </c>
      <c r="F948" s="616" t="s">
        <v>4865</v>
      </c>
      <c r="G948" s="616" t="s">
        <v>64</v>
      </c>
      <c r="H948" s="626" t="s">
        <v>20</v>
      </c>
      <c r="I948" s="626" t="s">
        <v>3973</v>
      </c>
      <c r="J948" s="628">
        <v>44204</v>
      </c>
      <c r="K948" s="633" t="s">
        <v>3789</v>
      </c>
      <c r="L948" s="572"/>
      <c r="M948" s="572"/>
      <c r="N948" s="572"/>
      <c r="O948" s="572"/>
      <c r="P948" s="572"/>
      <c r="Q948" s="572"/>
      <c r="R948" s="572"/>
      <c r="S948" s="572"/>
      <c r="T948" s="572"/>
      <c r="U948" s="572"/>
      <c r="V948" s="572"/>
      <c r="W948" s="572"/>
      <c r="X948" s="572"/>
      <c r="Y948" s="572"/>
      <c r="Z948" s="572"/>
      <c r="AA948" s="572"/>
      <c r="AB948" s="572"/>
      <c r="AC948" s="572"/>
      <c r="AD948" s="572"/>
      <c r="AE948" s="572"/>
      <c r="AF948" s="572"/>
      <c r="AG948" s="572"/>
      <c r="AH948" s="572"/>
      <c r="AI948" s="572"/>
      <c r="AJ948" s="572"/>
      <c r="AK948" s="572"/>
      <c r="AL948" s="572"/>
      <c r="AM948" s="572"/>
      <c r="AN948" s="572"/>
      <c r="AO948" s="572"/>
      <c r="AP948" s="572"/>
      <c r="AQ948" s="572"/>
      <c r="AR948" s="572"/>
      <c r="AS948" s="572"/>
      <c r="AT948" s="572"/>
      <c r="AU948" s="572"/>
    </row>
    <row r="949" spans="1:47" ht="15.75" customHeight="1">
      <c r="A949" s="597">
        <v>44713</v>
      </c>
      <c r="B949" s="634" t="s">
        <v>6514</v>
      </c>
      <c r="C949" s="625" t="s">
        <v>3785</v>
      </c>
      <c r="D949" s="635" t="s">
        <v>6341</v>
      </c>
      <c r="E949" s="636">
        <v>4000</v>
      </c>
      <c r="F949" s="635" t="s">
        <v>697</v>
      </c>
      <c r="G949" s="635" t="s">
        <v>19</v>
      </c>
      <c r="H949" s="635" t="s">
        <v>49</v>
      </c>
      <c r="I949" s="635" t="s">
        <v>328</v>
      </c>
      <c r="J949" s="637">
        <v>44407</v>
      </c>
      <c r="K949" s="625" t="s">
        <v>4010</v>
      </c>
      <c r="L949" s="572"/>
      <c r="M949" s="572"/>
      <c r="N949" s="572"/>
      <c r="O949" s="572"/>
      <c r="P949" s="572"/>
      <c r="Q949" s="572"/>
      <c r="R949" s="572"/>
      <c r="S949" s="572"/>
      <c r="T949" s="572"/>
      <c r="U949" s="572"/>
      <c r="V949" s="572"/>
      <c r="W949" s="572"/>
      <c r="X949" s="572"/>
      <c r="Y949" s="572"/>
      <c r="Z949" s="572"/>
      <c r="AA949" s="572"/>
      <c r="AB949" s="572"/>
      <c r="AC949" s="572"/>
      <c r="AD949" s="572"/>
      <c r="AE949" s="572"/>
      <c r="AF949" s="572"/>
      <c r="AG949" s="572"/>
      <c r="AH949" s="572"/>
      <c r="AI949" s="572"/>
      <c r="AJ949" s="572"/>
      <c r="AK949" s="572"/>
      <c r="AL949" s="572"/>
      <c r="AM949" s="572"/>
      <c r="AN949" s="572"/>
      <c r="AO949" s="572"/>
      <c r="AP949" s="572"/>
      <c r="AQ949" s="572"/>
      <c r="AR949" s="572"/>
      <c r="AS949" s="572"/>
      <c r="AT949" s="572"/>
      <c r="AU949" s="572"/>
    </row>
    <row r="950" spans="1:47" ht="15.75" customHeight="1">
      <c r="A950" s="573">
        <v>44714</v>
      </c>
      <c r="B950" s="625">
        <v>2956150</v>
      </c>
      <c r="C950" s="625" t="s">
        <v>3607</v>
      </c>
      <c r="D950" s="626" t="s">
        <v>6341</v>
      </c>
      <c r="E950" s="627">
        <v>3000</v>
      </c>
      <c r="F950" s="616" t="s">
        <v>3629</v>
      </c>
      <c r="G950" s="616" t="s">
        <v>19</v>
      </c>
      <c r="H950" s="626" t="s">
        <v>20</v>
      </c>
      <c r="I950" s="626" t="s">
        <v>6244</v>
      </c>
      <c r="J950" s="628">
        <v>44062</v>
      </c>
      <c r="K950" s="633" t="s">
        <v>3795</v>
      </c>
      <c r="L950" s="572"/>
      <c r="M950" s="572"/>
      <c r="N950" s="572"/>
      <c r="O950" s="572"/>
      <c r="P950" s="572"/>
      <c r="Q950" s="572"/>
      <c r="R950" s="572"/>
      <c r="S950" s="572"/>
      <c r="T950" s="572"/>
      <c r="U950" s="572"/>
      <c r="V950" s="572"/>
      <c r="W950" s="572"/>
      <c r="X950" s="572"/>
      <c r="Y950" s="572"/>
      <c r="Z950" s="572"/>
      <c r="AA950" s="572"/>
      <c r="AB950" s="572"/>
      <c r="AC950" s="572"/>
      <c r="AD950" s="572"/>
      <c r="AE950" s="572"/>
      <c r="AF950" s="572"/>
      <c r="AG950" s="572"/>
      <c r="AH950" s="572"/>
      <c r="AI950" s="572"/>
      <c r="AJ950" s="572"/>
      <c r="AK950" s="572"/>
      <c r="AL950" s="572"/>
      <c r="AM950" s="572"/>
      <c r="AN950" s="572"/>
      <c r="AO950" s="572"/>
      <c r="AP950" s="572"/>
      <c r="AQ950" s="572"/>
      <c r="AR950" s="572"/>
      <c r="AS950" s="572"/>
      <c r="AT950" s="572"/>
      <c r="AU950" s="572"/>
    </row>
    <row r="951" spans="1:47" ht="15.75" customHeight="1">
      <c r="A951" s="597">
        <v>44715</v>
      </c>
      <c r="B951" s="634">
        <v>3553004</v>
      </c>
      <c r="C951" s="625" t="s">
        <v>3785</v>
      </c>
      <c r="D951" s="635" t="s">
        <v>928</v>
      </c>
      <c r="E951" s="636">
        <v>73682.14</v>
      </c>
      <c r="F951" s="635" t="s">
        <v>4187</v>
      </c>
      <c r="G951" s="635" t="s">
        <v>2923</v>
      </c>
      <c r="H951" s="635" t="s">
        <v>20</v>
      </c>
      <c r="I951" s="635" t="s">
        <v>2923</v>
      </c>
      <c r="J951" s="637">
        <v>43742</v>
      </c>
      <c r="K951" s="625" t="s">
        <v>4188</v>
      </c>
      <c r="L951" s="572"/>
      <c r="M951" s="572"/>
      <c r="N951" s="572"/>
      <c r="O951" s="572"/>
      <c r="P951" s="572"/>
      <c r="Q951" s="572"/>
      <c r="R951" s="572"/>
      <c r="S951" s="572"/>
      <c r="T951" s="572"/>
      <c r="U951" s="572"/>
      <c r="V951" s="572"/>
      <c r="W951" s="572"/>
      <c r="X951" s="572"/>
      <c r="Y951" s="572"/>
      <c r="Z951" s="572"/>
      <c r="AA951" s="572"/>
      <c r="AB951" s="572"/>
      <c r="AC951" s="572"/>
      <c r="AD951" s="572"/>
      <c r="AE951" s="572"/>
      <c r="AF951" s="572"/>
      <c r="AG951" s="572"/>
      <c r="AH951" s="572"/>
      <c r="AI951" s="572"/>
      <c r="AJ951" s="572"/>
      <c r="AK951" s="572"/>
      <c r="AL951" s="572"/>
      <c r="AM951" s="572"/>
      <c r="AN951" s="572"/>
      <c r="AO951" s="572"/>
      <c r="AP951" s="572"/>
      <c r="AQ951" s="572"/>
      <c r="AR951" s="572"/>
      <c r="AS951" s="572"/>
      <c r="AT951" s="572"/>
      <c r="AU951" s="572"/>
    </row>
    <row r="952" spans="1:47" ht="15.75" customHeight="1">
      <c r="A952" s="597">
        <v>44718</v>
      </c>
      <c r="B952" s="634" t="s">
        <v>6747</v>
      </c>
      <c r="C952" s="625" t="s">
        <v>3785</v>
      </c>
      <c r="D952" s="635" t="s">
        <v>3110</v>
      </c>
      <c r="E952" s="636" t="s">
        <v>6748</v>
      </c>
      <c r="F952" s="635" t="s">
        <v>6749</v>
      </c>
      <c r="G952" s="635" t="s">
        <v>19</v>
      </c>
      <c r="H952" s="635" t="s">
        <v>49</v>
      </c>
      <c r="I952" s="635" t="s">
        <v>328</v>
      </c>
      <c r="J952" s="637">
        <v>44405</v>
      </c>
      <c r="K952" s="625" t="s">
        <v>3809</v>
      </c>
      <c r="L952" s="572"/>
      <c r="M952" s="572"/>
      <c r="N952" s="572"/>
      <c r="O952" s="572"/>
      <c r="P952" s="572"/>
      <c r="Q952" s="572"/>
      <c r="R952" s="572"/>
      <c r="S952" s="572"/>
      <c r="T952" s="572"/>
      <c r="U952" s="572"/>
      <c r="V952" s="572"/>
      <c r="W952" s="572"/>
      <c r="X952" s="572"/>
      <c r="Y952" s="572"/>
      <c r="Z952" s="572"/>
      <c r="AA952" s="572"/>
      <c r="AB952" s="572"/>
      <c r="AC952" s="572"/>
      <c r="AD952" s="572"/>
      <c r="AE952" s="572"/>
      <c r="AF952" s="572"/>
      <c r="AG952" s="572"/>
      <c r="AH952" s="572"/>
      <c r="AI952" s="572"/>
      <c r="AJ952" s="572"/>
      <c r="AK952" s="572"/>
      <c r="AL952" s="572"/>
      <c r="AM952" s="572"/>
      <c r="AN952" s="572"/>
      <c r="AO952" s="572"/>
      <c r="AP952" s="572"/>
      <c r="AQ952" s="572"/>
      <c r="AR952" s="572"/>
      <c r="AS952" s="572"/>
      <c r="AT952" s="572"/>
      <c r="AU952" s="572"/>
    </row>
    <row r="953" spans="1:47" ht="15.75" customHeight="1">
      <c r="A953" s="597">
        <v>44718</v>
      </c>
      <c r="B953" s="634" t="s">
        <v>6542</v>
      </c>
      <c r="C953" s="625" t="s">
        <v>3785</v>
      </c>
      <c r="D953" s="635" t="s">
        <v>6341</v>
      </c>
      <c r="E953" s="636">
        <v>127458.23</v>
      </c>
      <c r="F953" s="635" t="s">
        <v>3800</v>
      </c>
      <c r="G953" s="635" t="s">
        <v>19</v>
      </c>
      <c r="H953" s="635" t="s">
        <v>20</v>
      </c>
      <c r="I953" s="635" t="s">
        <v>3801</v>
      </c>
      <c r="J953" s="637">
        <v>44326</v>
      </c>
      <c r="K953" s="625" t="s">
        <v>3802</v>
      </c>
      <c r="L953" s="572"/>
      <c r="M953" s="572"/>
      <c r="N953" s="572"/>
      <c r="O953" s="572"/>
      <c r="P953" s="572"/>
      <c r="Q953" s="572"/>
      <c r="R953" s="572"/>
      <c r="S953" s="572"/>
      <c r="T953" s="572"/>
      <c r="U953" s="572"/>
      <c r="V953" s="572"/>
      <c r="W953" s="572"/>
      <c r="X953" s="572"/>
      <c r="Y953" s="572"/>
      <c r="Z953" s="572"/>
      <c r="AA953" s="572"/>
      <c r="AB953" s="572"/>
      <c r="AC953" s="572"/>
      <c r="AD953" s="572"/>
      <c r="AE953" s="572"/>
      <c r="AF953" s="572"/>
      <c r="AG953" s="572"/>
      <c r="AH953" s="572"/>
      <c r="AI953" s="572"/>
      <c r="AJ953" s="572"/>
      <c r="AK953" s="572"/>
      <c r="AL953" s="572"/>
      <c r="AM953" s="572"/>
      <c r="AN953" s="572"/>
      <c r="AO953" s="572"/>
      <c r="AP953" s="572"/>
      <c r="AQ953" s="572"/>
      <c r="AR953" s="572"/>
      <c r="AS953" s="572"/>
      <c r="AT953" s="572"/>
      <c r="AU953" s="572"/>
    </row>
    <row r="954" spans="1:47" ht="15.75" customHeight="1">
      <c r="A954" s="597">
        <v>44719</v>
      </c>
      <c r="B954" s="634" t="s">
        <v>6750</v>
      </c>
      <c r="C954" s="625" t="s">
        <v>3785</v>
      </c>
      <c r="D954" s="635" t="s">
        <v>928</v>
      </c>
      <c r="E954" s="636">
        <v>185758.05</v>
      </c>
      <c r="F954" s="635" t="s">
        <v>4630</v>
      </c>
      <c r="G954" s="635" t="s">
        <v>64</v>
      </c>
      <c r="H954" s="635" t="s">
        <v>20</v>
      </c>
      <c r="I954" s="635" t="s">
        <v>4104</v>
      </c>
      <c r="J954" s="637">
        <v>44218</v>
      </c>
      <c r="K954" s="625" t="s">
        <v>3809</v>
      </c>
      <c r="L954" s="572"/>
      <c r="M954" s="572"/>
      <c r="N954" s="572"/>
      <c r="O954" s="572"/>
      <c r="P954" s="572"/>
      <c r="Q954" s="572"/>
      <c r="R954" s="572"/>
      <c r="S954" s="572"/>
      <c r="T954" s="572"/>
      <c r="U954" s="572"/>
      <c r="V954" s="572"/>
      <c r="W954" s="572"/>
      <c r="X954" s="572"/>
      <c r="Y954" s="572"/>
      <c r="Z954" s="572"/>
      <c r="AA954" s="572"/>
      <c r="AB954" s="572"/>
      <c r="AC954" s="572"/>
      <c r="AD954" s="572"/>
      <c r="AE954" s="572"/>
      <c r="AF954" s="572"/>
      <c r="AG954" s="572"/>
      <c r="AH954" s="572"/>
      <c r="AI954" s="572"/>
      <c r="AJ954" s="572"/>
      <c r="AK954" s="572"/>
      <c r="AL954" s="572"/>
      <c r="AM954" s="572"/>
      <c r="AN954" s="572"/>
      <c r="AO954" s="572"/>
      <c r="AP954" s="572"/>
      <c r="AQ954" s="572"/>
      <c r="AR954" s="572"/>
      <c r="AS954" s="572"/>
      <c r="AT954" s="572"/>
      <c r="AU954" s="572"/>
    </row>
    <row r="955" spans="1:47" ht="15.75" customHeight="1">
      <c r="A955" s="597">
        <v>44719</v>
      </c>
      <c r="B955" s="634" t="s">
        <v>6751</v>
      </c>
      <c r="C955" s="625" t="s">
        <v>3785</v>
      </c>
      <c r="D955" s="635" t="s">
        <v>6341</v>
      </c>
      <c r="E955" s="636">
        <v>470001.08</v>
      </c>
      <c r="F955" s="635" t="s">
        <v>4057</v>
      </c>
      <c r="G955" s="635" t="s">
        <v>64</v>
      </c>
      <c r="H955" s="635" t="s">
        <v>20</v>
      </c>
      <c r="I955" s="635" t="s">
        <v>4058</v>
      </c>
      <c r="J955" s="637">
        <v>44103</v>
      </c>
      <c r="K955" s="625" t="s">
        <v>3805</v>
      </c>
      <c r="L955" s="572"/>
      <c r="M955" s="572"/>
      <c r="N955" s="572"/>
      <c r="O955" s="572"/>
      <c r="P955" s="572"/>
      <c r="Q955" s="572"/>
      <c r="R955" s="572"/>
      <c r="S955" s="572"/>
      <c r="T955" s="572"/>
      <c r="U955" s="572"/>
      <c r="V955" s="572"/>
      <c r="W955" s="572"/>
      <c r="X955" s="572"/>
      <c r="Y955" s="572"/>
      <c r="Z955" s="572"/>
      <c r="AA955" s="572"/>
      <c r="AB955" s="572"/>
      <c r="AC955" s="572"/>
      <c r="AD955" s="572"/>
      <c r="AE955" s="572"/>
      <c r="AF955" s="572"/>
      <c r="AG955" s="572"/>
      <c r="AH955" s="572"/>
      <c r="AI955" s="572"/>
      <c r="AJ955" s="572"/>
      <c r="AK955" s="572"/>
      <c r="AL955" s="572"/>
      <c r="AM955" s="572"/>
      <c r="AN955" s="572"/>
      <c r="AO955" s="572"/>
      <c r="AP955" s="572"/>
      <c r="AQ955" s="572"/>
      <c r="AR955" s="572"/>
      <c r="AS955" s="572"/>
      <c r="AT955" s="572"/>
      <c r="AU955" s="572"/>
    </row>
    <row r="956" spans="1:47" ht="15.75" customHeight="1">
      <c r="A956" s="597">
        <v>44720</v>
      </c>
      <c r="B956" s="634" t="s">
        <v>6689</v>
      </c>
      <c r="C956" s="625" t="s">
        <v>3785</v>
      </c>
      <c r="D956" s="635" t="s">
        <v>6341</v>
      </c>
      <c r="E956" s="636">
        <v>30000</v>
      </c>
      <c r="F956" s="635" t="s">
        <v>6690</v>
      </c>
      <c r="G956" s="635" t="s">
        <v>19</v>
      </c>
      <c r="H956" s="635" t="s">
        <v>49</v>
      </c>
      <c r="I956" s="635" t="s">
        <v>50</v>
      </c>
      <c r="J956" s="637">
        <v>44645</v>
      </c>
      <c r="K956" s="625" t="s">
        <v>3795</v>
      </c>
      <c r="L956" s="572"/>
      <c r="M956" s="572"/>
      <c r="N956" s="572"/>
      <c r="O956" s="572"/>
      <c r="P956" s="572"/>
      <c r="Q956" s="572"/>
      <c r="R956" s="572"/>
      <c r="S956" s="572"/>
      <c r="T956" s="572"/>
      <c r="U956" s="572"/>
      <c r="V956" s="572"/>
      <c r="W956" s="572"/>
      <c r="X956" s="572"/>
      <c r="Y956" s="572"/>
      <c r="Z956" s="572"/>
      <c r="AA956" s="572"/>
      <c r="AB956" s="572"/>
      <c r="AC956" s="572"/>
      <c r="AD956" s="572"/>
      <c r="AE956" s="572"/>
      <c r="AF956" s="572"/>
      <c r="AG956" s="572"/>
      <c r="AH956" s="572"/>
      <c r="AI956" s="572"/>
      <c r="AJ956" s="572"/>
      <c r="AK956" s="572"/>
      <c r="AL956" s="572"/>
      <c r="AM956" s="572"/>
      <c r="AN956" s="572"/>
      <c r="AO956" s="572"/>
      <c r="AP956" s="572"/>
      <c r="AQ956" s="572"/>
      <c r="AR956" s="572"/>
      <c r="AS956" s="572"/>
      <c r="AT956" s="572"/>
      <c r="AU956" s="572"/>
    </row>
    <row r="957" spans="1:47" ht="15.75" customHeight="1">
      <c r="A957" s="597">
        <v>44721</v>
      </c>
      <c r="B957" s="634" t="s">
        <v>6619</v>
      </c>
      <c r="C957" s="625" t="s">
        <v>3785</v>
      </c>
      <c r="D957" s="635" t="s">
        <v>6341</v>
      </c>
      <c r="E957" s="636">
        <v>20000</v>
      </c>
      <c r="F957" s="635" t="s">
        <v>4208</v>
      </c>
      <c r="G957" s="635" t="s">
        <v>19</v>
      </c>
      <c r="H957" s="635" t="s">
        <v>20</v>
      </c>
      <c r="I957" s="635" t="s">
        <v>3072</v>
      </c>
      <c r="J957" s="637">
        <v>44399</v>
      </c>
      <c r="K957" s="625" t="s">
        <v>3795</v>
      </c>
      <c r="L957" s="572"/>
      <c r="M957" s="572"/>
      <c r="N957" s="572"/>
      <c r="O957" s="572"/>
      <c r="P957" s="572"/>
      <c r="Q957" s="572"/>
      <c r="R957" s="572"/>
      <c r="S957" s="572"/>
      <c r="T957" s="572"/>
      <c r="U957" s="572"/>
      <c r="V957" s="572"/>
      <c r="W957" s="572"/>
      <c r="X957" s="572"/>
      <c r="Y957" s="572"/>
      <c r="Z957" s="572"/>
      <c r="AA957" s="572"/>
      <c r="AB957" s="572"/>
      <c r="AC957" s="572"/>
      <c r="AD957" s="572"/>
      <c r="AE957" s="572"/>
      <c r="AF957" s="572"/>
      <c r="AG957" s="572"/>
      <c r="AH957" s="572"/>
      <c r="AI957" s="572"/>
      <c r="AJ957" s="572"/>
      <c r="AK957" s="572"/>
      <c r="AL957" s="572"/>
      <c r="AM957" s="572"/>
      <c r="AN957" s="572"/>
      <c r="AO957" s="572"/>
      <c r="AP957" s="572"/>
      <c r="AQ957" s="572"/>
      <c r="AR957" s="572"/>
      <c r="AS957" s="572"/>
      <c r="AT957" s="572"/>
      <c r="AU957" s="572"/>
    </row>
    <row r="958" spans="1:47" ht="15.75" customHeight="1">
      <c r="A958" s="597">
        <v>44726</v>
      </c>
      <c r="B958" s="634" t="s">
        <v>6663</v>
      </c>
      <c r="C958" s="625" t="s">
        <v>3785</v>
      </c>
      <c r="D958" s="635" t="s">
        <v>6341</v>
      </c>
      <c r="E958" s="636">
        <v>20000</v>
      </c>
      <c r="F958" s="635" t="s">
        <v>1743</v>
      </c>
      <c r="G958" s="635" t="s">
        <v>19</v>
      </c>
      <c r="H958" s="635" t="s">
        <v>20</v>
      </c>
      <c r="I958" s="635" t="s">
        <v>5036</v>
      </c>
      <c r="J958" s="637">
        <v>44594</v>
      </c>
      <c r="K958" s="625" t="s">
        <v>3802</v>
      </c>
      <c r="L958" s="572"/>
      <c r="M958" s="572"/>
      <c r="N958" s="572"/>
      <c r="O958" s="572"/>
      <c r="P958" s="572"/>
      <c r="Q958" s="572"/>
      <c r="R958" s="572"/>
      <c r="S958" s="572"/>
      <c r="T958" s="572"/>
      <c r="U958" s="572"/>
      <c r="V958" s="572"/>
      <c r="W958" s="572"/>
      <c r="X958" s="572"/>
      <c r="Y958" s="572"/>
      <c r="Z958" s="572"/>
      <c r="AA958" s="572"/>
      <c r="AB958" s="572"/>
      <c r="AC958" s="572"/>
      <c r="AD958" s="572"/>
      <c r="AE958" s="572"/>
      <c r="AF958" s="572"/>
      <c r="AG958" s="572"/>
      <c r="AH958" s="572"/>
      <c r="AI958" s="572"/>
      <c r="AJ958" s="572"/>
      <c r="AK958" s="572"/>
      <c r="AL958" s="572"/>
      <c r="AM958" s="572"/>
      <c r="AN958" s="572"/>
      <c r="AO958" s="572"/>
      <c r="AP958" s="572"/>
      <c r="AQ958" s="572"/>
      <c r="AR958" s="572"/>
      <c r="AS958" s="572"/>
      <c r="AT958" s="572"/>
      <c r="AU958" s="572"/>
    </row>
    <row r="959" spans="1:47" ht="15.75" customHeight="1">
      <c r="A959" s="597">
        <v>44727</v>
      </c>
      <c r="B959" s="634" t="s">
        <v>6752</v>
      </c>
      <c r="C959" s="625" t="s">
        <v>3785</v>
      </c>
      <c r="D959" s="635" t="s">
        <v>3110</v>
      </c>
      <c r="E959" s="636">
        <v>9396.31</v>
      </c>
      <c r="F959" s="635" t="s">
        <v>4217</v>
      </c>
      <c r="G959" s="635" t="s">
        <v>19</v>
      </c>
      <c r="H959" s="635" t="s">
        <v>20</v>
      </c>
      <c r="I959" s="635" t="s">
        <v>4218</v>
      </c>
      <c r="J959" s="637">
        <v>44323</v>
      </c>
      <c r="K959" s="625" t="s">
        <v>3802</v>
      </c>
      <c r="L959" s="572"/>
      <c r="M959" s="572"/>
      <c r="N959" s="572"/>
      <c r="O959" s="572"/>
      <c r="P959" s="572"/>
      <c r="Q959" s="572"/>
      <c r="R959" s="572"/>
      <c r="S959" s="572"/>
      <c r="T959" s="572"/>
      <c r="U959" s="572"/>
      <c r="V959" s="572"/>
      <c r="W959" s="572"/>
      <c r="X959" s="572"/>
      <c r="Y959" s="572"/>
      <c r="Z959" s="572"/>
      <c r="AA959" s="572"/>
      <c r="AB959" s="572"/>
      <c r="AC959" s="572"/>
      <c r="AD959" s="572"/>
      <c r="AE959" s="572"/>
      <c r="AF959" s="572"/>
      <c r="AG959" s="572"/>
      <c r="AH959" s="572"/>
      <c r="AI959" s="572"/>
      <c r="AJ959" s="572"/>
      <c r="AK959" s="572"/>
      <c r="AL959" s="572"/>
      <c r="AM959" s="572"/>
      <c r="AN959" s="572"/>
      <c r="AO959" s="572"/>
      <c r="AP959" s="572"/>
      <c r="AQ959" s="572"/>
      <c r="AR959" s="572"/>
      <c r="AS959" s="572"/>
      <c r="AT959" s="572"/>
      <c r="AU959" s="572"/>
    </row>
    <row r="960" spans="1:47" ht="15.75" customHeight="1">
      <c r="A960" s="597">
        <v>44727</v>
      </c>
      <c r="B960" s="634" t="s">
        <v>6753</v>
      </c>
      <c r="C960" s="625" t="s">
        <v>3785</v>
      </c>
      <c r="D960" s="635" t="s">
        <v>6341</v>
      </c>
      <c r="E960" s="636">
        <v>44000</v>
      </c>
      <c r="F960" s="635" t="s">
        <v>1442</v>
      </c>
      <c r="G960" s="635" t="s">
        <v>64</v>
      </c>
      <c r="H960" s="635" t="s">
        <v>20</v>
      </c>
      <c r="I960" s="635">
        <v>4551730</v>
      </c>
      <c r="J960" s="637">
        <v>44138</v>
      </c>
      <c r="K960" s="625" t="s">
        <v>3805</v>
      </c>
      <c r="L960" s="572"/>
      <c r="M960" s="572"/>
      <c r="N960" s="572"/>
      <c r="O960" s="572"/>
      <c r="P960" s="572"/>
      <c r="Q960" s="572"/>
      <c r="R960" s="572"/>
      <c r="S960" s="572"/>
      <c r="T960" s="572"/>
      <c r="U960" s="572"/>
      <c r="V960" s="572"/>
      <c r="W960" s="572"/>
      <c r="X960" s="572"/>
      <c r="Y960" s="572"/>
      <c r="Z960" s="572"/>
      <c r="AA960" s="572"/>
      <c r="AB960" s="572"/>
      <c r="AC960" s="572"/>
      <c r="AD960" s="572"/>
      <c r="AE960" s="572"/>
      <c r="AF960" s="572"/>
      <c r="AG960" s="572"/>
      <c r="AH960" s="572"/>
      <c r="AI960" s="572"/>
      <c r="AJ960" s="572"/>
      <c r="AK960" s="572"/>
      <c r="AL960" s="572"/>
      <c r="AM960" s="572"/>
      <c r="AN960" s="572"/>
      <c r="AO960" s="572"/>
      <c r="AP960" s="572"/>
      <c r="AQ960" s="572"/>
      <c r="AR960" s="572"/>
      <c r="AS960" s="572"/>
      <c r="AT960" s="572"/>
      <c r="AU960" s="572"/>
    </row>
    <row r="961" spans="1:47" ht="15.75" customHeight="1">
      <c r="A961" s="597">
        <v>44732</v>
      </c>
      <c r="B961" s="634">
        <v>4068685</v>
      </c>
      <c r="C961" s="625" t="s">
        <v>3785</v>
      </c>
      <c r="D961" s="635" t="s">
        <v>6341</v>
      </c>
      <c r="E961" s="636">
        <v>250000</v>
      </c>
      <c r="F961" s="635" t="s">
        <v>4075</v>
      </c>
      <c r="G961" s="635" t="s">
        <v>19</v>
      </c>
      <c r="H961" s="635" t="s">
        <v>49</v>
      </c>
      <c r="I961" s="635" t="s">
        <v>6326</v>
      </c>
      <c r="J961" s="637">
        <v>44130</v>
      </c>
      <c r="K961" s="625" t="s">
        <v>3795</v>
      </c>
      <c r="L961" s="572"/>
      <c r="M961" s="572"/>
      <c r="N961" s="572"/>
      <c r="O961" s="572"/>
      <c r="P961" s="572"/>
      <c r="Q961" s="572"/>
      <c r="R961" s="572"/>
      <c r="S961" s="572"/>
      <c r="T961" s="572"/>
      <c r="U961" s="572"/>
      <c r="V961" s="572"/>
      <c r="W961" s="572"/>
      <c r="X961" s="572"/>
      <c r="Y961" s="572"/>
      <c r="Z961" s="572"/>
      <c r="AA961" s="572"/>
      <c r="AB961" s="572"/>
      <c r="AC961" s="572"/>
      <c r="AD961" s="572"/>
      <c r="AE961" s="572"/>
      <c r="AF961" s="572"/>
      <c r="AG961" s="572"/>
      <c r="AH961" s="572"/>
      <c r="AI961" s="572"/>
      <c r="AJ961" s="572"/>
      <c r="AK961" s="572"/>
      <c r="AL961" s="572"/>
      <c r="AM961" s="572"/>
      <c r="AN961" s="572"/>
      <c r="AO961" s="572"/>
      <c r="AP961" s="572"/>
      <c r="AQ961" s="572"/>
      <c r="AR961" s="572"/>
      <c r="AS961" s="572"/>
      <c r="AT961" s="572"/>
      <c r="AU961" s="572"/>
    </row>
    <row r="962" spans="1:47" ht="15.75" customHeight="1">
      <c r="A962" s="597">
        <v>44734</v>
      </c>
      <c r="B962" s="634" t="s">
        <v>6751</v>
      </c>
      <c r="C962" s="625" t="s">
        <v>3785</v>
      </c>
      <c r="D962" s="635" t="s">
        <v>6341</v>
      </c>
      <c r="E962" s="636">
        <v>823824</v>
      </c>
      <c r="F962" s="635" t="s">
        <v>4057</v>
      </c>
      <c r="G962" s="635" t="s">
        <v>64</v>
      </c>
      <c r="H962" s="635" t="s">
        <v>20</v>
      </c>
      <c r="I962" s="635" t="s">
        <v>4058</v>
      </c>
      <c r="J962" s="637">
        <v>44103</v>
      </c>
      <c r="K962" s="625" t="s">
        <v>3805</v>
      </c>
      <c r="L962" s="572"/>
      <c r="M962" s="572"/>
      <c r="N962" s="572"/>
      <c r="O962" s="572"/>
      <c r="P962" s="572"/>
      <c r="Q962" s="572"/>
      <c r="R962" s="572"/>
      <c r="S962" s="572"/>
      <c r="T962" s="572"/>
      <c r="U962" s="572"/>
      <c r="V962" s="572"/>
      <c r="W962" s="572"/>
      <c r="X962" s="572"/>
      <c r="Y962" s="572"/>
      <c r="Z962" s="572"/>
      <c r="AA962" s="572"/>
      <c r="AB962" s="572"/>
      <c r="AC962" s="572"/>
      <c r="AD962" s="572"/>
      <c r="AE962" s="572"/>
      <c r="AF962" s="572"/>
      <c r="AG962" s="572"/>
      <c r="AH962" s="572"/>
      <c r="AI962" s="572"/>
      <c r="AJ962" s="572"/>
      <c r="AK962" s="572"/>
      <c r="AL962" s="572"/>
      <c r="AM962" s="572"/>
      <c r="AN962" s="572"/>
      <c r="AO962" s="572"/>
      <c r="AP962" s="572"/>
      <c r="AQ962" s="572"/>
      <c r="AR962" s="572"/>
      <c r="AS962" s="572"/>
      <c r="AT962" s="572"/>
      <c r="AU962" s="572"/>
    </row>
    <row r="963" spans="1:47" ht="15.75" customHeight="1">
      <c r="A963" s="597">
        <v>44735</v>
      </c>
      <c r="B963" s="634" t="s">
        <v>6396</v>
      </c>
      <c r="C963" s="625" t="s">
        <v>2921</v>
      </c>
      <c r="D963" s="635" t="s">
        <v>3110</v>
      </c>
      <c r="E963" s="636">
        <v>64448.81</v>
      </c>
      <c r="F963" s="635" t="s">
        <v>3035</v>
      </c>
      <c r="G963" s="635" t="s">
        <v>2923</v>
      </c>
      <c r="H963" s="635" t="s">
        <v>20</v>
      </c>
      <c r="I963" s="635" t="s">
        <v>2924</v>
      </c>
      <c r="J963" s="637">
        <v>43707</v>
      </c>
      <c r="K963" s="625" t="s">
        <v>3809</v>
      </c>
      <c r="L963" s="572"/>
      <c r="M963" s="572"/>
      <c r="N963" s="572"/>
      <c r="O963" s="572"/>
      <c r="P963" s="572"/>
      <c r="Q963" s="572"/>
      <c r="R963" s="572"/>
      <c r="S963" s="572"/>
      <c r="T963" s="572"/>
      <c r="U963" s="572"/>
      <c r="V963" s="572"/>
      <c r="W963" s="572"/>
      <c r="X963" s="572"/>
      <c r="Y963" s="572"/>
      <c r="Z963" s="572"/>
      <c r="AA963" s="572"/>
      <c r="AB963" s="572"/>
      <c r="AC963" s="572"/>
      <c r="AD963" s="572"/>
      <c r="AE963" s="572"/>
      <c r="AF963" s="572"/>
      <c r="AG963" s="572"/>
      <c r="AH963" s="572"/>
      <c r="AI963" s="572"/>
      <c r="AJ963" s="572"/>
      <c r="AK963" s="572"/>
      <c r="AL963" s="572"/>
      <c r="AM963" s="572"/>
      <c r="AN963" s="572"/>
      <c r="AO963" s="572"/>
      <c r="AP963" s="572"/>
      <c r="AQ963" s="572"/>
      <c r="AR963" s="572"/>
      <c r="AS963" s="572"/>
      <c r="AT963" s="572"/>
      <c r="AU963" s="572"/>
    </row>
    <row r="964" spans="1:47" ht="15.75" customHeight="1">
      <c r="A964" s="597">
        <v>44739</v>
      </c>
      <c r="B964" s="634" t="s">
        <v>6754</v>
      </c>
      <c r="C964" s="625" t="s">
        <v>3785</v>
      </c>
      <c r="D964" s="635" t="s">
        <v>6341</v>
      </c>
      <c r="E964" s="636">
        <v>10000</v>
      </c>
      <c r="F964" s="635" t="s">
        <v>6755</v>
      </c>
      <c r="G964" s="635" t="s">
        <v>19</v>
      </c>
      <c r="H964" s="635" t="s">
        <v>49</v>
      </c>
      <c r="I964" s="635" t="s">
        <v>50</v>
      </c>
      <c r="J964" s="637">
        <v>44715</v>
      </c>
      <c r="K964" s="625" t="s">
        <v>3805</v>
      </c>
      <c r="L964" s="572"/>
      <c r="M964" s="572"/>
      <c r="N964" s="572"/>
      <c r="O964" s="572"/>
      <c r="P964" s="572"/>
      <c r="Q964" s="572"/>
      <c r="R964" s="572"/>
      <c r="S964" s="572"/>
      <c r="T964" s="572"/>
      <c r="U964" s="572"/>
      <c r="V964" s="572"/>
      <c r="W964" s="572"/>
      <c r="X964" s="572"/>
      <c r="Y964" s="572"/>
      <c r="Z964" s="572"/>
      <c r="AA964" s="572"/>
      <c r="AB964" s="572"/>
      <c r="AC964" s="572"/>
      <c r="AD964" s="572"/>
      <c r="AE964" s="572"/>
      <c r="AF964" s="572"/>
      <c r="AG964" s="572"/>
      <c r="AH964" s="572"/>
      <c r="AI964" s="572"/>
      <c r="AJ964" s="572"/>
      <c r="AK964" s="572"/>
      <c r="AL964" s="572"/>
      <c r="AM964" s="572"/>
      <c r="AN964" s="572"/>
      <c r="AO964" s="572"/>
      <c r="AP964" s="572"/>
      <c r="AQ964" s="572"/>
      <c r="AR964" s="572"/>
      <c r="AS964" s="572"/>
      <c r="AT964" s="572"/>
      <c r="AU964" s="572"/>
    </row>
    <row r="965" spans="1:47" ht="15.75" customHeight="1">
      <c r="A965" s="597">
        <v>44739</v>
      </c>
      <c r="B965" s="634" t="s">
        <v>6756</v>
      </c>
      <c r="C965" s="625" t="s">
        <v>3785</v>
      </c>
      <c r="D965" s="635" t="s">
        <v>6341</v>
      </c>
      <c r="E965" s="636">
        <v>323000</v>
      </c>
      <c r="F965" s="635" t="s">
        <v>4393</v>
      </c>
      <c r="G965" s="635" t="s">
        <v>19</v>
      </c>
      <c r="H965" s="635" t="s">
        <v>49</v>
      </c>
      <c r="I965" s="635" t="s">
        <v>50</v>
      </c>
      <c r="J965" s="637">
        <v>44694</v>
      </c>
      <c r="K965" s="625" t="s">
        <v>3802</v>
      </c>
      <c r="L965" s="572"/>
      <c r="M965" s="572"/>
      <c r="N965" s="572"/>
      <c r="O965" s="572"/>
      <c r="P965" s="572"/>
      <c r="Q965" s="572"/>
      <c r="R965" s="572"/>
      <c r="S965" s="572"/>
      <c r="T965" s="572"/>
      <c r="U965" s="572"/>
      <c r="V965" s="572"/>
      <c r="W965" s="572"/>
      <c r="X965" s="572"/>
      <c r="Y965" s="572"/>
      <c r="Z965" s="572"/>
      <c r="AA965" s="572"/>
      <c r="AB965" s="572"/>
      <c r="AC965" s="572"/>
      <c r="AD965" s="572"/>
      <c r="AE965" s="572"/>
      <c r="AF965" s="572"/>
      <c r="AG965" s="572"/>
      <c r="AH965" s="572"/>
      <c r="AI965" s="572"/>
      <c r="AJ965" s="572"/>
      <c r="AK965" s="572"/>
      <c r="AL965" s="572"/>
      <c r="AM965" s="572"/>
      <c r="AN965" s="572"/>
      <c r="AO965" s="572"/>
      <c r="AP965" s="572"/>
      <c r="AQ965" s="572"/>
      <c r="AR965" s="572"/>
      <c r="AS965" s="572"/>
      <c r="AT965" s="572"/>
      <c r="AU965" s="572"/>
    </row>
    <row r="966" spans="1:47" ht="15.75" customHeight="1">
      <c r="A966" s="597">
        <v>44740</v>
      </c>
      <c r="B966" s="634" t="s">
        <v>6488</v>
      </c>
      <c r="C966" s="625" t="s">
        <v>3785</v>
      </c>
      <c r="D966" s="635" t="s">
        <v>928</v>
      </c>
      <c r="E966" s="636">
        <v>3147.95</v>
      </c>
      <c r="F966" s="635" t="s">
        <v>1184</v>
      </c>
      <c r="G966" s="635" t="s">
        <v>64</v>
      </c>
      <c r="H966" s="635" t="s">
        <v>20</v>
      </c>
      <c r="I966" s="635" t="s">
        <v>4104</v>
      </c>
      <c r="J966" s="637">
        <v>44145</v>
      </c>
      <c r="K966" s="625" t="s">
        <v>3789</v>
      </c>
      <c r="L966" s="572"/>
      <c r="M966" s="572"/>
      <c r="N966" s="572"/>
      <c r="O966" s="572"/>
      <c r="P966" s="572"/>
      <c r="Q966" s="572"/>
      <c r="R966" s="572"/>
      <c r="S966" s="572"/>
      <c r="T966" s="572"/>
      <c r="U966" s="572"/>
      <c r="V966" s="572"/>
      <c r="W966" s="572"/>
      <c r="X966" s="572"/>
      <c r="Y966" s="572"/>
      <c r="Z966" s="572"/>
      <c r="AA966" s="572"/>
      <c r="AB966" s="572"/>
      <c r="AC966" s="572"/>
      <c r="AD966" s="572"/>
      <c r="AE966" s="572"/>
      <c r="AF966" s="572"/>
      <c r="AG966" s="572"/>
      <c r="AH966" s="572"/>
      <c r="AI966" s="572"/>
      <c r="AJ966" s="572"/>
      <c r="AK966" s="572"/>
      <c r="AL966" s="572"/>
      <c r="AM966" s="572"/>
      <c r="AN966" s="572"/>
      <c r="AO966" s="572"/>
      <c r="AP966" s="572"/>
      <c r="AQ966" s="572"/>
      <c r="AR966" s="572"/>
      <c r="AS966" s="572"/>
      <c r="AT966" s="572"/>
      <c r="AU966" s="572"/>
    </row>
    <row r="967" spans="1:47" ht="15.75" customHeight="1">
      <c r="A967" s="597">
        <v>44740</v>
      </c>
      <c r="B967" s="634" t="s">
        <v>6757</v>
      </c>
      <c r="C967" s="625" t="s">
        <v>3785</v>
      </c>
      <c r="D967" s="635" t="s">
        <v>6341</v>
      </c>
      <c r="E967" s="636">
        <v>35000</v>
      </c>
      <c r="F967" s="635" t="s">
        <v>4100</v>
      </c>
      <c r="G967" s="635" t="s">
        <v>19</v>
      </c>
      <c r="H967" s="635" t="s">
        <v>49</v>
      </c>
      <c r="I967" s="635" t="s">
        <v>5018</v>
      </c>
      <c r="J967" s="637">
        <v>44445</v>
      </c>
      <c r="K967" s="625" t="s">
        <v>3802</v>
      </c>
      <c r="L967" s="572"/>
      <c r="M967" s="572"/>
      <c r="N967" s="572"/>
      <c r="O967" s="572"/>
      <c r="P967" s="572"/>
      <c r="Q967" s="572"/>
      <c r="R967" s="572"/>
      <c r="S967" s="572"/>
      <c r="T967" s="572"/>
      <c r="U967" s="572"/>
      <c r="V967" s="572"/>
      <c r="W967" s="572"/>
      <c r="X967" s="572"/>
      <c r="Y967" s="572"/>
      <c r="Z967" s="572"/>
      <c r="AA967" s="572"/>
      <c r="AB967" s="572"/>
      <c r="AC967" s="572"/>
      <c r="AD967" s="572"/>
      <c r="AE967" s="572"/>
      <c r="AF967" s="572"/>
      <c r="AG967" s="572"/>
      <c r="AH967" s="572"/>
      <c r="AI967" s="572"/>
      <c r="AJ967" s="572"/>
      <c r="AK967" s="572"/>
      <c r="AL967" s="572"/>
      <c r="AM967" s="572"/>
      <c r="AN967" s="572"/>
      <c r="AO967" s="572"/>
      <c r="AP967" s="572"/>
      <c r="AQ967" s="572"/>
      <c r="AR967" s="572"/>
      <c r="AS967" s="572"/>
      <c r="AT967" s="572"/>
      <c r="AU967" s="572"/>
    </row>
    <row r="968" spans="1:47" ht="15.75" customHeight="1">
      <c r="A968" s="597">
        <v>44740</v>
      </c>
      <c r="B968" s="634" t="s">
        <v>6758</v>
      </c>
      <c r="C968" s="625" t="s">
        <v>3785</v>
      </c>
      <c r="D968" s="635" t="s">
        <v>3110</v>
      </c>
      <c r="E968" s="636" t="s">
        <v>6759</v>
      </c>
      <c r="F968" s="635" t="s">
        <v>4063</v>
      </c>
      <c r="G968" s="635" t="s">
        <v>19</v>
      </c>
      <c r="H968" s="635" t="s">
        <v>49</v>
      </c>
      <c r="I968" s="635" t="s">
        <v>328</v>
      </c>
      <c r="J968" s="637">
        <v>44466</v>
      </c>
      <c r="K968" s="625" t="s">
        <v>3809</v>
      </c>
      <c r="L968" s="572"/>
      <c r="M968" s="572"/>
      <c r="N968" s="572"/>
      <c r="O968" s="572"/>
      <c r="P968" s="572"/>
      <c r="Q968" s="572"/>
      <c r="R968" s="572"/>
      <c r="S968" s="572"/>
      <c r="T968" s="572"/>
      <c r="U968" s="572"/>
      <c r="V968" s="572"/>
      <c r="W968" s="572"/>
      <c r="X968" s="572"/>
      <c r="Y968" s="572"/>
      <c r="Z968" s="572"/>
      <c r="AA968" s="572"/>
      <c r="AB968" s="572"/>
      <c r="AC968" s="572"/>
      <c r="AD968" s="572"/>
      <c r="AE968" s="572"/>
      <c r="AF968" s="572"/>
      <c r="AG968" s="572"/>
      <c r="AH968" s="572"/>
      <c r="AI968" s="572"/>
      <c r="AJ968" s="572"/>
      <c r="AK968" s="572"/>
      <c r="AL968" s="572"/>
      <c r="AM968" s="572"/>
      <c r="AN968" s="572"/>
      <c r="AO968" s="572"/>
      <c r="AP968" s="572"/>
      <c r="AQ968" s="572"/>
      <c r="AR968" s="572"/>
      <c r="AS968" s="572"/>
      <c r="AT968" s="572"/>
      <c r="AU968" s="572"/>
    </row>
    <row r="969" spans="1:47" ht="15.75" customHeight="1">
      <c r="A969" s="597">
        <v>44741</v>
      </c>
      <c r="B969" s="634" t="s">
        <v>6760</v>
      </c>
      <c r="C969" s="625" t="s">
        <v>3785</v>
      </c>
      <c r="D969" s="635" t="s">
        <v>6341</v>
      </c>
      <c r="E969" s="636">
        <v>350000</v>
      </c>
      <c r="F969" s="635" t="s">
        <v>1579</v>
      </c>
      <c r="G969" s="635" t="s">
        <v>19</v>
      </c>
      <c r="H969" s="635" t="s">
        <v>49</v>
      </c>
      <c r="I969" s="635" t="s">
        <v>166</v>
      </c>
      <c r="J969" s="637">
        <v>44568</v>
      </c>
      <c r="K969" s="625" t="s">
        <v>4465</v>
      </c>
      <c r="L969" s="572"/>
      <c r="M969" s="572"/>
      <c r="N969" s="572"/>
      <c r="O969" s="572"/>
      <c r="P969" s="572"/>
      <c r="Q969" s="572"/>
      <c r="R969" s="572"/>
      <c r="S969" s="572"/>
      <c r="T969" s="572"/>
      <c r="U969" s="572"/>
      <c r="V969" s="572"/>
      <c r="W969" s="572"/>
      <c r="X969" s="572"/>
      <c r="Y969" s="572"/>
      <c r="Z969" s="572"/>
      <c r="AA969" s="572"/>
      <c r="AB969" s="572"/>
      <c r="AC969" s="572"/>
      <c r="AD969" s="572"/>
      <c r="AE969" s="572"/>
      <c r="AF969" s="572"/>
      <c r="AG969" s="572"/>
      <c r="AH969" s="572"/>
      <c r="AI969" s="572"/>
      <c r="AJ969" s="572"/>
      <c r="AK969" s="572"/>
      <c r="AL969" s="572"/>
      <c r="AM969" s="572"/>
      <c r="AN969" s="572"/>
      <c r="AO969" s="572"/>
      <c r="AP969" s="572"/>
      <c r="AQ969" s="572"/>
      <c r="AR969" s="572"/>
      <c r="AS969" s="572"/>
      <c r="AT969" s="572"/>
      <c r="AU969" s="572"/>
    </row>
    <row r="970" spans="1:47" ht="15.75" customHeight="1">
      <c r="A970" s="597">
        <v>44741</v>
      </c>
      <c r="B970" s="634" t="s">
        <v>6761</v>
      </c>
      <c r="C970" s="625" t="s">
        <v>3785</v>
      </c>
      <c r="D970" s="635" t="s">
        <v>6341</v>
      </c>
      <c r="E970" s="636">
        <v>15000</v>
      </c>
      <c r="F970" s="635" t="s">
        <v>4749</v>
      </c>
      <c r="G970" s="635" t="s">
        <v>19</v>
      </c>
      <c r="H970" s="635" t="s">
        <v>49</v>
      </c>
      <c r="I970" s="635" t="s">
        <v>6326</v>
      </c>
      <c r="J970" s="637">
        <v>44679</v>
      </c>
      <c r="K970" s="625" t="s">
        <v>3795</v>
      </c>
      <c r="L970" s="572"/>
      <c r="M970" s="572"/>
      <c r="N970" s="572"/>
      <c r="O970" s="572"/>
      <c r="P970" s="572"/>
      <c r="Q970" s="572"/>
      <c r="R970" s="572"/>
      <c r="S970" s="572"/>
      <c r="T970" s="572"/>
      <c r="U970" s="572"/>
      <c r="V970" s="572"/>
      <c r="W970" s="572"/>
      <c r="X970" s="572"/>
      <c r="Y970" s="572"/>
      <c r="Z970" s="572"/>
      <c r="AA970" s="572"/>
      <c r="AB970" s="572"/>
      <c r="AC970" s="572"/>
      <c r="AD970" s="572"/>
      <c r="AE970" s="572"/>
      <c r="AF970" s="572"/>
      <c r="AG970" s="572"/>
      <c r="AH970" s="572"/>
      <c r="AI970" s="572"/>
      <c r="AJ970" s="572"/>
      <c r="AK970" s="572"/>
      <c r="AL970" s="572"/>
      <c r="AM970" s="572"/>
      <c r="AN970" s="572"/>
      <c r="AO970" s="572"/>
      <c r="AP970" s="572"/>
      <c r="AQ970" s="572"/>
      <c r="AR970" s="572"/>
      <c r="AS970" s="572"/>
      <c r="AT970" s="572"/>
      <c r="AU970" s="572"/>
    </row>
    <row r="971" spans="1:47" ht="15.75" customHeight="1">
      <c r="A971" s="597">
        <v>44746</v>
      </c>
      <c r="B971" s="634" t="s">
        <v>6762</v>
      </c>
      <c r="C971" s="625" t="s">
        <v>2921</v>
      </c>
      <c r="D971" s="635" t="s">
        <v>3110</v>
      </c>
      <c r="E971" s="636">
        <v>53398.09</v>
      </c>
      <c r="F971" s="635" t="s">
        <v>3544</v>
      </c>
      <c r="G971" s="635" t="s">
        <v>19</v>
      </c>
      <c r="H971" s="635" t="s">
        <v>34</v>
      </c>
      <c r="I971" s="635" t="s">
        <v>262</v>
      </c>
      <c r="J971" s="637">
        <v>44335</v>
      </c>
      <c r="K971" s="625" t="s">
        <v>3795</v>
      </c>
      <c r="L971" s="572"/>
      <c r="M971" s="572"/>
      <c r="N971" s="572"/>
      <c r="O971" s="572"/>
      <c r="P971" s="572"/>
      <c r="Q971" s="572"/>
      <c r="R971" s="572"/>
      <c r="S971" s="572"/>
      <c r="T971" s="572"/>
      <c r="U971" s="572"/>
      <c r="V971" s="572"/>
      <c r="W971" s="572"/>
      <c r="X971" s="572"/>
      <c r="Y971" s="572"/>
      <c r="Z971" s="572"/>
      <c r="AA971" s="572"/>
      <c r="AB971" s="572"/>
      <c r="AC971" s="572"/>
      <c r="AD971" s="572"/>
      <c r="AE971" s="572"/>
      <c r="AF971" s="572"/>
      <c r="AG971" s="572"/>
      <c r="AH971" s="572"/>
      <c r="AI971" s="572"/>
      <c r="AJ971" s="572"/>
      <c r="AK971" s="572"/>
      <c r="AL971" s="572"/>
      <c r="AM971" s="572"/>
      <c r="AN971" s="572"/>
      <c r="AO971" s="572"/>
      <c r="AP971" s="572"/>
      <c r="AQ971" s="572"/>
      <c r="AR971" s="572"/>
      <c r="AS971" s="572"/>
      <c r="AT971" s="572"/>
      <c r="AU971" s="572"/>
    </row>
    <row r="972" spans="1:47" ht="15.75" customHeight="1">
      <c r="A972" s="597">
        <v>44753</v>
      </c>
      <c r="B972" s="634" t="s">
        <v>6763</v>
      </c>
      <c r="C972" s="625" t="s">
        <v>3785</v>
      </c>
      <c r="D972" s="635" t="s">
        <v>3110</v>
      </c>
      <c r="E972" s="636">
        <v>102018.55</v>
      </c>
      <c r="F972" s="635" t="s">
        <v>6764</v>
      </c>
      <c r="G972" s="635" t="s">
        <v>19</v>
      </c>
      <c r="H972" s="635" t="s">
        <v>20</v>
      </c>
      <c r="I972" s="635" t="s">
        <v>199</v>
      </c>
      <c r="J972" s="637">
        <v>44655</v>
      </c>
      <c r="K972" s="625" t="s">
        <v>3795</v>
      </c>
      <c r="L972" s="572"/>
      <c r="M972" s="572"/>
      <c r="N972" s="572"/>
      <c r="O972" s="572"/>
      <c r="P972" s="572"/>
      <c r="Q972" s="572"/>
      <c r="R972" s="572"/>
      <c r="S972" s="572"/>
      <c r="T972" s="572"/>
      <c r="U972" s="572"/>
      <c r="V972" s="572"/>
      <c r="W972" s="572"/>
      <c r="X972" s="572"/>
      <c r="Y972" s="572"/>
      <c r="Z972" s="572"/>
      <c r="AA972" s="572"/>
      <c r="AB972" s="572"/>
      <c r="AC972" s="572"/>
      <c r="AD972" s="572"/>
      <c r="AE972" s="572"/>
      <c r="AF972" s="572"/>
      <c r="AG972" s="572"/>
      <c r="AH972" s="572"/>
      <c r="AI972" s="572"/>
      <c r="AJ972" s="572"/>
      <c r="AK972" s="572"/>
      <c r="AL972" s="572"/>
      <c r="AM972" s="572"/>
      <c r="AN972" s="572"/>
      <c r="AO972" s="572"/>
      <c r="AP972" s="572"/>
      <c r="AQ972" s="572"/>
      <c r="AR972" s="572"/>
      <c r="AS972" s="572"/>
      <c r="AT972" s="572"/>
      <c r="AU972" s="572"/>
    </row>
    <row r="973" spans="1:47" ht="15.75" customHeight="1">
      <c r="A973" s="597">
        <v>44753</v>
      </c>
      <c r="B973" s="634" t="s">
        <v>6412</v>
      </c>
      <c r="C973" s="625" t="s">
        <v>3785</v>
      </c>
      <c r="D973" s="635" t="s">
        <v>6341</v>
      </c>
      <c r="E973" s="636">
        <v>5000</v>
      </c>
      <c r="F973" s="635" t="s">
        <v>4373</v>
      </c>
      <c r="G973" s="635" t="s">
        <v>19</v>
      </c>
      <c r="H973" s="635" t="s">
        <v>49</v>
      </c>
      <c r="I973" s="635" t="s">
        <v>3862</v>
      </c>
      <c r="J973" s="637">
        <v>44263</v>
      </c>
      <c r="K973" s="625" t="s">
        <v>3802</v>
      </c>
      <c r="L973" s="572"/>
      <c r="M973" s="572"/>
      <c r="N973" s="572"/>
      <c r="O973" s="572"/>
      <c r="P973" s="572"/>
      <c r="Q973" s="572"/>
      <c r="R973" s="572"/>
      <c r="S973" s="572"/>
      <c r="T973" s="572"/>
      <c r="U973" s="572"/>
      <c r="V973" s="572"/>
      <c r="W973" s="572"/>
      <c r="X973" s="572"/>
      <c r="Y973" s="572"/>
      <c r="Z973" s="572"/>
      <c r="AA973" s="572"/>
      <c r="AB973" s="572"/>
      <c r="AC973" s="572"/>
      <c r="AD973" s="572"/>
      <c r="AE973" s="572"/>
      <c r="AF973" s="572"/>
      <c r="AG973" s="572"/>
      <c r="AH973" s="572"/>
      <c r="AI973" s="572"/>
      <c r="AJ973" s="572"/>
      <c r="AK973" s="572"/>
      <c r="AL973" s="572"/>
      <c r="AM973" s="572"/>
      <c r="AN973" s="572"/>
      <c r="AO973" s="572"/>
      <c r="AP973" s="572"/>
      <c r="AQ973" s="572"/>
      <c r="AR973" s="572"/>
      <c r="AS973" s="572"/>
      <c r="AT973" s="572"/>
      <c r="AU973" s="572"/>
    </row>
    <row r="974" spans="1:47" ht="15.75" customHeight="1">
      <c r="A974" s="597">
        <v>44754</v>
      </c>
      <c r="B974" s="634" t="s">
        <v>6754</v>
      </c>
      <c r="C974" s="625" t="s">
        <v>3785</v>
      </c>
      <c r="D974" s="635" t="s">
        <v>6341</v>
      </c>
      <c r="E974" s="636">
        <v>10000</v>
      </c>
      <c r="F974" s="635" t="s">
        <v>6755</v>
      </c>
      <c r="G974" s="635" t="s">
        <v>19</v>
      </c>
      <c r="H974" s="635" t="s">
        <v>49</v>
      </c>
      <c r="I974" s="635" t="s">
        <v>50</v>
      </c>
      <c r="J974" s="637">
        <v>44715</v>
      </c>
      <c r="K974" s="625" t="s">
        <v>3805</v>
      </c>
      <c r="L974" s="572"/>
      <c r="M974" s="572"/>
      <c r="N974" s="572"/>
      <c r="O974" s="572"/>
      <c r="P974" s="572"/>
      <c r="Q974" s="572"/>
      <c r="R974" s="572"/>
      <c r="S974" s="572"/>
      <c r="T974" s="572"/>
      <c r="U974" s="572"/>
      <c r="V974" s="572"/>
      <c r="W974" s="572"/>
      <c r="X974" s="572"/>
      <c r="Y974" s="572"/>
      <c r="Z974" s="572"/>
      <c r="AA974" s="572"/>
      <c r="AB974" s="572"/>
      <c r="AC974" s="572"/>
      <c r="AD974" s="572"/>
      <c r="AE974" s="572"/>
      <c r="AF974" s="572"/>
      <c r="AG974" s="572"/>
      <c r="AH974" s="572"/>
      <c r="AI974" s="572"/>
      <c r="AJ974" s="572"/>
      <c r="AK974" s="572"/>
      <c r="AL974" s="572"/>
      <c r="AM974" s="572"/>
      <c r="AN974" s="572"/>
      <c r="AO974" s="572"/>
      <c r="AP974" s="572"/>
      <c r="AQ974" s="572"/>
      <c r="AR974" s="572"/>
      <c r="AS974" s="572"/>
      <c r="AT974" s="572"/>
      <c r="AU974" s="572"/>
    </row>
    <row r="975" spans="1:47" ht="15.75" customHeight="1">
      <c r="A975" s="597">
        <v>44754</v>
      </c>
      <c r="B975" s="634" t="s">
        <v>6754</v>
      </c>
      <c r="C975" s="625" t="s">
        <v>3785</v>
      </c>
      <c r="D975" s="635" t="s">
        <v>6341</v>
      </c>
      <c r="E975" s="636">
        <v>10000</v>
      </c>
      <c r="F975" s="635" t="s">
        <v>6755</v>
      </c>
      <c r="G975" s="635" t="s">
        <v>19</v>
      </c>
      <c r="H975" s="635" t="s">
        <v>49</v>
      </c>
      <c r="I975" s="635" t="s">
        <v>50</v>
      </c>
      <c r="J975" s="637">
        <v>44715</v>
      </c>
      <c r="K975" s="625" t="s">
        <v>3805</v>
      </c>
      <c r="L975" s="572"/>
      <c r="M975" s="572"/>
      <c r="N975" s="572"/>
      <c r="O975" s="572"/>
      <c r="P975" s="572"/>
      <c r="Q975" s="572"/>
      <c r="R975" s="572"/>
      <c r="S975" s="572"/>
      <c r="T975" s="572"/>
      <c r="U975" s="572"/>
      <c r="V975" s="572"/>
      <c r="W975" s="572"/>
      <c r="X975" s="572"/>
      <c r="Y975" s="572"/>
      <c r="Z975" s="572"/>
      <c r="AA975" s="572"/>
      <c r="AB975" s="572"/>
      <c r="AC975" s="572"/>
      <c r="AD975" s="572"/>
      <c r="AE975" s="572"/>
      <c r="AF975" s="572"/>
      <c r="AG975" s="572"/>
      <c r="AH975" s="572"/>
      <c r="AI975" s="572"/>
      <c r="AJ975" s="572"/>
      <c r="AK975" s="572"/>
      <c r="AL975" s="572"/>
      <c r="AM975" s="572"/>
      <c r="AN975" s="572"/>
      <c r="AO975" s="572"/>
      <c r="AP975" s="572"/>
      <c r="AQ975" s="572"/>
      <c r="AR975" s="572"/>
      <c r="AS975" s="572"/>
      <c r="AT975" s="572"/>
      <c r="AU975" s="572"/>
    </row>
    <row r="976" spans="1:47" ht="15.75" customHeight="1">
      <c r="A976" s="597">
        <v>44756</v>
      </c>
      <c r="B976" s="634" t="s">
        <v>6714</v>
      </c>
      <c r="C976" s="625" t="s">
        <v>3785</v>
      </c>
      <c r="D976" s="635" t="s">
        <v>6341</v>
      </c>
      <c r="E976" s="636">
        <v>7141.5</v>
      </c>
      <c r="F976" s="635" t="s">
        <v>3808</v>
      </c>
      <c r="G976" s="635" t="s">
        <v>19</v>
      </c>
      <c r="H976" s="635" t="s">
        <v>49</v>
      </c>
      <c r="I976" s="635" t="s">
        <v>328</v>
      </c>
      <c r="J976" s="637">
        <v>44084</v>
      </c>
      <c r="K976" s="625" t="s">
        <v>3809</v>
      </c>
      <c r="L976" s="572"/>
      <c r="M976" s="572"/>
      <c r="N976" s="572"/>
      <c r="O976" s="572"/>
      <c r="P976" s="572"/>
      <c r="Q976" s="572"/>
      <c r="R976" s="572"/>
      <c r="S976" s="572"/>
      <c r="T976" s="572"/>
      <c r="U976" s="572"/>
      <c r="V976" s="572"/>
      <c r="W976" s="572"/>
      <c r="X976" s="572"/>
      <c r="Y976" s="572"/>
      <c r="Z976" s="572"/>
      <c r="AA976" s="572"/>
      <c r="AB976" s="572"/>
      <c r="AC976" s="572"/>
      <c r="AD976" s="572"/>
      <c r="AE976" s="572"/>
      <c r="AF976" s="572"/>
      <c r="AG976" s="572"/>
      <c r="AH976" s="572"/>
      <c r="AI976" s="572"/>
      <c r="AJ976" s="572"/>
      <c r="AK976" s="572"/>
      <c r="AL976" s="572"/>
      <c r="AM976" s="572"/>
      <c r="AN976" s="572"/>
      <c r="AO976" s="572"/>
      <c r="AP976" s="572"/>
      <c r="AQ976" s="572"/>
      <c r="AR976" s="572"/>
      <c r="AS976" s="572"/>
      <c r="AT976" s="572"/>
      <c r="AU976" s="572"/>
    </row>
    <row r="977" spans="1:47" ht="15.75" customHeight="1">
      <c r="A977" s="597">
        <v>44760</v>
      </c>
      <c r="B977" s="634" t="s">
        <v>6765</v>
      </c>
      <c r="C977" s="625" t="s">
        <v>3785</v>
      </c>
      <c r="D977" s="635" t="s">
        <v>928</v>
      </c>
      <c r="E977" s="636">
        <v>39350.99</v>
      </c>
      <c r="F977" s="635" t="s">
        <v>4400</v>
      </c>
      <c r="G977" s="635" t="s">
        <v>19</v>
      </c>
      <c r="H977" s="635" t="s">
        <v>20</v>
      </c>
      <c r="I977" s="635" t="s">
        <v>199</v>
      </c>
      <c r="J977" s="637">
        <v>44615</v>
      </c>
      <c r="K977" s="625" t="s">
        <v>3802</v>
      </c>
      <c r="L977" s="572"/>
      <c r="M977" s="572"/>
      <c r="N977" s="572"/>
      <c r="O977" s="572"/>
      <c r="P977" s="572"/>
      <c r="Q977" s="572"/>
      <c r="R977" s="572"/>
      <c r="S977" s="572"/>
      <c r="T977" s="572"/>
      <c r="U977" s="572"/>
      <c r="V977" s="572"/>
      <c r="W977" s="572"/>
      <c r="X977" s="572"/>
      <c r="Y977" s="572"/>
      <c r="Z977" s="572"/>
      <c r="AA977" s="572"/>
      <c r="AB977" s="572"/>
      <c r="AC977" s="572"/>
      <c r="AD977" s="572"/>
      <c r="AE977" s="572"/>
      <c r="AF977" s="572"/>
      <c r="AG977" s="572"/>
      <c r="AH977" s="572"/>
      <c r="AI977" s="572"/>
      <c r="AJ977" s="572"/>
      <c r="AK977" s="572"/>
      <c r="AL977" s="572"/>
      <c r="AM977" s="572"/>
      <c r="AN977" s="572"/>
      <c r="AO977" s="572"/>
      <c r="AP977" s="572"/>
      <c r="AQ977" s="572"/>
      <c r="AR977" s="572"/>
      <c r="AS977" s="572"/>
      <c r="AT977" s="572"/>
      <c r="AU977" s="572"/>
    </row>
    <row r="978" spans="1:47" ht="15.75" customHeight="1">
      <c r="A978" s="597">
        <v>44760</v>
      </c>
      <c r="B978" s="634" t="s">
        <v>6739</v>
      </c>
      <c r="C978" s="625" t="s">
        <v>3785</v>
      </c>
      <c r="D978" s="635" t="s">
        <v>928</v>
      </c>
      <c r="E978" s="636">
        <v>10000</v>
      </c>
      <c r="F978" s="635" t="s">
        <v>1887</v>
      </c>
      <c r="G978" s="635" t="s">
        <v>19</v>
      </c>
      <c r="H978" s="635" t="s">
        <v>49</v>
      </c>
      <c r="I978" s="635" t="s">
        <v>328</v>
      </c>
      <c r="J978" s="637">
        <v>44744</v>
      </c>
      <c r="K978" s="625" t="s">
        <v>3789</v>
      </c>
      <c r="L978" s="572"/>
      <c r="M978" s="572"/>
      <c r="N978" s="572"/>
      <c r="O978" s="572"/>
      <c r="P978" s="572"/>
      <c r="Q978" s="572"/>
      <c r="R978" s="572"/>
      <c r="S978" s="572"/>
      <c r="T978" s="572"/>
      <c r="U978" s="572"/>
      <c r="V978" s="572"/>
      <c r="W978" s="572"/>
      <c r="X978" s="572"/>
      <c r="Y978" s="572"/>
      <c r="Z978" s="572"/>
      <c r="AA978" s="572"/>
      <c r="AB978" s="572"/>
      <c r="AC978" s="572"/>
      <c r="AD978" s="572"/>
      <c r="AE978" s="572"/>
      <c r="AF978" s="572"/>
      <c r="AG978" s="572"/>
      <c r="AH978" s="572"/>
      <c r="AI978" s="572"/>
      <c r="AJ978" s="572"/>
      <c r="AK978" s="572"/>
      <c r="AL978" s="572"/>
      <c r="AM978" s="572"/>
      <c r="AN978" s="572"/>
      <c r="AO978" s="572"/>
      <c r="AP978" s="572"/>
      <c r="AQ978" s="572"/>
      <c r="AR978" s="572"/>
      <c r="AS978" s="572"/>
      <c r="AT978" s="572"/>
      <c r="AU978" s="572"/>
    </row>
    <row r="979" spans="1:47" ht="15.75" customHeight="1">
      <c r="A979" s="597">
        <v>44760</v>
      </c>
      <c r="B979" s="634" t="s">
        <v>6739</v>
      </c>
      <c r="C979" s="625" t="s">
        <v>3785</v>
      </c>
      <c r="D979" s="635" t="s">
        <v>6341</v>
      </c>
      <c r="E979" s="636">
        <v>10000</v>
      </c>
      <c r="F979" s="635" t="s">
        <v>1887</v>
      </c>
      <c r="G979" s="635" t="s">
        <v>19</v>
      </c>
      <c r="H979" s="635" t="s">
        <v>49</v>
      </c>
      <c r="I979" s="635" t="s">
        <v>328</v>
      </c>
      <c r="J979" s="637" t="s">
        <v>6766</v>
      </c>
      <c r="K979" s="625" t="s">
        <v>3978</v>
      </c>
      <c r="L979" s="572"/>
      <c r="M979" s="572"/>
      <c r="N979" s="572"/>
      <c r="O979" s="572"/>
      <c r="P979" s="572"/>
      <c r="Q979" s="572"/>
      <c r="R979" s="572"/>
      <c r="S979" s="572"/>
      <c r="T979" s="572"/>
      <c r="U979" s="572"/>
      <c r="V979" s="572"/>
      <c r="W979" s="572"/>
      <c r="X979" s="572"/>
      <c r="Y979" s="572"/>
      <c r="Z979" s="572"/>
      <c r="AA979" s="572"/>
      <c r="AB979" s="572"/>
      <c r="AC979" s="572"/>
      <c r="AD979" s="572"/>
      <c r="AE979" s="572"/>
      <c r="AF979" s="572"/>
      <c r="AG979" s="572"/>
      <c r="AH979" s="572"/>
      <c r="AI979" s="572"/>
      <c r="AJ979" s="572"/>
      <c r="AK979" s="572"/>
      <c r="AL979" s="572"/>
      <c r="AM979" s="572"/>
      <c r="AN979" s="572"/>
      <c r="AO979" s="572"/>
      <c r="AP979" s="572"/>
      <c r="AQ979" s="572"/>
      <c r="AR979" s="572"/>
      <c r="AS979" s="572"/>
      <c r="AT979" s="572"/>
      <c r="AU979" s="572"/>
    </row>
    <row r="980" spans="1:47" ht="15.75" customHeight="1">
      <c r="A980" s="597">
        <v>44760</v>
      </c>
      <c r="B980" s="634" t="s">
        <v>6767</v>
      </c>
      <c r="C980" s="625" t="s">
        <v>3785</v>
      </c>
      <c r="D980" s="635" t="s">
        <v>6341</v>
      </c>
      <c r="E980" s="636">
        <v>15000</v>
      </c>
      <c r="F980" s="635" t="s">
        <v>4184</v>
      </c>
      <c r="G980" s="635" t="s">
        <v>19</v>
      </c>
      <c r="H980" s="635" t="s">
        <v>20</v>
      </c>
      <c r="I980" s="635" t="s">
        <v>800</v>
      </c>
      <c r="J980" s="637">
        <v>44462</v>
      </c>
      <c r="K980" s="625" t="s">
        <v>3789</v>
      </c>
      <c r="L980" s="572"/>
      <c r="M980" s="572"/>
      <c r="N980" s="572"/>
      <c r="O980" s="572"/>
      <c r="P980" s="572"/>
      <c r="Q980" s="572"/>
      <c r="R980" s="572"/>
      <c r="S980" s="572"/>
      <c r="T980" s="572"/>
      <c r="U980" s="572"/>
      <c r="V980" s="572"/>
      <c r="W980" s="572"/>
      <c r="X980" s="572"/>
      <c r="Y980" s="572"/>
      <c r="Z980" s="572"/>
      <c r="AA980" s="572"/>
      <c r="AB980" s="572"/>
      <c r="AC980" s="572"/>
      <c r="AD980" s="572"/>
      <c r="AE980" s="572"/>
      <c r="AF980" s="572"/>
      <c r="AG980" s="572"/>
      <c r="AH980" s="572"/>
      <c r="AI980" s="572"/>
      <c r="AJ980" s="572"/>
      <c r="AK980" s="572"/>
      <c r="AL980" s="572"/>
      <c r="AM980" s="572"/>
      <c r="AN980" s="572"/>
      <c r="AO980" s="572"/>
      <c r="AP980" s="572"/>
      <c r="AQ980" s="572"/>
      <c r="AR980" s="572"/>
      <c r="AS980" s="572"/>
      <c r="AT980" s="572"/>
      <c r="AU980" s="572"/>
    </row>
    <row r="981" spans="1:47" ht="15.75" customHeight="1">
      <c r="A981" s="597">
        <v>44761</v>
      </c>
      <c r="B981" s="634" t="s">
        <v>6652</v>
      </c>
      <c r="C981" s="625" t="s">
        <v>3785</v>
      </c>
      <c r="D981" s="635" t="s">
        <v>6341</v>
      </c>
      <c r="E981" s="636">
        <v>27000</v>
      </c>
      <c r="F981" s="635" t="s">
        <v>3951</v>
      </c>
      <c r="G981" s="635" t="s">
        <v>19</v>
      </c>
      <c r="H981" s="635" t="s">
        <v>20</v>
      </c>
      <c r="I981" s="635" t="s">
        <v>3952</v>
      </c>
      <c r="J981" s="637">
        <v>44061</v>
      </c>
      <c r="K981" s="625" t="s">
        <v>3795</v>
      </c>
      <c r="L981" s="572"/>
      <c r="M981" s="572"/>
      <c r="N981" s="572"/>
      <c r="O981" s="572"/>
      <c r="P981" s="572"/>
      <c r="Q981" s="572"/>
      <c r="R981" s="572"/>
      <c r="S981" s="572"/>
      <c r="T981" s="572"/>
      <c r="U981" s="572"/>
      <c r="V981" s="572"/>
      <c r="W981" s="572"/>
      <c r="X981" s="572"/>
      <c r="Y981" s="572"/>
      <c r="Z981" s="572"/>
      <c r="AA981" s="572"/>
      <c r="AB981" s="572"/>
      <c r="AC981" s="572"/>
      <c r="AD981" s="572"/>
      <c r="AE981" s="572"/>
      <c r="AF981" s="572"/>
      <c r="AG981" s="572"/>
      <c r="AH981" s="572"/>
      <c r="AI981" s="572"/>
      <c r="AJ981" s="572"/>
      <c r="AK981" s="572"/>
      <c r="AL981" s="572"/>
      <c r="AM981" s="572"/>
      <c r="AN981" s="572"/>
      <c r="AO981" s="572"/>
      <c r="AP981" s="572"/>
      <c r="AQ981" s="572"/>
      <c r="AR981" s="572"/>
      <c r="AS981" s="572"/>
      <c r="AT981" s="572"/>
      <c r="AU981" s="572"/>
    </row>
    <row r="982" spans="1:47" ht="15.75" customHeight="1">
      <c r="A982" s="597">
        <v>44763</v>
      </c>
      <c r="B982" s="634" t="s">
        <v>6440</v>
      </c>
      <c r="C982" s="625" t="s">
        <v>3785</v>
      </c>
      <c r="D982" s="635" t="s">
        <v>6341</v>
      </c>
      <c r="E982" s="636">
        <v>120000</v>
      </c>
      <c r="F982" s="635" t="s">
        <v>5390</v>
      </c>
      <c r="G982" s="635" t="s">
        <v>64</v>
      </c>
      <c r="H982" s="635" t="s">
        <v>20</v>
      </c>
      <c r="I982" s="635" t="s">
        <v>73</v>
      </c>
      <c r="J982" s="637">
        <v>44134</v>
      </c>
      <c r="K982" s="625" t="s">
        <v>3789</v>
      </c>
      <c r="L982" s="572"/>
      <c r="M982" s="572"/>
      <c r="N982" s="572"/>
      <c r="O982" s="572"/>
      <c r="P982" s="572"/>
      <c r="Q982" s="572"/>
      <c r="R982" s="572"/>
      <c r="S982" s="572"/>
      <c r="T982" s="572"/>
      <c r="U982" s="572"/>
      <c r="V982" s="572"/>
      <c r="W982" s="572"/>
      <c r="X982" s="572"/>
      <c r="Y982" s="572"/>
      <c r="Z982" s="572"/>
      <c r="AA982" s="572"/>
      <c r="AB982" s="572"/>
      <c r="AC982" s="572"/>
      <c r="AD982" s="572"/>
      <c r="AE982" s="572"/>
      <c r="AF982" s="572"/>
      <c r="AG982" s="572"/>
      <c r="AH982" s="572"/>
      <c r="AI982" s="572"/>
      <c r="AJ982" s="572"/>
      <c r="AK982" s="572"/>
      <c r="AL982" s="572"/>
      <c r="AM982" s="572"/>
      <c r="AN982" s="572"/>
      <c r="AO982" s="572"/>
      <c r="AP982" s="572"/>
      <c r="AQ982" s="572"/>
      <c r="AR982" s="572"/>
      <c r="AS982" s="572"/>
      <c r="AT982" s="572"/>
      <c r="AU982" s="572"/>
    </row>
    <row r="983" spans="1:47" ht="15.75" customHeight="1">
      <c r="A983" s="597">
        <v>44763</v>
      </c>
      <c r="B983" s="634" t="s">
        <v>6754</v>
      </c>
      <c r="C983" s="625" t="s">
        <v>3785</v>
      </c>
      <c r="D983" s="635" t="s">
        <v>6341</v>
      </c>
      <c r="E983" s="636">
        <v>10000</v>
      </c>
      <c r="F983" s="635" t="s">
        <v>6755</v>
      </c>
      <c r="G983" s="635" t="s">
        <v>19</v>
      </c>
      <c r="H983" s="635" t="s">
        <v>49</v>
      </c>
      <c r="I983" s="635" t="s">
        <v>50</v>
      </c>
      <c r="J983" s="637">
        <v>44715</v>
      </c>
      <c r="K983" s="625" t="s">
        <v>3805</v>
      </c>
      <c r="L983" s="572"/>
      <c r="M983" s="572"/>
      <c r="N983" s="572"/>
      <c r="O983" s="572"/>
      <c r="P983" s="572"/>
      <c r="Q983" s="572"/>
      <c r="R983" s="572"/>
      <c r="S983" s="572"/>
      <c r="T983" s="572"/>
      <c r="U983" s="572"/>
      <c r="V983" s="572"/>
      <c r="W983" s="572"/>
      <c r="X983" s="572"/>
      <c r="Y983" s="572"/>
      <c r="Z983" s="572"/>
      <c r="AA983" s="572"/>
      <c r="AB983" s="572"/>
      <c r="AC983" s="572"/>
      <c r="AD983" s="572"/>
      <c r="AE983" s="572"/>
      <c r="AF983" s="572"/>
      <c r="AG983" s="572"/>
      <c r="AH983" s="572"/>
      <c r="AI983" s="572"/>
      <c r="AJ983" s="572"/>
      <c r="AK983" s="572"/>
      <c r="AL983" s="572"/>
      <c r="AM983" s="572"/>
      <c r="AN983" s="572"/>
      <c r="AO983" s="572"/>
      <c r="AP983" s="572"/>
      <c r="AQ983" s="572"/>
      <c r="AR983" s="572"/>
      <c r="AS983" s="572"/>
      <c r="AT983" s="572"/>
      <c r="AU983" s="572"/>
    </row>
    <row r="984" spans="1:47" ht="15.75" customHeight="1">
      <c r="A984" s="597">
        <v>44764</v>
      </c>
      <c r="B984" s="634" t="s">
        <v>6768</v>
      </c>
      <c r="C984" s="625" t="s">
        <v>3785</v>
      </c>
      <c r="D984" s="635" t="s">
        <v>3110</v>
      </c>
      <c r="E984" s="636">
        <v>82162.42</v>
      </c>
      <c r="F984" s="635" t="s">
        <v>4342</v>
      </c>
      <c r="G984" s="635" t="s">
        <v>19</v>
      </c>
      <c r="H984" s="635" t="s">
        <v>20</v>
      </c>
      <c r="I984" s="635" t="s">
        <v>4343</v>
      </c>
      <c r="J984" s="637">
        <v>44623</v>
      </c>
      <c r="K984" s="625" t="s">
        <v>3802</v>
      </c>
      <c r="L984" s="572"/>
      <c r="M984" s="572"/>
      <c r="N984" s="572"/>
      <c r="O984" s="572"/>
      <c r="P984" s="572"/>
      <c r="Q984" s="572"/>
      <c r="R984" s="572"/>
      <c r="S984" s="572"/>
      <c r="T984" s="572"/>
      <c r="U984" s="572"/>
      <c r="V984" s="572"/>
      <c r="W984" s="572"/>
      <c r="X984" s="572"/>
      <c r="Y984" s="572"/>
      <c r="Z984" s="572"/>
      <c r="AA984" s="572"/>
      <c r="AB984" s="572"/>
      <c r="AC984" s="572"/>
      <c r="AD984" s="572"/>
      <c r="AE984" s="572"/>
      <c r="AF984" s="572"/>
      <c r="AG984" s="572"/>
      <c r="AH984" s="572"/>
      <c r="AI984" s="572"/>
      <c r="AJ984" s="572"/>
      <c r="AK984" s="572"/>
      <c r="AL984" s="572"/>
      <c r="AM984" s="572"/>
      <c r="AN984" s="572"/>
      <c r="AO984" s="572"/>
      <c r="AP984" s="572"/>
      <c r="AQ984" s="572"/>
      <c r="AR984" s="572"/>
      <c r="AS984" s="572"/>
      <c r="AT984" s="572"/>
      <c r="AU984" s="572"/>
    </row>
    <row r="985" spans="1:47" ht="15.75" customHeight="1">
      <c r="A985" s="597">
        <v>44764</v>
      </c>
      <c r="B985" s="634" t="s">
        <v>6769</v>
      </c>
      <c r="C985" s="625" t="s">
        <v>3785</v>
      </c>
      <c r="D985" s="635" t="s">
        <v>3110</v>
      </c>
      <c r="E985" s="636">
        <v>545597.31000000006</v>
      </c>
      <c r="F985" s="635" t="s">
        <v>4985</v>
      </c>
      <c r="G985" s="635" t="s">
        <v>19</v>
      </c>
      <c r="H985" s="635" t="s">
        <v>20</v>
      </c>
      <c r="I985" s="635" t="s">
        <v>4343</v>
      </c>
      <c r="J985" s="637">
        <v>44434</v>
      </c>
      <c r="K985" s="625" t="s">
        <v>3802</v>
      </c>
      <c r="L985" s="572"/>
      <c r="M985" s="572"/>
      <c r="N985" s="572"/>
      <c r="O985" s="572"/>
      <c r="P985" s="572"/>
      <c r="Q985" s="572"/>
      <c r="R985" s="572"/>
      <c r="S985" s="572"/>
      <c r="T985" s="572"/>
      <c r="U985" s="572"/>
      <c r="V985" s="572"/>
      <c r="W985" s="572"/>
      <c r="X985" s="572"/>
      <c r="Y985" s="572"/>
      <c r="Z985" s="572"/>
      <c r="AA985" s="572"/>
      <c r="AB985" s="572"/>
      <c r="AC985" s="572"/>
      <c r="AD985" s="572"/>
      <c r="AE985" s="572"/>
      <c r="AF985" s="572"/>
      <c r="AG985" s="572"/>
      <c r="AH985" s="572"/>
      <c r="AI985" s="572"/>
      <c r="AJ985" s="572"/>
      <c r="AK985" s="572"/>
      <c r="AL985" s="572"/>
      <c r="AM985" s="572"/>
      <c r="AN985" s="572"/>
      <c r="AO985" s="572"/>
      <c r="AP985" s="572"/>
      <c r="AQ985" s="572"/>
      <c r="AR985" s="572"/>
      <c r="AS985" s="572"/>
      <c r="AT985" s="572"/>
      <c r="AU985" s="572"/>
    </row>
    <row r="986" spans="1:47" ht="15.75" customHeight="1">
      <c r="A986" s="597">
        <v>44764</v>
      </c>
      <c r="B986" s="634" t="s">
        <v>6672</v>
      </c>
      <c r="C986" s="625" t="s">
        <v>3785</v>
      </c>
      <c r="D986" s="635" t="s">
        <v>6341</v>
      </c>
      <c r="E986" s="636">
        <v>100000</v>
      </c>
      <c r="F986" s="635" t="s">
        <v>3839</v>
      </c>
      <c r="G986" s="635" t="s">
        <v>19</v>
      </c>
      <c r="H986" s="635" t="s">
        <v>49</v>
      </c>
      <c r="I986" s="635" t="s">
        <v>50</v>
      </c>
      <c r="J986" s="637">
        <v>44609</v>
      </c>
      <c r="K986" s="625" t="s">
        <v>3805</v>
      </c>
      <c r="L986" s="572"/>
      <c r="M986" s="572"/>
      <c r="N986" s="572"/>
      <c r="O986" s="572"/>
      <c r="P986" s="572"/>
      <c r="Q986" s="572"/>
      <c r="R986" s="572"/>
      <c r="S986" s="572"/>
      <c r="T986" s="572"/>
      <c r="U986" s="572"/>
      <c r="V986" s="572"/>
      <c r="W986" s="572"/>
      <c r="X986" s="572"/>
      <c r="Y986" s="572"/>
      <c r="Z986" s="572"/>
      <c r="AA986" s="572"/>
      <c r="AB986" s="572"/>
      <c r="AC986" s="572"/>
      <c r="AD986" s="572"/>
      <c r="AE986" s="572"/>
      <c r="AF986" s="572"/>
      <c r="AG986" s="572"/>
      <c r="AH986" s="572"/>
      <c r="AI986" s="572"/>
      <c r="AJ986" s="572"/>
      <c r="AK986" s="572"/>
      <c r="AL986" s="572"/>
      <c r="AM986" s="572"/>
      <c r="AN986" s="572"/>
      <c r="AO986" s="572"/>
      <c r="AP986" s="572"/>
      <c r="AQ986" s="572"/>
      <c r="AR986" s="572"/>
      <c r="AS986" s="572"/>
      <c r="AT986" s="572"/>
      <c r="AU986" s="572"/>
    </row>
    <row r="987" spans="1:47" ht="15.75" customHeight="1">
      <c r="A987" s="597">
        <v>44765</v>
      </c>
      <c r="B987" s="634" t="s">
        <v>6770</v>
      </c>
      <c r="C987" s="625" t="s">
        <v>3785</v>
      </c>
      <c r="D987" s="635" t="s">
        <v>3110</v>
      </c>
      <c r="E987" s="636">
        <v>674420.41</v>
      </c>
      <c r="F987" s="635" t="s">
        <v>6771</v>
      </c>
      <c r="G987" s="635" t="s">
        <v>19</v>
      </c>
      <c r="H987" s="635" t="s">
        <v>20</v>
      </c>
      <c r="I987" s="635" t="s">
        <v>4343</v>
      </c>
      <c r="J987" s="637">
        <v>44370</v>
      </c>
      <c r="K987" s="625" t="s">
        <v>3802</v>
      </c>
      <c r="L987" s="572"/>
      <c r="M987" s="572"/>
      <c r="N987" s="572"/>
      <c r="O987" s="572"/>
      <c r="P987" s="572"/>
      <c r="Q987" s="572"/>
      <c r="R987" s="572"/>
      <c r="S987" s="572"/>
      <c r="T987" s="572"/>
      <c r="U987" s="572"/>
      <c r="V987" s="572"/>
      <c r="W987" s="572"/>
      <c r="X987" s="572"/>
      <c r="Y987" s="572"/>
      <c r="Z987" s="572"/>
      <c r="AA987" s="572"/>
      <c r="AB987" s="572"/>
      <c r="AC987" s="572"/>
      <c r="AD987" s="572"/>
      <c r="AE987" s="572"/>
      <c r="AF987" s="572"/>
      <c r="AG987" s="572"/>
      <c r="AH987" s="572"/>
      <c r="AI987" s="572"/>
      <c r="AJ987" s="572"/>
      <c r="AK987" s="572"/>
      <c r="AL987" s="572"/>
      <c r="AM987" s="572"/>
      <c r="AN987" s="572"/>
      <c r="AO987" s="572"/>
      <c r="AP987" s="572"/>
      <c r="AQ987" s="572"/>
      <c r="AR987" s="572"/>
      <c r="AS987" s="572"/>
      <c r="AT987" s="572"/>
      <c r="AU987" s="572"/>
    </row>
    <row r="988" spans="1:47" ht="15.75" customHeight="1">
      <c r="A988" s="597">
        <v>44767</v>
      </c>
      <c r="B988" s="634" t="s">
        <v>6772</v>
      </c>
      <c r="C988" s="625" t="s">
        <v>3785</v>
      </c>
      <c r="D988" s="635" t="s">
        <v>928</v>
      </c>
      <c r="E988" s="636">
        <v>152231.41</v>
      </c>
      <c r="F988" s="635" t="s">
        <v>4322</v>
      </c>
      <c r="G988" s="635" t="s">
        <v>19</v>
      </c>
      <c r="H988" s="635" t="s">
        <v>49</v>
      </c>
      <c r="I988" s="635" t="s">
        <v>328</v>
      </c>
      <c r="J988" s="637">
        <v>44251</v>
      </c>
      <c r="K988" s="625" t="s">
        <v>3809</v>
      </c>
      <c r="L988" s="572"/>
      <c r="M988" s="572"/>
      <c r="N988" s="572"/>
      <c r="O988" s="572"/>
      <c r="P988" s="572"/>
      <c r="Q988" s="572"/>
      <c r="R988" s="572"/>
      <c r="S988" s="572"/>
      <c r="T988" s="572"/>
      <c r="U988" s="572"/>
      <c r="V988" s="572"/>
      <c r="W988" s="572"/>
      <c r="X988" s="572"/>
      <c r="Y988" s="572"/>
      <c r="Z988" s="572"/>
      <c r="AA988" s="572"/>
      <c r="AB988" s="572"/>
      <c r="AC988" s="572"/>
      <c r="AD988" s="572"/>
      <c r="AE988" s="572"/>
      <c r="AF988" s="572"/>
      <c r="AG988" s="572"/>
      <c r="AH988" s="572"/>
      <c r="AI988" s="572"/>
      <c r="AJ988" s="572"/>
      <c r="AK988" s="572"/>
      <c r="AL988" s="572"/>
      <c r="AM988" s="572"/>
      <c r="AN988" s="572"/>
      <c r="AO988" s="572"/>
      <c r="AP988" s="572"/>
      <c r="AQ988" s="572"/>
      <c r="AR988" s="572"/>
      <c r="AS988" s="572"/>
      <c r="AT988" s="572"/>
      <c r="AU988" s="572"/>
    </row>
    <row r="989" spans="1:47" ht="15.75" customHeight="1">
      <c r="A989" s="597">
        <v>44768</v>
      </c>
      <c r="B989" s="634" t="s">
        <v>6676</v>
      </c>
      <c r="C989" s="625" t="s">
        <v>3785</v>
      </c>
      <c r="D989" s="635" t="s">
        <v>6341</v>
      </c>
      <c r="E989" s="636">
        <v>10000</v>
      </c>
      <c r="F989" s="635" t="s">
        <v>4491</v>
      </c>
      <c r="G989" s="635" t="s">
        <v>19</v>
      </c>
      <c r="H989" s="635" t="s">
        <v>49</v>
      </c>
      <c r="I989" s="635" t="s">
        <v>50</v>
      </c>
      <c r="J989" s="637">
        <v>44615</v>
      </c>
      <c r="K989" s="625" t="s">
        <v>3795</v>
      </c>
      <c r="L989" s="572"/>
      <c r="M989" s="572"/>
      <c r="N989" s="572"/>
      <c r="O989" s="572"/>
      <c r="P989" s="572"/>
      <c r="Q989" s="572"/>
      <c r="R989" s="572"/>
      <c r="S989" s="572"/>
      <c r="T989" s="572"/>
      <c r="U989" s="572"/>
      <c r="V989" s="572"/>
      <c r="W989" s="572"/>
      <c r="X989" s="572"/>
      <c r="Y989" s="572"/>
      <c r="Z989" s="572"/>
      <c r="AA989" s="572"/>
      <c r="AB989" s="572"/>
      <c r="AC989" s="572"/>
      <c r="AD989" s="572"/>
      <c r="AE989" s="572"/>
      <c r="AF989" s="572"/>
      <c r="AG989" s="572"/>
      <c r="AH989" s="572"/>
      <c r="AI989" s="572"/>
      <c r="AJ989" s="572"/>
      <c r="AK989" s="572"/>
      <c r="AL989" s="572"/>
      <c r="AM989" s="572"/>
      <c r="AN989" s="572"/>
      <c r="AO989" s="572"/>
      <c r="AP989" s="572"/>
      <c r="AQ989" s="572"/>
      <c r="AR989" s="572"/>
      <c r="AS989" s="572"/>
      <c r="AT989" s="572"/>
      <c r="AU989" s="572"/>
    </row>
    <row r="990" spans="1:47" ht="15.75" customHeight="1">
      <c r="A990" s="597">
        <v>44768</v>
      </c>
      <c r="B990" s="634" t="s">
        <v>6773</v>
      </c>
      <c r="C990" s="625" t="s">
        <v>3785</v>
      </c>
      <c r="D990" s="635" t="s">
        <v>6341</v>
      </c>
      <c r="E990" s="636">
        <v>20000</v>
      </c>
      <c r="F990" s="635" t="s">
        <v>6774</v>
      </c>
      <c r="G990" s="635" t="s">
        <v>19</v>
      </c>
      <c r="H990" s="635" t="s">
        <v>20</v>
      </c>
      <c r="I990" s="635" t="s">
        <v>800</v>
      </c>
      <c r="J990" s="637">
        <v>44460</v>
      </c>
      <c r="K990" s="625" t="s">
        <v>3802</v>
      </c>
      <c r="L990" s="572"/>
      <c r="M990" s="572"/>
      <c r="N990" s="572"/>
      <c r="O990" s="572"/>
      <c r="P990" s="572"/>
      <c r="Q990" s="572"/>
      <c r="R990" s="572"/>
      <c r="S990" s="572"/>
      <c r="T990" s="572"/>
      <c r="U990" s="572"/>
      <c r="V990" s="572"/>
      <c r="W990" s="572"/>
      <c r="X990" s="572"/>
      <c r="Y990" s="572"/>
      <c r="Z990" s="572"/>
      <c r="AA990" s="572"/>
      <c r="AB990" s="572"/>
      <c r="AC990" s="572"/>
      <c r="AD990" s="572"/>
      <c r="AE990" s="572"/>
      <c r="AF990" s="572"/>
      <c r="AG990" s="572"/>
      <c r="AH990" s="572"/>
      <c r="AI990" s="572"/>
      <c r="AJ990" s="572"/>
      <c r="AK990" s="572"/>
      <c r="AL990" s="572"/>
      <c r="AM990" s="572"/>
      <c r="AN990" s="572"/>
      <c r="AO990" s="572"/>
      <c r="AP990" s="572"/>
      <c r="AQ990" s="572"/>
      <c r="AR990" s="572"/>
      <c r="AS990" s="572"/>
      <c r="AT990" s="572"/>
      <c r="AU990" s="572"/>
    </row>
    <row r="991" spans="1:47" ht="15.75" customHeight="1">
      <c r="A991" s="597">
        <v>44768</v>
      </c>
      <c r="B991" s="634" t="s">
        <v>6775</v>
      </c>
      <c r="C991" s="625" t="s">
        <v>3785</v>
      </c>
      <c r="D991" s="635" t="s">
        <v>6341</v>
      </c>
      <c r="E991" s="636">
        <v>3000</v>
      </c>
      <c r="F991" s="635" t="s">
        <v>4723</v>
      </c>
      <c r="G991" s="635" t="s">
        <v>19</v>
      </c>
      <c r="H991" s="635" t="s">
        <v>20</v>
      </c>
      <c r="I991" s="635" t="s">
        <v>3072</v>
      </c>
      <c r="J991" s="637">
        <v>44393</v>
      </c>
      <c r="K991" s="625" t="s">
        <v>3789</v>
      </c>
      <c r="L991" s="572"/>
      <c r="M991" s="572"/>
      <c r="N991" s="572"/>
      <c r="O991" s="572"/>
      <c r="P991" s="572"/>
      <c r="Q991" s="572"/>
      <c r="R991" s="572"/>
      <c r="S991" s="572"/>
      <c r="T991" s="572"/>
      <c r="U991" s="572"/>
      <c r="V991" s="572"/>
      <c r="W991" s="572"/>
      <c r="X991" s="572"/>
      <c r="Y991" s="572"/>
      <c r="Z991" s="572"/>
      <c r="AA991" s="572"/>
      <c r="AB991" s="572"/>
      <c r="AC991" s="572"/>
      <c r="AD991" s="572"/>
      <c r="AE991" s="572"/>
      <c r="AF991" s="572"/>
      <c r="AG991" s="572"/>
      <c r="AH991" s="572"/>
      <c r="AI991" s="572"/>
      <c r="AJ991" s="572"/>
      <c r="AK991" s="572"/>
      <c r="AL991" s="572"/>
      <c r="AM991" s="572"/>
      <c r="AN991" s="572"/>
      <c r="AO991" s="572"/>
      <c r="AP991" s="572"/>
      <c r="AQ991" s="572"/>
      <c r="AR991" s="572"/>
      <c r="AS991" s="572"/>
      <c r="AT991" s="572"/>
      <c r="AU991" s="572"/>
    </row>
    <row r="992" spans="1:47" ht="15.75" customHeight="1">
      <c r="A992" s="597">
        <v>44768</v>
      </c>
      <c r="B992" s="634" t="s">
        <v>6776</v>
      </c>
      <c r="C992" s="625" t="s">
        <v>3785</v>
      </c>
      <c r="D992" s="635" t="s">
        <v>6341</v>
      </c>
      <c r="E992" s="636">
        <v>5000</v>
      </c>
      <c r="F992" s="635" t="s">
        <v>249</v>
      </c>
      <c r="G992" s="635" t="s">
        <v>19</v>
      </c>
      <c r="H992" s="635" t="s">
        <v>20</v>
      </c>
      <c r="I992" s="635" t="s">
        <v>3159</v>
      </c>
      <c r="J992" s="637">
        <v>44335</v>
      </c>
      <c r="K992" s="625" t="s">
        <v>3842</v>
      </c>
      <c r="L992" s="572"/>
      <c r="M992" s="572"/>
      <c r="N992" s="572"/>
      <c r="O992" s="572"/>
      <c r="P992" s="572"/>
      <c r="Q992" s="572"/>
      <c r="R992" s="572"/>
      <c r="S992" s="572"/>
      <c r="T992" s="572"/>
      <c r="U992" s="572"/>
      <c r="V992" s="572"/>
      <c r="W992" s="572"/>
      <c r="X992" s="572"/>
      <c r="Y992" s="572"/>
      <c r="Z992" s="572"/>
      <c r="AA992" s="572"/>
      <c r="AB992" s="572"/>
      <c r="AC992" s="572"/>
      <c r="AD992" s="572"/>
      <c r="AE992" s="572"/>
      <c r="AF992" s="572"/>
      <c r="AG992" s="572"/>
      <c r="AH992" s="572"/>
      <c r="AI992" s="572"/>
      <c r="AJ992" s="572"/>
      <c r="AK992" s="572"/>
      <c r="AL992" s="572"/>
      <c r="AM992" s="572"/>
      <c r="AN992" s="572"/>
      <c r="AO992" s="572"/>
      <c r="AP992" s="572"/>
      <c r="AQ992" s="572"/>
      <c r="AR992" s="572"/>
      <c r="AS992" s="572"/>
      <c r="AT992" s="572"/>
      <c r="AU992" s="572"/>
    </row>
    <row r="993" spans="1:47" ht="15.75" customHeight="1">
      <c r="A993" s="597">
        <v>44768</v>
      </c>
      <c r="B993" s="634" t="s">
        <v>6777</v>
      </c>
      <c r="C993" s="625" t="s">
        <v>3785</v>
      </c>
      <c r="D993" s="635" t="s">
        <v>6341</v>
      </c>
      <c r="E993" s="636">
        <v>18000</v>
      </c>
      <c r="F993" s="635" t="s">
        <v>4297</v>
      </c>
      <c r="G993" s="635" t="s">
        <v>19</v>
      </c>
      <c r="H993" s="635" t="s">
        <v>49</v>
      </c>
      <c r="I993" s="635" t="s">
        <v>4134</v>
      </c>
      <c r="J993" s="637">
        <v>44503</v>
      </c>
      <c r="K993" s="625" t="s">
        <v>3842</v>
      </c>
      <c r="L993" s="572"/>
      <c r="M993" s="572"/>
      <c r="N993" s="572"/>
      <c r="O993" s="572"/>
      <c r="P993" s="572"/>
      <c r="Q993" s="572"/>
      <c r="R993" s="572"/>
      <c r="S993" s="572"/>
      <c r="T993" s="572"/>
      <c r="U993" s="572"/>
      <c r="V993" s="572"/>
      <c r="W993" s="572"/>
      <c r="X993" s="572"/>
      <c r="Y993" s="572"/>
      <c r="Z993" s="572"/>
      <c r="AA993" s="572"/>
      <c r="AB993" s="572"/>
      <c r="AC993" s="572"/>
      <c r="AD993" s="572"/>
      <c r="AE993" s="572"/>
      <c r="AF993" s="572"/>
      <c r="AG993" s="572"/>
      <c r="AH993" s="572"/>
      <c r="AI993" s="572"/>
      <c r="AJ993" s="572"/>
      <c r="AK993" s="572"/>
      <c r="AL993" s="572"/>
      <c r="AM993" s="572"/>
      <c r="AN993" s="572"/>
      <c r="AO993" s="572"/>
      <c r="AP993" s="572"/>
      <c r="AQ993" s="572"/>
      <c r="AR993" s="572"/>
      <c r="AS993" s="572"/>
      <c r="AT993" s="572"/>
      <c r="AU993" s="572"/>
    </row>
    <row r="994" spans="1:47" ht="15.75" customHeight="1">
      <c r="A994" s="597">
        <v>44769</v>
      </c>
      <c r="B994" s="634" t="s">
        <v>6778</v>
      </c>
      <c r="C994" s="625" t="s">
        <v>3785</v>
      </c>
      <c r="D994" s="635" t="s">
        <v>3110</v>
      </c>
      <c r="E994" s="636">
        <v>101231.24</v>
      </c>
      <c r="F994" s="635" t="s">
        <v>4233</v>
      </c>
      <c r="G994" s="635" t="s">
        <v>19</v>
      </c>
      <c r="H994" s="635" t="s">
        <v>49</v>
      </c>
      <c r="I994" s="635" t="s">
        <v>4134</v>
      </c>
      <c r="J994" s="637">
        <v>44462</v>
      </c>
      <c r="K994" s="625" t="s">
        <v>3795</v>
      </c>
      <c r="L994" s="572"/>
      <c r="M994" s="572"/>
      <c r="N994" s="572"/>
      <c r="O994" s="572"/>
      <c r="P994" s="572"/>
      <c r="Q994" s="572"/>
      <c r="R994" s="572"/>
      <c r="S994" s="572"/>
      <c r="T994" s="572"/>
      <c r="U994" s="572"/>
      <c r="V994" s="572"/>
      <c r="W994" s="572"/>
      <c r="X994" s="572"/>
      <c r="Y994" s="572"/>
      <c r="Z994" s="572"/>
      <c r="AA994" s="572"/>
      <c r="AB994" s="572"/>
      <c r="AC994" s="572"/>
      <c r="AD994" s="572"/>
      <c r="AE994" s="572"/>
      <c r="AF994" s="572"/>
      <c r="AG994" s="572"/>
      <c r="AH994" s="572"/>
      <c r="AI994" s="572"/>
      <c r="AJ994" s="572"/>
      <c r="AK994" s="572"/>
      <c r="AL994" s="572"/>
      <c r="AM994" s="572"/>
      <c r="AN994" s="572"/>
      <c r="AO994" s="572"/>
      <c r="AP994" s="572"/>
      <c r="AQ994" s="572"/>
      <c r="AR994" s="572"/>
      <c r="AS994" s="572"/>
      <c r="AT994" s="572"/>
      <c r="AU994" s="572"/>
    </row>
    <row r="995" spans="1:47" ht="15.75" customHeight="1">
      <c r="A995" s="597">
        <v>44769</v>
      </c>
      <c r="B995" s="634" t="s">
        <v>3630</v>
      </c>
      <c r="C995" s="625" t="s">
        <v>3607</v>
      </c>
      <c r="D995" s="635" t="s">
        <v>6341</v>
      </c>
      <c r="E995" s="636">
        <v>8500</v>
      </c>
      <c r="F995" s="635" t="s">
        <v>3629</v>
      </c>
      <c r="G995" s="635" t="s">
        <v>19</v>
      </c>
      <c r="H995" s="635" t="s">
        <v>20</v>
      </c>
      <c r="I995" s="635" t="s">
        <v>6244</v>
      </c>
      <c r="J995" s="637">
        <v>44062</v>
      </c>
      <c r="K995" s="625" t="s">
        <v>3795</v>
      </c>
      <c r="L995" s="572"/>
      <c r="M995" s="572"/>
      <c r="N995" s="572"/>
      <c r="O995" s="572"/>
      <c r="P995" s="572"/>
      <c r="Q995" s="572"/>
      <c r="R995" s="572"/>
      <c r="S995" s="572"/>
      <c r="T995" s="572"/>
      <c r="U995" s="572"/>
      <c r="V995" s="572"/>
      <c r="W995" s="572"/>
      <c r="X995" s="572"/>
      <c r="Y995" s="572"/>
      <c r="Z995" s="572"/>
      <c r="AA995" s="572"/>
      <c r="AB995" s="572"/>
      <c r="AC995" s="572"/>
      <c r="AD995" s="572"/>
      <c r="AE995" s="572"/>
      <c r="AF995" s="572"/>
      <c r="AG995" s="572"/>
      <c r="AH995" s="572"/>
      <c r="AI995" s="572"/>
      <c r="AJ995" s="572"/>
      <c r="AK995" s="572"/>
      <c r="AL995" s="572"/>
      <c r="AM995" s="572"/>
      <c r="AN995" s="572"/>
      <c r="AO995" s="572"/>
      <c r="AP995" s="572"/>
      <c r="AQ995" s="572"/>
      <c r="AR995" s="572"/>
      <c r="AS995" s="572"/>
      <c r="AT995" s="572"/>
      <c r="AU995" s="572"/>
    </row>
    <row r="996" spans="1:47" ht="15.75" customHeight="1">
      <c r="A996" s="597">
        <v>44769</v>
      </c>
      <c r="B996" s="634" t="s">
        <v>6689</v>
      </c>
      <c r="C996" s="625" t="s">
        <v>3785</v>
      </c>
      <c r="D996" s="635" t="s">
        <v>6341</v>
      </c>
      <c r="E996" s="636">
        <v>90000</v>
      </c>
      <c r="F996" s="635" t="s">
        <v>6690</v>
      </c>
      <c r="G996" s="635" t="s">
        <v>19</v>
      </c>
      <c r="H996" s="635" t="s">
        <v>49</v>
      </c>
      <c r="I996" s="635" t="s">
        <v>50</v>
      </c>
      <c r="J996" s="637">
        <v>44645</v>
      </c>
      <c r="K996" s="625" t="s">
        <v>3795</v>
      </c>
      <c r="L996" s="572"/>
      <c r="M996" s="572"/>
      <c r="N996" s="572"/>
      <c r="O996" s="572"/>
      <c r="P996" s="572"/>
      <c r="Q996" s="572"/>
      <c r="R996" s="572"/>
      <c r="S996" s="572"/>
      <c r="T996" s="572"/>
      <c r="U996" s="572"/>
      <c r="V996" s="572"/>
      <c r="W996" s="572"/>
      <c r="X996" s="572"/>
      <c r="Y996" s="572"/>
      <c r="Z996" s="572"/>
      <c r="AA996" s="572"/>
      <c r="AB996" s="572"/>
      <c r="AC996" s="572"/>
      <c r="AD996" s="572"/>
      <c r="AE996" s="572"/>
      <c r="AF996" s="572"/>
      <c r="AG996" s="572"/>
      <c r="AH996" s="572"/>
      <c r="AI996" s="572"/>
      <c r="AJ996" s="572"/>
      <c r="AK996" s="572"/>
      <c r="AL996" s="572"/>
      <c r="AM996" s="572"/>
      <c r="AN996" s="572"/>
      <c r="AO996" s="572"/>
      <c r="AP996" s="572"/>
      <c r="AQ996" s="572"/>
      <c r="AR996" s="572"/>
      <c r="AS996" s="572"/>
      <c r="AT996" s="572"/>
      <c r="AU996" s="572"/>
    </row>
    <row r="997" spans="1:47" ht="15.75" customHeight="1">
      <c r="A997" s="597">
        <v>44769</v>
      </c>
      <c r="B997" s="634" t="s">
        <v>6779</v>
      </c>
      <c r="C997" s="625" t="s">
        <v>3785</v>
      </c>
      <c r="D997" s="635" t="s">
        <v>3110</v>
      </c>
      <c r="E997" s="636">
        <v>5000</v>
      </c>
      <c r="F997" s="635" t="s">
        <v>4905</v>
      </c>
      <c r="G997" s="635" t="s">
        <v>19</v>
      </c>
      <c r="H997" s="635" t="s">
        <v>49</v>
      </c>
      <c r="I997" s="635" t="s">
        <v>328</v>
      </c>
      <c r="J997" s="637">
        <v>44619</v>
      </c>
      <c r="K997" s="625" t="s">
        <v>3809</v>
      </c>
      <c r="L997" s="572"/>
      <c r="M997" s="572"/>
      <c r="N997" s="572"/>
      <c r="O997" s="572"/>
      <c r="P997" s="572"/>
      <c r="Q997" s="572"/>
      <c r="R997" s="572"/>
      <c r="S997" s="572"/>
      <c r="T997" s="572"/>
      <c r="U997" s="572"/>
      <c r="V997" s="572"/>
      <c r="W997" s="572"/>
      <c r="X997" s="572"/>
      <c r="Y997" s="572"/>
      <c r="Z997" s="572"/>
      <c r="AA997" s="572"/>
      <c r="AB997" s="572"/>
      <c r="AC997" s="572"/>
      <c r="AD997" s="572"/>
      <c r="AE997" s="572"/>
      <c r="AF997" s="572"/>
      <c r="AG997" s="572"/>
      <c r="AH997" s="572"/>
      <c r="AI997" s="572"/>
      <c r="AJ997" s="572"/>
      <c r="AK997" s="572"/>
      <c r="AL997" s="572"/>
      <c r="AM997" s="572"/>
      <c r="AN997" s="572"/>
      <c r="AO997" s="572"/>
      <c r="AP997" s="572"/>
      <c r="AQ997" s="572"/>
      <c r="AR997" s="572"/>
      <c r="AS997" s="572"/>
      <c r="AT997" s="572"/>
      <c r="AU997" s="572"/>
    </row>
    <row r="998" spans="1:47" ht="15.75" customHeight="1">
      <c r="A998" s="577">
        <v>44769</v>
      </c>
      <c r="B998" s="638" t="s">
        <v>6780</v>
      </c>
      <c r="C998" s="639" t="s">
        <v>3785</v>
      </c>
      <c r="D998" s="626" t="s">
        <v>6341</v>
      </c>
      <c r="E998" s="640">
        <v>55000</v>
      </c>
      <c r="F998" s="626" t="s">
        <v>2141</v>
      </c>
      <c r="G998" s="628" t="s">
        <v>19</v>
      </c>
      <c r="H998" s="628" t="s">
        <v>49</v>
      </c>
      <c r="I998" s="628" t="s">
        <v>50</v>
      </c>
      <c r="J998" s="628">
        <v>44613</v>
      </c>
      <c r="K998" s="628" t="s">
        <v>4016</v>
      </c>
      <c r="L998" s="572"/>
      <c r="M998" s="572"/>
      <c r="N998" s="572"/>
      <c r="O998" s="572"/>
      <c r="P998" s="572"/>
      <c r="Q998" s="572"/>
      <c r="R998" s="572"/>
      <c r="S998" s="572"/>
      <c r="T998" s="572"/>
      <c r="U998" s="572"/>
      <c r="V998" s="572"/>
      <c r="W998" s="572"/>
      <c r="X998" s="572"/>
      <c r="Y998" s="572"/>
      <c r="Z998" s="572"/>
      <c r="AA998" s="572"/>
      <c r="AB998" s="572"/>
      <c r="AC998" s="572"/>
      <c r="AD998" s="572"/>
      <c r="AE998" s="572"/>
      <c r="AF998" s="572"/>
      <c r="AG998" s="572"/>
      <c r="AH998" s="572"/>
      <c r="AI998" s="572"/>
      <c r="AJ998" s="572"/>
      <c r="AK998" s="572"/>
      <c r="AL998" s="572"/>
      <c r="AM998" s="572"/>
      <c r="AN998" s="572"/>
      <c r="AO998" s="572"/>
      <c r="AP998" s="572"/>
      <c r="AQ998" s="572"/>
      <c r="AR998" s="572"/>
      <c r="AS998" s="572"/>
      <c r="AT998" s="572"/>
      <c r="AU998" s="572"/>
    </row>
    <row r="999" spans="1:47" ht="15.75" customHeight="1">
      <c r="A999" s="577">
        <v>44769</v>
      </c>
      <c r="B999" s="638" t="s">
        <v>6781</v>
      </c>
      <c r="C999" s="639" t="s">
        <v>3785</v>
      </c>
      <c r="D999" s="626" t="s">
        <v>6341</v>
      </c>
      <c r="E999" s="640">
        <v>10000</v>
      </c>
      <c r="F999" s="626" t="s">
        <v>6782</v>
      </c>
      <c r="G999" s="628" t="s">
        <v>19</v>
      </c>
      <c r="H999" s="628" t="s">
        <v>49</v>
      </c>
      <c r="I999" s="628" t="s">
        <v>328</v>
      </c>
      <c r="J999" s="628">
        <v>44824</v>
      </c>
      <c r="K999" s="628" t="s">
        <v>3802</v>
      </c>
      <c r="L999" s="572"/>
      <c r="M999" s="572"/>
      <c r="N999" s="572"/>
      <c r="O999" s="572"/>
      <c r="P999" s="572"/>
      <c r="Q999" s="572"/>
      <c r="R999" s="572"/>
      <c r="S999" s="572"/>
      <c r="T999" s="572"/>
      <c r="U999" s="572"/>
      <c r="V999" s="572"/>
      <c r="W999" s="572"/>
      <c r="X999" s="572"/>
      <c r="Y999" s="572"/>
      <c r="Z999" s="572"/>
      <c r="AA999" s="572"/>
      <c r="AB999" s="572"/>
      <c r="AC999" s="572"/>
      <c r="AD999" s="572"/>
      <c r="AE999" s="572"/>
      <c r="AF999" s="572"/>
      <c r="AG999" s="572"/>
      <c r="AH999" s="572"/>
      <c r="AI999" s="572"/>
      <c r="AJ999" s="572"/>
      <c r="AK999" s="572"/>
      <c r="AL999" s="572"/>
      <c r="AM999" s="572"/>
      <c r="AN999" s="572"/>
      <c r="AO999" s="572"/>
      <c r="AP999" s="572"/>
      <c r="AQ999" s="572"/>
      <c r="AR999" s="572"/>
      <c r="AS999" s="572"/>
      <c r="AT999" s="572"/>
      <c r="AU999" s="572"/>
    </row>
    <row r="1000" spans="1:47" ht="15.75" customHeight="1">
      <c r="A1000" s="597">
        <v>44774</v>
      </c>
      <c r="B1000" s="634" t="s">
        <v>6412</v>
      </c>
      <c r="C1000" s="625" t="s">
        <v>3785</v>
      </c>
      <c r="D1000" s="635" t="s">
        <v>6341</v>
      </c>
      <c r="E1000" s="636">
        <v>25000</v>
      </c>
      <c r="F1000" s="635" t="s">
        <v>4373</v>
      </c>
      <c r="G1000" s="635" t="s">
        <v>64</v>
      </c>
      <c r="H1000" s="635" t="s">
        <v>20</v>
      </c>
      <c r="I1000" s="635" t="s">
        <v>3862</v>
      </c>
      <c r="J1000" s="637">
        <v>44263</v>
      </c>
      <c r="K1000" s="625" t="s">
        <v>3795</v>
      </c>
      <c r="L1000" s="572"/>
      <c r="M1000" s="572"/>
      <c r="N1000" s="572"/>
      <c r="O1000" s="572"/>
      <c r="P1000" s="572"/>
      <c r="Q1000" s="572"/>
      <c r="R1000" s="572"/>
      <c r="S1000" s="572"/>
      <c r="T1000" s="572"/>
      <c r="U1000" s="572"/>
      <c r="V1000" s="572"/>
      <c r="W1000" s="572"/>
      <c r="X1000" s="572"/>
      <c r="Y1000" s="572"/>
      <c r="Z1000" s="572"/>
      <c r="AA1000" s="572"/>
      <c r="AB1000" s="572"/>
      <c r="AC1000" s="572"/>
      <c r="AD1000" s="572"/>
      <c r="AE1000" s="572"/>
      <c r="AF1000" s="572"/>
      <c r="AG1000" s="572"/>
      <c r="AH1000" s="572"/>
      <c r="AI1000" s="572"/>
      <c r="AJ1000" s="572"/>
      <c r="AK1000" s="572"/>
      <c r="AL1000" s="572"/>
      <c r="AM1000" s="572"/>
      <c r="AN1000" s="572"/>
      <c r="AO1000" s="572"/>
      <c r="AP1000" s="572"/>
      <c r="AQ1000" s="572"/>
      <c r="AR1000" s="572"/>
      <c r="AS1000" s="572"/>
      <c r="AT1000" s="572"/>
      <c r="AU1000" s="572"/>
    </row>
    <row r="1001" spans="1:47" ht="15.75" customHeight="1">
      <c r="A1001" s="597">
        <v>44774</v>
      </c>
      <c r="B1001" s="634" t="s">
        <v>6783</v>
      </c>
      <c r="C1001" s="625" t="s">
        <v>3785</v>
      </c>
      <c r="D1001" s="635" t="s">
        <v>3110</v>
      </c>
      <c r="E1001" s="636">
        <v>120608.02</v>
      </c>
      <c r="F1001" s="635" t="s">
        <v>6784</v>
      </c>
      <c r="G1001" s="635" t="s">
        <v>19</v>
      </c>
      <c r="H1001" s="635" t="s">
        <v>20</v>
      </c>
      <c r="I1001" s="635" t="s">
        <v>4343</v>
      </c>
      <c r="J1001" s="637">
        <v>44623</v>
      </c>
      <c r="K1001" s="625" t="s">
        <v>3802</v>
      </c>
      <c r="L1001" s="572"/>
      <c r="M1001" s="572"/>
      <c r="N1001" s="572"/>
      <c r="O1001" s="572"/>
      <c r="P1001" s="572"/>
      <c r="Q1001" s="572"/>
      <c r="R1001" s="572"/>
      <c r="S1001" s="572"/>
      <c r="T1001" s="572"/>
      <c r="U1001" s="572"/>
      <c r="V1001" s="572"/>
      <c r="W1001" s="572"/>
      <c r="X1001" s="572"/>
      <c r="Y1001" s="572"/>
      <c r="Z1001" s="572"/>
      <c r="AA1001" s="572"/>
      <c r="AB1001" s="572"/>
      <c r="AC1001" s="572"/>
      <c r="AD1001" s="572"/>
      <c r="AE1001" s="572"/>
      <c r="AF1001" s="572"/>
      <c r="AG1001" s="572"/>
      <c r="AH1001" s="572"/>
      <c r="AI1001" s="572"/>
      <c r="AJ1001" s="572"/>
      <c r="AK1001" s="572"/>
      <c r="AL1001" s="572"/>
      <c r="AM1001" s="572"/>
      <c r="AN1001" s="572"/>
      <c r="AO1001" s="572"/>
      <c r="AP1001" s="572"/>
      <c r="AQ1001" s="572"/>
      <c r="AR1001" s="572"/>
      <c r="AS1001" s="572"/>
      <c r="AT1001" s="572"/>
      <c r="AU1001" s="572"/>
    </row>
    <row r="1002" spans="1:47" ht="15.75" customHeight="1">
      <c r="A1002" s="597">
        <v>44775</v>
      </c>
      <c r="B1002" s="634" t="s">
        <v>6785</v>
      </c>
      <c r="C1002" s="625" t="s">
        <v>3785</v>
      </c>
      <c r="D1002" s="635" t="s">
        <v>3110</v>
      </c>
      <c r="E1002" s="636">
        <v>181532.44</v>
      </c>
      <c r="F1002" s="635" t="s">
        <v>4795</v>
      </c>
      <c r="G1002" s="635" t="s">
        <v>19</v>
      </c>
      <c r="H1002" s="635" t="s">
        <v>49</v>
      </c>
      <c r="I1002" s="635" t="s">
        <v>4796</v>
      </c>
      <c r="J1002" s="637">
        <v>44376</v>
      </c>
      <c r="K1002" s="625" t="s">
        <v>3809</v>
      </c>
      <c r="L1002" s="572"/>
      <c r="M1002" s="572"/>
      <c r="N1002" s="572"/>
      <c r="O1002" s="572"/>
      <c r="P1002" s="572"/>
      <c r="Q1002" s="572"/>
      <c r="R1002" s="572"/>
      <c r="S1002" s="572"/>
      <c r="T1002" s="572"/>
      <c r="U1002" s="572"/>
      <c r="V1002" s="572"/>
      <c r="W1002" s="572"/>
      <c r="X1002" s="572"/>
      <c r="Y1002" s="572"/>
      <c r="Z1002" s="572"/>
      <c r="AA1002" s="572"/>
      <c r="AB1002" s="572"/>
      <c r="AC1002" s="572"/>
      <c r="AD1002" s="572"/>
      <c r="AE1002" s="572"/>
      <c r="AF1002" s="572"/>
      <c r="AG1002" s="572"/>
      <c r="AH1002" s="572"/>
      <c r="AI1002" s="572"/>
      <c r="AJ1002" s="572"/>
      <c r="AK1002" s="572"/>
      <c r="AL1002" s="572"/>
      <c r="AM1002" s="572"/>
      <c r="AN1002" s="572"/>
      <c r="AO1002" s="572"/>
      <c r="AP1002" s="572"/>
      <c r="AQ1002" s="572"/>
      <c r="AR1002" s="572"/>
      <c r="AS1002" s="572"/>
      <c r="AT1002" s="572"/>
      <c r="AU1002" s="572"/>
    </row>
    <row r="1003" spans="1:47" ht="15.75" customHeight="1">
      <c r="A1003" s="597">
        <v>44776</v>
      </c>
      <c r="B1003" s="634" t="s">
        <v>6718</v>
      </c>
      <c r="C1003" s="625" t="s">
        <v>3785</v>
      </c>
      <c r="D1003" s="635" t="s">
        <v>6341</v>
      </c>
      <c r="E1003" s="636">
        <v>200000</v>
      </c>
      <c r="F1003" s="635" t="s">
        <v>6719</v>
      </c>
      <c r="G1003" s="635" t="s">
        <v>19</v>
      </c>
      <c r="H1003" s="635" t="s">
        <v>49</v>
      </c>
      <c r="I1003" s="635" t="s">
        <v>6326</v>
      </c>
      <c r="J1003" s="637">
        <v>44454</v>
      </c>
      <c r="K1003" s="625" t="s">
        <v>3795</v>
      </c>
      <c r="L1003" s="572"/>
      <c r="M1003" s="572"/>
      <c r="N1003" s="572"/>
      <c r="O1003" s="572"/>
      <c r="P1003" s="572"/>
      <c r="Q1003" s="572"/>
      <c r="R1003" s="572"/>
      <c r="S1003" s="572"/>
      <c r="T1003" s="572"/>
      <c r="U1003" s="572"/>
      <c r="V1003" s="572"/>
      <c r="W1003" s="572"/>
      <c r="X1003" s="572"/>
      <c r="Y1003" s="572"/>
      <c r="Z1003" s="572"/>
      <c r="AA1003" s="572"/>
      <c r="AB1003" s="572"/>
      <c r="AC1003" s="572"/>
      <c r="AD1003" s="572"/>
      <c r="AE1003" s="572"/>
      <c r="AF1003" s="572"/>
      <c r="AG1003" s="572"/>
      <c r="AH1003" s="572"/>
      <c r="AI1003" s="572"/>
      <c r="AJ1003" s="572"/>
      <c r="AK1003" s="572"/>
      <c r="AL1003" s="572"/>
      <c r="AM1003" s="572"/>
      <c r="AN1003" s="572"/>
      <c r="AO1003" s="572"/>
      <c r="AP1003" s="572"/>
      <c r="AQ1003" s="572"/>
      <c r="AR1003" s="572"/>
      <c r="AS1003" s="572"/>
      <c r="AT1003" s="572"/>
      <c r="AU1003" s="572"/>
    </row>
    <row r="1004" spans="1:47" ht="15.75" customHeight="1">
      <c r="A1004" s="597">
        <v>44777</v>
      </c>
      <c r="B1004" s="634" t="s">
        <v>6786</v>
      </c>
      <c r="C1004" s="625" t="s">
        <v>3785</v>
      </c>
      <c r="D1004" s="635" t="s">
        <v>6341</v>
      </c>
      <c r="E1004" s="636">
        <v>25000</v>
      </c>
      <c r="F1004" s="635" t="s">
        <v>4935</v>
      </c>
      <c r="G1004" s="635" t="s">
        <v>19</v>
      </c>
      <c r="H1004" s="635" t="s">
        <v>20</v>
      </c>
      <c r="I1004" s="635" t="s">
        <v>21</v>
      </c>
      <c r="J1004" s="637">
        <v>44385</v>
      </c>
      <c r="K1004" s="625" t="s">
        <v>3842</v>
      </c>
      <c r="L1004" s="572"/>
      <c r="M1004" s="572"/>
      <c r="N1004" s="572"/>
      <c r="O1004" s="572"/>
      <c r="P1004" s="572"/>
      <c r="Q1004" s="572"/>
      <c r="R1004" s="572"/>
      <c r="S1004" s="572"/>
      <c r="T1004" s="572"/>
      <c r="U1004" s="572"/>
      <c r="V1004" s="572"/>
      <c r="W1004" s="572"/>
      <c r="X1004" s="572"/>
      <c r="Y1004" s="572"/>
      <c r="Z1004" s="572"/>
      <c r="AA1004" s="572"/>
      <c r="AB1004" s="572"/>
      <c r="AC1004" s="572"/>
      <c r="AD1004" s="572"/>
      <c r="AE1004" s="572"/>
      <c r="AF1004" s="572"/>
      <c r="AG1004" s="572"/>
      <c r="AH1004" s="572"/>
      <c r="AI1004" s="572"/>
      <c r="AJ1004" s="572"/>
      <c r="AK1004" s="572"/>
      <c r="AL1004" s="572"/>
      <c r="AM1004" s="572"/>
      <c r="AN1004" s="572"/>
      <c r="AO1004" s="572"/>
      <c r="AP1004" s="572"/>
      <c r="AQ1004" s="572"/>
      <c r="AR1004" s="572"/>
      <c r="AS1004" s="572"/>
      <c r="AT1004" s="572"/>
      <c r="AU1004" s="572"/>
    </row>
    <row r="1005" spans="1:47" ht="15.75" customHeight="1">
      <c r="A1005" s="597">
        <v>44777</v>
      </c>
      <c r="B1005" s="634" t="s">
        <v>6772</v>
      </c>
      <c r="C1005" s="625" t="s">
        <v>3785</v>
      </c>
      <c r="D1005" s="635" t="s">
        <v>3110</v>
      </c>
      <c r="E1005" s="636">
        <v>1473.07</v>
      </c>
      <c r="F1005" s="635" t="s">
        <v>4322</v>
      </c>
      <c r="G1005" s="635" t="s">
        <v>19</v>
      </c>
      <c r="H1005" s="635" t="s">
        <v>49</v>
      </c>
      <c r="I1005" s="635" t="s">
        <v>328</v>
      </c>
      <c r="J1005" s="637">
        <v>44251</v>
      </c>
      <c r="K1005" s="625" t="s">
        <v>3809</v>
      </c>
      <c r="L1005" s="572"/>
      <c r="M1005" s="572"/>
      <c r="N1005" s="572"/>
      <c r="O1005" s="572"/>
      <c r="P1005" s="572"/>
      <c r="Q1005" s="572"/>
      <c r="R1005" s="572"/>
      <c r="S1005" s="572"/>
      <c r="T1005" s="572"/>
      <c r="U1005" s="572"/>
      <c r="V1005" s="572"/>
      <c r="W1005" s="572"/>
      <c r="X1005" s="572"/>
      <c r="Y1005" s="572"/>
      <c r="Z1005" s="572"/>
      <c r="AA1005" s="572"/>
      <c r="AB1005" s="572"/>
      <c r="AC1005" s="572"/>
      <c r="AD1005" s="572"/>
      <c r="AE1005" s="572"/>
      <c r="AF1005" s="572"/>
      <c r="AG1005" s="572"/>
      <c r="AH1005" s="572"/>
      <c r="AI1005" s="572"/>
      <c r="AJ1005" s="572"/>
      <c r="AK1005" s="572"/>
      <c r="AL1005" s="572"/>
      <c r="AM1005" s="572"/>
      <c r="AN1005" s="572"/>
      <c r="AO1005" s="572"/>
      <c r="AP1005" s="572"/>
      <c r="AQ1005" s="572"/>
      <c r="AR1005" s="572"/>
      <c r="AS1005" s="572"/>
      <c r="AT1005" s="572"/>
      <c r="AU1005" s="572"/>
    </row>
    <row r="1006" spans="1:47" ht="15.75" customHeight="1">
      <c r="A1006" s="597">
        <v>44777</v>
      </c>
      <c r="B1006" s="634" t="s">
        <v>6728</v>
      </c>
      <c r="C1006" s="625" t="s">
        <v>2921</v>
      </c>
      <c r="D1006" s="635" t="s">
        <v>3110</v>
      </c>
      <c r="E1006" s="636">
        <v>74385.52</v>
      </c>
      <c r="F1006" s="635" t="s">
        <v>3325</v>
      </c>
      <c r="G1006" s="635" t="s">
        <v>19</v>
      </c>
      <c r="H1006" s="635" t="s">
        <v>34</v>
      </c>
      <c r="I1006" s="635" t="s">
        <v>2971</v>
      </c>
      <c r="J1006" s="637">
        <v>44568</v>
      </c>
      <c r="K1006" s="625" t="s">
        <v>3802</v>
      </c>
      <c r="L1006" s="572"/>
      <c r="M1006" s="572"/>
      <c r="N1006" s="572"/>
      <c r="O1006" s="572"/>
      <c r="P1006" s="572"/>
      <c r="Q1006" s="572"/>
      <c r="R1006" s="572"/>
      <c r="S1006" s="572"/>
      <c r="T1006" s="572"/>
      <c r="U1006" s="572"/>
      <c r="V1006" s="572"/>
      <c r="W1006" s="572"/>
      <c r="X1006" s="572"/>
      <c r="Y1006" s="572"/>
      <c r="Z1006" s="572"/>
      <c r="AA1006" s="572"/>
      <c r="AB1006" s="572"/>
      <c r="AC1006" s="572"/>
      <c r="AD1006" s="572"/>
      <c r="AE1006" s="572"/>
      <c r="AF1006" s="572"/>
      <c r="AG1006" s="572"/>
      <c r="AH1006" s="572"/>
      <c r="AI1006" s="572"/>
      <c r="AJ1006" s="572"/>
      <c r="AK1006" s="572"/>
      <c r="AL1006" s="572"/>
      <c r="AM1006" s="572"/>
      <c r="AN1006" s="572"/>
      <c r="AO1006" s="572"/>
      <c r="AP1006" s="572"/>
      <c r="AQ1006" s="572"/>
      <c r="AR1006" s="572"/>
      <c r="AS1006" s="572"/>
      <c r="AT1006" s="572"/>
      <c r="AU1006" s="572"/>
    </row>
    <row r="1007" spans="1:47" ht="15.75" customHeight="1">
      <c r="A1007" s="597">
        <v>44781</v>
      </c>
      <c r="B1007" s="634" t="s">
        <v>6787</v>
      </c>
      <c r="C1007" s="625" t="s">
        <v>3785</v>
      </c>
      <c r="D1007" s="635" t="s">
        <v>6341</v>
      </c>
      <c r="E1007" s="636">
        <v>7000</v>
      </c>
      <c r="F1007" s="635" t="s">
        <v>6788</v>
      </c>
      <c r="G1007" s="635" t="s">
        <v>19</v>
      </c>
      <c r="H1007" s="635" t="s">
        <v>49</v>
      </c>
      <c r="I1007" s="635" t="s">
        <v>50</v>
      </c>
      <c r="J1007" s="637">
        <v>44673</v>
      </c>
      <c r="K1007" s="625" t="s">
        <v>3805</v>
      </c>
      <c r="L1007" s="572"/>
      <c r="M1007" s="572"/>
      <c r="N1007" s="572"/>
      <c r="O1007" s="572"/>
      <c r="P1007" s="572"/>
      <c r="Q1007" s="572"/>
      <c r="R1007" s="572"/>
      <c r="S1007" s="572"/>
      <c r="T1007" s="572"/>
      <c r="U1007" s="572"/>
      <c r="V1007" s="572"/>
      <c r="W1007" s="572"/>
      <c r="X1007" s="572"/>
      <c r="Y1007" s="572"/>
      <c r="Z1007" s="572"/>
      <c r="AA1007" s="572"/>
      <c r="AB1007" s="572"/>
      <c r="AC1007" s="572"/>
      <c r="AD1007" s="572"/>
      <c r="AE1007" s="572"/>
      <c r="AF1007" s="572"/>
      <c r="AG1007" s="572"/>
      <c r="AH1007" s="572"/>
      <c r="AI1007" s="572"/>
      <c r="AJ1007" s="572"/>
      <c r="AK1007" s="572"/>
      <c r="AL1007" s="572"/>
      <c r="AM1007" s="572"/>
      <c r="AN1007" s="572"/>
      <c r="AO1007" s="572"/>
      <c r="AP1007" s="572"/>
      <c r="AQ1007" s="572"/>
      <c r="AR1007" s="572"/>
      <c r="AS1007" s="572"/>
      <c r="AT1007" s="572"/>
      <c r="AU1007" s="572"/>
    </row>
    <row r="1008" spans="1:47" ht="15.75" customHeight="1">
      <c r="A1008" s="597">
        <v>44781</v>
      </c>
      <c r="B1008" s="634" t="s">
        <v>6789</v>
      </c>
      <c r="C1008" s="625" t="s">
        <v>3785</v>
      </c>
      <c r="D1008" s="635" t="s">
        <v>3110</v>
      </c>
      <c r="E1008" s="636">
        <v>157156.82</v>
      </c>
      <c r="F1008" s="635" t="s">
        <v>6790</v>
      </c>
      <c r="G1008" s="635" t="s">
        <v>19</v>
      </c>
      <c r="H1008" s="635" t="s">
        <v>20</v>
      </c>
      <c r="I1008" s="635" t="s">
        <v>942</v>
      </c>
      <c r="J1008" s="637">
        <v>44277</v>
      </c>
      <c r="K1008" s="625" t="s">
        <v>3805</v>
      </c>
      <c r="L1008" s="572"/>
      <c r="M1008" s="572"/>
      <c r="N1008" s="572"/>
      <c r="O1008" s="572"/>
      <c r="P1008" s="572"/>
      <c r="Q1008" s="572"/>
      <c r="R1008" s="572"/>
      <c r="S1008" s="572"/>
      <c r="T1008" s="572"/>
      <c r="U1008" s="572"/>
      <c r="V1008" s="572"/>
      <c r="W1008" s="572"/>
      <c r="X1008" s="572"/>
      <c r="Y1008" s="572"/>
      <c r="Z1008" s="572"/>
      <c r="AA1008" s="572"/>
      <c r="AB1008" s="572"/>
      <c r="AC1008" s="572"/>
      <c r="AD1008" s="572"/>
      <c r="AE1008" s="572"/>
      <c r="AF1008" s="572"/>
      <c r="AG1008" s="572"/>
      <c r="AH1008" s="572"/>
      <c r="AI1008" s="572"/>
      <c r="AJ1008" s="572"/>
      <c r="AK1008" s="572"/>
      <c r="AL1008" s="572"/>
      <c r="AM1008" s="572"/>
      <c r="AN1008" s="572"/>
      <c r="AO1008" s="572"/>
      <c r="AP1008" s="572"/>
      <c r="AQ1008" s="572"/>
      <c r="AR1008" s="572"/>
      <c r="AS1008" s="572"/>
      <c r="AT1008" s="572"/>
      <c r="AU1008" s="572"/>
    </row>
    <row r="1009" spans="1:47" ht="15.75" customHeight="1">
      <c r="A1009" s="597">
        <v>44781</v>
      </c>
      <c r="B1009" s="634" t="s">
        <v>6791</v>
      </c>
      <c r="C1009" s="625" t="s">
        <v>2921</v>
      </c>
      <c r="D1009" s="635" t="s">
        <v>3110</v>
      </c>
      <c r="E1009" s="636">
        <v>101893.24</v>
      </c>
      <c r="F1009" s="635" t="s">
        <v>3125</v>
      </c>
      <c r="G1009" s="635" t="s">
        <v>19</v>
      </c>
      <c r="H1009" s="635" t="s">
        <v>34</v>
      </c>
      <c r="I1009" s="635" t="s">
        <v>35</v>
      </c>
      <c r="J1009" s="637">
        <v>44365</v>
      </c>
      <c r="K1009" s="625" t="s">
        <v>3795</v>
      </c>
      <c r="L1009" s="572"/>
      <c r="M1009" s="572"/>
      <c r="N1009" s="572"/>
      <c r="O1009" s="572"/>
      <c r="P1009" s="572"/>
      <c r="Q1009" s="572"/>
      <c r="R1009" s="572"/>
      <c r="S1009" s="572"/>
      <c r="T1009" s="572"/>
      <c r="U1009" s="572"/>
      <c r="V1009" s="572"/>
      <c r="W1009" s="572"/>
      <c r="X1009" s="572"/>
      <c r="Y1009" s="572"/>
      <c r="Z1009" s="572"/>
      <c r="AA1009" s="572"/>
      <c r="AB1009" s="572"/>
      <c r="AC1009" s="572"/>
      <c r="AD1009" s="572"/>
      <c r="AE1009" s="572"/>
      <c r="AF1009" s="572"/>
      <c r="AG1009" s="572"/>
      <c r="AH1009" s="572"/>
      <c r="AI1009" s="572"/>
      <c r="AJ1009" s="572"/>
      <c r="AK1009" s="572"/>
      <c r="AL1009" s="572"/>
      <c r="AM1009" s="572"/>
      <c r="AN1009" s="572"/>
      <c r="AO1009" s="572"/>
      <c r="AP1009" s="572"/>
      <c r="AQ1009" s="572"/>
      <c r="AR1009" s="572"/>
      <c r="AS1009" s="572"/>
      <c r="AT1009" s="572"/>
      <c r="AU1009" s="572"/>
    </row>
    <row r="1010" spans="1:47" ht="15.75" customHeight="1">
      <c r="A1010" s="597">
        <v>44783</v>
      </c>
      <c r="B1010" s="634" t="s">
        <v>6632</v>
      </c>
      <c r="C1010" s="625" t="s">
        <v>3785</v>
      </c>
      <c r="D1010" s="635" t="s">
        <v>6341</v>
      </c>
      <c r="E1010" s="636">
        <v>5500</v>
      </c>
      <c r="F1010" s="635" t="s">
        <v>2454</v>
      </c>
      <c r="G1010" s="635" t="s">
        <v>19</v>
      </c>
      <c r="H1010" s="635" t="s">
        <v>20</v>
      </c>
      <c r="I1010" s="635" t="s">
        <v>3072</v>
      </c>
      <c r="J1010" s="637">
        <v>44293</v>
      </c>
      <c r="K1010" s="625" t="s">
        <v>3789</v>
      </c>
      <c r="L1010" s="572"/>
      <c r="M1010" s="572"/>
      <c r="N1010" s="572"/>
      <c r="O1010" s="572"/>
      <c r="P1010" s="572"/>
      <c r="Q1010" s="572"/>
      <c r="R1010" s="572"/>
      <c r="S1010" s="572"/>
      <c r="T1010" s="572"/>
      <c r="U1010" s="572"/>
      <c r="V1010" s="572"/>
      <c r="W1010" s="572"/>
      <c r="X1010" s="572"/>
      <c r="Y1010" s="572"/>
      <c r="Z1010" s="572"/>
      <c r="AA1010" s="572"/>
      <c r="AB1010" s="572"/>
      <c r="AC1010" s="572"/>
      <c r="AD1010" s="572"/>
      <c r="AE1010" s="572"/>
      <c r="AF1010" s="572"/>
      <c r="AG1010" s="572"/>
      <c r="AH1010" s="572"/>
      <c r="AI1010" s="572"/>
      <c r="AJ1010" s="572"/>
      <c r="AK1010" s="572"/>
      <c r="AL1010" s="572"/>
      <c r="AM1010" s="572"/>
      <c r="AN1010" s="572"/>
      <c r="AO1010" s="572"/>
      <c r="AP1010" s="572"/>
      <c r="AQ1010" s="572"/>
      <c r="AR1010" s="572"/>
      <c r="AS1010" s="572"/>
      <c r="AT1010" s="572"/>
      <c r="AU1010" s="572"/>
    </row>
    <row r="1011" spans="1:47" ht="15.75" customHeight="1">
      <c r="A1011" s="597">
        <v>44783</v>
      </c>
      <c r="B1011" s="634" t="s">
        <v>6792</v>
      </c>
      <c r="C1011" s="625" t="s">
        <v>2921</v>
      </c>
      <c r="D1011" s="635" t="s">
        <v>3110</v>
      </c>
      <c r="E1011" s="636">
        <v>111338.29</v>
      </c>
      <c r="F1011" s="635" t="s">
        <v>3308</v>
      </c>
      <c r="G1011" s="635" t="s">
        <v>19</v>
      </c>
      <c r="H1011" s="635" t="s">
        <v>34</v>
      </c>
      <c r="I1011" s="635" t="s">
        <v>262</v>
      </c>
      <c r="J1011" s="637">
        <v>44600</v>
      </c>
      <c r="K1011" s="625" t="s">
        <v>3805</v>
      </c>
      <c r="L1011" s="572"/>
      <c r="M1011" s="572"/>
      <c r="N1011" s="572"/>
      <c r="O1011" s="572"/>
      <c r="P1011" s="572"/>
      <c r="Q1011" s="572"/>
      <c r="R1011" s="572"/>
      <c r="S1011" s="572"/>
      <c r="T1011" s="572"/>
      <c r="U1011" s="572"/>
      <c r="V1011" s="572"/>
      <c r="W1011" s="572"/>
      <c r="X1011" s="572"/>
      <c r="Y1011" s="572"/>
      <c r="Z1011" s="572"/>
      <c r="AA1011" s="572"/>
      <c r="AB1011" s="572"/>
      <c r="AC1011" s="572"/>
      <c r="AD1011" s="572"/>
      <c r="AE1011" s="572"/>
      <c r="AF1011" s="572"/>
      <c r="AG1011" s="572"/>
      <c r="AH1011" s="572"/>
      <c r="AI1011" s="572"/>
      <c r="AJ1011" s="572"/>
      <c r="AK1011" s="572"/>
      <c r="AL1011" s="572"/>
      <c r="AM1011" s="572"/>
      <c r="AN1011" s="572"/>
      <c r="AO1011" s="572"/>
      <c r="AP1011" s="572"/>
      <c r="AQ1011" s="572"/>
      <c r="AR1011" s="572"/>
      <c r="AS1011" s="572"/>
      <c r="AT1011" s="572"/>
      <c r="AU1011" s="572"/>
    </row>
    <row r="1012" spans="1:47" ht="15.75" customHeight="1">
      <c r="A1012" s="597">
        <v>44784</v>
      </c>
      <c r="B1012" s="634" t="s">
        <v>6793</v>
      </c>
      <c r="C1012" s="625" t="s">
        <v>3785</v>
      </c>
      <c r="D1012" s="635" t="s">
        <v>3110</v>
      </c>
      <c r="E1012" s="636" t="s">
        <v>6794</v>
      </c>
      <c r="F1012" s="635" t="s">
        <v>4450</v>
      </c>
      <c r="G1012" s="635" t="s">
        <v>64</v>
      </c>
      <c r="H1012" s="635" t="s">
        <v>20</v>
      </c>
      <c r="I1012" s="635" t="s">
        <v>4451</v>
      </c>
      <c r="J1012" s="637">
        <v>44211</v>
      </c>
      <c r="K1012" s="625" t="s">
        <v>3809</v>
      </c>
      <c r="L1012" s="572"/>
      <c r="M1012" s="572"/>
      <c r="N1012" s="572"/>
      <c r="O1012" s="572"/>
      <c r="P1012" s="572"/>
      <c r="Q1012" s="572"/>
      <c r="R1012" s="572"/>
      <c r="S1012" s="572"/>
      <c r="T1012" s="572"/>
      <c r="U1012" s="572"/>
      <c r="V1012" s="572"/>
      <c r="W1012" s="572"/>
      <c r="X1012" s="572"/>
      <c r="Y1012" s="572"/>
      <c r="Z1012" s="572"/>
      <c r="AA1012" s="572"/>
      <c r="AB1012" s="572"/>
      <c r="AC1012" s="572"/>
      <c r="AD1012" s="572"/>
      <c r="AE1012" s="572"/>
      <c r="AF1012" s="572"/>
      <c r="AG1012" s="572"/>
      <c r="AH1012" s="572"/>
      <c r="AI1012" s="572"/>
      <c r="AJ1012" s="572"/>
      <c r="AK1012" s="572"/>
      <c r="AL1012" s="572"/>
      <c r="AM1012" s="572"/>
      <c r="AN1012" s="572"/>
      <c r="AO1012" s="572"/>
      <c r="AP1012" s="572"/>
      <c r="AQ1012" s="572"/>
      <c r="AR1012" s="572"/>
      <c r="AS1012" s="572"/>
      <c r="AT1012" s="572"/>
      <c r="AU1012" s="572"/>
    </row>
    <row r="1013" spans="1:47" ht="15.75" customHeight="1">
      <c r="A1013" s="597">
        <v>44784</v>
      </c>
      <c r="B1013" s="634" t="s">
        <v>6663</v>
      </c>
      <c r="C1013" s="625" t="s">
        <v>3785</v>
      </c>
      <c r="D1013" s="635" t="s">
        <v>6341</v>
      </c>
      <c r="E1013" s="636">
        <v>30000</v>
      </c>
      <c r="F1013" s="635" t="s">
        <v>1743</v>
      </c>
      <c r="G1013" s="635" t="s">
        <v>19</v>
      </c>
      <c r="H1013" s="635" t="s">
        <v>20</v>
      </c>
      <c r="I1013" s="635" t="s">
        <v>5036</v>
      </c>
      <c r="J1013" s="637">
        <v>44594</v>
      </c>
      <c r="K1013" s="625" t="s">
        <v>3802</v>
      </c>
      <c r="L1013" s="572"/>
      <c r="M1013" s="572"/>
      <c r="N1013" s="572"/>
      <c r="O1013" s="572"/>
      <c r="P1013" s="572"/>
      <c r="Q1013" s="572"/>
      <c r="R1013" s="572"/>
      <c r="S1013" s="572"/>
      <c r="T1013" s="572"/>
      <c r="U1013" s="572"/>
      <c r="V1013" s="572"/>
      <c r="W1013" s="572"/>
      <c r="X1013" s="572"/>
      <c r="Y1013" s="572"/>
      <c r="Z1013" s="572"/>
      <c r="AA1013" s="572"/>
      <c r="AB1013" s="572"/>
      <c r="AC1013" s="572"/>
      <c r="AD1013" s="572"/>
      <c r="AE1013" s="572"/>
      <c r="AF1013" s="572"/>
      <c r="AG1013" s="572"/>
      <c r="AH1013" s="572"/>
      <c r="AI1013" s="572"/>
      <c r="AJ1013" s="572"/>
      <c r="AK1013" s="572"/>
      <c r="AL1013" s="572"/>
      <c r="AM1013" s="572"/>
      <c r="AN1013" s="572"/>
      <c r="AO1013" s="572"/>
      <c r="AP1013" s="572"/>
      <c r="AQ1013" s="572"/>
      <c r="AR1013" s="572"/>
      <c r="AS1013" s="572"/>
      <c r="AT1013" s="572"/>
      <c r="AU1013" s="572"/>
    </row>
    <row r="1014" spans="1:47" ht="15.75" customHeight="1">
      <c r="A1014" s="577">
        <v>44784</v>
      </c>
      <c r="B1014" s="605" t="s">
        <v>6718</v>
      </c>
      <c r="C1014" s="405" t="s">
        <v>3785</v>
      </c>
      <c r="D1014" s="563" t="s">
        <v>6341</v>
      </c>
      <c r="E1014" s="586">
        <v>125000</v>
      </c>
      <c r="F1014" s="563" t="s">
        <v>6719</v>
      </c>
      <c r="G1014" s="573" t="s">
        <v>19</v>
      </c>
      <c r="H1014" s="573" t="s">
        <v>49</v>
      </c>
      <c r="I1014" s="573" t="s">
        <v>6326</v>
      </c>
      <c r="J1014" s="573">
        <v>44454</v>
      </c>
      <c r="K1014" s="573" t="s">
        <v>3795</v>
      </c>
      <c r="L1014" s="572"/>
      <c r="M1014" s="572"/>
      <c r="N1014" s="572"/>
      <c r="O1014" s="572"/>
      <c r="P1014" s="572"/>
      <c r="Q1014" s="572"/>
      <c r="R1014" s="572"/>
      <c r="S1014" s="572"/>
      <c r="T1014" s="572"/>
      <c r="U1014" s="572"/>
      <c r="V1014" s="572"/>
      <c r="W1014" s="572"/>
      <c r="X1014" s="572"/>
      <c r="Y1014" s="572"/>
      <c r="Z1014" s="572"/>
      <c r="AA1014" s="572"/>
      <c r="AB1014" s="572"/>
      <c r="AC1014" s="572"/>
      <c r="AD1014" s="572"/>
      <c r="AE1014" s="572"/>
      <c r="AF1014" s="572"/>
      <c r="AG1014" s="572"/>
      <c r="AH1014" s="572"/>
      <c r="AI1014" s="572"/>
      <c r="AJ1014" s="572"/>
      <c r="AK1014" s="572"/>
      <c r="AL1014" s="572"/>
      <c r="AM1014" s="572"/>
      <c r="AN1014" s="572"/>
      <c r="AO1014" s="572"/>
      <c r="AP1014" s="572"/>
      <c r="AQ1014" s="572"/>
      <c r="AR1014" s="572"/>
      <c r="AS1014" s="572"/>
      <c r="AT1014" s="572"/>
      <c r="AU1014" s="572"/>
    </row>
    <row r="1015" spans="1:47" ht="15.75" customHeight="1">
      <c r="A1015" s="577">
        <v>44786</v>
      </c>
      <c r="B1015" s="605" t="s">
        <v>6795</v>
      </c>
      <c r="C1015" s="405" t="s">
        <v>3785</v>
      </c>
      <c r="D1015" s="563" t="s">
        <v>3110</v>
      </c>
      <c r="E1015" s="586">
        <v>444418.17</v>
      </c>
      <c r="F1015" s="563" t="s">
        <v>5125</v>
      </c>
      <c r="G1015" s="573" t="s">
        <v>19</v>
      </c>
      <c r="H1015" s="573" t="s">
        <v>49</v>
      </c>
      <c r="I1015" s="573" t="s">
        <v>4134</v>
      </c>
      <c r="J1015" s="573">
        <v>44421</v>
      </c>
      <c r="K1015" s="573" t="s">
        <v>3802</v>
      </c>
      <c r="L1015" s="572"/>
      <c r="M1015" s="572"/>
      <c r="N1015" s="572"/>
      <c r="O1015" s="572"/>
      <c r="P1015" s="572"/>
      <c r="Q1015" s="572"/>
      <c r="R1015" s="572"/>
      <c r="S1015" s="572"/>
      <c r="T1015" s="572"/>
      <c r="U1015" s="572"/>
      <c r="V1015" s="572"/>
      <c r="W1015" s="572"/>
      <c r="X1015" s="572"/>
      <c r="Y1015" s="572"/>
      <c r="Z1015" s="572"/>
      <c r="AA1015" s="572"/>
      <c r="AB1015" s="572"/>
      <c r="AC1015" s="572"/>
      <c r="AD1015" s="572"/>
      <c r="AE1015" s="572"/>
      <c r="AF1015" s="572"/>
      <c r="AG1015" s="572"/>
      <c r="AH1015" s="572"/>
      <c r="AI1015" s="572"/>
      <c r="AJ1015" s="572"/>
      <c r="AK1015" s="572"/>
      <c r="AL1015" s="572"/>
      <c r="AM1015" s="572"/>
      <c r="AN1015" s="572"/>
      <c r="AO1015" s="572"/>
      <c r="AP1015" s="572"/>
      <c r="AQ1015" s="572"/>
      <c r="AR1015" s="572"/>
      <c r="AS1015" s="572"/>
      <c r="AT1015" s="572"/>
      <c r="AU1015" s="572"/>
    </row>
    <row r="1016" spans="1:47" ht="15.75" customHeight="1">
      <c r="A1016" s="597">
        <v>44788</v>
      </c>
      <c r="B1016" s="585" t="s">
        <v>6715</v>
      </c>
      <c r="C1016" s="532" t="s">
        <v>3785</v>
      </c>
      <c r="D1016" s="598" t="s">
        <v>6341</v>
      </c>
      <c r="E1016" s="599">
        <v>10000</v>
      </c>
      <c r="F1016" s="598" t="s">
        <v>6796</v>
      </c>
      <c r="G1016" s="598" t="s">
        <v>19</v>
      </c>
      <c r="H1016" s="598" t="s">
        <v>49</v>
      </c>
      <c r="I1016" s="598" t="s">
        <v>166</v>
      </c>
      <c r="J1016" s="597">
        <v>44645</v>
      </c>
      <c r="K1016" s="532" t="s">
        <v>3802</v>
      </c>
      <c r="L1016" s="572"/>
      <c r="M1016" s="572"/>
      <c r="N1016" s="572"/>
      <c r="O1016" s="572"/>
      <c r="P1016" s="572"/>
      <c r="Q1016" s="572"/>
      <c r="R1016" s="572"/>
      <c r="S1016" s="572"/>
      <c r="T1016" s="572"/>
      <c r="U1016" s="572"/>
      <c r="V1016" s="572"/>
      <c r="W1016" s="572"/>
      <c r="X1016" s="572"/>
      <c r="Y1016" s="572"/>
      <c r="Z1016" s="572"/>
      <c r="AA1016" s="572"/>
      <c r="AB1016" s="572"/>
      <c r="AC1016" s="572"/>
      <c r="AD1016" s="572"/>
      <c r="AE1016" s="572"/>
      <c r="AF1016" s="572"/>
      <c r="AG1016" s="572"/>
      <c r="AH1016" s="572"/>
      <c r="AI1016" s="572"/>
      <c r="AJ1016" s="572"/>
      <c r="AK1016" s="572"/>
      <c r="AL1016" s="572"/>
      <c r="AM1016" s="572"/>
      <c r="AN1016" s="572"/>
      <c r="AO1016" s="572"/>
      <c r="AP1016" s="572"/>
      <c r="AQ1016" s="572"/>
      <c r="AR1016" s="572"/>
      <c r="AS1016" s="572"/>
      <c r="AT1016" s="572"/>
      <c r="AU1016" s="572"/>
    </row>
    <row r="1017" spans="1:47" ht="15.75" customHeight="1">
      <c r="A1017" s="597">
        <v>44788</v>
      </c>
      <c r="B1017" s="585" t="s">
        <v>6797</v>
      </c>
      <c r="C1017" s="532" t="s">
        <v>3785</v>
      </c>
      <c r="D1017" s="598" t="s">
        <v>3110</v>
      </c>
      <c r="E1017" s="599">
        <v>608381.09</v>
      </c>
      <c r="F1017" s="598" t="s">
        <v>4824</v>
      </c>
      <c r="G1017" s="598" t="s">
        <v>19</v>
      </c>
      <c r="H1017" s="598" t="s">
        <v>20</v>
      </c>
      <c r="I1017" s="598" t="s">
        <v>3683</v>
      </c>
      <c r="J1017" s="597">
        <v>44341</v>
      </c>
      <c r="K1017" s="532" t="s">
        <v>4825</v>
      </c>
      <c r="L1017" s="572"/>
      <c r="M1017" s="572"/>
      <c r="N1017" s="572"/>
      <c r="O1017" s="572"/>
      <c r="P1017" s="572"/>
      <c r="Q1017" s="572"/>
      <c r="R1017" s="572"/>
      <c r="S1017" s="572"/>
      <c r="T1017" s="572"/>
      <c r="U1017" s="572"/>
      <c r="V1017" s="572"/>
      <c r="W1017" s="572"/>
      <c r="X1017" s="572"/>
      <c r="Y1017" s="572"/>
      <c r="Z1017" s="572"/>
      <c r="AA1017" s="572"/>
      <c r="AB1017" s="572"/>
      <c r="AC1017" s="572"/>
      <c r="AD1017" s="572"/>
      <c r="AE1017" s="572"/>
      <c r="AF1017" s="572"/>
      <c r="AG1017" s="572"/>
      <c r="AH1017" s="572"/>
      <c r="AI1017" s="572"/>
      <c r="AJ1017" s="572"/>
      <c r="AK1017" s="572"/>
      <c r="AL1017" s="572"/>
      <c r="AM1017" s="572"/>
      <c r="AN1017" s="572"/>
      <c r="AO1017" s="572"/>
      <c r="AP1017" s="572"/>
      <c r="AQ1017" s="572"/>
      <c r="AR1017" s="572"/>
      <c r="AS1017" s="572"/>
      <c r="AT1017" s="572"/>
      <c r="AU1017" s="572"/>
    </row>
    <row r="1018" spans="1:47" ht="15.75" customHeight="1">
      <c r="A1018" s="597">
        <v>44789</v>
      </c>
      <c r="B1018" s="585" t="s">
        <v>6753</v>
      </c>
      <c r="C1018" s="532" t="s">
        <v>3785</v>
      </c>
      <c r="D1018" s="598" t="s">
        <v>6341</v>
      </c>
      <c r="E1018" s="599">
        <v>5000</v>
      </c>
      <c r="F1018" s="598" t="s">
        <v>1442</v>
      </c>
      <c r="G1018" s="598" t="s">
        <v>64</v>
      </c>
      <c r="H1018" s="598" t="s">
        <v>20</v>
      </c>
      <c r="I1018" s="598" t="s">
        <v>3634</v>
      </c>
      <c r="J1018" s="597">
        <v>44138</v>
      </c>
      <c r="K1018" s="532" t="s">
        <v>3805</v>
      </c>
      <c r="L1018" s="572"/>
      <c r="M1018" s="572"/>
      <c r="N1018" s="572"/>
      <c r="O1018" s="572"/>
      <c r="P1018" s="572"/>
      <c r="Q1018" s="572"/>
      <c r="R1018" s="572"/>
      <c r="S1018" s="572"/>
      <c r="T1018" s="572"/>
      <c r="U1018" s="572"/>
      <c r="V1018" s="572"/>
      <c r="W1018" s="572"/>
      <c r="X1018" s="572"/>
      <c r="Y1018" s="572"/>
      <c r="Z1018" s="572"/>
      <c r="AA1018" s="572"/>
      <c r="AB1018" s="572"/>
      <c r="AC1018" s="572"/>
      <c r="AD1018" s="572"/>
      <c r="AE1018" s="572"/>
      <c r="AF1018" s="572"/>
      <c r="AG1018" s="572"/>
      <c r="AH1018" s="572"/>
      <c r="AI1018" s="572"/>
      <c r="AJ1018" s="572"/>
      <c r="AK1018" s="572"/>
      <c r="AL1018" s="572"/>
      <c r="AM1018" s="572"/>
      <c r="AN1018" s="572"/>
      <c r="AO1018" s="572"/>
      <c r="AP1018" s="572"/>
      <c r="AQ1018" s="572"/>
      <c r="AR1018" s="572"/>
      <c r="AS1018" s="572"/>
      <c r="AT1018" s="572"/>
      <c r="AU1018" s="572"/>
    </row>
    <row r="1019" spans="1:47" ht="15.75" customHeight="1">
      <c r="A1019" s="597">
        <v>44790</v>
      </c>
      <c r="B1019" s="585" t="s">
        <v>6715</v>
      </c>
      <c r="C1019" s="532" t="s">
        <v>3785</v>
      </c>
      <c r="D1019" s="598" t="s">
        <v>6341</v>
      </c>
      <c r="E1019" s="599">
        <v>5000</v>
      </c>
      <c r="F1019" s="598" t="s">
        <v>6796</v>
      </c>
      <c r="G1019" s="598" t="s">
        <v>19</v>
      </c>
      <c r="H1019" s="598" t="s">
        <v>49</v>
      </c>
      <c r="I1019" s="598" t="s">
        <v>166</v>
      </c>
      <c r="J1019" s="597">
        <v>44645</v>
      </c>
      <c r="K1019" s="532" t="s">
        <v>3802</v>
      </c>
      <c r="L1019" s="572"/>
      <c r="M1019" s="572"/>
      <c r="N1019" s="572"/>
      <c r="O1019" s="572"/>
      <c r="P1019" s="572"/>
      <c r="Q1019" s="572"/>
      <c r="R1019" s="572"/>
      <c r="S1019" s="572"/>
      <c r="T1019" s="572"/>
      <c r="U1019" s="572"/>
      <c r="V1019" s="572"/>
      <c r="W1019" s="572"/>
      <c r="X1019" s="572"/>
      <c r="Y1019" s="572"/>
      <c r="Z1019" s="572"/>
      <c r="AA1019" s="572"/>
      <c r="AB1019" s="572"/>
      <c r="AC1019" s="572"/>
      <c r="AD1019" s="572"/>
      <c r="AE1019" s="572"/>
      <c r="AF1019" s="572"/>
      <c r="AG1019" s="572"/>
      <c r="AH1019" s="572"/>
      <c r="AI1019" s="572"/>
      <c r="AJ1019" s="572"/>
      <c r="AK1019" s="572"/>
      <c r="AL1019" s="572"/>
      <c r="AM1019" s="572"/>
      <c r="AN1019" s="572"/>
      <c r="AO1019" s="572"/>
      <c r="AP1019" s="572"/>
      <c r="AQ1019" s="572"/>
      <c r="AR1019" s="572"/>
      <c r="AS1019" s="572"/>
      <c r="AT1019" s="572"/>
      <c r="AU1019" s="572"/>
    </row>
    <row r="1020" spans="1:47" ht="15.75" customHeight="1">
      <c r="A1020" s="597">
        <v>44791</v>
      </c>
      <c r="B1020" s="585" t="s">
        <v>6652</v>
      </c>
      <c r="C1020" s="532" t="s">
        <v>3785</v>
      </c>
      <c r="D1020" s="598" t="s">
        <v>6341</v>
      </c>
      <c r="E1020" s="599">
        <v>25000</v>
      </c>
      <c r="F1020" s="598" t="s">
        <v>3951</v>
      </c>
      <c r="G1020" s="598" t="s">
        <v>19</v>
      </c>
      <c r="H1020" s="598" t="s">
        <v>20</v>
      </c>
      <c r="I1020" s="598" t="s">
        <v>3952</v>
      </c>
      <c r="J1020" s="597">
        <v>44061</v>
      </c>
      <c r="K1020" s="532" t="s">
        <v>3795</v>
      </c>
      <c r="L1020" s="572"/>
      <c r="M1020" s="572"/>
      <c r="N1020" s="572"/>
      <c r="O1020" s="572"/>
      <c r="P1020" s="572"/>
      <c r="Q1020" s="572"/>
      <c r="R1020" s="572"/>
      <c r="S1020" s="572"/>
      <c r="T1020" s="572"/>
      <c r="U1020" s="572"/>
      <c r="V1020" s="572"/>
      <c r="W1020" s="572"/>
      <c r="X1020" s="572"/>
      <c r="Y1020" s="572"/>
      <c r="Z1020" s="572"/>
      <c r="AA1020" s="572"/>
      <c r="AB1020" s="572"/>
      <c r="AC1020" s="572"/>
      <c r="AD1020" s="572"/>
      <c r="AE1020" s="572"/>
      <c r="AF1020" s="572"/>
      <c r="AG1020" s="572"/>
      <c r="AH1020" s="572"/>
      <c r="AI1020" s="572"/>
      <c r="AJ1020" s="572"/>
      <c r="AK1020" s="572"/>
      <c r="AL1020" s="572"/>
      <c r="AM1020" s="572"/>
      <c r="AN1020" s="572"/>
      <c r="AO1020" s="572"/>
      <c r="AP1020" s="572"/>
      <c r="AQ1020" s="572"/>
      <c r="AR1020" s="572"/>
      <c r="AS1020" s="572"/>
      <c r="AT1020" s="572"/>
      <c r="AU1020" s="572"/>
    </row>
    <row r="1021" spans="1:47" ht="15.75" customHeight="1">
      <c r="A1021" s="577">
        <v>44796</v>
      </c>
      <c r="B1021" s="605" t="s">
        <v>6798</v>
      </c>
      <c r="C1021" s="405" t="s">
        <v>3785</v>
      </c>
      <c r="D1021" s="563" t="s">
        <v>3110</v>
      </c>
      <c r="E1021" s="586">
        <v>835364.29</v>
      </c>
      <c r="F1021" s="563" t="s">
        <v>4112</v>
      </c>
      <c r="G1021" s="573" t="s">
        <v>19</v>
      </c>
      <c r="H1021" s="573" t="s">
        <v>49</v>
      </c>
      <c r="I1021" s="573" t="s">
        <v>50</v>
      </c>
      <c r="J1021" s="573">
        <v>44648</v>
      </c>
      <c r="K1021" s="573" t="s">
        <v>3795</v>
      </c>
      <c r="L1021" s="572"/>
      <c r="M1021" s="572"/>
      <c r="N1021" s="572"/>
      <c r="O1021" s="572"/>
      <c r="P1021" s="572"/>
      <c r="Q1021" s="572"/>
      <c r="R1021" s="572"/>
      <c r="S1021" s="572"/>
      <c r="T1021" s="572"/>
      <c r="U1021" s="572"/>
      <c r="V1021" s="572"/>
      <c r="W1021" s="572"/>
      <c r="X1021" s="572"/>
      <c r="Y1021" s="572"/>
      <c r="Z1021" s="572"/>
      <c r="AA1021" s="572"/>
      <c r="AB1021" s="572"/>
      <c r="AC1021" s="572"/>
      <c r="AD1021" s="572"/>
      <c r="AE1021" s="572"/>
      <c r="AF1021" s="572"/>
      <c r="AG1021" s="572"/>
      <c r="AH1021" s="572"/>
      <c r="AI1021" s="572"/>
      <c r="AJ1021" s="572"/>
      <c r="AK1021" s="572"/>
      <c r="AL1021" s="572"/>
      <c r="AM1021" s="572"/>
      <c r="AN1021" s="572"/>
      <c r="AO1021" s="572"/>
      <c r="AP1021" s="572"/>
      <c r="AQ1021" s="572"/>
      <c r="AR1021" s="572"/>
      <c r="AS1021" s="572"/>
      <c r="AT1021" s="572"/>
      <c r="AU1021" s="572"/>
    </row>
    <row r="1022" spans="1:47" ht="15.75" customHeight="1">
      <c r="A1022" s="577">
        <v>44796</v>
      </c>
      <c r="B1022" s="605" t="s">
        <v>6799</v>
      </c>
      <c r="C1022" s="405" t="s">
        <v>3785</v>
      </c>
      <c r="D1022" s="563" t="s">
        <v>3110</v>
      </c>
      <c r="E1022" s="586">
        <v>1652454.72</v>
      </c>
      <c r="F1022" s="563" t="s">
        <v>4112</v>
      </c>
      <c r="G1022" s="573" t="s">
        <v>19</v>
      </c>
      <c r="H1022" s="573" t="s">
        <v>49</v>
      </c>
      <c r="I1022" s="573" t="s">
        <v>50</v>
      </c>
      <c r="J1022" s="573">
        <v>44648</v>
      </c>
      <c r="K1022" s="573" t="s">
        <v>3795</v>
      </c>
      <c r="L1022" s="572"/>
      <c r="M1022" s="572"/>
      <c r="N1022" s="572"/>
      <c r="O1022" s="572"/>
      <c r="P1022" s="572"/>
      <c r="Q1022" s="572"/>
      <c r="R1022" s="572"/>
      <c r="S1022" s="572"/>
      <c r="T1022" s="572"/>
      <c r="U1022" s="572"/>
      <c r="V1022" s="572"/>
      <c r="W1022" s="572"/>
      <c r="X1022" s="572"/>
      <c r="Y1022" s="572"/>
      <c r="Z1022" s="572"/>
      <c r="AA1022" s="572"/>
      <c r="AB1022" s="572"/>
      <c r="AC1022" s="572"/>
      <c r="AD1022" s="572"/>
      <c r="AE1022" s="572"/>
      <c r="AF1022" s="572"/>
      <c r="AG1022" s="572"/>
      <c r="AH1022" s="572"/>
      <c r="AI1022" s="572"/>
      <c r="AJ1022" s="572"/>
      <c r="AK1022" s="572"/>
      <c r="AL1022" s="572"/>
      <c r="AM1022" s="572"/>
      <c r="AN1022" s="572"/>
      <c r="AO1022" s="572"/>
      <c r="AP1022" s="572"/>
      <c r="AQ1022" s="572"/>
      <c r="AR1022" s="572"/>
      <c r="AS1022" s="572"/>
      <c r="AT1022" s="572"/>
      <c r="AU1022" s="572"/>
    </row>
    <row r="1023" spans="1:47" ht="15.75" customHeight="1">
      <c r="A1023" s="577">
        <v>44796</v>
      </c>
      <c r="B1023" s="605" t="s">
        <v>6800</v>
      </c>
      <c r="C1023" s="405" t="s">
        <v>3785</v>
      </c>
      <c r="D1023" s="563" t="s">
        <v>6341</v>
      </c>
      <c r="E1023" s="586">
        <v>10000</v>
      </c>
      <c r="F1023" s="563" t="s">
        <v>4699</v>
      </c>
      <c r="G1023" s="573" t="s">
        <v>19</v>
      </c>
      <c r="H1023" s="573" t="s">
        <v>49</v>
      </c>
      <c r="I1023" s="573" t="s">
        <v>6801</v>
      </c>
      <c r="J1023" s="573"/>
      <c r="K1023" s="573"/>
      <c r="L1023" s="572"/>
      <c r="M1023" s="572"/>
      <c r="N1023" s="572"/>
      <c r="O1023" s="572"/>
      <c r="P1023" s="572"/>
      <c r="Q1023" s="572"/>
      <c r="R1023" s="572"/>
      <c r="S1023" s="572"/>
      <c r="T1023" s="572"/>
      <c r="U1023" s="572"/>
      <c r="V1023" s="572"/>
      <c r="W1023" s="572"/>
      <c r="X1023" s="572"/>
      <c r="Y1023" s="572"/>
      <c r="Z1023" s="572"/>
      <c r="AA1023" s="572"/>
      <c r="AB1023" s="572"/>
      <c r="AC1023" s="572"/>
      <c r="AD1023" s="572"/>
      <c r="AE1023" s="572"/>
      <c r="AF1023" s="572"/>
      <c r="AG1023" s="572"/>
      <c r="AH1023" s="572"/>
      <c r="AI1023" s="572"/>
      <c r="AJ1023" s="572"/>
      <c r="AK1023" s="572"/>
      <c r="AL1023" s="572"/>
      <c r="AM1023" s="572"/>
      <c r="AN1023" s="572"/>
      <c r="AO1023" s="572"/>
      <c r="AP1023" s="572"/>
      <c r="AQ1023" s="572"/>
      <c r="AR1023" s="572"/>
      <c r="AS1023" s="572"/>
      <c r="AT1023" s="572"/>
      <c r="AU1023" s="572"/>
    </row>
    <row r="1024" spans="1:47" ht="15.75" customHeight="1">
      <c r="A1024" s="577">
        <v>44803</v>
      </c>
      <c r="B1024" s="605" t="s">
        <v>6802</v>
      </c>
      <c r="C1024" s="405" t="s">
        <v>3785</v>
      </c>
      <c r="D1024" s="563" t="s">
        <v>3110</v>
      </c>
      <c r="E1024" s="586">
        <v>352012.79</v>
      </c>
      <c r="F1024" s="563" t="s">
        <v>4116</v>
      </c>
      <c r="G1024" s="573" t="s">
        <v>64</v>
      </c>
      <c r="H1024" s="573" t="s">
        <v>20</v>
      </c>
      <c r="I1024" s="573" t="s">
        <v>4067</v>
      </c>
      <c r="J1024" s="573">
        <v>44186</v>
      </c>
      <c r="K1024" s="573" t="s">
        <v>3805</v>
      </c>
      <c r="L1024" s="572"/>
      <c r="M1024" s="572"/>
      <c r="N1024" s="572"/>
      <c r="O1024" s="572"/>
      <c r="P1024" s="572"/>
      <c r="Q1024" s="572"/>
      <c r="R1024" s="572"/>
      <c r="S1024" s="572"/>
      <c r="T1024" s="572"/>
      <c r="U1024" s="572"/>
      <c r="V1024" s="572"/>
      <c r="W1024" s="572"/>
      <c r="X1024" s="572"/>
      <c r="Y1024" s="572"/>
      <c r="Z1024" s="572"/>
      <c r="AA1024" s="572"/>
      <c r="AB1024" s="572"/>
      <c r="AC1024" s="572"/>
      <c r="AD1024" s="572"/>
      <c r="AE1024" s="572"/>
      <c r="AF1024" s="572"/>
      <c r="AG1024" s="572"/>
      <c r="AH1024" s="572"/>
      <c r="AI1024" s="572"/>
      <c r="AJ1024" s="572"/>
      <c r="AK1024" s="572"/>
      <c r="AL1024" s="572"/>
      <c r="AM1024" s="572"/>
      <c r="AN1024" s="572"/>
      <c r="AO1024" s="572"/>
      <c r="AP1024" s="572"/>
      <c r="AQ1024" s="572"/>
      <c r="AR1024" s="572"/>
      <c r="AS1024" s="572"/>
      <c r="AT1024" s="572"/>
      <c r="AU1024" s="572"/>
    </row>
    <row r="1025" spans="1:47" ht="15.75" customHeight="1">
      <c r="A1025" s="577">
        <v>44803</v>
      </c>
      <c r="B1025" s="605" t="s">
        <v>6803</v>
      </c>
      <c r="C1025" s="405" t="s">
        <v>3785</v>
      </c>
      <c r="D1025" s="563" t="s">
        <v>3110</v>
      </c>
      <c r="E1025" s="586">
        <v>130273.59</v>
      </c>
      <c r="F1025" s="563" t="s">
        <v>4289</v>
      </c>
      <c r="G1025" s="573" t="s">
        <v>64</v>
      </c>
      <c r="H1025" s="573" t="s">
        <v>20</v>
      </c>
      <c r="I1025" s="573" t="s">
        <v>3634</v>
      </c>
      <c r="J1025" s="573">
        <v>44211</v>
      </c>
      <c r="K1025" s="573" t="s">
        <v>3795</v>
      </c>
      <c r="L1025" s="572"/>
      <c r="M1025" s="572"/>
      <c r="N1025" s="572"/>
      <c r="O1025" s="572"/>
      <c r="P1025" s="572"/>
      <c r="Q1025" s="572"/>
      <c r="R1025" s="572"/>
      <c r="S1025" s="572"/>
      <c r="T1025" s="572"/>
      <c r="U1025" s="572"/>
      <c r="V1025" s="572"/>
      <c r="W1025" s="572"/>
      <c r="X1025" s="572"/>
      <c r="Y1025" s="572"/>
      <c r="Z1025" s="572"/>
      <c r="AA1025" s="572"/>
      <c r="AB1025" s="572"/>
      <c r="AC1025" s="572"/>
      <c r="AD1025" s="572"/>
      <c r="AE1025" s="572"/>
      <c r="AF1025" s="572"/>
      <c r="AG1025" s="572"/>
      <c r="AH1025" s="572"/>
      <c r="AI1025" s="572"/>
      <c r="AJ1025" s="572"/>
      <c r="AK1025" s="572"/>
      <c r="AL1025" s="572"/>
      <c r="AM1025" s="572"/>
      <c r="AN1025" s="572"/>
      <c r="AO1025" s="572"/>
      <c r="AP1025" s="572"/>
      <c r="AQ1025" s="572"/>
      <c r="AR1025" s="572"/>
      <c r="AS1025" s="572"/>
      <c r="AT1025" s="572"/>
      <c r="AU1025" s="572"/>
    </row>
    <row r="1026" spans="1:47" ht="15.75" customHeight="1">
      <c r="A1026" s="577">
        <v>44803</v>
      </c>
      <c r="B1026" s="605" t="s">
        <v>6804</v>
      </c>
      <c r="C1026" s="405" t="s">
        <v>3785</v>
      </c>
      <c r="D1026" s="563" t="s">
        <v>6341</v>
      </c>
      <c r="E1026" s="586">
        <v>10000</v>
      </c>
      <c r="F1026" s="563" t="s">
        <v>4083</v>
      </c>
      <c r="G1026" s="573" t="s">
        <v>19</v>
      </c>
      <c r="H1026" s="573" t="s">
        <v>49</v>
      </c>
      <c r="I1026" s="573" t="s">
        <v>50</v>
      </c>
      <c r="J1026" s="573">
        <v>44762</v>
      </c>
      <c r="K1026" s="573" t="s">
        <v>3805</v>
      </c>
      <c r="L1026" s="572"/>
      <c r="M1026" s="572"/>
      <c r="N1026" s="572"/>
      <c r="O1026" s="572"/>
      <c r="P1026" s="572"/>
      <c r="Q1026" s="572"/>
      <c r="R1026" s="572"/>
      <c r="S1026" s="572"/>
      <c r="T1026" s="572"/>
      <c r="U1026" s="572"/>
      <c r="V1026" s="572"/>
      <c r="W1026" s="572"/>
      <c r="X1026" s="572"/>
      <c r="Y1026" s="572"/>
      <c r="Z1026" s="572"/>
      <c r="AA1026" s="572"/>
      <c r="AB1026" s="572"/>
      <c r="AC1026" s="572"/>
      <c r="AD1026" s="572"/>
      <c r="AE1026" s="572"/>
      <c r="AF1026" s="572"/>
      <c r="AG1026" s="572"/>
      <c r="AH1026" s="572"/>
      <c r="AI1026" s="572"/>
      <c r="AJ1026" s="572"/>
      <c r="AK1026" s="572"/>
      <c r="AL1026" s="572"/>
      <c r="AM1026" s="572"/>
      <c r="AN1026" s="572"/>
      <c r="AO1026" s="572"/>
      <c r="AP1026" s="572"/>
      <c r="AQ1026" s="572"/>
      <c r="AR1026" s="572"/>
      <c r="AS1026" s="572"/>
      <c r="AT1026" s="572"/>
      <c r="AU1026" s="572"/>
    </row>
    <row r="1027" spans="1:47" ht="15.75" customHeight="1">
      <c r="A1027" s="577">
        <v>44806</v>
      </c>
      <c r="B1027" s="605" t="s">
        <v>6466</v>
      </c>
      <c r="C1027" s="405" t="s">
        <v>3785</v>
      </c>
      <c r="D1027" s="563" t="s">
        <v>3110</v>
      </c>
      <c r="E1027" s="586">
        <v>41167.949999999997</v>
      </c>
      <c r="F1027" s="563" t="s">
        <v>4030</v>
      </c>
      <c r="G1027" s="573" t="s">
        <v>64</v>
      </c>
      <c r="H1027" s="573" t="s">
        <v>20</v>
      </c>
      <c r="I1027" s="573" t="s">
        <v>3634</v>
      </c>
      <c r="J1027" s="573">
        <v>44160</v>
      </c>
      <c r="K1027" s="573"/>
      <c r="L1027" s="572"/>
      <c r="M1027" s="572"/>
      <c r="N1027" s="572"/>
      <c r="O1027" s="572"/>
      <c r="P1027" s="572"/>
      <c r="Q1027" s="572"/>
      <c r="R1027" s="572"/>
      <c r="S1027" s="572"/>
      <c r="T1027" s="572"/>
      <c r="U1027" s="572"/>
      <c r="V1027" s="572"/>
      <c r="W1027" s="572"/>
      <c r="X1027" s="572"/>
      <c r="Y1027" s="572"/>
      <c r="Z1027" s="572"/>
      <c r="AA1027" s="572"/>
      <c r="AB1027" s="572"/>
      <c r="AC1027" s="572"/>
      <c r="AD1027" s="572"/>
      <c r="AE1027" s="572"/>
      <c r="AF1027" s="572"/>
      <c r="AG1027" s="572"/>
      <c r="AH1027" s="572"/>
      <c r="AI1027" s="572"/>
      <c r="AJ1027" s="572"/>
      <c r="AK1027" s="572"/>
      <c r="AL1027" s="572"/>
      <c r="AM1027" s="572"/>
      <c r="AN1027" s="572"/>
      <c r="AO1027" s="572"/>
      <c r="AP1027" s="572"/>
      <c r="AQ1027" s="572"/>
      <c r="AR1027" s="572"/>
      <c r="AS1027" s="572"/>
      <c r="AT1027" s="572"/>
      <c r="AU1027" s="572"/>
    </row>
    <row r="1028" spans="1:47" ht="15.75" customHeight="1">
      <c r="A1028" s="577">
        <v>44810</v>
      </c>
      <c r="B1028" s="605" t="s">
        <v>6804</v>
      </c>
      <c r="C1028" s="405" t="s">
        <v>3785</v>
      </c>
      <c r="D1028" s="563" t="s">
        <v>6341</v>
      </c>
      <c r="E1028" s="586">
        <v>10000</v>
      </c>
      <c r="F1028" s="563" t="s">
        <v>4083</v>
      </c>
      <c r="G1028" s="573" t="s">
        <v>19</v>
      </c>
      <c r="H1028" s="573" t="s">
        <v>49</v>
      </c>
      <c r="I1028" s="573" t="s">
        <v>50</v>
      </c>
      <c r="J1028" s="573">
        <v>44762</v>
      </c>
      <c r="K1028" s="573" t="s">
        <v>3805</v>
      </c>
      <c r="L1028" s="572"/>
      <c r="M1028" s="572"/>
      <c r="N1028" s="572"/>
      <c r="O1028" s="572"/>
      <c r="P1028" s="572"/>
      <c r="Q1028" s="572"/>
      <c r="R1028" s="572"/>
      <c r="S1028" s="572"/>
      <c r="T1028" s="572"/>
      <c r="U1028" s="572"/>
      <c r="V1028" s="572"/>
      <c r="W1028" s="572"/>
      <c r="X1028" s="572"/>
      <c r="Y1028" s="572"/>
      <c r="Z1028" s="572"/>
      <c r="AA1028" s="572"/>
      <c r="AB1028" s="572"/>
      <c r="AC1028" s="572"/>
      <c r="AD1028" s="572"/>
      <c r="AE1028" s="572"/>
      <c r="AF1028" s="572"/>
      <c r="AG1028" s="572"/>
      <c r="AH1028" s="572"/>
      <c r="AI1028" s="572"/>
      <c r="AJ1028" s="572"/>
      <c r="AK1028" s="572"/>
      <c r="AL1028" s="572"/>
      <c r="AM1028" s="572"/>
      <c r="AN1028" s="572"/>
      <c r="AO1028" s="572"/>
      <c r="AP1028" s="572"/>
      <c r="AQ1028" s="572"/>
      <c r="AR1028" s="572"/>
      <c r="AS1028" s="572"/>
      <c r="AT1028" s="572"/>
      <c r="AU1028" s="572"/>
    </row>
    <row r="1029" spans="1:47" ht="15.75" customHeight="1">
      <c r="A1029" s="577">
        <v>44810</v>
      </c>
      <c r="B1029" s="605" t="s">
        <v>6805</v>
      </c>
      <c r="C1029" s="405" t="s">
        <v>3785</v>
      </c>
      <c r="D1029" s="563" t="s">
        <v>6341</v>
      </c>
      <c r="E1029" s="586">
        <v>4000</v>
      </c>
      <c r="F1029" s="563" t="s">
        <v>4050</v>
      </c>
      <c r="G1029" s="573" t="s">
        <v>19</v>
      </c>
      <c r="H1029" s="573" t="s">
        <v>49</v>
      </c>
      <c r="I1029" s="573" t="s">
        <v>328</v>
      </c>
      <c r="J1029" s="573">
        <v>44497</v>
      </c>
      <c r="K1029" s="573" t="s">
        <v>3805</v>
      </c>
      <c r="L1029" s="572"/>
      <c r="M1029" s="572"/>
      <c r="N1029" s="572"/>
      <c r="O1029" s="572"/>
      <c r="P1029" s="572"/>
      <c r="Q1029" s="572"/>
      <c r="R1029" s="572"/>
      <c r="S1029" s="572"/>
      <c r="T1029" s="572"/>
      <c r="U1029" s="572"/>
      <c r="V1029" s="572"/>
      <c r="W1029" s="572"/>
      <c r="X1029" s="572"/>
      <c r="Y1029" s="572"/>
      <c r="Z1029" s="572"/>
      <c r="AA1029" s="572"/>
      <c r="AB1029" s="572"/>
      <c r="AC1029" s="572"/>
      <c r="AD1029" s="572"/>
      <c r="AE1029" s="572"/>
      <c r="AF1029" s="572"/>
      <c r="AG1029" s="572"/>
      <c r="AH1029" s="572"/>
      <c r="AI1029" s="572"/>
      <c r="AJ1029" s="572"/>
      <c r="AK1029" s="572"/>
      <c r="AL1029" s="572"/>
      <c r="AM1029" s="572"/>
      <c r="AN1029" s="572"/>
      <c r="AO1029" s="572"/>
      <c r="AP1029" s="572"/>
      <c r="AQ1029" s="572"/>
      <c r="AR1029" s="572"/>
      <c r="AS1029" s="572"/>
      <c r="AT1029" s="572"/>
      <c r="AU1029" s="572"/>
    </row>
    <row r="1030" spans="1:47" ht="15.75" customHeight="1">
      <c r="A1030" s="577">
        <v>44810</v>
      </c>
      <c r="B1030" s="605" t="s">
        <v>6806</v>
      </c>
      <c r="C1030" s="405" t="s">
        <v>3785</v>
      </c>
      <c r="D1030" s="563" t="s">
        <v>3110</v>
      </c>
      <c r="E1030" s="586">
        <v>160322.21</v>
      </c>
      <c r="F1030" s="563" t="s">
        <v>4777</v>
      </c>
      <c r="G1030" s="573" t="s">
        <v>19</v>
      </c>
      <c r="H1030" s="573" t="s">
        <v>49</v>
      </c>
      <c r="I1030" s="573" t="s">
        <v>4134</v>
      </c>
      <c r="J1030" s="573">
        <v>44487</v>
      </c>
      <c r="K1030" s="573" t="s">
        <v>3795</v>
      </c>
      <c r="L1030" s="572"/>
      <c r="M1030" s="572"/>
      <c r="N1030" s="572"/>
      <c r="O1030" s="572"/>
      <c r="P1030" s="572"/>
      <c r="Q1030" s="572"/>
      <c r="R1030" s="572"/>
      <c r="S1030" s="572"/>
      <c r="T1030" s="572"/>
      <c r="U1030" s="572"/>
      <c r="V1030" s="572"/>
      <c r="W1030" s="572"/>
      <c r="X1030" s="572"/>
      <c r="Y1030" s="572"/>
      <c r="Z1030" s="572"/>
      <c r="AA1030" s="572"/>
      <c r="AB1030" s="572"/>
      <c r="AC1030" s="572"/>
      <c r="AD1030" s="572"/>
      <c r="AE1030" s="572"/>
      <c r="AF1030" s="572"/>
      <c r="AG1030" s="572"/>
      <c r="AH1030" s="572"/>
      <c r="AI1030" s="572"/>
      <c r="AJ1030" s="572"/>
      <c r="AK1030" s="572"/>
      <c r="AL1030" s="572"/>
      <c r="AM1030" s="572"/>
      <c r="AN1030" s="572"/>
      <c r="AO1030" s="572"/>
      <c r="AP1030" s="572"/>
      <c r="AQ1030" s="572"/>
      <c r="AR1030" s="572"/>
      <c r="AS1030" s="572"/>
      <c r="AT1030" s="572"/>
      <c r="AU1030" s="572"/>
    </row>
    <row r="1031" spans="1:47" ht="15.75" customHeight="1">
      <c r="A1031" s="577">
        <v>44812</v>
      </c>
      <c r="B1031" s="605" t="s">
        <v>6807</v>
      </c>
      <c r="C1031" s="405" t="s">
        <v>3785</v>
      </c>
      <c r="D1031" s="563" t="s">
        <v>6341</v>
      </c>
      <c r="E1031" s="586">
        <v>96000</v>
      </c>
      <c r="F1031" s="563" t="s">
        <v>4856</v>
      </c>
      <c r="G1031" s="573" t="s">
        <v>19</v>
      </c>
      <c r="H1031" s="573" t="s">
        <v>49</v>
      </c>
      <c r="I1031" s="573" t="s">
        <v>277</v>
      </c>
      <c r="J1031" s="573">
        <v>44698</v>
      </c>
      <c r="K1031" s="573" t="s">
        <v>3809</v>
      </c>
      <c r="L1031" s="572"/>
      <c r="M1031" s="572"/>
      <c r="N1031" s="572"/>
      <c r="O1031" s="572"/>
      <c r="P1031" s="572"/>
      <c r="Q1031" s="572"/>
      <c r="R1031" s="572"/>
      <c r="S1031" s="572"/>
      <c r="T1031" s="572"/>
      <c r="U1031" s="572"/>
      <c r="V1031" s="572"/>
      <c r="W1031" s="572"/>
      <c r="X1031" s="572"/>
      <c r="Y1031" s="572"/>
      <c r="Z1031" s="572"/>
      <c r="AA1031" s="572"/>
      <c r="AB1031" s="572"/>
      <c r="AC1031" s="572"/>
      <c r="AD1031" s="572"/>
      <c r="AE1031" s="572"/>
      <c r="AF1031" s="572"/>
      <c r="AG1031" s="572"/>
      <c r="AH1031" s="572"/>
      <c r="AI1031" s="572"/>
      <c r="AJ1031" s="572"/>
      <c r="AK1031" s="572"/>
      <c r="AL1031" s="572"/>
      <c r="AM1031" s="572"/>
      <c r="AN1031" s="572"/>
      <c r="AO1031" s="572"/>
      <c r="AP1031" s="572"/>
      <c r="AQ1031" s="572"/>
      <c r="AR1031" s="572"/>
      <c r="AS1031" s="572"/>
      <c r="AT1031" s="572"/>
      <c r="AU1031" s="572"/>
    </row>
    <row r="1032" spans="1:47" ht="15.75" customHeight="1">
      <c r="A1032" s="577">
        <v>44812</v>
      </c>
      <c r="B1032" s="605" t="s">
        <v>6808</v>
      </c>
      <c r="C1032" s="405" t="s">
        <v>3785</v>
      </c>
      <c r="D1032" s="563" t="s">
        <v>3110</v>
      </c>
      <c r="E1032" s="586">
        <v>217697.33</v>
      </c>
      <c r="F1032" s="563" t="s">
        <v>5336</v>
      </c>
      <c r="G1032" s="573" t="s">
        <v>19</v>
      </c>
      <c r="H1032" s="573" t="s">
        <v>49</v>
      </c>
      <c r="I1032" s="573" t="s">
        <v>4134</v>
      </c>
      <c r="J1032" s="573">
        <v>44426</v>
      </c>
      <c r="K1032" s="573" t="s">
        <v>3805</v>
      </c>
      <c r="L1032" s="572"/>
      <c r="M1032" s="572"/>
      <c r="N1032" s="572"/>
      <c r="O1032" s="572"/>
      <c r="P1032" s="572"/>
      <c r="Q1032" s="572"/>
      <c r="R1032" s="572"/>
      <c r="S1032" s="572"/>
      <c r="T1032" s="572"/>
      <c r="U1032" s="572"/>
      <c r="V1032" s="572"/>
      <c r="W1032" s="572"/>
      <c r="X1032" s="572"/>
      <c r="Y1032" s="572"/>
      <c r="Z1032" s="572"/>
      <c r="AA1032" s="572"/>
      <c r="AB1032" s="572"/>
      <c r="AC1032" s="572"/>
      <c r="AD1032" s="572"/>
      <c r="AE1032" s="572"/>
      <c r="AF1032" s="572"/>
      <c r="AG1032" s="572"/>
      <c r="AH1032" s="572"/>
      <c r="AI1032" s="572"/>
      <c r="AJ1032" s="572"/>
      <c r="AK1032" s="572"/>
      <c r="AL1032" s="572"/>
      <c r="AM1032" s="572"/>
      <c r="AN1032" s="572"/>
      <c r="AO1032" s="572"/>
      <c r="AP1032" s="572"/>
      <c r="AQ1032" s="572"/>
      <c r="AR1032" s="572"/>
      <c r="AS1032" s="572"/>
      <c r="AT1032" s="572"/>
      <c r="AU1032" s="572"/>
    </row>
    <row r="1033" spans="1:47" ht="15.75" customHeight="1">
      <c r="A1033" s="577">
        <v>44812</v>
      </c>
      <c r="B1033" s="605" t="s">
        <v>6809</v>
      </c>
      <c r="C1033" s="405" t="s">
        <v>2921</v>
      </c>
      <c r="D1033" s="563" t="s">
        <v>3110</v>
      </c>
      <c r="E1033" s="586">
        <v>865757.17</v>
      </c>
      <c r="F1033" s="563" t="s">
        <v>3001</v>
      </c>
      <c r="G1033" s="573" t="s">
        <v>19</v>
      </c>
      <c r="H1033" s="573" t="s">
        <v>34</v>
      </c>
      <c r="I1033" s="573" t="s">
        <v>2971</v>
      </c>
      <c r="J1033" s="573">
        <v>44263</v>
      </c>
      <c r="K1033" s="573" t="s">
        <v>3802</v>
      </c>
      <c r="L1033" s="572"/>
      <c r="M1033" s="572"/>
      <c r="N1033" s="572"/>
      <c r="O1033" s="572"/>
      <c r="P1033" s="572"/>
      <c r="Q1033" s="572"/>
      <c r="R1033" s="572"/>
      <c r="S1033" s="572"/>
      <c r="T1033" s="572"/>
      <c r="U1033" s="572"/>
      <c r="V1033" s="572"/>
      <c r="W1033" s="572"/>
      <c r="X1033" s="572"/>
      <c r="Y1033" s="572"/>
      <c r="Z1033" s="572"/>
      <c r="AA1033" s="572"/>
      <c r="AB1033" s="572"/>
      <c r="AC1033" s="572"/>
      <c r="AD1033" s="572"/>
      <c r="AE1033" s="572"/>
      <c r="AF1033" s="572"/>
      <c r="AG1033" s="572"/>
      <c r="AH1033" s="572"/>
      <c r="AI1033" s="572"/>
      <c r="AJ1033" s="572"/>
      <c r="AK1033" s="572"/>
      <c r="AL1033" s="572"/>
      <c r="AM1033" s="572"/>
      <c r="AN1033" s="572"/>
      <c r="AO1033" s="572"/>
      <c r="AP1033" s="572"/>
      <c r="AQ1033" s="572"/>
      <c r="AR1033" s="572"/>
      <c r="AS1033" s="572"/>
      <c r="AT1033" s="572"/>
      <c r="AU1033" s="572"/>
    </row>
    <row r="1034" spans="1:47" ht="15.75" customHeight="1">
      <c r="A1034" s="577">
        <v>44816</v>
      </c>
      <c r="B1034" s="605" t="s">
        <v>6810</v>
      </c>
      <c r="C1034" s="405" t="s">
        <v>3785</v>
      </c>
      <c r="D1034" s="563" t="s">
        <v>3110</v>
      </c>
      <c r="E1034" s="586">
        <v>662610.46</v>
      </c>
      <c r="F1034" s="563" t="s">
        <v>4877</v>
      </c>
      <c r="G1034" s="573" t="s">
        <v>19</v>
      </c>
      <c r="H1034" s="573" t="s">
        <v>49</v>
      </c>
      <c r="I1034" s="573" t="s">
        <v>4134</v>
      </c>
      <c r="J1034" s="573">
        <v>44517</v>
      </c>
      <c r="K1034" s="563" t="s">
        <v>3842</v>
      </c>
      <c r="L1034" s="572"/>
      <c r="M1034" s="572"/>
      <c r="N1034" s="572"/>
      <c r="O1034" s="572"/>
      <c r="P1034" s="572"/>
      <c r="Q1034" s="572"/>
      <c r="R1034" s="572"/>
      <c r="S1034" s="572"/>
      <c r="T1034" s="572"/>
      <c r="U1034" s="572"/>
      <c r="V1034" s="572"/>
      <c r="W1034" s="572"/>
      <c r="X1034" s="572"/>
      <c r="Y1034" s="572"/>
      <c r="Z1034" s="572"/>
      <c r="AA1034" s="572"/>
      <c r="AB1034" s="572"/>
      <c r="AC1034" s="572"/>
      <c r="AD1034" s="572"/>
      <c r="AE1034" s="572"/>
      <c r="AF1034" s="572"/>
      <c r="AG1034" s="572"/>
      <c r="AH1034" s="572"/>
      <c r="AI1034" s="572"/>
      <c r="AJ1034" s="572"/>
      <c r="AK1034" s="572"/>
      <c r="AL1034" s="572"/>
      <c r="AM1034" s="572"/>
      <c r="AN1034" s="572"/>
      <c r="AO1034" s="572"/>
      <c r="AP1034" s="572"/>
      <c r="AQ1034" s="572"/>
      <c r="AR1034" s="572"/>
      <c r="AS1034" s="572"/>
      <c r="AT1034" s="572"/>
      <c r="AU1034" s="572"/>
    </row>
    <row r="1035" spans="1:47" ht="15.75" customHeight="1">
      <c r="A1035" s="577">
        <v>44816</v>
      </c>
      <c r="B1035" s="605" t="s">
        <v>6811</v>
      </c>
      <c r="C1035" s="405" t="s">
        <v>3785</v>
      </c>
      <c r="D1035" s="563" t="s">
        <v>6341</v>
      </c>
      <c r="E1035" s="586">
        <v>17000</v>
      </c>
      <c r="F1035" s="563" t="s">
        <v>5298</v>
      </c>
      <c r="G1035" s="573" t="s">
        <v>64</v>
      </c>
      <c r="H1035" s="573" t="s">
        <v>20</v>
      </c>
      <c r="I1035" s="573" t="s">
        <v>73</v>
      </c>
      <c r="J1035" s="573">
        <v>44147</v>
      </c>
      <c r="K1035" s="573" t="s">
        <v>3809</v>
      </c>
      <c r="L1035" s="572"/>
      <c r="M1035" s="572"/>
      <c r="N1035" s="572"/>
      <c r="O1035" s="572"/>
      <c r="P1035" s="572"/>
      <c r="Q1035" s="572"/>
      <c r="R1035" s="572"/>
      <c r="S1035" s="572"/>
      <c r="T1035" s="572"/>
      <c r="U1035" s="572"/>
      <c r="V1035" s="572"/>
      <c r="W1035" s="572"/>
      <c r="X1035" s="572"/>
      <c r="Y1035" s="572"/>
      <c r="Z1035" s="572"/>
      <c r="AA1035" s="572"/>
      <c r="AB1035" s="572"/>
      <c r="AC1035" s="572"/>
      <c r="AD1035" s="572"/>
      <c r="AE1035" s="572"/>
      <c r="AF1035" s="572"/>
      <c r="AG1035" s="572"/>
      <c r="AH1035" s="572"/>
      <c r="AI1035" s="572"/>
      <c r="AJ1035" s="572"/>
      <c r="AK1035" s="572"/>
      <c r="AL1035" s="572"/>
      <c r="AM1035" s="572"/>
      <c r="AN1035" s="572"/>
      <c r="AO1035" s="572"/>
      <c r="AP1035" s="572"/>
      <c r="AQ1035" s="572"/>
      <c r="AR1035" s="572"/>
      <c r="AS1035" s="572"/>
      <c r="AT1035" s="572"/>
      <c r="AU1035" s="572"/>
    </row>
    <row r="1036" spans="1:47" ht="15.75" customHeight="1">
      <c r="A1036" s="577">
        <v>44817</v>
      </c>
      <c r="B1036" s="605" t="s">
        <v>6753</v>
      </c>
      <c r="C1036" s="405" t="s">
        <v>3785</v>
      </c>
      <c r="D1036" s="563" t="s">
        <v>6341</v>
      </c>
      <c r="E1036" s="586">
        <v>20000</v>
      </c>
      <c r="F1036" s="563" t="s">
        <v>1442</v>
      </c>
      <c r="G1036" s="573" t="s">
        <v>64</v>
      </c>
      <c r="H1036" s="573" t="s">
        <v>20</v>
      </c>
      <c r="I1036" s="573" t="s">
        <v>3634</v>
      </c>
      <c r="J1036" s="573">
        <v>44138</v>
      </c>
      <c r="K1036" s="573" t="s">
        <v>3805</v>
      </c>
      <c r="L1036" s="572"/>
      <c r="M1036" s="572"/>
      <c r="N1036" s="572"/>
      <c r="O1036" s="572"/>
      <c r="P1036" s="572"/>
      <c r="Q1036" s="572"/>
      <c r="R1036" s="572"/>
      <c r="S1036" s="572"/>
      <c r="T1036" s="572"/>
      <c r="U1036" s="572"/>
      <c r="V1036" s="572"/>
      <c r="W1036" s="572"/>
      <c r="X1036" s="572"/>
      <c r="Y1036" s="572"/>
      <c r="Z1036" s="572"/>
      <c r="AA1036" s="572"/>
      <c r="AB1036" s="572"/>
      <c r="AC1036" s="572"/>
      <c r="AD1036" s="572"/>
      <c r="AE1036" s="572"/>
      <c r="AF1036" s="572"/>
      <c r="AG1036" s="572"/>
      <c r="AH1036" s="572"/>
      <c r="AI1036" s="572"/>
      <c r="AJ1036" s="572"/>
      <c r="AK1036" s="572"/>
      <c r="AL1036" s="572"/>
      <c r="AM1036" s="572"/>
      <c r="AN1036" s="572"/>
      <c r="AO1036" s="572"/>
      <c r="AP1036" s="572"/>
      <c r="AQ1036" s="572"/>
      <c r="AR1036" s="572"/>
      <c r="AS1036" s="572"/>
      <c r="AT1036" s="572"/>
      <c r="AU1036" s="572"/>
    </row>
    <row r="1037" spans="1:47" ht="15.75" customHeight="1">
      <c r="A1037" s="577">
        <v>44817</v>
      </c>
      <c r="B1037" s="605" t="s">
        <v>6652</v>
      </c>
      <c r="C1037" s="405" t="s">
        <v>3785</v>
      </c>
      <c r="D1037" s="563" t="s">
        <v>6341</v>
      </c>
      <c r="E1037" s="586">
        <v>25000</v>
      </c>
      <c r="F1037" s="563" t="s">
        <v>3951</v>
      </c>
      <c r="G1037" s="573" t="s">
        <v>19</v>
      </c>
      <c r="H1037" s="573" t="s">
        <v>20</v>
      </c>
      <c r="I1037" s="573" t="s">
        <v>3952</v>
      </c>
      <c r="J1037" s="573">
        <v>44061</v>
      </c>
      <c r="K1037" s="573" t="s">
        <v>3795</v>
      </c>
      <c r="L1037" s="572"/>
      <c r="M1037" s="572"/>
      <c r="N1037" s="572"/>
      <c r="O1037" s="572"/>
      <c r="P1037" s="572"/>
      <c r="Q1037" s="572"/>
      <c r="R1037" s="572"/>
      <c r="S1037" s="572"/>
      <c r="T1037" s="572"/>
      <c r="U1037" s="572"/>
      <c r="V1037" s="572"/>
      <c r="W1037" s="572"/>
      <c r="X1037" s="572"/>
      <c r="Y1037" s="572"/>
      <c r="Z1037" s="572"/>
      <c r="AA1037" s="572"/>
      <c r="AB1037" s="572"/>
      <c r="AC1037" s="572"/>
      <c r="AD1037" s="572"/>
      <c r="AE1037" s="572"/>
      <c r="AF1037" s="572"/>
      <c r="AG1037" s="572"/>
      <c r="AH1037" s="572"/>
      <c r="AI1037" s="572"/>
      <c r="AJ1037" s="572"/>
      <c r="AK1037" s="572"/>
      <c r="AL1037" s="572"/>
      <c r="AM1037" s="572"/>
      <c r="AN1037" s="572"/>
      <c r="AO1037" s="572"/>
      <c r="AP1037" s="572"/>
      <c r="AQ1037" s="572"/>
      <c r="AR1037" s="572"/>
      <c r="AS1037" s="572"/>
      <c r="AT1037" s="572"/>
      <c r="AU1037" s="572"/>
    </row>
    <row r="1038" spans="1:47" ht="15.75" customHeight="1">
      <c r="A1038" s="577">
        <v>44818</v>
      </c>
      <c r="B1038" s="605" t="s">
        <v>6812</v>
      </c>
      <c r="C1038" s="405" t="s">
        <v>3785</v>
      </c>
      <c r="D1038" s="563" t="s">
        <v>3110</v>
      </c>
      <c r="E1038" s="586">
        <v>384533.87</v>
      </c>
      <c r="F1038" s="563" t="s">
        <v>5280</v>
      </c>
      <c r="G1038" s="573" t="s">
        <v>19</v>
      </c>
      <c r="H1038" s="573" t="s">
        <v>49</v>
      </c>
      <c r="I1038" s="573" t="s">
        <v>4134</v>
      </c>
      <c r="J1038" s="573">
        <v>44421</v>
      </c>
      <c r="K1038" s="573" t="s">
        <v>3805</v>
      </c>
      <c r="L1038" s="572"/>
      <c r="M1038" s="572"/>
      <c r="N1038" s="572"/>
      <c r="O1038" s="572"/>
      <c r="P1038" s="572"/>
      <c r="Q1038" s="572"/>
      <c r="R1038" s="572"/>
      <c r="S1038" s="572"/>
      <c r="T1038" s="572"/>
      <c r="U1038" s="572"/>
      <c r="V1038" s="572"/>
      <c r="W1038" s="572"/>
      <c r="X1038" s="572"/>
      <c r="Y1038" s="572"/>
      <c r="Z1038" s="572"/>
      <c r="AA1038" s="572"/>
      <c r="AB1038" s="572"/>
      <c r="AC1038" s="572"/>
      <c r="AD1038" s="572"/>
      <c r="AE1038" s="572"/>
      <c r="AF1038" s="572"/>
      <c r="AG1038" s="572"/>
      <c r="AH1038" s="572"/>
      <c r="AI1038" s="572"/>
      <c r="AJ1038" s="572"/>
      <c r="AK1038" s="572"/>
      <c r="AL1038" s="572"/>
      <c r="AM1038" s="572"/>
      <c r="AN1038" s="572"/>
      <c r="AO1038" s="572"/>
      <c r="AP1038" s="572"/>
      <c r="AQ1038" s="572"/>
      <c r="AR1038" s="572"/>
      <c r="AS1038" s="572"/>
      <c r="AT1038" s="572"/>
      <c r="AU1038" s="572"/>
    </row>
    <row r="1039" spans="1:47" ht="15.75" customHeight="1">
      <c r="A1039" s="577">
        <v>44819</v>
      </c>
      <c r="B1039" s="605" t="s">
        <v>6663</v>
      </c>
      <c r="C1039" s="405" t="s">
        <v>3785</v>
      </c>
      <c r="D1039" s="563" t="s">
        <v>6341</v>
      </c>
      <c r="E1039" s="586">
        <v>30000</v>
      </c>
      <c r="F1039" s="563" t="s">
        <v>1743</v>
      </c>
      <c r="G1039" s="573" t="s">
        <v>19</v>
      </c>
      <c r="H1039" s="573" t="s">
        <v>20</v>
      </c>
      <c r="I1039" s="573" t="s">
        <v>6330</v>
      </c>
      <c r="J1039" s="573">
        <v>44594</v>
      </c>
      <c r="K1039" s="573" t="s">
        <v>3802</v>
      </c>
      <c r="L1039" s="572"/>
      <c r="M1039" s="572"/>
      <c r="N1039" s="572"/>
      <c r="O1039" s="572"/>
      <c r="P1039" s="572"/>
      <c r="Q1039" s="572"/>
      <c r="R1039" s="572"/>
      <c r="S1039" s="572"/>
      <c r="T1039" s="572"/>
      <c r="U1039" s="572"/>
      <c r="V1039" s="572"/>
      <c r="W1039" s="572"/>
      <c r="X1039" s="572"/>
      <c r="Y1039" s="572"/>
      <c r="Z1039" s="572"/>
      <c r="AA1039" s="572"/>
      <c r="AB1039" s="572"/>
      <c r="AC1039" s="572"/>
      <c r="AD1039" s="572"/>
      <c r="AE1039" s="572"/>
      <c r="AF1039" s="572"/>
      <c r="AG1039" s="572"/>
      <c r="AH1039" s="572"/>
      <c r="AI1039" s="572"/>
      <c r="AJ1039" s="572"/>
      <c r="AK1039" s="572"/>
      <c r="AL1039" s="572"/>
      <c r="AM1039" s="572"/>
      <c r="AN1039" s="572"/>
      <c r="AO1039" s="572"/>
      <c r="AP1039" s="572"/>
      <c r="AQ1039" s="572"/>
      <c r="AR1039" s="572"/>
      <c r="AS1039" s="572"/>
      <c r="AT1039" s="572"/>
      <c r="AU1039" s="572"/>
    </row>
    <row r="1040" spans="1:47" ht="15.75" customHeight="1">
      <c r="A1040" s="577">
        <v>44820</v>
      </c>
      <c r="B1040" s="605" t="s">
        <v>6813</v>
      </c>
      <c r="C1040" s="405" t="s">
        <v>3785</v>
      </c>
      <c r="D1040" s="563" t="s">
        <v>928</v>
      </c>
      <c r="E1040" s="586">
        <v>190943.67</v>
      </c>
      <c r="F1040" s="563" t="s">
        <v>6814</v>
      </c>
      <c r="G1040" s="573" t="s">
        <v>2923</v>
      </c>
      <c r="H1040" s="573" t="s">
        <v>20</v>
      </c>
      <c r="I1040" s="573" t="s">
        <v>2923</v>
      </c>
      <c r="J1040" s="573">
        <v>44361</v>
      </c>
      <c r="K1040" s="573" t="s">
        <v>3805</v>
      </c>
      <c r="L1040" s="572"/>
      <c r="M1040" s="572"/>
      <c r="N1040" s="572"/>
      <c r="O1040" s="572"/>
      <c r="P1040" s="572"/>
      <c r="Q1040" s="572"/>
      <c r="R1040" s="572"/>
      <c r="S1040" s="572"/>
      <c r="T1040" s="572"/>
      <c r="U1040" s="572"/>
      <c r="V1040" s="572"/>
      <c r="W1040" s="572"/>
      <c r="X1040" s="572"/>
      <c r="Y1040" s="572"/>
      <c r="Z1040" s="572"/>
      <c r="AA1040" s="572"/>
      <c r="AB1040" s="572"/>
      <c r="AC1040" s="572"/>
      <c r="AD1040" s="572"/>
      <c r="AE1040" s="572"/>
      <c r="AF1040" s="572"/>
      <c r="AG1040" s="572"/>
      <c r="AH1040" s="572"/>
      <c r="AI1040" s="572"/>
      <c r="AJ1040" s="572"/>
      <c r="AK1040" s="572"/>
      <c r="AL1040" s="572"/>
      <c r="AM1040" s="572"/>
      <c r="AN1040" s="572"/>
      <c r="AO1040" s="572"/>
      <c r="AP1040" s="572"/>
      <c r="AQ1040" s="572"/>
      <c r="AR1040" s="572"/>
      <c r="AS1040" s="572"/>
      <c r="AT1040" s="572"/>
      <c r="AU1040" s="572"/>
    </row>
    <row r="1041" spans="1:47" ht="15.75" customHeight="1">
      <c r="A1041" s="577">
        <v>44820</v>
      </c>
      <c r="B1041" s="605" t="s">
        <v>6815</v>
      </c>
      <c r="C1041" s="405" t="s">
        <v>3785</v>
      </c>
      <c r="D1041" s="563" t="s">
        <v>3110</v>
      </c>
      <c r="E1041" s="586">
        <v>32923.57</v>
      </c>
      <c r="F1041" s="563" t="s">
        <v>5017</v>
      </c>
      <c r="G1041" s="573" t="s">
        <v>19</v>
      </c>
      <c r="H1041" s="573" t="s">
        <v>49</v>
      </c>
      <c r="I1041" s="573" t="s">
        <v>5018</v>
      </c>
      <c r="J1041" s="573">
        <v>44623</v>
      </c>
      <c r="K1041" s="563" t="s">
        <v>6816</v>
      </c>
      <c r="L1041" s="572"/>
      <c r="M1041" s="572"/>
      <c r="N1041" s="572"/>
      <c r="O1041" s="572"/>
      <c r="P1041" s="572"/>
      <c r="Q1041" s="572"/>
      <c r="R1041" s="572"/>
      <c r="S1041" s="572"/>
      <c r="T1041" s="572"/>
      <c r="U1041" s="572"/>
      <c r="V1041" s="572"/>
      <c r="W1041" s="572"/>
      <c r="X1041" s="572"/>
      <c r="Y1041" s="572"/>
      <c r="Z1041" s="572"/>
      <c r="AA1041" s="572"/>
      <c r="AB1041" s="572"/>
      <c r="AC1041" s="572"/>
      <c r="AD1041" s="572"/>
      <c r="AE1041" s="572"/>
      <c r="AF1041" s="572"/>
      <c r="AG1041" s="572"/>
      <c r="AH1041" s="572"/>
      <c r="AI1041" s="572"/>
      <c r="AJ1041" s="572"/>
      <c r="AK1041" s="572"/>
      <c r="AL1041" s="572"/>
      <c r="AM1041" s="572"/>
      <c r="AN1041" s="572"/>
      <c r="AO1041" s="572"/>
      <c r="AP1041" s="572"/>
      <c r="AQ1041" s="572"/>
      <c r="AR1041" s="572"/>
      <c r="AS1041" s="572"/>
      <c r="AT1041" s="572"/>
      <c r="AU1041" s="572"/>
    </row>
    <row r="1042" spans="1:47" ht="15.75" customHeight="1">
      <c r="A1042" s="577">
        <v>44824</v>
      </c>
      <c r="B1042" s="605" t="s">
        <v>6804</v>
      </c>
      <c r="C1042" s="405" t="s">
        <v>3785</v>
      </c>
      <c r="D1042" s="563" t="s">
        <v>6341</v>
      </c>
      <c r="E1042" s="586">
        <v>10000</v>
      </c>
      <c r="F1042" s="563" t="s">
        <v>4083</v>
      </c>
      <c r="G1042" s="573" t="s">
        <v>19</v>
      </c>
      <c r="H1042" s="573" t="s">
        <v>49</v>
      </c>
      <c r="I1042" s="573" t="s">
        <v>50</v>
      </c>
      <c r="J1042" s="573">
        <v>44762</v>
      </c>
      <c r="K1042" s="573" t="s">
        <v>3805</v>
      </c>
      <c r="L1042" s="572"/>
      <c r="M1042" s="572"/>
      <c r="N1042" s="572"/>
      <c r="O1042" s="572"/>
      <c r="P1042" s="572"/>
      <c r="Q1042" s="572"/>
      <c r="R1042" s="572"/>
      <c r="S1042" s="572"/>
      <c r="T1042" s="572"/>
      <c r="U1042" s="572"/>
      <c r="V1042" s="572"/>
      <c r="W1042" s="572"/>
      <c r="X1042" s="572"/>
      <c r="Y1042" s="572"/>
      <c r="Z1042" s="572"/>
      <c r="AA1042" s="572"/>
      <c r="AB1042" s="572"/>
      <c r="AC1042" s="572"/>
      <c r="AD1042" s="572"/>
      <c r="AE1042" s="572"/>
      <c r="AF1042" s="572"/>
      <c r="AG1042" s="572"/>
      <c r="AH1042" s="572"/>
      <c r="AI1042" s="572"/>
      <c r="AJ1042" s="572"/>
      <c r="AK1042" s="572"/>
      <c r="AL1042" s="572"/>
      <c r="AM1042" s="572"/>
      <c r="AN1042" s="572"/>
      <c r="AO1042" s="572"/>
      <c r="AP1042" s="572"/>
      <c r="AQ1042" s="572"/>
      <c r="AR1042" s="572"/>
      <c r="AS1042" s="572"/>
      <c r="AT1042" s="572"/>
      <c r="AU1042" s="572"/>
    </row>
    <row r="1043" spans="1:47" ht="15.75" customHeight="1">
      <c r="A1043" s="577">
        <v>44824</v>
      </c>
      <c r="B1043" s="605" t="s">
        <v>6817</v>
      </c>
      <c r="C1043" s="405" t="s">
        <v>3785</v>
      </c>
      <c r="D1043" s="563" t="s">
        <v>6341</v>
      </c>
      <c r="E1043" s="586">
        <v>96196</v>
      </c>
      <c r="F1043" s="563" t="s">
        <v>4512</v>
      </c>
      <c r="G1043" s="573" t="s">
        <v>19</v>
      </c>
      <c r="H1043" s="573" t="s">
        <v>20</v>
      </c>
      <c r="I1043" s="573" t="s">
        <v>4128</v>
      </c>
      <c r="J1043" s="573">
        <v>44218</v>
      </c>
      <c r="K1043" s="573" t="s">
        <v>3789</v>
      </c>
      <c r="L1043" s="572"/>
      <c r="M1043" s="572"/>
      <c r="N1043" s="572"/>
      <c r="O1043" s="572"/>
      <c r="P1043" s="572"/>
      <c r="Q1043" s="572"/>
      <c r="R1043" s="572"/>
      <c r="S1043" s="572"/>
      <c r="T1043" s="572"/>
      <c r="U1043" s="572"/>
      <c r="V1043" s="572"/>
      <c r="W1043" s="572"/>
      <c r="X1043" s="572"/>
      <c r="Y1043" s="572"/>
      <c r="Z1043" s="572"/>
      <c r="AA1043" s="572"/>
      <c r="AB1043" s="572"/>
      <c r="AC1043" s="572"/>
      <c r="AD1043" s="572"/>
      <c r="AE1043" s="572"/>
      <c r="AF1043" s="572"/>
      <c r="AG1043" s="572"/>
      <c r="AH1043" s="572"/>
      <c r="AI1043" s="572"/>
      <c r="AJ1043" s="572"/>
      <c r="AK1043" s="572"/>
      <c r="AL1043" s="572"/>
      <c r="AM1043" s="572"/>
      <c r="AN1043" s="572"/>
      <c r="AO1043" s="572"/>
      <c r="AP1043" s="572"/>
      <c r="AQ1043" s="572"/>
      <c r="AR1043" s="572"/>
      <c r="AS1043" s="572"/>
      <c r="AT1043" s="572"/>
      <c r="AU1043" s="572"/>
    </row>
    <row r="1044" spans="1:47" ht="15.75" customHeight="1">
      <c r="A1044" s="577">
        <v>44825</v>
      </c>
      <c r="B1044" s="605">
        <v>5663320</v>
      </c>
      <c r="C1044" s="405" t="s">
        <v>3785</v>
      </c>
      <c r="D1044" s="563" t="s">
        <v>6341</v>
      </c>
      <c r="E1044" s="586">
        <v>21000</v>
      </c>
      <c r="F1044" s="563" t="s">
        <v>4935</v>
      </c>
      <c r="G1044" s="573" t="s">
        <v>19</v>
      </c>
      <c r="H1044" s="573" t="s">
        <v>20</v>
      </c>
      <c r="I1044" s="573" t="s">
        <v>21</v>
      </c>
      <c r="J1044" s="573">
        <v>44385</v>
      </c>
      <c r="K1044" s="573" t="s">
        <v>3842</v>
      </c>
      <c r="L1044" s="572"/>
      <c r="M1044" s="572"/>
      <c r="N1044" s="572"/>
      <c r="O1044" s="572"/>
      <c r="P1044" s="572"/>
      <c r="Q1044" s="572"/>
      <c r="R1044" s="572"/>
      <c r="S1044" s="572"/>
      <c r="T1044" s="572"/>
      <c r="U1044" s="572"/>
      <c r="V1044" s="572"/>
      <c r="W1044" s="572"/>
      <c r="X1044" s="572"/>
      <c r="Y1044" s="572"/>
      <c r="Z1044" s="572"/>
      <c r="AA1044" s="572"/>
      <c r="AB1044" s="572"/>
      <c r="AC1044" s="572"/>
      <c r="AD1044" s="572"/>
      <c r="AE1044" s="572"/>
      <c r="AF1044" s="572"/>
      <c r="AG1044" s="572"/>
      <c r="AH1044" s="572"/>
      <c r="AI1044" s="572"/>
      <c r="AJ1044" s="572"/>
      <c r="AK1044" s="572"/>
      <c r="AL1044" s="572"/>
      <c r="AM1044" s="572"/>
      <c r="AN1044" s="572"/>
      <c r="AO1044" s="572"/>
      <c r="AP1044" s="572"/>
      <c r="AQ1044" s="572"/>
      <c r="AR1044" s="572"/>
      <c r="AS1044" s="572"/>
      <c r="AT1044" s="572"/>
      <c r="AU1044" s="572"/>
    </row>
    <row r="1045" spans="1:47" ht="15.75" customHeight="1">
      <c r="A1045" s="577">
        <v>44826</v>
      </c>
      <c r="B1045" s="605" t="s">
        <v>6818</v>
      </c>
      <c r="C1045" s="405" t="s">
        <v>3785</v>
      </c>
      <c r="D1045" s="563" t="s">
        <v>3110</v>
      </c>
      <c r="E1045" s="586" t="s">
        <v>3147</v>
      </c>
      <c r="F1045" s="563" t="s">
        <v>6819</v>
      </c>
      <c r="G1045" s="573" t="s">
        <v>19</v>
      </c>
      <c r="H1045" s="573" t="s">
        <v>34</v>
      </c>
      <c r="I1045" s="573" t="s">
        <v>262</v>
      </c>
      <c r="J1045" s="573">
        <v>44824</v>
      </c>
      <c r="K1045" s="573" t="s">
        <v>3809</v>
      </c>
      <c r="L1045" s="572"/>
      <c r="M1045" s="572"/>
      <c r="N1045" s="572"/>
      <c r="O1045" s="572"/>
      <c r="P1045" s="572"/>
      <c r="Q1045" s="572"/>
      <c r="R1045" s="572"/>
      <c r="S1045" s="572"/>
      <c r="T1045" s="572"/>
      <c r="U1045" s="572"/>
      <c r="V1045" s="572"/>
      <c r="W1045" s="572"/>
      <c r="X1045" s="572"/>
      <c r="Y1045" s="572"/>
      <c r="Z1045" s="572"/>
      <c r="AA1045" s="572"/>
      <c r="AB1045" s="572"/>
      <c r="AC1045" s="572"/>
      <c r="AD1045" s="572"/>
      <c r="AE1045" s="572"/>
      <c r="AF1045" s="572"/>
      <c r="AG1045" s="572"/>
      <c r="AH1045" s="572"/>
      <c r="AI1045" s="572"/>
      <c r="AJ1045" s="572"/>
      <c r="AK1045" s="572"/>
      <c r="AL1045" s="572"/>
      <c r="AM1045" s="572"/>
      <c r="AN1045" s="572"/>
      <c r="AO1045" s="572"/>
      <c r="AP1045" s="572"/>
      <c r="AQ1045" s="572"/>
      <c r="AR1045" s="572"/>
      <c r="AS1045" s="572"/>
      <c r="AT1045" s="572"/>
      <c r="AU1045" s="572"/>
    </row>
    <row r="1046" spans="1:47" ht="15.75" customHeight="1">
      <c r="A1046" s="577">
        <v>44827</v>
      </c>
      <c r="B1046" s="605" t="s">
        <v>6820</v>
      </c>
      <c r="C1046" s="405" t="s">
        <v>3785</v>
      </c>
      <c r="D1046" s="563" t="s">
        <v>6341</v>
      </c>
      <c r="E1046" s="586">
        <v>60000</v>
      </c>
      <c r="F1046" s="563" t="s">
        <v>3837</v>
      </c>
      <c r="G1046" s="573" t="s">
        <v>19</v>
      </c>
      <c r="H1046" s="573" t="s">
        <v>20</v>
      </c>
      <c r="I1046" s="573" t="s">
        <v>21</v>
      </c>
      <c r="J1046" s="573">
        <v>44652</v>
      </c>
      <c r="K1046" s="573" t="s">
        <v>3802</v>
      </c>
      <c r="L1046" s="572"/>
      <c r="M1046" s="572"/>
      <c r="N1046" s="572"/>
      <c r="O1046" s="572"/>
      <c r="P1046" s="572"/>
      <c r="Q1046" s="572"/>
      <c r="R1046" s="572"/>
      <c r="S1046" s="572"/>
      <c r="T1046" s="572"/>
      <c r="U1046" s="572"/>
      <c r="V1046" s="572"/>
      <c r="W1046" s="572"/>
      <c r="X1046" s="572"/>
      <c r="Y1046" s="572"/>
      <c r="Z1046" s="572"/>
      <c r="AA1046" s="572"/>
      <c r="AB1046" s="572"/>
      <c r="AC1046" s="572"/>
      <c r="AD1046" s="572"/>
      <c r="AE1046" s="572"/>
      <c r="AF1046" s="572"/>
      <c r="AG1046" s="572"/>
      <c r="AH1046" s="572"/>
      <c r="AI1046" s="572"/>
      <c r="AJ1046" s="572"/>
      <c r="AK1046" s="572"/>
      <c r="AL1046" s="572"/>
      <c r="AM1046" s="572"/>
      <c r="AN1046" s="572"/>
      <c r="AO1046" s="572"/>
      <c r="AP1046" s="572"/>
      <c r="AQ1046" s="572"/>
      <c r="AR1046" s="572"/>
      <c r="AS1046" s="572"/>
      <c r="AT1046" s="572"/>
      <c r="AU1046" s="572"/>
    </row>
    <row r="1047" spans="1:47" ht="15.75" customHeight="1">
      <c r="A1047" s="577">
        <v>44827</v>
      </c>
      <c r="B1047" s="605" t="s">
        <v>6800</v>
      </c>
      <c r="C1047" s="405" t="s">
        <v>3785</v>
      </c>
      <c r="D1047" s="563" t="s">
        <v>6341</v>
      </c>
      <c r="E1047" s="586">
        <v>18000</v>
      </c>
      <c r="F1047" s="563" t="s">
        <v>4699</v>
      </c>
      <c r="G1047" s="573" t="s">
        <v>19</v>
      </c>
      <c r="H1047" s="573" t="s">
        <v>49</v>
      </c>
      <c r="I1047" s="573" t="s">
        <v>6801</v>
      </c>
      <c r="J1047" s="573">
        <v>44776</v>
      </c>
      <c r="K1047" s="573" t="s">
        <v>3809</v>
      </c>
      <c r="L1047" s="572"/>
      <c r="M1047" s="572"/>
      <c r="N1047" s="572"/>
      <c r="O1047" s="572"/>
      <c r="P1047" s="572"/>
      <c r="Q1047" s="572"/>
      <c r="R1047" s="572"/>
      <c r="S1047" s="572"/>
      <c r="T1047" s="572"/>
      <c r="U1047" s="572"/>
      <c r="V1047" s="572"/>
      <c r="W1047" s="572"/>
      <c r="X1047" s="572"/>
      <c r="Y1047" s="572"/>
      <c r="Z1047" s="572"/>
      <c r="AA1047" s="572"/>
      <c r="AB1047" s="572"/>
      <c r="AC1047" s="572"/>
      <c r="AD1047" s="572"/>
      <c r="AE1047" s="572"/>
      <c r="AF1047" s="572"/>
      <c r="AG1047" s="572"/>
      <c r="AH1047" s="572"/>
      <c r="AI1047" s="572"/>
      <c r="AJ1047" s="572"/>
      <c r="AK1047" s="572"/>
      <c r="AL1047" s="572"/>
      <c r="AM1047" s="572"/>
      <c r="AN1047" s="572"/>
      <c r="AO1047" s="572"/>
      <c r="AP1047" s="572"/>
      <c r="AQ1047" s="572"/>
      <c r="AR1047" s="572"/>
      <c r="AS1047" s="572"/>
      <c r="AT1047" s="572"/>
      <c r="AU1047" s="572"/>
    </row>
    <row r="1048" spans="1:47" ht="15.75" customHeight="1">
      <c r="A1048" s="577">
        <v>44830</v>
      </c>
      <c r="B1048" s="605" t="s">
        <v>6821</v>
      </c>
      <c r="C1048" s="405" t="s">
        <v>3785</v>
      </c>
      <c r="D1048" s="563" t="s">
        <v>3110</v>
      </c>
      <c r="E1048" s="586">
        <v>156696.82</v>
      </c>
      <c r="F1048" s="563" t="s">
        <v>6822</v>
      </c>
      <c r="G1048" s="573" t="s">
        <v>19</v>
      </c>
      <c r="H1048" s="573" t="s">
        <v>49</v>
      </c>
      <c r="I1048" s="573" t="s">
        <v>4134</v>
      </c>
      <c r="J1048" s="573">
        <v>44461</v>
      </c>
      <c r="K1048" s="573" t="s">
        <v>3802</v>
      </c>
      <c r="L1048" s="572"/>
      <c r="M1048" s="572"/>
      <c r="N1048" s="572"/>
      <c r="O1048" s="572"/>
      <c r="P1048" s="572"/>
      <c r="Q1048" s="572"/>
      <c r="R1048" s="572"/>
      <c r="S1048" s="572"/>
      <c r="T1048" s="572"/>
      <c r="U1048" s="572"/>
      <c r="V1048" s="572"/>
      <c r="W1048" s="572"/>
      <c r="X1048" s="572"/>
      <c r="Y1048" s="572"/>
      <c r="Z1048" s="572"/>
      <c r="AA1048" s="572"/>
      <c r="AB1048" s="572"/>
      <c r="AC1048" s="572"/>
      <c r="AD1048" s="572"/>
      <c r="AE1048" s="572"/>
      <c r="AF1048" s="572"/>
      <c r="AG1048" s="572"/>
      <c r="AH1048" s="572"/>
      <c r="AI1048" s="572"/>
      <c r="AJ1048" s="572"/>
      <c r="AK1048" s="572"/>
      <c r="AL1048" s="572"/>
      <c r="AM1048" s="572"/>
      <c r="AN1048" s="572"/>
      <c r="AO1048" s="572"/>
      <c r="AP1048" s="572"/>
      <c r="AQ1048" s="572"/>
      <c r="AR1048" s="572"/>
      <c r="AS1048" s="572"/>
      <c r="AT1048" s="572"/>
      <c r="AU1048" s="572"/>
    </row>
    <row r="1049" spans="1:47" ht="15.75" customHeight="1">
      <c r="A1049" s="577">
        <v>44837</v>
      </c>
      <c r="B1049" s="605" t="s">
        <v>6823</v>
      </c>
      <c r="C1049" s="405" t="s">
        <v>3785</v>
      </c>
      <c r="D1049" s="563" t="s">
        <v>6341</v>
      </c>
      <c r="E1049" s="586">
        <v>4800</v>
      </c>
      <c r="F1049" s="563" t="s">
        <v>641</v>
      </c>
      <c r="G1049" s="573" t="s">
        <v>19</v>
      </c>
      <c r="H1049" s="573" t="s">
        <v>20</v>
      </c>
      <c r="I1049" s="573" t="s">
        <v>199</v>
      </c>
      <c r="J1049" s="573">
        <v>44819</v>
      </c>
      <c r="K1049" s="573" t="s">
        <v>3805</v>
      </c>
      <c r="L1049" s="572"/>
      <c r="M1049" s="572"/>
      <c r="N1049" s="572"/>
      <c r="O1049" s="572"/>
      <c r="P1049" s="572"/>
      <c r="Q1049" s="572"/>
      <c r="R1049" s="572"/>
      <c r="S1049" s="572"/>
      <c r="T1049" s="572"/>
      <c r="U1049" s="572"/>
      <c r="V1049" s="572"/>
      <c r="W1049" s="572"/>
      <c r="X1049" s="572"/>
      <c r="Y1049" s="572"/>
      <c r="Z1049" s="572"/>
      <c r="AA1049" s="572"/>
      <c r="AB1049" s="572"/>
      <c r="AC1049" s="572"/>
      <c r="AD1049" s="572"/>
      <c r="AE1049" s="572"/>
      <c r="AF1049" s="572"/>
      <c r="AG1049" s="572"/>
      <c r="AH1049" s="572"/>
      <c r="AI1049" s="572"/>
      <c r="AJ1049" s="572"/>
      <c r="AK1049" s="572"/>
      <c r="AL1049" s="572"/>
      <c r="AM1049" s="572"/>
      <c r="AN1049" s="572"/>
      <c r="AO1049" s="572"/>
      <c r="AP1049" s="572"/>
      <c r="AQ1049" s="572"/>
      <c r="AR1049" s="572"/>
      <c r="AS1049" s="572"/>
      <c r="AT1049" s="572"/>
      <c r="AU1049" s="572"/>
    </row>
    <row r="1050" spans="1:47" ht="15.75" customHeight="1">
      <c r="A1050" s="577">
        <v>44837</v>
      </c>
      <c r="B1050" s="605" t="s">
        <v>6823</v>
      </c>
      <c r="C1050" s="405" t="s">
        <v>3785</v>
      </c>
      <c r="D1050" s="563" t="s">
        <v>6341</v>
      </c>
      <c r="E1050" s="586">
        <v>7477.76</v>
      </c>
      <c r="F1050" s="563" t="s">
        <v>641</v>
      </c>
      <c r="G1050" s="573" t="s">
        <v>19</v>
      </c>
      <c r="H1050" s="573" t="s">
        <v>20</v>
      </c>
      <c r="I1050" s="573" t="s">
        <v>199</v>
      </c>
      <c r="J1050" s="573">
        <v>44819</v>
      </c>
      <c r="K1050" s="573" t="s">
        <v>3805</v>
      </c>
      <c r="L1050" s="572"/>
      <c r="M1050" s="572"/>
      <c r="N1050" s="572"/>
      <c r="O1050" s="572"/>
      <c r="P1050" s="572"/>
      <c r="Q1050" s="572"/>
      <c r="R1050" s="572"/>
      <c r="S1050" s="572"/>
      <c r="T1050" s="572"/>
      <c r="U1050" s="572"/>
      <c r="V1050" s="572"/>
      <c r="W1050" s="572"/>
      <c r="X1050" s="572"/>
      <c r="Y1050" s="572"/>
      <c r="Z1050" s="572"/>
      <c r="AA1050" s="572"/>
      <c r="AB1050" s="572"/>
      <c r="AC1050" s="572"/>
      <c r="AD1050" s="572"/>
      <c r="AE1050" s="572"/>
      <c r="AF1050" s="572"/>
      <c r="AG1050" s="572"/>
      <c r="AH1050" s="572"/>
      <c r="AI1050" s="572"/>
      <c r="AJ1050" s="572"/>
      <c r="AK1050" s="572"/>
      <c r="AL1050" s="572"/>
      <c r="AM1050" s="572"/>
      <c r="AN1050" s="572"/>
      <c r="AO1050" s="572"/>
      <c r="AP1050" s="572"/>
      <c r="AQ1050" s="572"/>
      <c r="AR1050" s="572"/>
      <c r="AS1050" s="572"/>
      <c r="AT1050" s="572"/>
      <c r="AU1050" s="572"/>
    </row>
    <row r="1051" spans="1:47" ht="15.75" customHeight="1">
      <c r="A1051" s="577">
        <v>44837</v>
      </c>
      <c r="B1051" s="605" t="s">
        <v>6824</v>
      </c>
      <c r="C1051" s="405" t="s">
        <v>3785</v>
      </c>
      <c r="D1051" s="563" t="s">
        <v>6341</v>
      </c>
      <c r="E1051" s="586">
        <v>199998</v>
      </c>
      <c r="F1051" s="563" t="s">
        <v>4546</v>
      </c>
      <c r="G1051" s="573" t="s">
        <v>19</v>
      </c>
      <c r="H1051" s="573" t="s">
        <v>49</v>
      </c>
      <c r="I1051" s="573" t="s">
        <v>328</v>
      </c>
      <c r="J1051" s="573">
        <v>44739</v>
      </c>
      <c r="K1051" s="573" t="s">
        <v>3802</v>
      </c>
      <c r="L1051" s="572"/>
      <c r="M1051" s="572"/>
      <c r="N1051" s="572"/>
      <c r="O1051" s="572"/>
      <c r="P1051" s="572"/>
      <c r="Q1051" s="572"/>
      <c r="R1051" s="572"/>
      <c r="S1051" s="572"/>
      <c r="T1051" s="572"/>
      <c r="U1051" s="572"/>
      <c r="V1051" s="572"/>
      <c r="W1051" s="572"/>
      <c r="X1051" s="572"/>
      <c r="Y1051" s="572"/>
      <c r="Z1051" s="572"/>
      <c r="AA1051" s="572"/>
      <c r="AB1051" s="572"/>
      <c r="AC1051" s="572"/>
      <c r="AD1051" s="572"/>
      <c r="AE1051" s="572"/>
      <c r="AF1051" s="572"/>
      <c r="AG1051" s="572"/>
      <c r="AH1051" s="572"/>
      <c r="AI1051" s="572"/>
      <c r="AJ1051" s="572"/>
      <c r="AK1051" s="572"/>
      <c r="AL1051" s="572"/>
      <c r="AM1051" s="572"/>
      <c r="AN1051" s="572"/>
      <c r="AO1051" s="572"/>
      <c r="AP1051" s="572"/>
      <c r="AQ1051" s="572"/>
      <c r="AR1051" s="572"/>
      <c r="AS1051" s="572"/>
      <c r="AT1051" s="572"/>
      <c r="AU1051" s="572"/>
    </row>
    <row r="1052" spans="1:47" ht="15.75" customHeight="1">
      <c r="A1052" s="577">
        <v>44838</v>
      </c>
      <c r="B1052" s="605" t="s">
        <v>6825</v>
      </c>
      <c r="C1052" s="405" t="s">
        <v>3785</v>
      </c>
      <c r="D1052" s="563" t="s">
        <v>3110</v>
      </c>
      <c r="E1052" s="586">
        <v>104271.35</v>
      </c>
      <c r="F1052" s="563" t="s">
        <v>3910</v>
      </c>
      <c r="G1052" s="573" t="s">
        <v>19</v>
      </c>
      <c r="H1052" s="573" t="s">
        <v>49</v>
      </c>
      <c r="I1052" s="573" t="s">
        <v>328</v>
      </c>
      <c r="J1052" s="573">
        <v>44460</v>
      </c>
      <c r="K1052" s="573" t="s">
        <v>3911</v>
      </c>
      <c r="L1052" s="572"/>
      <c r="M1052" s="572"/>
      <c r="N1052" s="572"/>
      <c r="O1052" s="572"/>
      <c r="P1052" s="572"/>
      <c r="Q1052" s="572"/>
      <c r="R1052" s="572"/>
      <c r="S1052" s="572"/>
      <c r="T1052" s="572"/>
      <c r="U1052" s="572"/>
      <c r="V1052" s="572"/>
      <c r="W1052" s="572"/>
      <c r="X1052" s="572"/>
      <c r="Y1052" s="572"/>
      <c r="Z1052" s="572"/>
      <c r="AA1052" s="572"/>
      <c r="AB1052" s="572"/>
      <c r="AC1052" s="572"/>
      <c r="AD1052" s="572"/>
      <c r="AE1052" s="572"/>
      <c r="AF1052" s="572"/>
      <c r="AG1052" s="572"/>
      <c r="AH1052" s="572"/>
      <c r="AI1052" s="572"/>
      <c r="AJ1052" s="572"/>
      <c r="AK1052" s="572"/>
      <c r="AL1052" s="572"/>
      <c r="AM1052" s="572"/>
      <c r="AN1052" s="572"/>
      <c r="AO1052" s="572"/>
      <c r="AP1052" s="572"/>
      <c r="AQ1052" s="572"/>
      <c r="AR1052" s="572"/>
      <c r="AS1052" s="572"/>
      <c r="AT1052" s="572"/>
      <c r="AU1052" s="572"/>
    </row>
    <row r="1053" spans="1:47" ht="15.75" customHeight="1">
      <c r="A1053" s="577">
        <v>44839</v>
      </c>
      <c r="B1053" s="605" t="s">
        <v>6807</v>
      </c>
      <c r="C1053" s="405" t="s">
        <v>3785</v>
      </c>
      <c r="D1053" s="563" t="s">
        <v>6341</v>
      </c>
      <c r="E1053" s="586">
        <v>400000</v>
      </c>
      <c r="F1053" s="563" t="s">
        <v>1922</v>
      </c>
      <c r="G1053" s="573" t="s">
        <v>19</v>
      </c>
      <c r="H1053" s="573" t="s">
        <v>49</v>
      </c>
      <c r="I1053" s="573" t="s">
        <v>277</v>
      </c>
      <c r="J1053" s="573">
        <v>44698</v>
      </c>
      <c r="K1053" s="573" t="s">
        <v>3809</v>
      </c>
      <c r="L1053" s="572"/>
      <c r="M1053" s="572"/>
      <c r="N1053" s="572"/>
      <c r="O1053" s="572"/>
      <c r="P1053" s="572"/>
      <c r="Q1053" s="572"/>
      <c r="R1053" s="572"/>
      <c r="S1053" s="572"/>
      <c r="T1053" s="572"/>
      <c r="U1053" s="572"/>
      <c r="V1053" s="572"/>
      <c r="W1053" s="572"/>
      <c r="X1053" s="572"/>
      <c r="Y1053" s="572"/>
      <c r="Z1053" s="572"/>
      <c r="AA1053" s="572"/>
      <c r="AB1053" s="572"/>
      <c r="AC1053" s="572"/>
      <c r="AD1053" s="572"/>
      <c r="AE1053" s="572"/>
      <c r="AF1053" s="572"/>
      <c r="AG1053" s="572"/>
      <c r="AH1053" s="572"/>
      <c r="AI1053" s="572"/>
      <c r="AJ1053" s="572"/>
      <c r="AK1053" s="572"/>
      <c r="AL1053" s="572"/>
      <c r="AM1053" s="572"/>
      <c r="AN1053" s="572"/>
      <c r="AO1053" s="572"/>
      <c r="AP1053" s="572"/>
      <c r="AQ1053" s="572"/>
      <c r="AR1053" s="572"/>
      <c r="AS1053" s="572"/>
      <c r="AT1053" s="572"/>
      <c r="AU1053" s="572"/>
    </row>
    <row r="1054" spans="1:47" ht="15.75" customHeight="1">
      <c r="A1054" s="577">
        <v>44839</v>
      </c>
      <c r="B1054" s="605" t="s">
        <v>6412</v>
      </c>
      <c r="C1054" s="405" t="s">
        <v>3785</v>
      </c>
      <c r="D1054" s="563" t="s">
        <v>6341</v>
      </c>
      <c r="E1054" s="586">
        <v>10000</v>
      </c>
      <c r="F1054" s="563" t="s">
        <v>4373</v>
      </c>
      <c r="G1054" s="573" t="s">
        <v>64</v>
      </c>
      <c r="H1054" s="573" t="s">
        <v>20</v>
      </c>
      <c r="I1054" s="573" t="s">
        <v>3862</v>
      </c>
      <c r="J1054" s="573">
        <v>44263</v>
      </c>
      <c r="K1054" s="573" t="s">
        <v>3795</v>
      </c>
      <c r="L1054" s="572"/>
      <c r="M1054" s="572"/>
      <c r="N1054" s="572"/>
      <c r="O1054" s="572"/>
      <c r="P1054" s="572"/>
      <c r="Q1054" s="572"/>
      <c r="R1054" s="572"/>
      <c r="S1054" s="572"/>
      <c r="T1054" s="572"/>
      <c r="U1054" s="572"/>
      <c r="V1054" s="572"/>
      <c r="W1054" s="572"/>
      <c r="X1054" s="572"/>
      <c r="Y1054" s="572"/>
      <c r="Z1054" s="572"/>
      <c r="AA1054" s="572"/>
      <c r="AB1054" s="572"/>
      <c r="AC1054" s="572"/>
      <c r="AD1054" s="572"/>
      <c r="AE1054" s="572"/>
      <c r="AF1054" s="572"/>
      <c r="AG1054" s="572"/>
      <c r="AH1054" s="572"/>
      <c r="AI1054" s="572"/>
      <c r="AJ1054" s="572"/>
      <c r="AK1054" s="572"/>
      <c r="AL1054" s="572"/>
      <c r="AM1054" s="572"/>
      <c r="AN1054" s="572"/>
      <c r="AO1054" s="572"/>
      <c r="AP1054" s="572"/>
      <c r="AQ1054" s="572"/>
      <c r="AR1054" s="572"/>
      <c r="AS1054" s="572"/>
      <c r="AT1054" s="572"/>
      <c r="AU1054" s="572"/>
    </row>
    <row r="1055" spans="1:47" ht="15.75" customHeight="1">
      <c r="A1055" s="577">
        <v>44844</v>
      </c>
      <c r="B1055" s="605" t="s">
        <v>6663</v>
      </c>
      <c r="C1055" s="405" t="s">
        <v>3785</v>
      </c>
      <c r="D1055" s="563" t="s">
        <v>6341</v>
      </c>
      <c r="E1055" s="586">
        <v>30000</v>
      </c>
      <c r="F1055" s="563" t="s">
        <v>1743</v>
      </c>
      <c r="G1055" s="573" t="s">
        <v>19</v>
      </c>
      <c r="H1055" s="573" t="s">
        <v>20</v>
      </c>
      <c r="I1055" s="573" t="s">
        <v>6330</v>
      </c>
      <c r="J1055" s="573">
        <v>44594</v>
      </c>
      <c r="K1055" s="573" t="s">
        <v>3802</v>
      </c>
      <c r="L1055" s="572"/>
      <c r="M1055" s="572"/>
      <c r="N1055" s="572"/>
      <c r="O1055" s="572"/>
      <c r="P1055" s="572"/>
      <c r="Q1055" s="572"/>
      <c r="R1055" s="572"/>
      <c r="S1055" s="572"/>
      <c r="T1055" s="572"/>
      <c r="U1055" s="572"/>
      <c r="V1055" s="572"/>
      <c r="W1055" s="572"/>
      <c r="X1055" s="572"/>
      <c r="Y1055" s="572"/>
      <c r="Z1055" s="572"/>
      <c r="AA1055" s="572"/>
      <c r="AB1055" s="572"/>
      <c r="AC1055" s="572"/>
      <c r="AD1055" s="572"/>
      <c r="AE1055" s="572"/>
      <c r="AF1055" s="572"/>
      <c r="AG1055" s="572"/>
      <c r="AH1055" s="572"/>
      <c r="AI1055" s="572"/>
      <c r="AJ1055" s="572"/>
      <c r="AK1055" s="572"/>
      <c r="AL1055" s="572"/>
      <c r="AM1055" s="572"/>
      <c r="AN1055" s="572"/>
      <c r="AO1055" s="572"/>
      <c r="AP1055" s="572"/>
      <c r="AQ1055" s="572"/>
      <c r="AR1055" s="572"/>
      <c r="AS1055" s="572"/>
      <c r="AT1055" s="572"/>
      <c r="AU1055" s="572"/>
    </row>
    <row r="1056" spans="1:47" ht="15.75" customHeight="1">
      <c r="A1056" s="577">
        <v>44845</v>
      </c>
      <c r="B1056" s="605" t="s">
        <v>6826</v>
      </c>
      <c r="C1056" s="405" t="s">
        <v>3785</v>
      </c>
      <c r="D1056" s="563" t="s">
        <v>6341</v>
      </c>
      <c r="E1056" s="586">
        <v>10000</v>
      </c>
      <c r="F1056" s="563" t="s">
        <v>3925</v>
      </c>
      <c r="G1056" s="573" t="s">
        <v>64</v>
      </c>
      <c r="H1056" s="573" t="s">
        <v>20</v>
      </c>
      <c r="I1056" s="573" t="s">
        <v>3634</v>
      </c>
      <c r="J1056" s="573">
        <v>44217</v>
      </c>
      <c r="K1056" s="573" t="s">
        <v>3795</v>
      </c>
      <c r="L1056" s="572"/>
      <c r="M1056" s="572"/>
      <c r="N1056" s="572"/>
      <c r="O1056" s="572"/>
      <c r="P1056" s="572"/>
      <c r="Q1056" s="572"/>
      <c r="R1056" s="572"/>
      <c r="S1056" s="572"/>
      <c r="T1056" s="572"/>
      <c r="U1056" s="572"/>
      <c r="V1056" s="572"/>
      <c r="W1056" s="572"/>
      <c r="X1056" s="572"/>
      <c r="Y1056" s="572"/>
      <c r="Z1056" s="572"/>
      <c r="AA1056" s="572"/>
      <c r="AB1056" s="572"/>
      <c r="AC1056" s="572"/>
      <c r="AD1056" s="572"/>
      <c r="AE1056" s="572"/>
      <c r="AF1056" s="572"/>
      <c r="AG1056" s="572"/>
      <c r="AH1056" s="572"/>
      <c r="AI1056" s="572"/>
      <c r="AJ1056" s="572"/>
      <c r="AK1056" s="572"/>
      <c r="AL1056" s="572"/>
      <c r="AM1056" s="572"/>
      <c r="AN1056" s="572"/>
      <c r="AO1056" s="572"/>
      <c r="AP1056" s="572"/>
      <c r="AQ1056" s="572"/>
      <c r="AR1056" s="572"/>
      <c r="AS1056" s="572"/>
      <c r="AT1056" s="572"/>
      <c r="AU1056" s="572"/>
    </row>
    <row r="1057" spans="1:47" ht="15.75" customHeight="1">
      <c r="A1057" s="577">
        <v>44845</v>
      </c>
      <c r="B1057" s="605" t="s">
        <v>6827</v>
      </c>
      <c r="C1057" s="405" t="s">
        <v>3785</v>
      </c>
      <c r="D1057" s="563" t="s">
        <v>6341</v>
      </c>
      <c r="E1057" s="586">
        <v>2000</v>
      </c>
      <c r="F1057" s="563" t="s">
        <v>788</v>
      </c>
      <c r="G1057" s="573" t="s">
        <v>64</v>
      </c>
      <c r="H1057" s="573" t="s">
        <v>20</v>
      </c>
      <c r="I1057" s="573" t="s">
        <v>6282</v>
      </c>
      <c r="J1057" s="573">
        <v>44421</v>
      </c>
      <c r="K1057" s="573" t="s">
        <v>3795</v>
      </c>
      <c r="L1057" s="572"/>
      <c r="M1057" s="572"/>
      <c r="N1057" s="572"/>
      <c r="O1057" s="572"/>
      <c r="P1057" s="572"/>
      <c r="Q1057" s="572"/>
      <c r="R1057" s="572"/>
      <c r="S1057" s="572"/>
      <c r="T1057" s="572"/>
      <c r="U1057" s="572"/>
      <c r="V1057" s="572"/>
      <c r="W1057" s="572"/>
      <c r="X1057" s="572"/>
      <c r="Y1057" s="572"/>
      <c r="Z1057" s="572"/>
      <c r="AA1057" s="572"/>
      <c r="AB1057" s="572"/>
      <c r="AC1057" s="572"/>
      <c r="AD1057" s="572"/>
      <c r="AE1057" s="572"/>
      <c r="AF1057" s="572"/>
      <c r="AG1057" s="572"/>
      <c r="AH1057" s="572"/>
      <c r="AI1057" s="572"/>
      <c r="AJ1057" s="572"/>
      <c r="AK1057" s="572"/>
      <c r="AL1057" s="572"/>
      <c r="AM1057" s="572"/>
      <c r="AN1057" s="572"/>
      <c r="AO1057" s="572"/>
      <c r="AP1057" s="572"/>
      <c r="AQ1057" s="572"/>
      <c r="AR1057" s="572"/>
      <c r="AS1057" s="572"/>
      <c r="AT1057" s="572"/>
      <c r="AU1057" s="572"/>
    </row>
    <row r="1058" spans="1:47" ht="15.75" customHeight="1">
      <c r="A1058" s="577">
        <v>44847</v>
      </c>
      <c r="B1058" s="605" t="s">
        <v>6807</v>
      </c>
      <c r="C1058" s="405" t="s">
        <v>3785</v>
      </c>
      <c r="D1058" s="563" t="s">
        <v>6341</v>
      </c>
      <c r="E1058" s="586">
        <v>122000</v>
      </c>
      <c r="F1058" s="563" t="s">
        <v>4856</v>
      </c>
      <c r="G1058" s="573" t="s">
        <v>19</v>
      </c>
      <c r="H1058" s="573" t="s">
        <v>49</v>
      </c>
      <c r="I1058" s="573" t="s">
        <v>277</v>
      </c>
      <c r="J1058" s="573">
        <v>44698</v>
      </c>
      <c r="K1058" s="573" t="s">
        <v>3809</v>
      </c>
      <c r="L1058" s="572"/>
      <c r="M1058" s="572"/>
      <c r="N1058" s="572"/>
      <c r="O1058" s="572"/>
      <c r="P1058" s="572"/>
      <c r="Q1058" s="572"/>
      <c r="R1058" s="572"/>
      <c r="S1058" s="572"/>
      <c r="T1058" s="572"/>
      <c r="U1058" s="572"/>
      <c r="V1058" s="572"/>
      <c r="W1058" s="572"/>
      <c r="X1058" s="572"/>
      <c r="Y1058" s="572"/>
      <c r="Z1058" s="572"/>
      <c r="AA1058" s="572"/>
      <c r="AB1058" s="572"/>
      <c r="AC1058" s="572"/>
      <c r="AD1058" s="572"/>
      <c r="AE1058" s="572"/>
      <c r="AF1058" s="572"/>
      <c r="AG1058" s="572"/>
      <c r="AH1058" s="572"/>
      <c r="AI1058" s="572"/>
      <c r="AJ1058" s="572"/>
      <c r="AK1058" s="572"/>
      <c r="AL1058" s="572"/>
      <c r="AM1058" s="572"/>
      <c r="AN1058" s="572"/>
      <c r="AO1058" s="572"/>
      <c r="AP1058" s="572"/>
      <c r="AQ1058" s="572"/>
      <c r="AR1058" s="572"/>
      <c r="AS1058" s="572"/>
      <c r="AT1058" s="572"/>
      <c r="AU1058" s="572"/>
    </row>
    <row r="1059" spans="1:47" ht="15.75" customHeight="1">
      <c r="A1059" s="577">
        <v>44848</v>
      </c>
      <c r="B1059" s="605" t="s">
        <v>6807</v>
      </c>
      <c r="C1059" s="405" t="s">
        <v>3785</v>
      </c>
      <c r="D1059" s="563" t="s">
        <v>6341</v>
      </c>
      <c r="E1059" s="586">
        <v>13000</v>
      </c>
      <c r="F1059" s="563" t="s">
        <v>4856</v>
      </c>
      <c r="G1059" s="573" t="s">
        <v>19</v>
      </c>
      <c r="H1059" s="573" t="s">
        <v>49</v>
      </c>
      <c r="I1059" s="573" t="s">
        <v>277</v>
      </c>
      <c r="J1059" s="573">
        <v>44698</v>
      </c>
      <c r="K1059" s="573" t="s">
        <v>3809</v>
      </c>
      <c r="L1059" s="572"/>
      <c r="M1059" s="572"/>
      <c r="N1059" s="572"/>
      <c r="O1059" s="572"/>
      <c r="P1059" s="572"/>
      <c r="Q1059" s="572"/>
      <c r="R1059" s="572"/>
      <c r="S1059" s="572"/>
      <c r="T1059" s="572"/>
      <c r="U1059" s="572"/>
      <c r="V1059" s="572"/>
      <c r="W1059" s="572"/>
      <c r="X1059" s="572"/>
      <c r="Y1059" s="572"/>
      <c r="Z1059" s="572"/>
      <c r="AA1059" s="572"/>
      <c r="AB1059" s="572"/>
      <c r="AC1059" s="572"/>
      <c r="AD1059" s="572"/>
      <c r="AE1059" s="572"/>
      <c r="AF1059" s="572"/>
      <c r="AG1059" s="572"/>
      <c r="AH1059" s="572"/>
      <c r="AI1059" s="572"/>
      <c r="AJ1059" s="572"/>
      <c r="AK1059" s="572"/>
      <c r="AL1059" s="572"/>
      <c r="AM1059" s="572"/>
      <c r="AN1059" s="572"/>
      <c r="AO1059" s="572"/>
      <c r="AP1059" s="572"/>
      <c r="AQ1059" s="572"/>
      <c r="AR1059" s="572"/>
      <c r="AS1059" s="572"/>
      <c r="AT1059" s="572"/>
      <c r="AU1059" s="572"/>
    </row>
    <row r="1060" spans="1:47" ht="15.75" customHeight="1">
      <c r="A1060" s="577">
        <v>44848</v>
      </c>
      <c r="B1060" s="605" t="s">
        <v>6652</v>
      </c>
      <c r="C1060" s="405" t="s">
        <v>3785</v>
      </c>
      <c r="D1060" s="563" t="s">
        <v>6341</v>
      </c>
      <c r="E1060" s="586">
        <v>25000</v>
      </c>
      <c r="F1060" s="563" t="s">
        <v>3951</v>
      </c>
      <c r="G1060" s="573" t="s">
        <v>19</v>
      </c>
      <c r="H1060" s="573" t="s">
        <v>20</v>
      </c>
      <c r="I1060" s="573" t="s">
        <v>3952</v>
      </c>
      <c r="J1060" s="573">
        <v>44061</v>
      </c>
      <c r="K1060" s="573" t="s">
        <v>3795</v>
      </c>
      <c r="L1060" s="572"/>
      <c r="M1060" s="572"/>
      <c r="N1060" s="572"/>
      <c r="O1060" s="572"/>
      <c r="P1060" s="572"/>
      <c r="Q1060" s="572"/>
      <c r="R1060" s="572"/>
      <c r="S1060" s="572"/>
      <c r="T1060" s="572"/>
      <c r="U1060" s="572"/>
      <c r="V1060" s="572"/>
      <c r="W1060" s="572"/>
      <c r="X1060" s="572"/>
      <c r="Y1060" s="572"/>
      <c r="Z1060" s="572"/>
      <c r="AA1060" s="572"/>
      <c r="AB1060" s="572"/>
      <c r="AC1060" s="572"/>
      <c r="AD1060" s="572"/>
      <c r="AE1060" s="572"/>
      <c r="AF1060" s="572"/>
      <c r="AG1060" s="572"/>
      <c r="AH1060" s="572"/>
      <c r="AI1060" s="572"/>
      <c r="AJ1060" s="572"/>
      <c r="AK1060" s="572"/>
      <c r="AL1060" s="572"/>
      <c r="AM1060" s="572"/>
      <c r="AN1060" s="572"/>
      <c r="AO1060" s="572"/>
      <c r="AP1060" s="572"/>
      <c r="AQ1060" s="572"/>
      <c r="AR1060" s="572"/>
      <c r="AS1060" s="572"/>
      <c r="AT1060" s="572"/>
      <c r="AU1060" s="572"/>
    </row>
    <row r="1061" spans="1:47" ht="15.75" customHeight="1">
      <c r="A1061" s="573">
        <v>44851</v>
      </c>
      <c r="B1061" s="574" t="s">
        <v>6706</v>
      </c>
      <c r="C1061" s="532" t="s">
        <v>3785</v>
      </c>
      <c r="D1061" s="563" t="s">
        <v>6341</v>
      </c>
      <c r="E1061" s="575">
        <v>50000</v>
      </c>
      <c r="F1061" s="532" t="s">
        <v>2052</v>
      </c>
      <c r="G1061" s="563" t="s">
        <v>19</v>
      </c>
      <c r="H1061" s="563" t="s">
        <v>49</v>
      </c>
      <c r="I1061" s="563" t="s">
        <v>50</v>
      </c>
      <c r="J1061" s="573">
        <v>44614</v>
      </c>
      <c r="K1061" s="556" t="s">
        <v>3795</v>
      </c>
      <c r="L1061" s="572"/>
      <c r="M1061" s="572"/>
      <c r="N1061" s="572"/>
      <c r="O1061" s="572"/>
      <c r="P1061" s="572"/>
      <c r="Q1061" s="572"/>
      <c r="R1061" s="572"/>
      <c r="S1061" s="572"/>
      <c r="T1061" s="572"/>
      <c r="U1061" s="572"/>
      <c r="V1061" s="572"/>
      <c r="W1061" s="572"/>
      <c r="X1061" s="572"/>
      <c r="Y1061" s="572"/>
      <c r="Z1061" s="572"/>
      <c r="AA1061" s="572"/>
      <c r="AB1061" s="572"/>
      <c r="AC1061" s="572"/>
      <c r="AD1061" s="572"/>
      <c r="AE1061" s="572"/>
      <c r="AF1061" s="572"/>
      <c r="AG1061" s="572"/>
      <c r="AH1061" s="572"/>
      <c r="AI1061" s="572"/>
      <c r="AJ1061" s="572"/>
      <c r="AK1061" s="572"/>
      <c r="AL1061" s="572"/>
      <c r="AM1061" s="572"/>
      <c r="AN1061" s="572"/>
      <c r="AO1061" s="572"/>
      <c r="AP1061" s="572"/>
      <c r="AQ1061" s="572"/>
      <c r="AR1061" s="572"/>
      <c r="AS1061" s="572"/>
      <c r="AT1061" s="572"/>
      <c r="AU1061" s="572"/>
    </row>
    <row r="1062" spans="1:47" ht="15.75" customHeight="1">
      <c r="A1062" s="597">
        <v>44852</v>
      </c>
      <c r="B1062" s="585" t="s">
        <v>6672</v>
      </c>
      <c r="C1062" s="532" t="s">
        <v>3785</v>
      </c>
      <c r="D1062" s="598" t="s">
        <v>6341</v>
      </c>
      <c r="E1062" s="599">
        <v>18000</v>
      </c>
      <c r="F1062" s="598" t="s">
        <v>3839</v>
      </c>
      <c r="G1062" s="598" t="s">
        <v>19</v>
      </c>
      <c r="H1062" s="598" t="s">
        <v>49</v>
      </c>
      <c r="I1062" s="598" t="s">
        <v>50</v>
      </c>
      <c r="J1062" s="597">
        <v>44609</v>
      </c>
      <c r="K1062" s="532" t="s">
        <v>3805</v>
      </c>
      <c r="L1062" s="572"/>
      <c r="M1062" s="572"/>
      <c r="N1062" s="572"/>
      <c r="O1062" s="572"/>
      <c r="P1062" s="572"/>
      <c r="Q1062" s="572"/>
      <c r="R1062" s="572"/>
      <c r="S1062" s="572"/>
      <c r="T1062" s="572"/>
      <c r="U1062" s="572"/>
      <c r="V1062" s="572"/>
      <c r="W1062" s="572"/>
      <c r="X1062" s="572"/>
      <c r="Y1062" s="572"/>
      <c r="Z1062" s="572"/>
      <c r="AA1062" s="572"/>
      <c r="AB1062" s="572"/>
      <c r="AC1062" s="572"/>
      <c r="AD1062" s="572"/>
      <c r="AE1062" s="572"/>
      <c r="AF1062" s="572"/>
      <c r="AG1062" s="572"/>
      <c r="AH1062" s="572"/>
      <c r="AI1062" s="572"/>
      <c r="AJ1062" s="572"/>
      <c r="AK1062" s="572"/>
      <c r="AL1062" s="572"/>
      <c r="AM1062" s="572"/>
      <c r="AN1062" s="572"/>
      <c r="AO1062" s="572"/>
      <c r="AP1062" s="572"/>
      <c r="AQ1062" s="572"/>
      <c r="AR1062" s="572"/>
      <c r="AS1062" s="572"/>
      <c r="AT1062" s="572"/>
      <c r="AU1062" s="572"/>
    </row>
    <row r="1063" spans="1:47" ht="15.75" customHeight="1">
      <c r="A1063" s="597">
        <v>44853</v>
      </c>
      <c r="B1063" s="585" t="s">
        <v>6828</v>
      </c>
      <c r="C1063" s="532" t="s">
        <v>3785</v>
      </c>
      <c r="D1063" s="598" t="s">
        <v>6341</v>
      </c>
      <c r="E1063" s="599">
        <v>50000</v>
      </c>
      <c r="F1063" s="598" t="s">
        <v>6829</v>
      </c>
      <c r="G1063" s="598" t="s">
        <v>19</v>
      </c>
      <c r="H1063" s="598" t="s">
        <v>20</v>
      </c>
      <c r="I1063" s="598" t="s">
        <v>800</v>
      </c>
      <c r="J1063" s="597">
        <v>44831</v>
      </c>
      <c r="K1063" s="573" t="s">
        <v>3789</v>
      </c>
      <c r="L1063" s="572"/>
      <c r="M1063" s="572"/>
      <c r="N1063" s="572"/>
      <c r="O1063" s="572"/>
      <c r="P1063" s="572"/>
      <c r="Q1063" s="572"/>
      <c r="R1063" s="572"/>
      <c r="S1063" s="572"/>
      <c r="T1063" s="572"/>
      <c r="U1063" s="572"/>
      <c r="V1063" s="572"/>
      <c r="W1063" s="572"/>
      <c r="X1063" s="572"/>
      <c r="Y1063" s="572"/>
      <c r="Z1063" s="572"/>
      <c r="AA1063" s="572"/>
      <c r="AB1063" s="572"/>
      <c r="AC1063" s="572"/>
      <c r="AD1063" s="572"/>
      <c r="AE1063" s="572"/>
      <c r="AF1063" s="572"/>
      <c r="AG1063" s="572"/>
      <c r="AH1063" s="572"/>
      <c r="AI1063" s="572"/>
      <c r="AJ1063" s="572"/>
      <c r="AK1063" s="572"/>
      <c r="AL1063" s="572"/>
      <c r="AM1063" s="572"/>
      <c r="AN1063" s="572"/>
      <c r="AO1063" s="572"/>
      <c r="AP1063" s="572"/>
      <c r="AQ1063" s="572"/>
      <c r="AR1063" s="572"/>
      <c r="AS1063" s="572"/>
      <c r="AT1063" s="572"/>
      <c r="AU1063" s="572"/>
    </row>
    <row r="1064" spans="1:47" ht="15.75" customHeight="1">
      <c r="A1064" s="573">
        <v>44855</v>
      </c>
      <c r="B1064" s="574" t="s">
        <v>6830</v>
      </c>
      <c r="C1064" s="563" t="s">
        <v>3785</v>
      </c>
      <c r="D1064" s="563" t="s">
        <v>6341</v>
      </c>
      <c r="E1064" s="599">
        <v>10000</v>
      </c>
      <c r="F1064" s="598" t="s">
        <v>1553</v>
      </c>
      <c r="G1064" s="563" t="s">
        <v>19</v>
      </c>
      <c r="H1064" s="563" t="s">
        <v>49</v>
      </c>
      <c r="I1064" s="563" t="s">
        <v>6801</v>
      </c>
      <c r="J1064" s="573">
        <v>44733</v>
      </c>
      <c r="K1064" s="563" t="s">
        <v>3805</v>
      </c>
      <c r="L1064" s="572"/>
      <c r="M1064" s="572"/>
      <c r="N1064" s="572"/>
      <c r="O1064" s="572"/>
      <c r="P1064" s="572"/>
      <c r="Q1064" s="572"/>
      <c r="R1064" s="572"/>
      <c r="S1064" s="572"/>
      <c r="T1064" s="572"/>
      <c r="U1064" s="572"/>
      <c r="V1064" s="572"/>
      <c r="W1064" s="572"/>
      <c r="X1064" s="572"/>
      <c r="Y1064" s="572"/>
      <c r="Z1064" s="572"/>
      <c r="AA1064" s="572"/>
      <c r="AB1064" s="572"/>
      <c r="AC1064" s="572"/>
      <c r="AD1064" s="572"/>
      <c r="AE1064" s="572"/>
      <c r="AF1064" s="572"/>
      <c r="AG1064" s="572"/>
      <c r="AH1064" s="572"/>
      <c r="AI1064" s="572"/>
      <c r="AJ1064" s="572"/>
      <c r="AK1064" s="572"/>
      <c r="AL1064" s="572"/>
      <c r="AM1064" s="572"/>
      <c r="AN1064" s="572"/>
      <c r="AO1064" s="572"/>
      <c r="AP1064" s="572"/>
      <c r="AQ1064" s="572"/>
      <c r="AR1064" s="572"/>
      <c r="AS1064" s="572"/>
      <c r="AT1064" s="572"/>
      <c r="AU1064" s="572"/>
    </row>
    <row r="1065" spans="1:47" ht="15.75" customHeight="1">
      <c r="A1065" s="597">
        <v>44860</v>
      </c>
      <c r="B1065" s="585" t="s">
        <v>6672</v>
      </c>
      <c r="C1065" s="532" t="s">
        <v>3785</v>
      </c>
      <c r="D1065" s="598" t="s">
        <v>6341</v>
      </c>
      <c r="E1065" s="599">
        <v>20000</v>
      </c>
      <c r="F1065" s="598" t="s">
        <v>3839</v>
      </c>
      <c r="G1065" s="598" t="s">
        <v>19</v>
      </c>
      <c r="H1065" s="598" t="s">
        <v>49</v>
      </c>
      <c r="I1065" s="598" t="s">
        <v>50</v>
      </c>
      <c r="J1065" s="597">
        <v>44609</v>
      </c>
      <c r="K1065" s="532" t="s">
        <v>3805</v>
      </c>
      <c r="L1065" s="572"/>
      <c r="M1065" s="572"/>
      <c r="N1065" s="572"/>
      <c r="O1065" s="572"/>
      <c r="P1065" s="572"/>
      <c r="Q1065" s="572"/>
      <c r="R1065" s="572"/>
      <c r="S1065" s="572"/>
      <c r="T1065" s="572"/>
      <c r="U1065" s="572"/>
      <c r="V1065" s="572"/>
      <c r="W1065" s="572"/>
      <c r="X1065" s="572"/>
      <c r="Y1065" s="572"/>
      <c r="Z1065" s="572"/>
      <c r="AA1065" s="572"/>
      <c r="AB1065" s="572"/>
      <c r="AC1065" s="572"/>
      <c r="AD1065" s="572"/>
      <c r="AE1065" s="572"/>
      <c r="AF1065" s="572"/>
      <c r="AG1065" s="572"/>
      <c r="AH1065" s="572"/>
      <c r="AI1065" s="572"/>
      <c r="AJ1065" s="572"/>
      <c r="AK1065" s="572"/>
      <c r="AL1065" s="572"/>
      <c r="AM1065" s="572"/>
      <c r="AN1065" s="572"/>
      <c r="AO1065" s="572"/>
      <c r="AP1065" s="572"/>
      <c r="AQ1065" s="572"/>
      <c r="AR1065" s="572"/>
      <c r="AS1065" s="572"/>
      <c r="AT1065" s="572"/>
      <c r="AU1065" s="572"/>
    </row>
    <row r="1066" spans="1:47" ht="15.75" customHeight="1">
      <c r="A1066" s="573">
        <v>44861</v>
      </c>
      <c r="B1066" s="532">
        <v>5681841</v>
      </c>
      <c r="C1066" s="532" t="s">
        <v>3785</v>
      </c>
      <c r="D1066" s="563" t="s">
        <v>6341</v>
      </c>
      <c r="E1066" s="575">
        <v>50000</v>
      </c>
      <c r="F1066" s="555" t="s">
        <v>5251</v>
      </c>
      <c r="G1066" s="555" t="s">
        <v>19</v>
      </c>
      <c r="H1066" s="563" t="s">
        <v>49</v>
      </c>
      <c r="I1066" s="563" t="s">
        <v>166</v>
      </c>
      <c r="J1066" s="573">
        <v>44469</v>
      </c>
      <c r="K1066" s="556" t="s">
        <v>3805</v>
      </c>
      <c r="L1066" s="572"/>
      <c r="M1066" s="572"/>
      <c r="N1066" s="572"/>
      <c r="O1066" s="572"/>
      <c r="P1066" s="572"/>
      <c r="Q1066" s="572"/>
      <c r="R1066" s="572"/>
      <c r="S1066" s="572"/>
      <c r="T1066" s="572"/>
      <c r="U1066" s="572"/>
      <c r="V1066" s="572"/>
      <c r="W1066" s="572"/>
      <c r="X1066" s="572"/>
      <c r="Y1066" s="572"/>
      <c r="Z1066" s="572"/>
      <c r="AA1066" s="572"/>
      <c r="AB1066" s="572"/>
      <c r="AC1066" s="572"/>
      <c r="AD1066" s="572"/>
      <c r="AE1066" s="572"/>
      <c r="AF1066" s="572"/>
      <c r="AG1066" s="572"/>
      <c r="AH1066" s="572"/>
      <c r="AI1066" s="572"/>
      <c r="AJ1066" s="572"/>
      <c r="AK1066" s="572"/>
      <c r="AL1066" s="572"/>
      <c r="AM1066" s="572"/>
      <c r="AN1066" s="572"/>
      <c r="AO1066" s="572"/>
      <c r="AP1066" s="572"/>
      <c r="AQ1066" s="572"/>
      <c r="AR1066" s="572"/>
      <c r="AS1066" s="572"/>
      <c r="AT1066" s="572"/>
      <c r="AU1066" s="572"/>
    </row>
    <row r="1067" spans="1:47" ht="15.75" customHeight="1">
      <c r="A1067" s="573">
        <v>44865</v>
      </c>
      <c r="B1067" s="574" t="s">
        <v>6831</v>
      </c>
      <c r="C1067" s="563" t="s">
        <v>3785</v>
      </c>
      <c r="D1067" s="563" t="s">
        <v>6341</v>
      </c>
      <c r="E1067" s="575">
        <v>10000</v>
      </c>
      <c r="F1067" s="563" t="s">
        <v>4314</v>
      </c>
      <c r="G1067" s="563" t="s">
        <v>19</v>
      </c>
      <c r="H1067" s="563" t="s">
        <v>2051</v>
      </c>
      <c r="I1067" s="563" t="s">
        <v>4315</v>
      </c>
      <c r="J1067" s="573">
        <v>44260</v>
      </c>
      <c r="K1067" s="563" t="s">
        <v>3809</v>
      </c>
      <c r="L1067" s="572"/>
      <c r="M1067" s="572"/>
      <c r="N1067" s="572"/>
      <c r="O1067" s="572"/>
      <c r="P1067" s="572"/>
      <c r="Q1067" s="572"/>
      <c r="R1067" s="572"/>
      <c r="S1067" s="572"/>
      <c r="T1067" s="572"/>
      <c r="U1067" s="572"/>
      <c r="V1067" s="572"/>
      <c r="W1067" s="572"/>
      <c r="X1067" s="572"/>
      <c r="Y1067" s="572"/>
      <c r="Z1067" s="572"/>
      <c r="AA1067" s="572"/>
      <c r="AB1067" s="572"/>
      <c r="AC1067" s="572"/>
      <c r="AD1067" s="572"/>
      <c r="AE1067" s="572"/>
      <c r="AF1067" s="572"/>
      <c r="AG1067" s="572"/>
      <c r="AH1067" s="572"/>
      <c r="AI1067" s="572"/>
      <c r="AJ1067" s="572"/>
      <c r="AK1067" s="572"/>
      <c r="AL1067" s="572"/>
      <c r="AM1067" s="572"/>
      <c r="AN1067" s="572"/>
      <c r="AO1067" s="572"/>
      <c r="AP1067" s="572"/>
      <c r="AQ1067" s="572"/>
      <c r="AR1067" s="572"/>
      <c r="AS1067" s="572"/>
      <c r="AT1067" s="572"/>
      <c r="AU1067" s="572"/>
    </row>
    <row r="1068" spans="1:47" ht="15.75" customHeight="1">
      <c r="A1068" s="573">
        <v>44865</v>
      </c>
      <c r="B1068" s="574" t="s">
        <v>6832</v>
      </c>
      <c r="C1068" s="563" t="s">
        <v>3785</v>
      </c>
      <c r="D1068" s="563" t="s">
        <v>6341</v>
      </c>
      <c r="E1068" s="575">
        <v>4000</v>
      </c>
      <c r="F1068" s="563" t="s">
        <v>4885</v>
      </c>
      <c r="G1068" s="563" t="s">
        <v>19</v>
      </c>
      <c r="H1068" s="563" t="s">
        <v>20</v>
      </c>
      <c r="I1068" s="563" t="s">
        <v>166</v>
      </c>
      <c r="J1068" s="573">
        <v>44749</v>
      </c>
      <c r="K1068" s="563" t="s">
        <v>3802</v>
      </c>
      <c r="L1068" s="572"/>
      <c r="M1068" s="572"/>
      <c r="N1068" s="572"/>
      <c r="O1068" s="572"/>
      <c r="P1068" s="572"/>
      <c r="Q1068" s="572"/>
      <c r="R1068" s="572"/>
      <c r="S1068" s="572"/>
      <c r="T1068" s="572"/>
      <c r="U1068" s="572"/>
      <c r="V1068" s="572"/>
      <c r="W1068" s="572"/>
      <c r="X1068" s="572"/>
      <c r="Y1068" s="572"/>
      <c r="Z1068" s="572"/>
      <c r="AA1068" s="572"/>
      <c r="AB1068" s="572"/>
      <c r="AC1068" s="572"/>
      <c r="AD1068" s="572"/>
      <c r="AE1068" s="572"/>
      <c r="AF1068" s="572"/>
      <c r="AG1068" s="572"/>
      <c r="AH1068" s="572"/>
      <c r="AI1068" s="572"/>
      <c r="AJ1068" s="572"/>
      <c r="AK1068" s="572"/>
      <c r="AL1068" s="572"/>
      <c r="AM1068" s="572"/>
      <c r="AN1068" s="572"/>
      <c r="AO1068" s="572"/>
      <c r="AP1068" s="572"/>
      <c r="AQ1068" s="572"/>
      <c r="AR1068" s="572"/>
      <c r="AS1068" s="572"/>
      <c r="AT1068" s="572"/>
      <c r="AU1068" s="572"/>
    </row>
    <row r="1069" spans="1:47" ht="15.75" customHeight="1">
      <c r="A1069" s="597">
        <v>44865</v>
      </c>
      <c r="B1069" s="585" t="s">
        <v>6760</v>
      </c>
      <c r="C1069" s="532" t="s">
        <v>3785</v>
      </c>
      <c r="D1069" s="598" t="s">
        <v>6341</v>
      </c>
      <c r="E1069" s="599">
        <v>30000</v>
      </c>
      <c r="F1069" s="598" t="s">
        <v>1579</v>
      </c>
      <c r="G1069" s="598" t="s">
        <v>19</v>
      </c>
      <c r="H1069" s="598" t="s">
        <v>49</v>
      </c>
      <c r="I1069" s="598" t="s">
        <v>166</v>
      </c>
      <c r="J1069" s="597">
        <v>44568</v>
      </c>
      <c r="K1069" s="532" t="s">
        <v>4465</v>
      </c>
      <c r="L1069" s="572"/>
      <c r="M1069" s="572"/>
      <c r="N1069" s="572"/>
      <c r="O1069" s="572"/>
      <c r="P1069" s="572"/>
      <c r="Q1069" s="572"/>
      <c r="R1069" s="572"/>
      <c r="S1069" s="572"/>
      <c r="T1069" s="572"/>
      <c r="U1069" s="572"/>
      <c r="V1069" s="572"/>
      <c r="W1069" s="572"/>
      <c r="X1069" s="572"/>
      <c r="Y1069" s="572"/>
      <c r="Z1069" s="572"/>
      <c r="AA1069" s="572"/>
      <c r="AB1069" s="572"/>
      <c r="AC1069" s="572"/>
      <c r="AD1069" s="572"/>
      <c r="AE1069" s="572"/>
      <c r="AF1069" s="572"/>
      <c r="AG1069" s="572"/>
      <c r="AH1069" s="572"/>
      <c r="AI1069" s="572"/>
      <c r="AJ1069" s="572"/>
      <c r="AK1069" s="572"/>
      <c r="AL1069" s="572"/>
      <c r="AM1069" s="572"/>
      <c r="AN1069" s="572"/>
      <c r="AO1069" s="572"/>
      <c r="AP1069" s="572"/>
      <c r="AQ1069" s="572"/>
      <c r="AR1069" s="572"/>
      <c r="AS1069" s="572"/>
      <c r="AT1069" s="572"/>
      <c r="AU1069" s="572"/>
    </row>
    <row r="1070" spans="1:47" ht="15.75" customHeight="1">
      <c r="A1070" s="573">
        <v>44866</v>
      </c>
      <c r="B1070" s="598">
        <v>6986262</v>
      </c>
      <c r="C1070" s="563" t="s">
        <v>3785</v>
      </c>
      <c r="D1070" s="563" t="s">
        <v>6341</v>
      </c>
      <c r="E1070" s="575">
        <v>500</v>
      </c>
      <c r="F1070" s="563" t="s">
        <v>4297</v>
      </c>
      <c r="G1070" s="555" t="s">
        <v>19</v>
      </c>
      <c r="H1070" s="563" t="s">
        <v>49</v>
      </c>
      <c r="I1070" s="563" t="s">
        <v>4134</v>
      </c>
      <c r="J1070" s="573">
        <v>44503</v>
      </c>
      <c r="K1070" s="532" t="s">
        <v>3842</v>
      </c>
      <c r="L1070" s="572"/>
      <c r="M1070" s="572"/>
      <c r="N1070" s="572"/>
      <c r="O1070" s="572"/>
      <c r="P1070" s="572"/>
      <c r="Q1070" s="572"/>
      <c r="R1070" s="572"/>
      <c r="S1070" s="572"/>
      <c r="T1070" s="572"/>
      <c r="U1070" s="572"/>
      <c r="V1070" s="572"/>
      <c r="W1070" s="572"/>
      <c r="X1070" s="572"/>
      <c r="Y1070" s="572"/>
      <c r="Z1070" s="572"/>
      <c r="AA1070" s="572"/>
      <c r="AB1070" s="572"/>
      <c r="AC1070" s="572"/>
      <c r="AD1070" s="572"/>
      <c r="AE1070" s="572"/>
      <c r="AF1070" s="572"/>
      <c r="AG1070" s="572"/>
      <c r="AH1070" s="572"/>
      <c r="AI1070" s="572"/>
      <c r="AJ1070" s="572"/>
      <c r="AK1070" s="572"/>
      <c r="AL1070" s="572"/>
      <c r="AM1070" s="572"/>
      <c r="AN1070" s="572"/>
      <c r="AO1070" s="572"/>
      <c r="AP1070" s="572"/>
      <c r="AQ1070" s="572"/>
      <c r="AR1070" s="572"/>
      <c r="AS1070" s="572"/>
      <c r="AT1070" s="572"/>
      <c r="AU1070" s="572"/>
    </row>
    <row r="1071" spans="1:47" ht="15.75" customHeight="1">
      <c r="A1071" s="573">
        <v>44866</v>
      </c>
      <c r="B1071" s="574" t="s">
        <v>6833</v>
      </c>
      <c r="C1071" s="563" t="s">
        <v>3785</v>
      </c>
      <c r="D1071" s="563" t="s">
        <v>6341</v>
      </c>
      <c r="E1071" s="575">
        <v>15000</v>
      </c>
      <c r="F1071" s="563" t="s">
        <v>3861</v>
      </c>
      <c r="G1071" s="563" t="s">
        <v>64</v>
      </c>
      <c r="H1071" s="563" t="s">
        <v>20</v>
      </c>
      <c r="I1071" s="563" t="s">
        <v>5305</v>
      </c>
      <c r="J1071" s="573">
        <v>44085</v>
      </c>
      <c r="K1071" s="563" t="s">
        <v>3795</v>
      </c>
      <c r="L1071" s="572"/>
      <c r="M1071" s="572"/>
      <c r="N1071" s="572"/>
      <c r="O1071" s="572"/>
      <c r="P1071" s="572"/>
      <c r="Q1071" s="572"/>
      <c r="R1071" s="572"/>
      <c r="S1071" s="572"/>
      <c r="T1071" s="572"/>
      <c r="U1071" s="572"/>
      <c r="V1071" s="572"/>
      <c r="W1071" s="572"/>
      <c r="X1071" s="572"/>
      <c r="Y1071" s="572"/>
      <c r="Z1071" s="572"/>
      <c r="AA1071" s="572"/>
      <c r="AB1071" s="572"/>
      <c r="AC1071" s="572"/>
      <c r="AD1071" s="572"/>
      <c r="AE1071" s="572"/>
      <c r="AF1071" s="572"/>
      <c r="AG1071" s="572"/>
      <c r="AH1071" s="572"/>
      <c r="AI1071" s="572"/>
      <c r="AJ1071" s="572"/>
      <c r="AK1071" s="572"/>
      <c r="AL1071" s="572"/>
      <c r="AM1071" s="572"/>
      <c r="AN1071" s="572"/>
      <c r="AO1071" s="572"/>
      <c r="AP1071" s="572"/>
      <c r="AQ1071" s="572"/>
      <c r="AR1071" s="572"/>
      <c r="AS1071" s="572"/>
      <c r="AT1071" s="572"/>
      <c r="AU1071" s="572"/>
    </row>
    <row r="1072" spans="1:47" ht="15.75" customHeight="1">
      <c r="A1072" s="573">
        <v>44868</v>
      </c>
      <c r="B1072" s="574" t="s">
        <v>6823</v>
      </c>
      <c r="C1072" s="563" t="s">
        <v>3785</v>
      </c>
      <c r="D1072" s="563" t="s">
        <v>6341</v>
      </c>
      <c r="E1072" s="575">
        <v>4500</v>
      </c>
      <c r="F1072" s="563" t="s">
        <v>641</v>
      </c>
      <c r="G1072" s="563" t="s">
        <v>19</v>
      </c>
      <c r="H1072" s="563" t="s">
        <v>20</v>
      </c>
      <c r="I1072" s="563" t="s">
        <v>199</v>
      </c>
      <c r="J1072" s="573">
        <v>44819</v>
      </c>
      <c r="K1072" s="563" t="s">
        <v>3805</v>
      </c>
      <c r="L1072" s="572"/>
      <c r="M1072" s="572"/>
      <c r="N1072" s="572"/>
      <c r="O1072" s="572"/>
      <c r="P1072" s="572"/>
      <c r="Q1072" s="572"/>
      <c r="R1072" s="572"/>
      <c r="S1072" s="572"/>
      <c r="T1072" s="572"/>
      <c r="U1072" s="572"/>
      <c r="V1072" s="572"/>
      <c r="W1072" s="572"/>
      <c r="X1072" s="572"/>
      <c r="Y1072" s="572"/>
      <c r="Z1072" s="572"/>
      <c r="AA1072" s="572"/>
      <c r="AB1072" s="572"/>
      <c r="AC1072" s="572"/>
      <c r="AD1072" s="572"/>
      <c r="AE1072" s="572"/>
      <c r="AF1072" s="572"/>
      <c r="AG1072" s="572"/>
      <c r="AH1072" s="572"/>
      <c r="AI1072" s="572"/>
      <c r="AJ1072" s="572"/>
      <c r="AK1072" s="572"/>
      <c r="AL1072" s="572"/>
      <c r="AM1072" s="572"/>
      <c r="AN1072" s="572"/>
      <c r="AO1072" s="572"/>
      <c r="AP1072" s="572"/>
      <c r="AQ1072" s="572"/>
      <c r="AR1072" s="572"/>
      <c r="AS1072" s="572"/>
      <c r="AT1072" s="572"/>
      <c r="AU1072" s="572"/>
    </row>
    <row r="1073" spans="1:47" ht="15.75" customHeight="1">
      <c r="A1073" s="573">
        <v>44872</v>
      </c>
      <c r="B1073" s="574" t="s">
        <v>6832</v>
      </c>
      <c r="C1073" s="563" t="s">
        <v>3785</v>
      </c>
      <c r="D1073" s="563" t="s">
        <v>6341</v>
      </c>
      <c r="E1073" s="575">
        <v>6500</v>
      </c>
      <c r="F1073" s="563" t="s">
        <v>4885</v>
      </c>
      <c r="G1073" s="563" t="s">
        <v>19</v>
      </c>
      <c r="H1073" s="563" t="s">
        <v>20</v>
      </c>
      <c r="I1073" s="563" t="s">
        <v>166</v>
      </c>
      <c r="J1073" s="573">
        <v>44749</v>
      </c>
      <c r="K1073" s="563" t="s">
        <v>3802</v>
      </c>
      <c r="L1073" s="572"/>
      <c r="M1073" s="572"/>
      <c r="N1073" s="572"/>
      <c r="O1073" s="572"/>
      <c r="P1073" s="572"/>
      <c r="Q1073" s="572"/>
      <c r="R1073" s="572"/>
      <c r="S1073" s="572"/>
      <c r="T1073" s="572"/>
      <c r="U1073" s="572"/>
      <c r="V1073" s="572"/>
      <c r="W1073" s="572"/>
      <c r="X1073" s="572"/>
      <c r="Y1073" s="572"/>
      <c r="Z1073" s="572"/>
      <c r="AA1073" s="572"/>
      <c r="AB1073" s="572"/>
      <c r="AC1073" s="572"/>
      <c r="AD1073" s="572"/>
      <c r="AE1073" s="572"/>
      <c r="AF1073" s="572"/>
      <c r="AG1073" s="572"/>
      <c r="AH1073" s="572"/>
      <c r="AI1073" s="572"/>
      <c r="AJ1073" s="572"/>
      <c r="AK1073" s="572"/>
      <c r="AL1073" s="572"/>
      <c r="AM1073" s="572"/>
      <c r="AN1073" s="572"/>
      <c r="AO1073" s="572"/>
      <c r="AP1073" s="572"/>
      <c r="AQ1073" s="572"/>
      <c r="AR1073" s="572"/>
      <c r="AS1073" s="572"/>
      <c r="AT1073" s="572"/>
      <c r="AU1073" s="572"/>
    </row>
    <row r="1074" spans="1:47" ht="15.75" customHeight="1">
      <c r="A1074" s="573">
        <v>44873</v>
      </c>
      <c r="B1074" s="574" t="s">
        <v>6834</v>
      </c>
      <c r="C1074" s="563" t="s">
        <v>3785</v>
      </c>
      <c r="D1074" s="563" t="s">
        <v>6341</v>
      </c>
      <c r="E1074" s="575">
        <v>100000</v>
      </c>
      <c r="F1074" s="563" t="s">
        <v>4741</v>
      </c>
      <c r="G1074" s="563" t="s">
        <v>19</v>
      </c>
      <c r="H1074" s="563" t="s">
        <v>49</v>
      </c>
      <c r="I1074" s="563" t="s">
        <v>277</v>
      </c>
      <c r="J1074" s="573">
        <v>44790</v>
      </c>
      <c r="K1074" s="563" t="s">
        <v>3805</v>
      </c>
      <c r="L1074" s="572"/>
      <c r="M1074" s="572"/>
      <c r="N1074" s="572"/>
      <c r="O1074" s="572"/>
      <c r="P1074" s="572"/>
      <c r="Q1074" s="572"/>
      <c r="R1074" s="572"/>
      <c r="S1074" s="572"/>
      <c r="T1074" s="572"/>
      <c r="U1074" s="572"/>
      <c r="V1074" s="572"/>
      <c r="W1074" s="572"/>
      <c r="X1074" s="572"/>
      <c r="Y1074" s="572"/>
      <c r="Z1074" s="572"/>
      <c r="AA1074" s="572"/>
      <c r="AB1074" s="572"/>
      <c r="AC1074" s="572"/>
      <c r="AD1074" s="572"/>
      <c r="AE1074" s="572"/>
      <c r="AF1074" s="572"/>
      <c r="AG1074" s="572"/>
      <c r="AH1074" s="572"/>
      <c r="AI1074" s="572"/>
      <c r="AJ1074" s="572"/>
      <c r="AK1074" s="572"/>
      <c r="AL1074" s="572"/>
      <c r="AM1074" s="572"/>
      <c r="AN1074" s="572"/>
      <c r="AO1074" s="572"/>
      <c r="AP1074" s="572"/>
      <c r="AQ1074" s="572"/>
      <c r="AR1074" s="572"/>
      <c r="AS1074" s="572"/>
      <c r="AT1074" s="572"/>
      <c r="AU1074" s="572"/>
    </row>
    <row r="1075" spans="1:47" ht="15.75" customHeight="1">
      <c r="A1075" s="573">
        <v>44873</v>
      </c>
      <c r="B1075" s="598" t="s">
        <v>6663</v>
      </c>
      <c r="C1075" s="563" t="s">
        <v>3785</v>
      </c>
      <c r="D1075" s="563" t="s">
        <v>6341</v>
      </c>
      <c r="E1075" s="575">
        <v>30000</v>
      </c>
      <c r="F1075" s="563" t="s">
        <v>1743</v>
      </c>
      <c r="G1075" s="555" t="s">
        <v>19</v>
      </c>
      <c r="H1075" s="555" t="s">
        <v>20</v>
      </c>
      <c r="I1075" s="555" t="s">
        <v>6664</v>
      </c>
      <c r="J1075" s="596">
        <v>44594</v>
      </c>
      <c r="K1075" s="563" t="s">
        <v>3802</v>
      </c>
      <c r="L1075" s="572"/>
      <c r="M1075" s="572"/>
      <c r="N1075" s="572"/>
      <c r="O1075" s="572"/>
      <c r="P1075" s="572"/>
      <c r="Q1075" s="572"/>
      <c r="R1075" s="572"/>
      <c r="S1075" s="572"/>
      <c r="T1075" s="572"/>
      <c r="U1075" s="572"/>
      <c r="V1075" s="572"/>
      <c r="W1075" s="572"/>
      <c r="X1075" s="572"/>
      <c r="Y1075" s="572"/>
      <c r="Z1075" s="572"/>
      <c r="AA1075" s="572"/>
      <c r="AB1075" s="572"/>
      <c r="AC1075" s="572"/>
      <c r="AD1075" s="572"/>
      <c r="AE1075" s="572"/>
      <c r="AF1075" s="572"/>
      <c r="AG1075" s="572"/>
      <c r="AH1075" s="572"/>
      <c r="AI1075" s="572"/>
      <c r="AJ1075" s="572"/>
      <c r="AK1075" s="572"/>
      <c r="AL1075" s="572"/>
      <c r="AM1075" s="572"/>
      <c r="AN1075" s="572"/>
      <c r="AO1075" s="572"/>
      <c r="AP1075" s="572"/>
      <c r="AQ1075" s="572"/>
      <c r="AR1075" s="572"/>
      <c r="AS1075" s="572"/>
      <c r="AT1075" s="572"/>
      <c r="AU1075" s="572"/>
    </row>
    <row r="1076" spans="1:47" ht="15.75" customHeight="1">
      <c r="A1076" s="573">
        <v>44874</v>
      </c>
      <c r="B1076" s="574" t="s">
        <v>6830</v>
      </c>
      <c r="C1076" s="563" t="s">
        <v>3785</v>
      </c>
      <c r="D1076" s="563" t="s">
        <v>6341</v>
      </c>
      <c r="E1076" s="575">
        <v>1000</v>
      </c>
      <c r="F1076" s="563" t="s">
        <v>6835</v>
      </c>
      <c r="G1076" s="563" t="s">
        <v>19</v>
      </c>
      <c r="H1076" s="563" t="s">
        <v>49</v>
      </c>
      <c r="I1076" s="563" t="s">
        <v>6801</v>
      </c>
      <c r="J1076" s="573">
        <v>44733</v>
      </c>
      <c r="K1076" s="563" t="s">
        <v>3805</v>
      </c>
      <c r="L1076" s="572"/>
      <c r="M1076" s="572"/>
      <c r="N1076" s="572"/>
      <c r="O1076" s="572"/>
      <c r="P1076" s="572"/>
      <c r="Q1076" s="572"/>
      <c r="R1076" s="572"/>
      <c r="S1076" s="572"/>
      <c r="T1076" s="572"/>
      <c r="U1076" s="572"/>
      <c r="V1076" s="572"/>
      <c r="W1076" s="572"/>
      <c r="X1076" s="572"/>
      <c r="Y1076" s="572"/>
      <c r="Z1076" s="572"/>
      <c r="AA1076" s="572"/>
      <c r="AB1076" s="572"/>
      <c r="AC1076" s="572"/>
      <c r="AD1076" s="572"/>
      <c r="AE1076" s="572"/>
      <c r="AF1076" s="572"/>
      <c r="AG1076" s="572"/>
      <c r="AH1076" s="572"/>
      <c r="AI1076" s="572"/>
      <c r="AJ1076" s="572"/>
      <c r="AK1076" s="572"/>
      <c r="AL1076" s="572"/>
      <c r="AM1076" s="572"/>
      <c r="AN1076" s="572"/>
      <c r="AO1076" s="572"/>
      <c r="AP1076" s="572"/>
      <c r="AQ1076" s="572"/>
      <c r="AR1076" s="572"/>
      <c r="AS1076" s="572"/>
      <c r="AT1076" s="572"/>
      <c r="AU1076" s="572"/>
    </row>
    <row r="1077" spans="1:47" ht="15.75" customHeight="1">
      <c r="A1077" s="573">
        <v>44874</v>
      </c>
      <c r="B1077" s="574" t="s">
        <v>6836</v>
      </c>
      <c r="C1077" s="563" t="s">
        <v>3785</v>
      </c>
      <c r="D1077" s="563" t="s">
        <v>6341</v>
      </c>
      <c r="E1077" s="575">
        <v>60000</v>
      </c>
      <c r="F1077" s="563" t="s">
        <v>2653</v>
      </c>
      <c r="G1077" s="563" t="s">
        <v>19</v>
      </c>
      <c r="H1077" s="563" t="s">
        <v>20</v>
      </c>
      <c r="I1077" s="563" t="s">
        <v>21</v>
      </c>
      <c r="J1077" s="573">
        <v>44802</v>
      </c>
      <c r="K1077" s="563" t="s">
        <v>3802</v>
      </c>
      <c r="L1077" s="572"/>
      <c r="M1077" s="572"/>
      <c r="N1077" s="572"/>
      <c r="O1077" s="572"/>
      <c r="P1077" s="572"/>
      <c r="Q1077" s="572"/>
      <c r="R1077" s="572"/>
      <c r="S1077" s="572"/>
      <c r="T1077" s="572"/>
      <c r="U1077" s="572"/>
      <c r="V1077" s="572"/>
      <c r="W1077" s="572"/>
      <c r="X1077" s="572"/>
      <c r="Y1077" s="572"/>
      <c r="Z1077" s="572"/>
      <c r="AA1077" s="572"/>
      <c r="AB1077" s="572"/>
      <c r="AC1077" s="572"/>
      <c r="AD1077" s="572"/>
      <c r="AE1077" s="572"/>
      <c r="AF1077" s="572"/>
      <c r="AG1077" s="572"/>
      <c r="AH1077" s="572"/>
      <c r="AI1077" s="572"/>
      <c r="AJ1077" s="572"/>
      <c r="AK1077" s="572"/>
      <c r="AL1077" s="572"/>
      <c r="AM1077" s="572"/>
      <c r="AN1077" s="572"/>
      <c r="AO1077" s="572"/>
      <c r="AP1077" s="572"/>
      <c r="AQ1077" s="572"/>
      <c r="AR1077" s="572"/>
      <c r="AS1077" s="572"/>
      <c r="AT1077" s="572"/>
      <c r="AU1077" s="572"/>
    </row>
    <row r="1078" spans="1:47" ht="15.75" customHeight="1">
      <c r="A1078" s="573">
        <v>44874</v>
      </c>
      <c r="B1078" s="574" t="s">
        <v>6775</v>
      </c>
      <c r="C1078" s="563" t="s">
        <v>3785</v>
      </c>
      <c r="D1078" s="563" t="s">
        <v>6341</v>
      </c>
      <c r="E1078" s="575">
        <v>8000</v>
      </c>
      <c r="F1078" s="563" t="s">
        <v>4723</v>
      </c>
      <c r="G1078" s="563" t="s">
        <v>19</v>
      </c>
      <c r="H1078" s="563" t="s">
        <v>20</v>
      </c>
      <c r="I1078" s="563" t="s">
        <v>3072</v>
      </c>
      <c r="J1078" s="573">
        <v>44393</v>
      </c>
      <c r="K1078" s="563" t="s">
        <v>3789</v>
      </c>
      <c r="L1078" s="572"/>
      <c r="M1078" s="572"/>
      <c r="N1078" s="572"/>
      <c r="O1078" s="572"/>
      <c r="P1078" s="572"/>
      <c r="Q1078" s="572"/>
      <c r="R1078" s="572"/>
      <c r="S1078" s="572"/>
      <c r="T1078" s="572"/>
      <c r="U1078" s="572"/>
      <c r="V1078" s="572"/>
      <c r="W1078" s="572"/>
      <c r="X1078" s="572"/>
      <c r="Y1078" s="572"/>
      <c r="Z1078" s="572"/>
      <c r="AA1078" s="572"/>
      <c r="AB1078" s="572"/>
      <c r="AC1078" s="572"/>
      <c r="AD1078" s="572"/>
      <c r="AE1078" s="572"/>
      <c r="AF1078" s="572"/>
      <c r="AG1078" s="572"/>
      <c r="AH1078" s="572"/>
      <c r="AI1078" s="572"/>
      <c r="AJ1078" s="572"/>
      <c r="AK1078" s="572"/>
      <c r="AL1078" s="572"/>
      <c r="AM1078" s="572"/>
      <c r="AN1078" s="572"/>
      <c r="AO1078" s="572"/>
      <c r="AP1078" s="572"/>
      <c r="AQ1078" s="572"/>
      <c r="AR1078" s="572"/>
      <c r="AS1078" s="572"/>
      <c r="AT1078" s="572"/>
      <c r="AU1078" s="572"/>
    </row>
    <row r="1079" spans="1:47" ht="15.75" customHeight="1">
      <c r="A1079" s="573">
        <v>44875</v>
      </c>
      <c r="B1079" s="574" t="s">
        <v>6837</v>
      </c>
      <c r="C1079" s="563" t="s">
        <v>3785</v>
      </c>
      <c r="D1079" s="563" t="s">
        <v>6341</v>
      </c>
      <c r="E1079" s="575">
        <v>6000</v>
      </c>
      <c r="F1079" s="563" t="s">
        <v>412</v>
      </c>
      <c r="G1079" s="563" t="s">
        <v>19</v>
      </c>
      <c r="H1079" s="563" t="s">
        <v>49</v>
      </c>
      <c r="I1079" s="563" t="s">
        <v>166</v>
      </c>
      <c r="J1079" s="573">
        <v>44767</v>
      </c>
      <c r="K1079" s="563" t="s">
        <v>3802</v>
      </c>
      <c r="L1079" s="572"/>
      <c r="M1079" s="572"/>
      <c r="N1079" s="572"/>
      <c r="O1079" s="572"/>
      <c r="P1079" s="572"/>
      <c r="Q1079" s="572"/>
      <c r="R1079" s="572"/>
      <c r="S1079" s="572"/>
      <c r="T1079" s="572"/>
      <c r="U1079" s="572"/>
      <c r="V1079" s="572"/>
      <c r="W1079" s="572"/>
      <c r="X1079" s="572"/>
      <c r="Y1079" s="572"/>
      <c r="Z1079" s="572"/>
      <c r="AA1079" s="572"/>
      <c r="AB1079" s="572"/>
      <c r="AC1079" s="572"/>
      <c r="AD1079" s="572"/>
      <c r="AE1079" s="572"/>
      <c r="AF1079" s="572"/>
      <c r="AG1079" s="572"/>
      <c r="AH1079" s="572"/>
      <c r="AI1079" s="572"/>
      <c r="AJ1079" s="572"/>
      <c r="AK1079" s="572"/>
      <c r="AL1079" s="572"/>
      <c r="AM1079" s="572"/>
      <c r="AN1079" s="572"/>
      <c r="AO1079" s="572"/>
      <c r="AP1079" s="572"/>
      <c r="AQ1079" s="572"/>
      <c r="AR1079" s="572"/>
      <c r="AS1079" s="572"/>
      <c r="AT1079" s="572"/>
      <c r="AU1079" s="572"/>
    </row>
    <row r="1080" spans="1:47" ht="15.75" customHeight="1">
      <c r="A1080" s="573">
        <v>44879</v>
      </c>
      <c r="B1080" s="605" t="s">
        <v>6807</v>
      </c>
      <c r="C1080" s="405" t="s">
        <v>3785</v>
      </c>
      <c r="D1080" s="563" t="s">
        <v>6341</v>
      </c>
      <c r="E1080" s="586">
        <v>85000</v>
      </c>
      <c r="F1080" s="563" t="s">
        <v>4856</v>
      </c>
      <c r="G1080" s="573" t="s">
        <v>19</v>
      </c>
      <c r="H1080" s="573" t="s">
        <v>49</v>
      </c>
      <c r="I1080" s="573" t="s">
        <v>277</v>
      </c>
      <c r="J1080" s="573">
        <v>44698</v>
      </c>
      <c r="K1080" s="573" t="s">
        <v>3809</v>
      </c>
      <c r="L1080" s="572"/>
      <c r="M1080" s="572"/>
      <c r="N1080" s="572"/>
      <c r="O1080" s="572"/>
      <c r="P1080" s="572"/>
      <c r="Q1080" s="572"/>
      <c r="R1080" s="572"/>
      <c r="S1080" s="572"/>
      <c r="T1080" s="572"/>
      <c r="U1080" s="572"/>
      <c r="V1080" s="572"/>
      <c r="W1080" s="572"/>
      <c r="X1080" s="572"/>
      <c r="Y1080" s="572"/>
      <c r="Z1080" s="572"/>
      <c r="AA1080" s="572"/>
      <c r="AB1080" s="572"/>
      <c r="AC1080" s="572"/>
      <c r="AD1080" s="572"/>
      <c r="AE1080" s="572"/>
      <c r="AF1080" s="572"/>
      <c r="AG1080" s="572"/>
      <c r="AH1080" s="572"/>
      <c r="AI1080" s="572"/>
      <c r="AJ1080" s="572"/>
      <c r="AK1080" s="572"/>
      <c r="AL1080" s="572"/>
      <c r="AM1080" s="572"/>
      <c r="AN1080" s="572"/>
      <c r="AO1080" s="572"/>
      <c r="AP1080" s="572"/>
      <c r="AQ1080" s="572"/>
      <c r="AR1080" s="572"/>
      <c r="AS1080" s="572"/>
      <c r="AT1080" s="572"/>
      <c r="AU1080" s="572"/>
    </row>
    <row r="1081" spans="1:47" ht="15.75" customHeight="1">
      <c r="A1081" s="573">
        <v>44879</v>
      </c>
      <c r="B1081" s="532">
        <v>5681841</v>
      </c>
      <c r="C1081" s="532" t="s">
        <v>3785</v>
      </c>
      <c r="D1081" s="563" t="s">
        <v>6341</v>
      </c>
      <c r="E1081" s="575">
        <v>100000</v>
      </c>
      <c r="F1081" s="555" t="s">
        <v>5251</v>
      </c>
      <c r="G1081" s="555" t="s">
        <v>19</v>
      </c>
      <c r="H1081" s="563" t="s">
        <v>49</v>
      </c>
      <c r="I1081" s="563" t="s">
        <v>166</v>
      </c>
      <c r="J1081" s="573">
        <v>44469</v>
      </c>
      <c r="K1081" s="556" t="s">
        <v>3805</v>
      </c>
      <c r="L1081" s="572"/>
      <c r="M1081" s="572"/>
      <c r="N1081" s="572"/>
      <c r="O1081" s="572"/>
      <c r="P1081" s="572"/>
      <c r="Q1081" s="572"/>
      <c r="R1081" s="572"/>
      <c r="S1081" s="572"/>
      <c r="T1081" s="572"/>
      <c r="U1081" s="572"/>
      <c r="V1081" s="572"/>
      <c r="W1081" s="572"/>
      <c r="X1081" s="572"/>
      <c r="Y1081" s="572"/>
      <c r="Z1081" s="572"/>
      <c r="AA1081" s="572"/>
      <c r="AB1081" s="572"/>
      <c r="AC1081" s="572"/>
      <c r="AD1081" s="572"/>
      <c r="AE1081" s="572"/>
      <c r="AF1081" s="572"/>
      <c r="AG1081" s="572"/>
      <c r="AH1081" s="572"/>
      <c r="AI1081" s="572"/>
      <c r="AJ1081" s="572"/>
      <c r="AK1081" s="572"/>
      <c r="AL1081" s="572"/>
      <c r="AM1081" s="572"/>
      <c r="AN1081" s="572"/>
      <c r="AO1081" s="572"/>
      <c r="AP1081" s="572"/>
      <c r="AQ1081" s="572"/>
      <c r="AR1081" s="572"/>
      <c r="AS1081" s="572"/>
      <c r="AT1081" s="572"/>
      <c r="AU1081" s="572"/>
    </row>
    <row r="1082" spans="1:47" ht="15.75" customHeight="1">
      <c r="A1082" s="573">
        <v>44881</v>
      </c>
      <c r="B1082" s="574" t="s">
        <v>6838</v>
      </c>
      <c r="C1082" s="563" t="s">
        <v>3785</v>
      </c>
      <c r="D1082" s="563" t="s">
        <v>6341</v>
      </c>
      <c r="E1082" s="575">
        <v>5000</v>
      </c>
      <c r="F1082" s="563" t="s">
        <v>271</v>
      </c>
      <c r="G1082" s="563" t="s">
        <v>64</v>
      </c>
      <c r="H1082" s="563" t="s">
        <v>20</v>
      </c>
      <c r="I1082" s="563" t="s">
        <v>3847</v>
      </c>
      <c r="J1082" s="573">
        <v>44231</v>
      </c>
      <c r="K1082" s="563" t="s">
        <v>3809</v>
      </c>
      <c r="L1082" s="572"/>
      <c r="M1082" s="572"/>
      <c r="N1082" s="572"/>
      <c r="O1082" s="572"/>
      <c r="P1082" s="572"/>
      <c r="Q1082" s="572"/>
      <c r="R1082" s="572"/>
      <c r="S1082" s="572"/>
      <c r="T1082" s="572"/>
      <c r="U1082" s="572"/>
      <c r="V1082" s="572"/>
      <c r="W1082" s="572"/>
      <c r="X1082" s="572"/>
      <c r="Y1082" s="572"/>
      <c r="Z1082" s="572"/>
      <c r="AA1082" s="572"/>
      <c r="AB1082" s="572"/>
      <c r="AC1082" s="572"/>
      <c r="AD1082" s="572"/>
      <c r="AE1082" s="572"/>
      <c r="AF1082" s="572"/>
      <c r="AG1082" s="572"/>
      <c r="AH1082" s="572"/>
      <c r="AI1082" s="572"/>
      <c r="AJ1082" s="572"/>
      <c r="AK1082" s="572"/>
      <c r="AL1082" s="572"/>
      <c r="AM1082" s="572"/>
      <c r="AN1082" s="572"/>
      <c r="AO1082" s="572"/>
      <c r="AP1082" s="572"/>
      <c r="AQ1082" s="572"/>
      <c r="AR1082" s="572"/>
      <c r="AS1082" s="572"/>
      <c r="AT1082" s="572"/>
      <c r="AU1082" s="572"/>
    </row>
    <row r="1083" spans="1:47" ht="15.75" customHeight="1">
      <c r="A1083" s="573">
        <v>44881</v>
      </c>
      <c r="B1083" s="607" t="s">
        <v>6652</v>
      </c>
      <c r="C1083" s="405" t="s">
        <v>3785</v>
      </c>
      <c r="D1083" s="563" t="s">
        <v>6341</v>
      </c>
      <c r="E1083" s="586">
        <v>20000</v>
      </c>
      <c r="F1083" s="563" t="s">
        <v>3951</v>
      </c>
      <c r="G1083" s="563" t="s">
        <v>19</v>
      </c>
      <c r="H1083" s="563" t="s">
        <v>20</v>
      </c>
      <c r="I1083" s="563" t="s">
        <v>3952</v>
      </c>
      <c r="J1083" s="573">
        <v>44061</v>
      </c>
      <c r="K1083" s="563" t="s">
        <v>3795</v>
      </c>
      <c r="L1083" s="572"/>
      <c r="M1083" s="572"/>
      <c r="N1083" s="572"/>
      <c r="O1083" s="572"/>
      <c r="P1083" s="572"/>
      <c r="Q1083" s="572"/>
      <c r="R1083" s="572"/>
      <c r="S1083" s="572"/>
      <c r="T1083" s="572"/>
      <c r="U1083" s="572"/>
      <c r="V1083" s="572"/>
      <c r="W1083" s="572"/>
      <c r="X1083" s="572"/>
      <c r="Y1083" s="572"/>
      <c r="Z1083" s="572"/>
      <c r="AA1083" s="572"/>
      <c r="AB1083" s="572"/>
      <c r="AC1083" s="572"/>
      <c r="AD1083" s="572"/>
      <c r="AE1083" s="572"/>
      <c r="AF1083" s="572"/>
      <c r="AG1083" s="572"/>
      <c r="AH1083" s="572"/>
      <c r="AI1083" s="572"/>
      <c r="AJ1083" s="572"/>
      <c r="AK1083" s="572"/>
      <c r="AL1083" s="572"/>
      <c r="AM1083" s="572"/>
      <c r="AN1083" s="572"/>
      <c r="AO1083" s="572"/>
      <c r="AP1083" s="572"/>
      <c r="AQ1083" s="572"/>
      <c r="AR1083" s="572"/>
      <c r="AS1083" s="572"/>
      <c r="AT1083" s="572"/>
      <c r="AU1083" s="572"/>
    </row>
    <row r="1084" spans="1:47" ht="15.75" customHeight="1">
      <c r="A1084" s="573">
        <v>44882</v>
      </c>
      <c r="B1084" s="574" t="s">
        <v>6839</v>
      </c>
      <c r="C1084" s="563" t="s">
        <v>3785</v>
      </c>
      <c r="D1084" s="563" t="s">
        <v>6341</v>
      </c>
      <c r="E1084" s="575">
        <v>10000</v>
      </c>
      <c r="F1084" s="563" t="s">
        <v>3122</v>
      </c>
      <c r="G1084" s="563" t="s">
        <v>19</v>
      </c>
      <c r="H1084" s="563" t="s">
        <v>20</v>
      </c>
      <c r="I1084" s="563" t="s">
        <v>21</v>
      </c>
      <c r="J1084" s="573">
        <v>44644</v>
      </c>
      <c r="K1084" s="563" t="s">
        <v>3802</v>
      </c>
      <c r="L1084" s="572"/>
      <c r="M1084" s="572"/>
      <c r="N1084" s="572"/>
      <c r="O1084" s="572"/>
      <c r="P1084" s="572"/>
      <c r="Q1084" s="572"/>
      <c r="R1084" s="572"/>
      <c r="S1084" s="572"/>
      <c r="T1084" s="572"/>
      <c r="U1084" s="572"/>
      <c r="V1084" s="572"/>
      <c r="W1084" s="572"/>
      <c r="X1084" s="572"/>
      <c r="Y1084" s="572"/>
      <c r="Z1084" s="572"/>
      <c r="AA1084" s="572"/>
      <c r="AB1084" s="572"/>
      <c r="AC1084" s="572"/>
      <c r="AD1084" s="572"/>
      <c r="AE1084" s="572"/>
      <c r="AF1084" s="572"/>
      <c r="AG1084" s="572"/>
      <c r="AH1084" s="572"/>
      <c r="AI1084" s="572"/>
      <c r="AJ1084" s="572"/>
      <c r="AK1084" s="572"/>
      <c r="AL1084" s="572"/>
      <c r="AM1084" s="572"/>
      <c r="AN1084" s="572"/>
      <c r="AO1084" s="572"/>
      <c r="AP1084" s="572"/>
      <c r="AQ1084" s="572"/>
      <c r="AR1084" s="572"/>
      <c r="AS1084" s="572"/>
      <c r="AT1084" s="572"/>
      <c r="AU1084" s="572"/>
    </row>
    <row r="1085" spans="1:47" ht="15.75" customHeight="1">
      <c r="A1085" s="573">
        <v>44887</v>
      </c>
      <c r="B1085" s="574" t="s">
        <v>6840</v>
      </c>
      <c r="C1085" s="563" t="s">
        <v>3785</v>
      </c>
      <c r="D1085" s="563" t="s">
        <v>6341</v>
      </c>
      <c r="E1085" s="575">
        <v>18042.73</v>
      </c>
      <c r="F1085" s="563" t="s">
        <v>4609</v>
      </c>
      <c r="G1085" s="563" t="s">
        <v>19</v>
      </c>
      <c r="H1085" s="563" t="s">
        <v>49</v>
      </c>
      <c r="I1085" s="563" t="s">
        <v>2036</v>
      </c>
      <c r="J1085" s="563" t="s">
        <v>3147</v>
      </c>
      <c r="K1085" s="563" t="s">
        <v>3802</v>
      </c>
      <c r="L1085" s="572"/>
      <c r="M1085" s="572"/>
      <c r="N1085" s="572"/>
      <c r="O1085" s="572"/>
      <c r="P1085" s="572"/>
      <c r="Q1085" s="572"/>
      <c r="R1085" s="572"/>
      <c r="S1085" s="572"/>
      <c r="T1085" s="572"/>
      <c r="U1085" s="572"/>
      <c r="V1085" s="572"/>
      <c r="W1085" s="572"/>
      <c r="X1085" s="572"/>
      <c r="Y1085" s="572"/>
      <c r="Z1085" s="572"/>
      <c r="AA1085" s="572"/>
      <c r="AB1085" s="572"/>
      <c r="AC1085" s="572"/>
      <c r="AD1085" s="572"/>
      <c r="AE1085" s="572"/>
      <c r="AF1085" s="572"/>
      <c r="AG1085" s="572"/>
      <c r="AH1085" s="572"/>
      <c r="AI1085" s="572"/>
      <c r="AJ1085" s="572"/>
      <c r="AK1085" s="572"/>
      <c r="AL1085" s="572"/>
      <c r="AM1085" s="572"/>
      <c r="AN1085" s="572"/>
      <c r="AO1085" s="572"/>
      <c r="AP1085" s="572"/>
      <c r="AQ1085" s="572"/>
      <c r="AR1085" s="572"/>
      <c r="AS1085" s="572"/>
      <c r="AT1085" s="572"/>
      <c r="AU1085" s="572"/>
    </row>
    <row r="1086" spans="1:47" ht="15.75" customHeight="1">
      <c r="A1086" s="573">
        <v>44889</v>
      </c>
      <c r="B1086" s="574" t="s">
        <v>6775</v>
      </c>
      <c r="C1086" s="563" t="s">
        <v>3785</v>
      </c>
      <c r="D1086" s="563" t="s">
        <v>6341</v>
      </c>
      <c r="E1086" s="575">
        <v>33000</v>
      </c>
      <c r="F1086" s="563" t="s">
        <v>4723</v>
      </c>
      <c r="G1086" s="563" t="s">
        <v>19</v>
      </c>
      <c r="H1086" s="563" t="s">
        <v>20</v>
      </c>
      <c r="I1086" s="563" t="s">
        <v>3072</v>
      </c>
      <c r="J1086" s="573">
        <v>44393</v>
      </c>
      <c r="K1086" s="563" t="s">
        <v>3789</v>
      </c>
      <c r="L1086" s="572"/>
      <c r="M1086" s="572"/>
      <c r="N1086" s="572"/>
      <c r="O1086" s="572"/>
      <c r="P1086" s="572"/>
      <c r="Q1086" s="572"/>
      <c r="R1086" s="572"/>
      <c r="S1086" s="572"/>
      <c r="T1086" s="572"/>
      <c r="U1086" s="572"/>
      <c r="V1086" s="572"/>
      <c r="W1086" s="572"/>
      <c r="X1086" s="572"/>
      <c r="Y1086" s="572"/>
      <c r="Z1086" s="572"/>
      <c r="AA1086" s="572"/>
      <c r="AB1086" s="572"/>
      <c r="AC1086" s="572"/>
      <c r="AD1086" s="572"/>
      <c r="AE1086" s="572"/>
      <c r="AF1086" s="572"/>
      <c r="AG1086" s="572"/>
      <c r="AH1086" s="572"/>
      <c r="AI1086" s="572"/>
      <c r="AJ1086" s="572"/>
      <c r="AK1086" s="572"/>
      <c r="AL1086" s="572"/>
      <c r="AM1086" s="572"/>
      <c r="AN1086" s="572"/>
      <c r="AO1086" s="572"/>
      <c r="AP1086" s="572"/>
      <c r="AQ1086" s="572"/>
      <c r="AR1086" s="572"/>
      <c r="AS1086" s="572"/>
      <c r="AT1086" s="572"/>
      <c r="AU1086" s="572"/>
    </row>
    <row r="1087" spans="1:47" ht="15.75" customHeight="1">
      <c r="A1087" s="597">
        <v>44889</v>
      </c>
      <c r="B1087" s="585" t="s">
        <v>6672</v>
      </c>
      <c r="C1087" s="532" t="s">
        <v>3785</v>
      </c>
      <c r="D1087" s="598" t="s">
        <v>6341</v>
      </c>
      <c r="E1087" s="599">
        <v>7000</v>
      </c>
      <c r="F1087" s="598" t="s">
        <v>3839</v>
      </c>
      <c r="G1087" s="598" t="s">
        <v>19</v>
      </c>
      <c r="H1087" s="598" t="s">
        <v>49</v>
      </c>
      <c r="I1087" s="598" t="s">
        <v>50</v>
      </c>
      <c r="J1087" s="597">
        <v>44609</v>
      </c>
      <c r="K1087" s="532" t="s">
        <v>3805</v>
      </c>
      <c r="L1087" s="572"/>
      <c r="M1087" s="572"/>
      <c r="N1087" s="572"/>
      <c r="O1087" s="572"/>
      <c r="P1087" s="572"/>
      <c r="Q1087" s="572"/>
      <c r="R1087" s="572"/>
      <c r="S1087" s="572"/>
      <c r="T1087" s="572"/>
      <c r="U1087" s="572"/>
      <c r="V1087" s="572"/>
      <c r="W1087" s="572"/>
      <c r="X1087" s="572"/>
      <c r="Y1087" s="572"/>
      <c r="Z1087" s="572"/>
      <c r="AA1087" s="572"/>
      <c r="AB1087" s="572"/>
      <c r="AC1087" s="572"/>
      <c r="AD1087" s="572"/>
      <c r="AE1087" s="572"/>
      <c r="AF1087" s="572"/>
      <c r="AG1087" s="572"/>
      <c r="AH1087" s="572"/>
      <c r="AI1087" s="572"/>
      <c r="AJ1087" s="572"/>
      <c r="AK1087" s="572"/>
      <c r="AL1087" s="572"/>
      <c r="AM1087" s="572"/>
      <c r="AN1087" s="572"/>
      <c r="AO1087" s="572"/>
      <c r="AP1087" s="572"/>
      <c r="AQ1087" s="572"/>
      <c r="AR1087" s="572"/>
      <c r="AS1087" s="572"/>
      <c r="AT1087" s="572"/>
      <c r="AU1087" s="572"/>
    </row>
    <row r="1088" spans="1:47" ht="15.75" customHeight="1">
      <c r="A1088" s="597">
        <v>44889</v>
      </c>
      <c r="B1088" s="585" t="s">
        <v>6672</v>
      </c>
      <c r="C1088" s="532" t="s">
        <v>3785</v>
      </c>
      <c r="D1088" s="598" t="s">
        <v>6341</v>
      </c>
      <c r="E1088" s="599">
        <v>7000</v>
      </c>
      <c r="F1088" s="598" t="s">
        <v>3839</v>
      </c>
      <c r="G1088" s="598" t="s">
        <v>19</v>
      </c>
      <c r="H1088" s="598" t="s">
        <v>49</v>
      </c>
      <c r="I1088" s="598" t="s">
        <v>50</v>
      </c>
      <c r="J1088" s="597">
        <v>44609</v>
      </c>
      <c r="K1088" s="532" t="s">
        <v>3805</v>
      </c>
      <c r="L1088" s="572"/>
      <c r="M1088" s="572"/>
      <c r="N1088" s="572"/>
      <c r="O1088" s="572"/>
      <c r="P1088" s="572"/>
      <c r="Q1088" s="572"/>
      <c r="R1088" s="572"/>
      <c r="S1088" s="572"/>
      <c r="T1088" s="572"/>
      <c r="U1088" s="572"/>
      <c r="V1088" s="572"/>
      <c r="W1088" s="572"/>
      <c r="X1088" s="572"/>
      <c r="Y1088" s="572"/>
      <c r="Z1088" s="572"/>
      <c r="AA1088" s="572"/>
      <c r="AB1088" s="572"/>
      <c r="AC1088" s="572"/>
      <c r="AD1088" s="572"/>
      <c r="AE1088" s="572"/>
      <c r="AF1088" s="572"/>
      <c r="AG1088" s="572"/>
      <c r="AH1088" s="572"/>
      <c r="AI1088" s="572"/>
      <c r="AJ1088" s="572"/>
      <c r="AK1088" s="572"/>
      <c r="AL1088" s="572"/>
      <c r="AM1088" s="572"/>
      <c r="AN1088" s="572"/>
      <c r="AO1088" s="572"/>
      <c r="AP1088" s="572"/>
      <c r="AQ1088" s="572"/>
      <c r="AR1088" s="572"/>
      <c r="AS1088" s="572"/>
      <c r="AT1088" s="572"/>
      <c r="AU1088" s="572"/>
    </row>
    <row r="1089" spans="1:47" ht="15.75" customHeight="1">
      <c r="A1089" s="573">
        <v>44890</v>
      </c>
      <c r="B1089" s="574" t="s">
        <v>6841</v>
      </c>
      <c r="C1089" s="563" t="s">
        <v>3785</v>
      </c>
      <c r="D1089" s="563" t="s">
        <v>6341</v>
      </c>
      <c r="E1089" s="575">
        <v>3000</v>
      </c>
      <c r="F1089" s="563" t="s">
        <v>6842</v>
      </c>
      <c r="G1089" s="563" t="s">
        <v>64</v>
      </c>
      <c r="H1089" s="563" t="s">
        <v>20</v>
      </c>
      <c r="I1089" s="563" t="s">
        <v>4152</v>
      </c>
      <c r="J1089" s="573">
        <v>44840</v>
      </c>
      <c r="K1089" s="563" t="s">
        <v>3802</v>
      </c>
      <c r="L1089" s="572"/>
      <c r="M1089" s="572"/>
      <c r="N1089" s="572"/>
      <c r="O1089" s="572"/>
      <c r="P1089" s="572"/>
      <c r="Q1089" s="572"/>
      <c r="R1089" s="572"/>
      <c r="S1089" s="572"/>
      <c r="T1089" s="572"/>
      <c r="U1089" s="572"/>
      <c r="V1089" s="572"/>
      <c r="W1089" s="572"/>
      <c r="X1089" s="572"/>
      <c r="Y1089" s="572"/>
      <c r="Z1089" s="572"/>
      <c r="AA1089" s="572"/>
      <c r="AB1089" s="572"/>
      <c r="AC1089" s="572"/>
      <c r="AD1089" s="572"/>
      <c r="AE1089" s="572"/>
      <c r="AF1089" s="572"/>
      <c r="AG1089" s="572"/>
      <c r="AH1089" s="572"/>
      <c r="AI1089" s="572"/>
      <c r="AJ1089" s="572"/>
      <c r="AK1089" s="572"/>
      <c r="AL1089" s="572"/>
      <c r="AM1089" s="572"/>
      <c r="AN1089" s="572"/>
      <c r="AO1089" s="572"/>
      <c r="AP1089" s="572"/>
      <c r="AQ1089" s="572"/>
      <c r="AR1089" s="572"/>
      <c r="AS1089" s="572"/>
      <c r="AT1089" s="572"/>
      <c r="AU1089" s="572"/>
    </row>
    <row r="1090" spans="1:47" ht="15.75" customHeight="1">
      <c r="A1090" s="573">
        <v>44890</v>
      </c>
      <c r="B1090" s="585" t="s">
        <v>6760</v>
      </c>
      <c r="C1090" s="532" t="s">
        <v>3785</v>
      </c>
      <c r="D1090" s="598" t="s">
        <v>6341</v>
      </c>
      <c r="E1090" s="599">
        <v>300000</v>
      </c>
      <c r="F1090" s="598" t="s">
        <v>1579</v>
      </c>
      <c r="G1090" s="598" t="s">
        <v>19</v>
      </c>
      <c r="H1090" s="598" t="s">
        <v>49</v>
      </c>
      <c r="I1090" s="598" t="s">
        <v>166</v>
      </c>
      <c r="J1090" s="597">
        <v>44568</v>
      </c>
      <c r="K1090" s="532" t="s">
        <v>4465</v>
      </c>
      <c r="L1090" s="572"/>
      <c r="M1090" s="572"/>
      <c r="N1090" s="572"/>
      <c r="O1090" s="572"/>
      <c r="P1090" s="572"/>
      <c r="Q1090" s="572"/>
      <c r="R1090" s="572"/>
      <c r="S1090" s="572"/>
      <c r="T1090" s="572"/>
      <c r="U1090" s="572"/>
      <c r="V1090" s="572"/>
      <c r="W1090" s="572"/>
      <c r="X1090" s="572"/>
      <c r="Y1090" s="572"/>
      <c r="Z1090" s="572"/>
      <c r="AA1090" s="572"/>
      <c r="AB1090" s="572"/>
      <c r="AC1090" s="572"/>
      <c r="AD1090" s="572"/>
      <c r="AE1090" s="572"/>
      <c r="AF1090" s="572"/>
      <c r="AG1090" s="572"/>
      <c r="AH1090" s="572"/>
      <c r="AI1090" s="572"/>
      <c r="AJ1090" s="572"/>
      <c r="AK1090" s="572"/>
      <c r="AL1090" s="572"/>
      <c r="AM1090" s="572"/>
      <c r="AN1090" s="572"/>
      <c r="AO1090" s="572"/>
      <c r="AP1090" s="572"/>
      <c r="AQ1090" s="572"/>
      <c r="AR1090" s="572"/>
      <c r="AS1090" s="572"/>
      <c r="AT1090" s="572"/>
      <c r="AU1090" s="572"/>
    </row>
    <row r="1091" spans="1:47" ht="15.75" customHeight="1">
      <c r="A1091" s="573">
        <v>44890</v>
      </c>
      <c r="B1091" s="574" t="s">
        <v>6773</v>
      </c>
      <c r="C1091" s="563" t="s">
        <v>3785</v>
      </c>
      <c r="D1091" s="563" t="s">
        <v>6341</v>
      </c>
      <c r="E1091" s="575">
        <v>5000</v>
      </c>
      <c r="F1091" s="563" t="s">
        <v>6774</v>
      </c>
      <c r="G1091" s="563" t="s">
        <v>19</v>
      </c>
      <c r="H1091" s="563" t="s">
        <v>20</v>
      </c>
      <c r="I1091" s="563" t="s">
        <v>800</v>
      </c>
      <c r="J1091" s="573">
        <v>44460</v>
      </c>
      <c r="K1091" s="563" t="s">
        <v>3802</v>
      </c>
      <c r="L1091" s="572"/>
      <c r="M1091" s="572"/>
      <c r="N1091" s="572"/>
      <c r="O1091" s="572"/>
      <c r="P1091" s="572"/>
      <c r="Q1091" s="572"/>
      <c r="R1091" s="572"/>
      <c r="S1091" s="572"/>
      <c r="T1091" s="572"/>
      <c r="U1091" s="572"/>
      <c r="V1091" s="572"/>
      <c r="W1091" s="572"/>
      <c r="X1091" s="572"/>
      <c r="Y1091" s="572"/>
      <c r="Z1091" s="572"/>
      <c r="AA1091" s="572"/>
      <c r="AB1091" s="572"/>
      <c r="AC1091" s="572"/>
      <c r="AD1091" s="572"/>
      <c r="AE1091" s="572"/>
      <c r="AF1091" s="572"/>
      <c r="AG1091" s="572"/>
      <c r="AH1091" s="572"/>
      <c r="AI1091" s="572"/>
      <c r="AJ1091" s="572"/>
      <c r="AK1091" s="572"/>
      <c r="AL1091" s="572"/>
      <c r="AM1091" s="572"/>
      <c r="AN1091" s="572"/>
      <c r="AO1091" s="572"/>
      <c r="AP1091" s="572"/>
      <c r="AQ1091" s="572"/>
      <c r="AR1091" s="572"/>
      <c r="AS1091" s="572"/>
      <c r="AT1091" s="572"/>
      <c r="AU1091" s="572"/>
    </row>
    <row r="1092" spans="1:47" ht="15.75" customHeight="1">
      <c r="A1092" s="573">
        <v>44893</v>
      </c>
      <c r="B1092" s="574" t="s">
        <v>6843</v>
      </c>
      <c r="C1092" s="563" t="s">
        <v>3785</v>
      </c>
      <c r="D1092" s="563" t="s">
        <v>6341</v>
      </c>
      <c r="E1092" s="575">
        <v>30000</v>
      </c>
      <c r="F1092" s="563" t="s">
        <v>5161</v>
      </c>
      <c r="G1092" s="563" t="s">
        <v>19</v>
      </c>
      <c r="H1092" s="563" t="s">
        <v>49</v>
      </c>
      <c r="I1092" s="563" t="s">
        <v>3634</v>
      </c>
      <c r="J1092" s="573">
        <v>44186</v>
      </c>
      <c r="K1092" s="563" t="s">
        <v>3789</v>
      </c>
      <c r="L1092" s="572"/>
      <c r="M1092" s="572"/>
      <c r="N1092" s="572"/>
      <c r="O1092" s="572"/>
      <c r="P1092" s="572"/>
      <c r="Q1092" s="572"/>
      <c r="R1092" s="572"/>
      <c r="S1092" s="572"/>
      <c r="T1092" s="572"/>
      <c r="U1092" s="572"/>
      <c r="V1092" s="572"/>
      <c r="W1092" s="572"/>
      <c r="X1092" s="572"/>
      <c r="Y1092" s="572"/>
      <c r="Z1092" s="572"/>
      <c r="AA1092" s="572"/>
      <c r="AB1092" s="572"/>
      <c r="AC1092" s="572"/>
      <c r="AD1092" s="572"/>
      <c r="AE1092" s="572"/>
      <c r="AF1092" s="572"/>
      <c r="AG1092" s="572"/>
      <c r="AH1092" s="572"/>
      <c r="AI1092" s="572"/>
      <c r="AJ1092" s="572"/>
      <c r="AK1092" s="572"/>
      <c r="AL1092" s="572"/>
      <c r="AM1092" s="572"/>
      <c r="AN1092" s="572"/>
      <c r="AO1092" s="572"/>
      <c r="AP1092" s="572"/>
      <c r="AQ1092" s="572"/>
      <c r="AR1092" s="572"/>
      <c r="AS1092" s="572"/>
      <c r="AT1092" s="572"/>
      <c r="AU1092" s="572"/>
    </row>
    <row r="1093" spans="1:47" ht="15.75" customHeight="1">
      <c r="A1093" s="573">
        <v>44893</v>
      </c>
      <c r="B1093" s="598">
        <v>6986262</v>
      </c>
      <c r="C1093" s="563" t="s">
        <v>3785</v>
      </c>
      <c r="D1093" s="563" t="s">
        <v>6341</v>
      </c>
      <c r="E1093" s="575">
        <v>4386.42</v>
      </c>
      <c r="F1093" s="563" t="s">
        <v>4297</v>
      </c>
      <c r="G1093" s="555" t="s">
        <v>19</v>
      </c>
      <c r="H1093" s="563" t="s">
        <v>49</v>
      </c>
      <c r="I1093" s="563" t="s">
        <v>4134</v>
      </c>
      <c r="J1093" s="573">
        <v>44503</v>
      </c>
      <c r="K1093" s="532" t="s">
        <v>3842</v>
      </c>
      <c r="L1093" s="572"/>
      <c r="M1093" s="572"/>
      <c r="N1093" s="572"/>
      <c r="O1093" s="572"/>
      <c r="P1093" s="572"/>
      <c r="Q1093" s="572"/>
      <c r="R1093" s="572"/>
      <c r="S1093" s="572"/>
      <c r="T1093" s="572"/>
      <c r="U1093" s="572"/>
      <c r="V1093" s="572"/>
      <c r="W1093" s="572"/>
      <c r="X1093" s="572"/>
      <c r="Y1093" s="572"/>
      <c r="Z1093" s="572"/>
      <c r="AA1093" s="572"/>
      <c r="AB1093" s="572"/>
      <c r="AC1093" s="572"/>
      <c r="AD1093" s="572"/>
      <c r="AE1093" s="572"/>
      <c r="AF1093" s="572"/>
      <c r="AG1093" s="572"/>
      <c r="AH1093" s="572"/>
      <c r="AI1093" s="572"/>
      <c r="AJ1093" s="572"/>
      <c r="AK1093" s="572"/>
      <c r="AL1093" s="572"/>
      <c r="AM1093" s="572"/>
      <c r="AN1093" s="572"/>
      <c r="AO1093" s="572"/>
      <c r="AP1093" s="572"/>
      <c r="AQ1093" s="572"/>
      <c r="AR1093" s="572"/>
      <c r="AS1093" s="572"/>
      <c r="AT1093" s="572"/>
      <c r="AU1093" s="572"/>
    </row>
    <row r="1094" spans="1:47" ht="15.75" customHeight="1">
      <c r="A1094" s="573">
        <v>44894</v>
      </c>
      <c r="B1094" s="574" t="s">
        <v>6807</v>
      </c>
      <c r="C1094" s="563" t="s">
        <v>3785</v>
      </c>
      <c r="D1094" s="563" t="s">
        <v>928</v>
      </c>
      <c r="E1094" s="575">
        <v>377183.5</v>
      </c>
      <c r="F1094" s="563" t="s">
        <v>4856</v>
      </c>
      <c r="G1094" s="563" t="s">
        <v>19</v>
      </c>
      <c r="H1094" s="563" t="s">
        <v>49</v>
      </c>
      <c r="I1094" s="563" t="s">
        <v>277</v>
      </c>
      <c r="J1094" s="573">
        <v>44714</v>
      </c>
      <c r="K1094" s="563" t="s">
        <v>3809</v>
      </c>
      <c r="L1094" s="572"/>
      <c r="M1094" s="572"/>
      <c r="N1094" s="572"/>
      <c r="O1094" s="572"/>
      <c r="P1094" s="572"/>
      <c r="Q1094" s="572"/>
      <c r="R1094" s="572"/>
      <c r="S1094" s="572"/>
      <c r="T1094" s="572"/>
      <c r="U1094" s="572"/>
      <c r="V1094" s="572"/>
      <c r="W1094" s="572"/>
      <c r="X1094" s="572"/>
      <c r="Y1094" s="572"/>
      <c r="Z1094" s="572"/>
      <c r="AA1094" s="572"/>
      <c r="AB1094" s="572"/>
      <c r="AC1094" s="572"/>
      <c r="AD1094" s="572"/>
      <c r="AE1094" s="572"/>
      <c r="AF1094" s="572"/>
      <c r="AG1094" s="572"/>
      <c r="AH1094" s="572"/>
      <c r="AI1094" s="572"/>
      <c r="AJ1094" s="572"/>
      <c r="AK1094" s="572"/>
      <c r="AL1094" s="572"/>
      <c r="AM1094" s="572"/>
      <c r="AN1094" s="572"/>
      <c r="AO1094" s="572"/>
      <c r="AP1094" s="572"/>
      <c r="AQ1094" s="572"/>
      <c r="AR1094" s="572"/>
      <c r="AS1094" s="572"/>
      <c r="AT1094" s="572"/>
      <c r="AU1094" s="572"/>
    </row>
    <row r="1095" spans="1:47" ht="15.75" customHeight="1">
      <c r="A1095" s="573">
        <v>44894</v>
      </c>
      <c r="B1095" s="574" t="s">
        <v>6844</v>
      </c>
      <c r="C1095" s="563" t="s">
        <v>3785</v>
      </c>
      <c r="D1095" s="563" t="s">
        <v>6341</v>
      </c>
      <c r="E1095" s="575">
        <v>60000</v>
      </c>
      <c r="F1095" s="563" t="s">
        <v>1968</v>
      </c>
      <c r="G1095" s="563" t="s">
        <v>19</v>
      </c>
      <c r="H1095" s="563" t="s">
        <v>49</v>
      </c>
      <c r="I1095" s="563" t="s">
        <v>166</v>
      </c>
      <c r="J1095" s="573">
        <v>44714</v>
      </c>
      <c r="K1095" s="563" t="s">
        <v>3805</v>
      </c>
      <c r="L1095" s="572"/>
      <c r="M1095" s="572"/>
      <c r="N1095" s="572"/>
      <c r="O1095" s="572"/>
      <c r="P1095" s="572"/>
      <c r="Q1095" s="572"/>
      <c r="R1095" s="572"/>
      <c r="S1095" s="572"/>
      <c r="T1095" s="572"/>
      <c r="U1095" s="572"/>
      <c r="V1095" s="572"/>
      <c r="W1095" s="572"/>
      <c r="X1095" s="572"/>
      <c r="Y1095" s="572"/>
      <c r="Z1095" s="572"/>
      <c r="AA1095" s="572"/>
      <c r="AB1095" s="572"/>
      <c r="AC1095" s="572"/>
      <c r="AD1095" s="572"/>
      <c r="AE1095" s="572"/>
      <c r="AF1095" s="572"/>
      <c r="AG1095" s="572"/>
      <c r="AH1095" s="572"/>
      <c r="AI1095" s="572"/>
      <c r="AJ1095" s="572"/>
      <c r="AK1095" s="572"/>
      <c r="AL1095" s="572"/>
      <c r="AM1095" s="572"/>
      <c r="AN1095" s="572"/>
      <c r="AO1095" s="572"/>
      <c r="AP1095" s="572"/>
      <c r="AQ1095" s="572"/>
      <c r="AR1095" s="572"/>
      <c r="AS1095" s="572"/>
      <c r="AT1095" s="572"/>
      <c r="AU1095" s="572"/>
    </row>
    <row r="1096" spans="1:47" ht="15.75" customHeight="1">
      <c r="A1096" s="573">
        <v>44895</v>
      </c>
      <c r="B1096" s="574" t="s">
        <v>6706</v>
      </c>
      <c r="C1096" s="532" t="s">
        <v>3785</v>
      </c>
      <c r="D1096" s="563" t="s">
        <v>6341</v>
      </c>
      <c r="E1096" s="575">
        <v>15000</v>
      </c>
      <c r="F1096" s="532" t="s">
        <v>2052</v>
      </c>
      <c r="G1096" s="563" t="s">
        <v>19</v>
      </c>
      <c r="H1096" s="563" t="s">
        <v>49</v>
      </c>
      <c r="I1096" s="563" t="s">
        <v>50</v>
      </c>
      <c r="J1096" s="573">
        <v>44614</v>
      </c>
      <c r="K1096" s="556" t="s">
        <v>3795</v>
      </c>
      <c r="L1096" s="572"/>
      <c r="M1096" s="572"/>
      <c r="N1096" s="572"/>
      <c r="O1096" s="572"/>
      <c r="P1096" s="572"/>
      <c r="Q1096" s="572"/>
      <c r="R1096" s="572"/>
      <c r="S1096" s="572"/>
      <c r="T1096" s="572"/>
      <c r="U1096" s="572"/>
      <c r="V1096" s="572"/>
      <c r="W1096" s="572"/>
      <c r="X1096" s="572"/>
      <c r="Y1096" s="572"/>
      <c r="Z1096" s="572"/>
      <c r="AA1096" s="572"/>
      <c r="AB1096" s="572"/>
      <c r="AC1096" s="572"/>
      <c r="AD1096" s="572"/>
      <c r="AE1096" s="572"/>
      <c r="AF1096" s="572"/>
      <c r="AG1096" s="572"/>
      <c r="AH1096" s="572"/>
      <c r="AI1096" s="572"/>
      <c r="AJ1096" s="572"/>
      <c r="AK1096" s="572"/>
      <c r="AL1096" s="572"/>
      <c r="AM1096" s="572"/>
      <c r="AN1096" s="572"/>
      <c r="AO1096" s="572"/>
      <c r="AP1096" s="572"/>
      <c r="AQ1096" s="572"/>
      <c r="AR1096" s="572"/>
      <c r="AS1096" s="572"/>
      <c r="AT1096" s="572"/>
      <c r="AU1096" s="572"/>
    </row>
    <row r="1097" spans="1:47" ht="15.75" customHeight="1">
      <c r="A1097" s="573">
        <v>44896</v>
      </c>
      <c r="B1097" s="605" t="s">
        <v>6663</v>
      </c>
      <c r="C1097" s="405" t="s">
        <v>3785</v>
      </c>
      <c r="D1097" s="563" t="s">
        <v>6341</v>
      </c>
      <c r="E1097" s="586">
        <v>30000</v>
      </c>
      <c r="F1097" s="563" t="s">
        <v>1743</v>
      </c>
      <c r="G1097" s="573" t="s">
        <v>19</v>
      </c>
      <c r="H1097" s="573" t="s">
        <v>20</v>
      </c>
      <c r="I1097" s="573" t="s">
        <v>6330</v>
      </c>
      <c r="J1097" s="573">
        <v>44594</v>
      </c>
      <c r="K1097" s="573" t="s">
        <v>3802</v>
      </c>
      <c r="L1097" s="572"/>
      <c r="M1097" s="572"/>
      <c r="N1097" s="572"/>
      <c r="O1097" s="572"/>
      <c r="P1097" s="572"/>
      <c r="Q1097" s="572"/>
      <c r="R1097" s="572"/>
      <c r="S1097" s="572"/>
      <c r="T1097" s="572"/>
      <c r="U1097" s="572"/>
      <c r="V1097" s="572"/>
      <c r="W1097" s="572"/>
      <c r="X1097" s="572"/>
      <c r="Y1097" s="572"/>
      <c r="Z1097" s="572"/>
      <c r="AA1097" s="572"/>
      <c r="AB1097" s="572"/>
      <c r="AC1097" s="572"/>
      <c r="AD1097" s="572"/>
      <c r="AE1097" s="572"/>
      <c r="AF1097" s="572"/>
      <c r="AG1097" s="572"/>
      <c r="AH1097" s="572"/>
      <c r="AI1097" s="572"/>
      <c r="AJ1097" s="572"/>
      <c r="AK1097" s="572"/>
      <c r="AL1097" s="572"/>
      <c r="AM1097" s="572"/>
      <c r="AN1097" s="572"/>
      <c r="AO1097" s="572"/>
      <c r="AP1097" s="572"/>
      <c r="AQ1097" s="572"/>
      <c r="AR1097" s="572"/>
      <c r="AS1097" s="572"/>
      <c r="AT1097" s="572"/>
      <c r="AU1097" s="572"/>
    </row>
    <row r="1098" spans="1:47" ht="15.75" customHeight="1">
      <c r="A1098" s="573">
        <v>44896</v>
      </c>
      <c r="B1098" s="574" t="s">
        <v>6844</v>
      </c>
      <c r="C1098" s="563" t="s">
        <v>3785</v>
      </c>
      <c r="D1098" s="563" t="s">
        <v>6341</v>
      </c>
      <c r="E1098" s="575">
        <v>60000</v>
      </c>
      <c r="F1098" s="563" t="s">
        <v>1968</v>
      </c>
      <c r="G1098" s="563" t="s">
        <v>19</v>
      </c>
      <c r="H1098" s="563" t="s">
        <v>49</v>
      </c>
      <c r="I1098" s="563" t="s">
        <v>166</v>
      </c>
      <c r="J1098" s="573">
        <v>44714</v>
      </c>
      <c r="K1098" s="563" t="s">
        <v>3805</v>
      </c>
      <c r="L1098" s="572"/>
      <c r="M1098" s="572"/>
      <c r="N1098" s="572"/>
      <c r="O1098" s="572"/>
      <c r="P1098" s="572"/>
      <c r="Q1098" s="572"/>
      <c r="R1098" s="572"/>
      <c r="S1098" s="572"/>
      <c r="T1098" s="572"/>
      <c r="U1098" s="572"/>
      <c r="V1098" s="572"/>
      <c r="W1098" s="572"/>
      <c r="X1098" s="572"/>
      <c r="Y1098" s="572"/>
      <c r="Z1098" s="572"/>
      <c r="AA1098" s="572"/>
      <c r="AB1098" s="572"/>
      <c r="AC1098" s="572"/>
      <c r="AD1098" s="572"/>
      <c r="AE1098" s="572"/>
      <c r="AF1098" s="572"/>
      <c r="AG1098" s="572"/>
      <c r="AH1098" s="572"/>
      <c r="AI1098" s="572"/>
      <c r="AJ1098" s="572"/>
      <c r="AK1098" s="572"/>
      <c r="AL1098" s="572"/>
      <c r="AM1098" s="572"/>
      <c r="AN1098" s="572"/>
      <c r="AO1098" s="572"/>
      <c r="AP1098" s="572"/>
      <c r="AQ1098" s="572"/>
      <c r="AR1098" s="572"/>
      <c r="AS1098" s="572"/>
      <c r="AT1098" s="572"/>
      <c r="AU1098" s="572"/>
    </row>
    <row r="1099" spans="1:47" ht="15.75" customHeight="1">
      <c r="A1099" s="573">
        <v>44897</v>
      </c>
      <c r="B1099" s="574" t="s">
        <v>6757</v>
      </c>
      <c r="C1099" s="563" t="s">
        <v>3785</v>
      </c>
      <c r="D1099" s="563" t="s">
        <v>6341</v>
      </c>
      <c r="E1099" s="575">
        <v>30000</v>
      </c>
      <c r="F1099" s="563" t="s">
        <v>4100</v>
      </c>
      <c r="G1099" s="563" t="s">
        <v>19</v>
      </c>
      <c r="H1099" s="563" t="s">
        <v>49</v>
      </c>
      <c r="I1099" s="563" t="s">
        <v>5018</v>
      </c>
      <c r="J1099" s="573">
        <v>44445</v>
      </c>
      <c r="K1099" s="563" t="s">
        <v>3802</v>
      </c>
      <c r="L1099" s="572"/>
      <c r="M1099" s="572"/>
      <c r="N1099" s="572"/>
      <c r="O1099" s="572"/>
      <c r="P1099" s="572"/>
      <c r="Q1099" s="572"/>
      <c r="R1099" s="572"/>
      <c r="S1099" s="572"/>
      <c r="T1099" s="572"/>
      <c r="U1099" s="572"/>
      <c r="V1099" s="572"/>
      <c r="W1099" s="572"/>
      <c r="X1099" s="572"/>
      <c r="Y1099" s="572"/>
      <c r="Z1099" s="572"/>
      <c r="AA1099" s="572"/>
      <c r="AB1099" s="572"/>
      <c r="AC1099" s="572"/>
      <c r="AD1099" s="572"/>
      <c r="AE1099" s="572"/>
      <c r="AF1099" s="572"/>
      <c r="AG1099" s="572"/>
      <c r="AH1099" s="572"/>
      <c r="AI1099" s="572"/>
      <c r="AJ1099" s="572"/>
      <c r="AK1099" s="572"/>
      <c r="AL1099" s="572"/>
      <c r="AM1099" s="572"/>
      <c r="AN1099" s="572"/>
      <c r="AO1099" s="572"/>
      <c r="AP1099" s="572"/>
      <c r="AQ1099" s="572"/>
      <c r="AR1099" s="572"/>
      <c r="AS1099" s="572"/>
      <c r="AT1099" s="572"/>
      <c r="AU1099" s="572"/>
    </row>
    <row r="1100" spans="1:47" ht="15.75" customHeight="1">
      <c r="A1100" s="573">
        <v>44901</v>
      </c>
      <c r="B1100" s="641">
        <v>3241823</v>
      </c>
      <c r="C1100" s="563" t="s">
        <v>3785</v>
      </c>
      <c r="D1100" s="563" t="s">
        <v>6341</v>
      </c>
      <c r="E1100" s="575">
        <v>1620</v>
      </c>
      <c r="F1100" s="563" t="s">
        <v>641</v>
      </c>
      <c r="G1100" s="563" t="s">
        <v>19</v>
      </c>
      <c r="H1100" s="563" t="s">
        <v>20</v>
      </c>
      <c r="I1100" s="563" t="s">
        <v>199</v>
      </c>
      <c r="J1100" s="573">
        <v>44819</v>
      </c>
      <c r="K1100" s="563" t="s">
        <v>3805</v>
      </c>
      <c r="L1100" s="572"/>
      <c r="M1100" s="572"/>
      <c r="N1100" s="572"/>
      <c r="O1100" s="572"/>
      <c r="P1100" s="572"/>
      <c r="Q1100" s="572"/>
      <c r="R1100" s="572"/>
      <c r="S1100" s="572"/>
      <c r="T1100" s="572"/>
      <c r="U1100" s="572"/>
      <c r="V1100" s="572"/>
      <c r="W1100" s="572"/>
      <c r="X1100" s="572"/>
      <c r="Y1100" s="572"/>
      <c r="Z1100" s="572"/>
      <c r="AA1100" s="572"/>
      <c r="AB1100" s="572"/>
      <c r="AC1100" s="572"/>
      <c r="AD1100" s="572"/>
      <c r="AE1100" s="572"/>
      <c r="AF1100" s="572"/>
      <c r="AG1100" s="572"/>
      <c r="AH1100" s="572"/>
      <c r="AI1100" s="572"/>
      <c r="AJ1100" s="572"/>
      <c r="AK1100" s="572"/>
      <c r="AL1100" s="572"/>
      <c r="AM1100" s="572"/>
      <c r="AN1100" s="572"/>
      <c r="AO1100" s="572"/>
      <c r="AP1100" s="572"/>
      <c r="AQ1100" s="572"/>
      <c r="AR1100" s="572"/>
      <c r="AS1100" s="572"/>
      <c r="AT1100" s="572"/>
      <c r="AU1100" s="572"/>
    </row>
    <row r="1101" spans="1:47" ht="15.75" customHeight="1">
      <c r="A1101" s="573">
        <v>44901</v>
      </c>
      <c r="B1101" s="574" t="s">
        <v>6836</v>
      </c>
      <c r="C1101" s="563" t="s">
        <v>3785</v>
      </c>
      <c r="D1101" s="563" t="s">
        <v>6341</v>
      </c>
      <c r="E1101" s="575">
        <v>80000</v>
      </c>
      <c r="F1101" s="563" t="s">
        <v>2653</v>
      </c>
      <c r="G1101" s="563" t="s">
        <v>19</v>
      </c>
      <c r="H1101" s="563" t="s">
        <v>20</v>
      </c>
      <c r="I1101" s="563" t="s">
        <v>21</v>
      </c>
      <c r="J1101" s="573">
        <v>44802</v>
      </c>
      <c r="K1101" s="563" t="s">
        <v>3802</v>
      </c>
      <c r="L1101" s="572"/>
      <c r="M1101" s="572"/>
      <c r="N1101" s="572"/>
      <c r="O1101" s="572"/>
      <c r="P1101" s="572"/>
      <c r="Q1101" s="572"/>
      <c r="R1101" s="572"/>
      <c r="S1101" s="572"/>
      <c r="T1101" s="572"/>
      <c r="U1101" s="572"/>
      <c r="V1101" s="572"/>
      <c r="W1101" s="572"/>
      <c r="X1101" s="572"/>
      <c r="Y1101" s="572"/>
      <c r="Z1101" s="572"/>
      <c r="AA1101" s="572"/>
      <c r="AB1101" s="572"/>
      <c r="AC1101" s="572"/>
      <c r="AD1101" s="572"/>
      <c r="AE1101" s="572"/>
      <c r="AF1101" s="572"/>
      <c r="AG1101" s="572"/>
      <c r="AH1101" s="572"/>
      <c r="AI1101" s="572"/>
      <c r="AJ1101" s="572"/>
      <c r="AK1101" s="572"/>
      <c r="AL1101" s="572"/>
      <c r="AM1101" s="572"/>
      <c r="AN1101" s="572"/>
      <c r="AO1101" s="572"/>
      <c r="AP1101" s="572"/>
      <c r="AQ1101" s="572"/>
      <c r="AR1101" s="572"/>
      <c r="AS1101" s="572"/>
      <c r="AT1101" s="572"/>
      <c r="AU1101" s="572"/>
    </row>
    <row r="1102" spans="1:47" ht="15.75" customHeight="1">
      <c r="A1102" s="573">
        <v>44901</v>
      </c>
      <c r="B1102" s="574" t="s">
        <v>6843</v>
      </c>
      <c r="C1102" s="563" t="s">
        <v>3785</v>
      </c>
      <c r="D1102" s="563" t="s">
        <v>3110</v>
      </c>
      <c r="E1102" s="575">
        <v>159092.51</v>
      </c>
      <c r="F1102" s="563" t="s">
        <v>5161</v>
      </c>
      <c r="G1102" s="563" t="s">
        <v>19</v>
      </c>
      <c r="H1102" s="563" t="s">
        <v>49</v>
      </c>
      <c r="I1102" s="563" t="s">
        <v>3634</v>
      </c>
      <c r="J1102" s="573">
        <v>44186</v>
      </c>
      <c r="K1102" s="563" t="s">
        <v>3789</v>
      </c>
      <c r="L1102" s="572"/>
      <c r="M1102" s="572"/>
      <c r="N1102" s="572"/>
      <c r="O1102" s="572"/>
      <c r="P1102" s="572"/>
      <c r="Q1102" s="572"/>
      <c r="R1102" s="572"/>
      <c r="S1102" s="572"/>
      <c r="T1102" s="572"/>
      <c r="U1102" s="572"/>
      <c r="V1102" s="572"/>
      <c r="W1102" s="572"/>
      <c r="X1102" s="572"/>
      <c r="Y1102" s="572"/>
      <c r="Z1102" s="572"/>
      <c r="AA1102" s="572"/>
      <c r="AB1102" s="572"/>
      <c r="AC1102" s="572"/>
      <c r="AD1102" s="572"/>
      <c r="AE1102" s="572"/>
      <c r="AF1102" s="572"/>
      <c r="AG1102" s="572"/>
      <c r="AH1102" s="572"/>
      <c r="AI1102" s="572"/>
      <c r="AJ1102" s="572"/>
      <c r="AK1102" s="572"/>
      <c r="AL1102" s="572"/>
      <c r="AM1102" s="572"/>
      <c r="AN1102" s="572"/>
      <c r="AO1102" s="572"/>
      <c r="AP1102" s="572"/>
      <c r="AQ1102" s="572"/>
      <c r="AR1102" s="572"/>
      <c r="AS1102" s="572"/>
      <c r="AT1102" s="572"/>
      <c r="AU1102" s="572"/>
    </row>
    <row r="1103" spans="1:47" ht="15.75" customHeight="1">
      <c r="A1103" s="573">
        <v>44907</v>
      </c>
      <c r="B1103" s="574">
        <v>4432780</v>
      </c>
      <c r="C1103" s="563" t="s">
        <v>3785</v>
      </c>
      <c r="D1103" s="563" t="s">
        <v>928</v>
      </c>
      <c r="E1103" s="575">
        <v>101114.41</v>
      </c>
      <c r="F1103" s="563" t="s">
        <v>3915</v>
      </c>
      <c r="G1103" s="563" t="s">
        <v>19</v>
      </c>
      <c r="H1103" s="563" t="s">
        <v>6845</v>
      </c>
      <c r="I1103" s="563" t="s">
        <v>6846</v>
      </c>
      <c r="J1103" s="573">
        <v>44078</v>
      </c>
      <c r="K1103" s="563" t="s">
        <v>3809</v>
      </c>
      <c r="L1103" s="572"/>
      <c r="M1103" s="572"/>
      <c r="N1103" s="572"/>
      <c r="O1103" s="572"/>
      <c r="P1103" s="572"/>
      <c r="Q1103" s="572"/>
      <c r="R1103" s="572"/>
      <c r="S1103" s="572"/>
      <c r="T1103" s="572"/>
      <c r="U1103" s="572"/>
      <c r="V1103" s="572"/>
      <c r="W1103" s="572"/>
      <c r="X1103" s="572"/>
      <c r="Y1103" s="572"/>
      <c r="Z1103" s="572"/>
      <c r="AA1103" s="572"/>
      <c r="AB1103" s="572"/>
      <c r="AC1103" s="572"/>
      <c r="AD1103" s="572"/>
      <c r="AE1103" s="572"/>
      <c r="AF1103" s="572"/>
      <c r="AG1103" s="572"/>
      <c r="AH1103" s="572"/>
      <c r="AI1103" s="572"/>
      <c r="AJ1103" s="572"/>
      <c r="AK1103" s="572"/>
      <c r="AL1103" s="572"/>
      <c r="AM1103" s="572"/>
      <c r="AN1103" s="572"/>
      <c r="AO1103" s="572"/>
      <c r="AP1103" s="572"/>
      <c r="AQ1103" s="572"/>
      <c r="AR1103" s="572"/>
      <c r="AS1103" s="572"/>
      <c r="AT1103" s="572"/>
      <c r="AU1103" s="572"/>
    </row>
    <row r="1104" spans="1:47" ht="15.75" customHeight="1">
      <c r="A1104" s="573">
        <v>44896</v>
      </c>
      <c r="B1104" s="574" t="s">
        <v>6847</v>
      </c>
      <c r="C1104" s="563" t="s">
        <v>3785</v>
      </c>
      <c r="D1104" s="563" t="s">
        <v>3110</v>
      </c>
      <c r="E1104" s="575">
        <v>179504.09</v>
      </c>
      <c r="F1104" s="563" t="s">
        <v>4659</v>
      </c>
      <c r="G1104" s="563" t="s">
        <v>64</v>
      </c>
      <c r="H1104" s="563" t="s">
        <v>20</v>
      </c>
      <c r="I1104" s="563" t="s">
        <v>3634</v>
      </c>
      <c r="J1104" s="573">
        <v>44246</v>
      </c>
      <c r="K1104" s="563" t="s">
        <v>3795</v>
      </c>
      <c r="L1104" s="572"/>
      <c r="M1104" s="572"/>
      <c r="N1104" s="572"/>
      <c r="O1104" s="572"/>
      <c r="P1104" s="572"/>
      <c r="Q1104" s="572"/>
      <c r="R1104" s="572"/>
      <c r="S1104" s="572"/>
      <c r="T1104" s="572"/>
      <c r="U1104" s="572"/>
      <c r="V1104" s="572"/>
      <c r="W1104" s="572"/>
      <c r="X1104" s="572"/>
      <c r="Y1104" s="572"/>
      <c r="Z1104" s="572"/>
      <c r="AA1104" s="572"/>
      <c r="AB1104" s="572"/>
      <c r="AC1104" s="572"/>
      <c r="AD1104" s="572"/>
      <c r="AE1104" s="572"/>
      <c r="AF1104" s="572"/>
      <c r="AG1104" s="572"/>
      <c r="AH1104" s="572"/>
      <c r="AI1104" s="572"/>
      <c r="AJ1104" s="572"/>
      <c r="AK1104" s="572"/>
      <c r="AL1104" s="572"/>
      <c r="AM1104" s="572"/>
      <c r="AN1104" s="572"/>
      <c r="AO1104" s="572"/>
      <c r="AP1104" s="572"/>
      <c r="AQ1104" s="572"/>
      <c r="AR1104" s="572"/>
      <c r="AS1104" s="572"/>
      <c r="AT1104" s="572"/>
      <c r="AU1104" s="572"/>
    </row>
    <row r="1105" spans="1:47" ht="15.75" customHeight="1">
      <c r="A1105" s="573">
        <v>44895</v>
      </c>
      <c r="B1105" s="574" t="s">
        <v>6848</v>
      </c>
      <c r="C1105" s="563" t="s">
        <v>3785</v>
      </c>
      <c r="D1105" s="563" t="s">
        <v>3110</v>
      </c>
      <c r="E1105" s="575" t="s">
        <v>6849</v>
      </c>
      <c r="F1105" s="565" t="s">
        <v>5208</v>
      </c>
      <c r="G1105" s="563" t="s">
        <v>19</v>
      </c>
      <c r="H1105" s="563" t="s">
        <v>49</v>
      </c>
      <c r="I1105" s="563" t="s">
        <v>328</v>
      </c>
      <c r="J1105" s="573">
        <v>44390</v>
      </c>
      <c r="K1105" s="563" t="s">
        <v>3809</v>
      </c>
      <c r="L1105" s="572"/>
      <c r="M1105" s="572"/>
      <c r="N1105" s="572"/>
      <c r="O1105" s="572"/>
      <c r="P1105" s="572"/>
      <c r="Q1105" s="572"/>
      <c r="R1105" s="572"/>
      <c r="S1105" s="572"/>
      <c r="T1105" s="572"/>
      <c r="U1105" s="572"/>
      <c r="V1105" s="572"/>
      <c r="W1105" s="572"/>
      <c r="X1105" s="572"/>
      <c r="Y1105" s="572"/>
      <c r="Z1105" s="572"/>
      <c r="AA1105" s="572"/>
      <c r="AB1105" s="572"/>
      <c r="AC1105" s="572"/>
      <c r="AD1105" s="572"/>
      <c r="AE1105" s="572"/>
      <c r="AF1105" s="572"/>
      <c r="AG1105" s="572"/>
      <c r="AH1105" s="572"/>
      <c r="AI1105" s="572"/>
      <c r="AJ1105" s="572"/>
      <c r="AK1105" s="572"/>
      <c r="AL1105" s="572"/>
      <c r="AM1105" s="572"/>
      <c r="AN1105" s="572"/>
      <c r="AO1105" s="572"/>
      <c r="AP1105" s="572"/>
      <c r="AQ1105" s="572"/>
      <c r="AR1105" s="572"/>
      <c r="AS1105" s="572"/>
      <c r="AT1105" s="572"/>
      <c r="AU1105" s="572"/>
    </row>
    <row r="1106" spans="1:47" ht="15.75" customHeight="1">
      <c r="A1106" s="573">
        <v>44901</v>
      </c>
      <c r="B1106" s="574" t="s">
        <v>6843</v>
      </c>
      <c r="C1106" s="563" t="s">
        <v>3785</v>
      </c>
      <c r="D1106" s="563" t="s">
        <v>3110</v>
      </c>
      <c r="E1106" s="575">
        <v>156195.12</v>
      </c>
      <c r="F1106" s="563" t="s">
        <v>5161</v>
      </c>
      <c r="G1106" s="563" t="s">
        <v>64</v>
      </c>
      <c r="H1106" s="563" t="s">
        <v>20</v>
      </c>
      <c r="I1106" s="563" t="s">
        <v>3634</v>
      </c>
      <c r="J1106" s="573">
        <v>44186</v>
      </c>
      <c r="K1106" s="563" t="s">
        <v>3789</v>
      </c>
      <c r="L1106" s="572"/>
      <c r="M1106" s="572"/>
      <c r="N1106" s="572"/>
      <c r="O1106" s="572"/>
      <c r="P1106" s="572"/>
      <c r="Q1106" s="572"/>
      <c r="R1106" s="572"/>
      <c r="S1106" s="572"/>
      <c r="T1106" s="572"/>
      <c r="U1106" s="572"/>
      <c r="V1106" s="572"/>
      <c r="W1106" s="572"/>
      <c r="X1106" s="572"/>
      <c r="Y1106" s="572"/>
      <c r="Z1106" s="572"/>
      <c r="AA1106" s="572"/>
      <c r="AB1106" s="572"/>
      <c r="AC1106" s="572"/>
      <c r="AD1106" s="572"/>
      <c r="AE1106" s="572"/>
      <c r="AF1106" s="572"/>
      <c r="AG1106" s="572"/>
      <c r="AH1106" s="572"/>
      <c r="AI1106" s="572"/>
      <c r="AJ1106" s="572"/>
      <c r="AK1106" s="572"/>
      <c r="AL1106" s="572"/>
      <c r="AM1106" s="572"/>
      <c r="AN1106" s="572"/>
      <c r="AO1106" s="572"/>
      <c r="AP1106" s="572"/>
      <c r="AQ1106" s="572"/>
      <c r="AR1106" s="572"/>
      <c r="AS1106" s="572"/>
      <c r="AT1106" s="572"/>
      <c r="AU1106" s="572"/>
    </row>
    <row r="1107" spans="1:47" ht="15.75" customHeight="1">
      <c r="A1107" s="573">
        <v>44896</v>
      </c>
      <c r="B1107" s="574" t="s">
        <v>6618</v>
      </c>
      <c r="C1107" s="563" t="s">
        <v>3785</v>
      </c>
      <c r="D1107" s="563" t="s">
        <v>3110</v>
      </c>
      <c r="E1107" s="575">
        <v>244812.62</v>
      </c>
      <c r="F1107" s="563" t="s">
        <v>5234</v>
      </c>
      <c r="G1107" s="563" t="s">
        <v>64</v>
      </c>
      <c r="H1107" s="563" t="s">
        <v>49</v>
      </c>
      <c r="I1107" s="563" t="s">
        <v>6846</v>
      </c>
      <c r="J1107" s="573">
        <v>44340</v>
      </c>
      <c r="K1107" s="563" t="s">
        <v>3809</v>
      </c>
      <c r="L1107" s="572"/>
      <c r="M1107" s="572"/>
      <c r="N1107" s="572"/>
      <c r="O1107" s="572"/>
      <c r="P1107" s="572"/>
      <c r="Q1107" s="572"/>
      <c r="R1107" s="572"/>
      <c r="S1107" s="572"/>
      <c r="T1107" s="572"/>
      <c r="U1107" s="572"/>
      <c r="V1107" s="572"/>
      <c r="W1107" s="572"/>
      <c r="X1107" s="572"/>
      <c r="Y1107" s="572"/>
      <c r="Z1107" s="572"/>
      <c r="AA1107" s="572"/>
      <c r="AB1107" s="572"/>
      <c r="AC1107" s="572"/>
      <c r="AD1107" s="572"/>
      <c r="AE1107" s="572"/>
      <c r="AF1107" s="572"/>
      <c r="AG1107" s="572"/>
      <c r="AH1107" s="572"/>
      <c r="AI1107" s="572"/>
      <c r="AJ1107" s="572"/>
      <c r="AK1107" s="572"/>
      <c r="AL1107" s="572"/>
      <c r="AM1107" s="572"/>
      <c r="AN1107" s="572"/>
      <c r="AO1107" s="572"/>
      <c r="AP1107" s="572"/>
      <c r="AQ1107" s="572"/>
      <c r="AR1107" s="572"/>
      <c r="AS1107" s="572"/>
      <c r="AT1107" s="572"/>
      <c r="AU1107" s="572"/>
    </row>
    <row r="1108" spans="1:47" ht="15.75" customHeight="1">
      <c r="A1108" s="573">
        <v>44543</v>
      </c>
      <c r="B1108" s="574" t="s">
        <v>6850</v>
      </c>
      <c r="C1108" s="563" t="s">
        <v>3785</v>
      </c>
      <c r="D1108" s="563" t="s">
        <v>6341</v>
      </c>
      <c r="E1108" s="575">
        <v>5000</v>
      </c>
      <c r="F1108" s="563" t="s">
        <v>5155</v>
      </c>
      <c r="G1108" s="563" t="s">
        <v>64</v>
      </c>
      <c r="H1108" s="563" t="s">
        <v>20</v>
      </c>
      <c r="I1108" s="563" t="s">
        <v>3847</v>
      </c>
      <c r="J1108" s="573">
        <v>44421</v>
      </c>
      <c r="K1108" s="563" t="s">
        <v>3809</v>
      </c>
      <c r="L1108" s="572"/>
      <c r="M1108" s="572"/>
      <c r="N1108" s="572"/>
      <c r="O1108" s="572"/>
      <c r="P1108" s="572"/>
      <c r="Q1108" s="572"/>
      <c r="R1108" s="572"/>
      <c r="S1108" s="572"/>
      <c r="T1108" s="572"/>
      <c r="U1108" s="572"/>
      <c r="V1108" s="572"/>
      <c r="W1108" s="572"/>
      <c r="X1108" s="572"/>
      <c r="Y1108" s="572"/>
      <c r="Z1108" s="572"/>
      <c r="AA1108" s="572"/>
      <c r="AB1108" s="572"/>
      <c r="AC1108" s="572"/>
      <c r="AD1108" s="572"/>
      <c r="AE1108" s="572"/>
      <c r="AF1108" s="572"/>
      <c r="AG1108" s="572"/>
      <c r="AH1108" s="572"/>
      <c r="AI1108" s="572"/>
      <c r="AJ1108" s="572"/>
      <c r="AK1108" s="572"/>
      <c r="AL1108" s="572"/>
      <c r="AM1108" s="572"/>
      <c r="AN1108" s="572"/>
      <c r="AO1108" s="572"/>
      <c r="AP1108" s="572"/>
      <c r="AQ1108" s="572"/>
      <c r="AR1108" s="572"/>
      <c r="AS1108" s="572"/>
      <c r="AT1108" s="572"/>
      <c r="AU1108" s="572"/>
    </row>
    <row r="1109" spans="1:47" ht="15.75" customHeight="1">
      <c r="A1109" s="573">
        <v>44908</v>
      </c>
      <c r="B1109" s="574" t="s">
        <v>6851</v>
      </c>
      <c r="C1109" s="563" t="s">
        <v>3785</v>
      </c>
      <c r="D1109" s="563" t="s">
        <v>6341</v>
      </c>
      <c r="E1109" s="575">
        <v>25000</v>
      </c>
      <c r="F1109" s="563" t="s">
        <v>5359</v>
      </c>
      <c r="G1109" s="563" t="s">
        <v>19</v>
      </c>
      <c r="H1109" s="563" t="s">
        <v>49</v>
      </c>
      <c r="I1109" s="563" t="s">
        <v>50</v>
      </c>
      <c r="J1109" s="573">
        <v>44655</v>
      </c>
      <c r="K1109" s="563" t="s">
        <v>3802</v>
      </c>
      <c r="L1109" s="572"/>
      <c r="M1109" s="572"/>
      <c r="N1109" s="572"/>
      <c r="O1109" s="572"/>
      <c r="P1109" s="572"/>
      <c r="Q1109" s="572"/>
      <c r="R1109" s="572"/>
      <c r="S1109" s="572"/>
      <c r="T1109" s="572"/>
      <c r="U1109" s="572"/>
      <c r="V1109" s="572"/>
      <c r="W1109" s="572"/>
      <c r="X1109" s="572"/>
      <c r="Y1109" s="572"/>
      <c r="Z1109" s="572"/>
      <c r="AA1109" s="572"/>
      <c r="AB1109" s="572"/>
      <c r="AC1109" s="572"/>
      <c r="AD1109" s="572"/>
      <c r="AE1109" s="572"/>
      <c r="AF1109" s="572"/>
      <c r="AG1109" s="572"/>
      <c r="AH1109" s="572"/>
      <c r="AI1109" s="572"/>
      <c r="AJ1109" s="572"/>
      <c r="AK1109" s="572"/>
      <c r="AL1109" s="572"/>
      <c r="AM1109" s="572"/>
      <c r="AN1109" s="572"/>
      <c r="AO1109" s="572"/>
      <c r="AP1109" s="572"/>
      <c r="AQ1109" s="572"/>
      <c r="AR1109" s="572"/>
      <c r="AS1109" s="572"/>
      <c r="AT1109" s="572"/>
      <c r="AU1109" s="572"/>
    </row>
    <row r="1110" spans="1:47" ht="15.75" customHeight="1">
      <c r="A1110" s="573">
        <v>44908</v>
      </c>
      <c r="B1110" s="574" t="s">
        <v>6536</v>
      </c>
      <c r="C1110" s="563" t="s">
        <v>2921</v>
      </c>
      <c r="D1110" s="563" t="s">
        <v>3110</v>
      </c>
      <c r="E1110" s="642">
        <v>70026.759999999995</v>
      </c>
      <c r="F1110" s="566" t="s">
        <v>3554</v>
      </c>
      <c r="G1110" s="563" t="s">
        <v>19</v>
      </c>
      <c r="H1110" s="563" t="s">
        <v>34</v>
      </c>
      <c r="I1110" s="563" t="s">
        <v>2971</v>
      </c>
      <c r="J1110" s="643">
        <v>44267</v>
      </c>
      <c r="K1110" s="563" t="s">
        <v>3795</v>
      </c>
      <c r="L1110" s="572"/>
      <c r="M1110" s="572"/>
      <c r="N1110" s="572"/>
      <c r="O1110" s="572"/>
      <c r="P1110" s="572"/>
      <c r="Q1110" s="572"/>
      <c r="R1110" s="572"/>
      <c r="S1110" s="572"/>
      <c r="T1110" s="572"/>
      <c r="U1110" s="572"/>
      <c r="V1110" s="572"/>
      <c r="W1110" s="572"/>
      <c r="X1110" s="572"/>
      <c r="Y1110" s="572"/>
      <c r="Z1110" s="572"/>
      <c r="AA1110" s="572"/>
      <c r="AB1110" s="572"/>
      <c r="AC1110" s="572"/>
      <c r="AD1110" s="572"/>
      <c r="AE1110" s="572"/>
      <c r="AF1110" s="572"/>
      <c r="AG1110" s="572"/>
      <c r="AH1110" s="572"/>
      <c r="AI1110" s="572"/>
      <c r="AJ1110" s="572"/>
      <c r="AK1110" s="572"/>
      <c r="AL1110" s="572"/>
      <c r="AM1110" s="572"/>
      <c r="AN1110" s="572"/>
      <c r="AO1110" s="572"/>
      <c r="AP1110" s="572"/>
      <c r="AQ1110" s="572"/>
      <c r="AR1110" s="572"/>
      <c r="AS1110" s="572"/>
      <c r="AT1110" s="572"/>
      <c r="AU1110" s="572"/>
    </row>
    <row r="1111" spans="1:47" ht="15.75" customHeight="1">
      <c r="A1111" s="573">
        <v>44908</v>
      </c>
      <c r="B1111" s="574" t="s">
        <v>3147</v>
      </c>
      <c r="C1111" s="563" t="s">
        <v>2921</v>
      </c>
      <c r="D1111" s="563" t="s">
        <v>3110</v>
      </c>
      <c r="E1111" s="575">
        <v>0</v>
      </c>
      <c r="F1111" s="565" t="s">
        <v>3554</v>
      </c>
      <c r="G1111" s="563" t="s">
        <v>19</v>
      </c>
      <c r="H1111" s="563" t="s">
        <v>34</v>
      </c>
      <c r="I1111" s="563" t="s">
        <v>2971</v>
      </c>
      <c r="J1111" s="563" t="s">
        <v>3147</v>
      </c>
      <c r="K1111" s="563" t="s">
        <v>6816</v>
      </c>
      <c r="L1111" s="572"/>
      <c r="M1111" s="572"/>
      <c r="N1111" s="572"/>
      <c r="O1111" s="572"/>
      <c r="P1111" s="572"/>
      <c r="Q1111" s="572"/>
      <c r="R1111" s="572"/>
      <c r="S1111" s="572"/>
      <c r="T1111" s="572"/>
      <c r="U1111" s="572"/>
      <c r="V1111" s="572"/>
      <c r="W1111" s="572"/>
      <c r="X1111" s="572"/>
      <c r="Y1111" s="572"/>
      <c r="Z1111" s="572"/>
      <c r="AA1111" s="572"/>
      <c r="AB1111" s="572"/>
      <c r="AC1111" s="572"/>
      <c r="AD1111" s="572"/>
      <c r="AE1111" s="572"/>
      <c r="AF1111" s="572"/>
      <c r="AG1111" s="572"/>
      <c r="AH1111" s="572"/>
      <c r="AI1111" s="572"/>
      <c r="AJ1111" s="572"/>
      <c r="AK1111" s="572"/>
      <c r="AL1111" s="572"/>
      <c r="AM1111" s="572"/>
      <c r="AN1111" s="572"/>
      <c r="AO1111" s="572"/>
      <c r="AP1111" s="572"/>
      <c r="AQ1111" s="572"/>
      <c r="AR1111" s="572"/>
      <c r="AS1111" s="572"/>
      <c r="AT1111" s="572"/>
      <c r="AU1111" s="572"/>
    </row>
    <row r="1112" spans="1:47" ht="15.75" customHeight="1">
      <c r="A1112" s="573">
        <v>44907</v>
      </c>
      <c r="B1112" s="574" t="s">
        <v>6852</v>
      </c>
      <c r="C1112" s="563" t="s">
        <v>2921</v>
      </c>
      <c r="D1112" s="563" t="s">
        <v>3110</v>
      </c>
      <c r="E1112" s="575" t="s">
        <v>6853</v>
      </c>
      <c r="F1112" s="563" t="s">
        <v>6854</v>
      </c>
      <c r="G1112" s="563" t="s">
        <v>19</v>
      </c>
      <c r="H1112" s="563" t="s">
        <v>34</v>
      </c>
      <c r="I1112" s="563" t="s">
        <v>2971</v>
      </c>
      <c r="J1112" s="573">
        <v>44733</v>
      </c>
      <c r="K1112" s="563" t="s">
        <v>3802</v>
      </c>
      <c r="L1112" s="572"/>
      <c r="M1112" s="572"/>
      <c r="N1112" s="572"/>
      <c r="O1112" s="572"/>
      <c r="P1112" s="572"/>
      <c r="Q1112" s="572"/>
      <c r="R1112" s="572"/>
      <c r="S1112" s="572"/>
      <c r="T1112" s="572"/>
      <c r="U1112" s="572"/>
      <c r="V1112" s="572"/>
      <c r="W1112" s="572"/>
      <c r="X1112" s="572"/>
      <c r="Y1112" s="572"/>
      <c r="Z1112" s="572"/>
      <c r="AA1112" s="572"/>
      <c r="AB1112" s="572"/>
      <c r="AC1112" s="572"/>
      <c r="AD1112" s="572"/>
      <c r="AE1112" s="572"/>
      <c r="AF1112" s="572"/>
      <c r="AG1112" s="572"/>
      <c r="AH1112" s="572"/>
      <c r="AI1112" s="572"/>
      <c r="AJ1112" s="572"/>
      <c r="AK1112" s="572"/>
      <c r="AL1112" s="572"/>
      <c r="AM1112" s="572"/>
      <c r="AN1112" s="572"/>
      <c r="AO1112" s="572"/>
      <c r="AP1112" s="572"/>
      <c r="AQ1112" s="572"/>
      <c r="AR1112" s="572"/>
      <c r="AS1112" s="572"/>
      <c r="AT1112" s="572"/>
      <c r="AU1112" s="572"/>
    </row>
    <row r="1113" spans="1:47" ht="15.75" customHeight="1">
      <c r="A1113" s="573">
        <v>44890</v>
      </c>
      <c r="B1113" s="574" t="s">
        <v>6761</v>
      </c>
      <c r="C1113" s="563" t="s">
        <v>3785</v>
      </c>
      <c r="D1113" s="563" t="s">
        <v>3110</v>
      </c>
      <c r="E1113" s="575">
        <v>251143.6</v>
      </c>
      <c r="F1113" s="563" t="s">
        <v>4749</v>
      </c>
      <c r="G1113" s="563" t="s">
        <v>19</v>
      </c>
      <c r="H1113" s="563" t="s">
        <v>49</v>
      </c>
      <c r="I1113" s="563" t="s">
        <v>328</v>
      </c>
      <c r="J1113" s="573"/>
      <c r="K1113" s="573"/>
      <c r="L1113" s="572"/>
      <c r="M1113" s="572"/>
      <c r="N1113" s="572"/>
      <c r="O1113" s="572"/>
      <c r="P1113" s="572"/>
      <c r="Q1113" s="572"/>
      <c r="R1113" s="572"/>
      <c r="S1113" s="572"/>
      <c r="T1113" s="572"/>
      <c r="U1113" s="572"/>
      <c r="V1113" s="572"/>
      <c r="W1113" s="572"/>
      <c r="X1113" s="572"/>
      <c r="Y1113" s="572"/>
      <c r="Z1113" s="572"/>
      <c r="AA1113" s="572"/>
      <c r="AB1113" s="572"/>
      <c r="AC1113" s="572"/>
      <c r="AD1113" s="572"/>
      <c r="AE1113" s="572"/>
      <c r="AF1113" s="572"/>
      <c r="AG1113" s="572"/>
      <c r="AH1113" s="572"/>
      <c r="AI1113" s="572"/>
      <c r="AJ1113" s="572"/>
      <c r="AK1113" s="572"/>
      <c r="AL1113" s="572"/>
      <c r="AM1113" s="572"/>
      <c r="AN1113" s="572"/>
      <c r="AO1113" s="572"/>
      <c r="AP1113" s="572"/>
      <c r="AQ1113" s="572"/>
      <c r="AR1113" s="572"/>
      <c r="AS1113" s="572"/>
      <c r="AT1113" s="572"/>
      <c r="AU1113" s="572"/>
    </row>
    <row r="1114" spans="1:47" ht="15.75" customHeight="1">
      <c r="A1114" s="597">
        <v>44909</v>
      </c>
      <c r="B1114" s="585" t="s">
        <v>6672</v>
      </c>
      <c r="C1114" s="532" t="s">
        <v>3785</v>
      </c>
      <c r="D1114" s="598" t="s">
        <v>6341</v>
      </c>
      <c r="E1114" s="599">
        <v>10000</v>
      </c>
      <c r="F1114" s="598" t="s">
        <v>3839</v>
      </c>
      <c r="G1114" s="598" t="s">
        <v>19</v>
      </c>
      <c r="H1114" s="598" t="s">
        <v>49</v>
      </c>
      <c r="I1114" s="598" t="s">
        <v>50</v>
      </c>
      <c r="J1114" s="597">
        <v>44609</v>
      </c>
      <c r="K1114" s="532" t="s">
        <v>3805</v>
      </c>
      <c r="L1114" s="572"/>
      <c r="M1114" s="572"/>
      <c r="N1114" s="572"/>
      <c r="O1114" s="572"/>
      <c r="P1114" s="572"/>
      <c r="Q1114" s="572"/>
      <c r="R1114" s="572"/>
      <c r="S1114" s="572"/>
      <c r="T1114" s="572"/>
      <c r="U1114" s="572"/>
      <c r="V1114" s="572"/>
      <c r="W1114" s="572"/>
      <c r="X1114" s="572"/>
      <c r="Y1114" s="572"/>
      <c r="Z1114" s="572"/>
      <c r="AA1114" s="572"/>
      <c r="AB1114" s="572"/>
      <c r="AC1114" s="572"/>
      <c r="AD1114" s="572"/>
      <c r="AE1114" s="572"/>
      <c r="AF1114" s="572"/>
      <c r="AG1114" s="572"/>
      <c r="AH1114" s="572"/>
      <c r="AI1114" s="572"/>
      <c r="AJ1114" s="572"/>
      <c r="AK1114" s="572"/>
      <c r="AL1114" s="572"/>
      <c r="AM1114" s="572"/>
      <c r="AN1114" s="572"/>
      <c r="AO1114" s="572"/>
      <c r="AP1114" s="572"/>
      <c r="AQ1114" s="572"/>
      <c r="AR1114" s="572"/>
      <c r="AS1114" s="572"/>
      <c r="AT1114" s="572"/>
      <c r="AU1114" s="572"/>
    </row>
    <row r="1115" spans="1:47" ht="15.75" customHeight="1">
      <c r="A1115" s="573">
        <v>44911</v>
      </c>
      <c r="B1115" s="574" t="s">
        <v>6444</v>
      </c>
      <c r="C1115" s="532" t="s">
        <v>3785</v>
      </c>
      <c r="D1115" s="563" t="s">
        <v>3110</v>
      </c>
      <c r="E1115" s="575">
        <v>115969.72</v>
      </c>
      <c r="F1115" s="563" t="s">
        <v>5333</v>
      </c>
      <c r="G1115" s="563" t="s">
        <v>64</v>
      </c>
      <c r="H1115" s="563" t="s">
        <v>20</v>
      </c>
      <c r="I1115" s="563" t="s">
        <v>6855</v>
      </c>
      <c r="J1115" s="573">
        <v>44203</v>
      </c>
      <c r="K1115" s="563" t="s">
        <v>3795</v>
      </c>
      <c r="L1115" s="572"/>
      <c r="M1115" s="572"/>
      <c r="N1115" s="572"/>
      <c r="O1115" s="572"/>
      <c r="P1115" s="572"/>
      <c r="Q1115" s="572"/>
      <c r="R1115" s="572"/>
      <c r="S1115" s="572"/>
      <c r="T1115" s="572"/>
      <c r="U1115" s="572"/>
      <c r="V1115" s="572"/>
      <c r="W1115" s="572"/>
      <c r="X1115" s="572"/>
      <c r="Y1115" s="572"/>
      <c r="Z1115" s="572"/>
      <c r="AA1115" s="572"/>
      <c r="AB1115" s="572"/>
      <c r="AC1115" s="572"/>
      <c r="AD1115" s="572"/>
      <c r="AE1115" s="572"/>
      <c r="AF1115" s="572"/>
      <c r="AG1115" s="572"/>
      <c r="AH1115" s="572"/>
      <c r="AI1115" s="572"/>
      <c r="AJ1115" s="572"/>
      <c r="AK1115" s="572"/>
      <c r="AL1115" s="572"/>
      <c r="AM1115" s="572"/>
      <c r="AN1115" s="572"/>
      <c r="AO1115" s="572"/>
      <c r="AP1115" s="572"/>
      <c r="AQ1115" s="572"/>
      <c r="AR1115" s="572"/>
      <c r="AS1115" s="572"/>
      <c r="AT1115" s="572"/>
      <c r="AU1115" s="572"/>
    </row>
    <row r="1116" spans="1:47" ht="15.75" customHeight="1">
      <c r="A1116" s="573">
        <v>44911</v>
      </c>
      <c r="B1116" s="574" t="s">
        <v>6856</v>
      </c>
      <c r="C1116" s="563" t="s">
        <v>2921</v>
      </c>
      <c r="D1116" s="563" t="s">
        <v>3110</v>
      </c>
      <c r="E1116" s="642">
        <v>6543.8</v>
      </c>
      <c r="F1116" s="563" t="s">
        <v>6857</v>
      </c>
      <c r="G1116" s="563" t="s">
        <v>19</v>
      </c>
      <c r="H1116" s="563" t="s">
        <v>34</v>
      </c>
      <c r="I1116" s="563" t="s">
        <v>35</v>
      </c>
      <c r="J1116" s="573">
        <v>44263</v>
      </c>
      <c r="K1116" s="563" t="s">
        <v>3789</v>
      </c>
      <c r="L1116" s="572"/>
      <c r="M1116" s="572"/>
      <c r="N1116" s="572"/>
      <c r="O1116" s="572"/>
      <c r="P1116" s="572"/>
      <c r="Q1116" s="572"/>
      <c r="R1116" s="572"/>
      <c r="S1116" s="572"/>
      <c r="T1116" s="572"/>
      <c r="U1116" s="572"/>
      <c r="V1116" s="572"/>
      <c r="W1116" s="572"/>
      <c r="X1116" s="572"/>
      <c r="Y1116" s="572"/>
      <c r="Z1116" s="572"/>
      <c r="AA1116" s="572"/>
      <c r="AB1116" s="572"/>
      <c r="AC1116" s="572"/>
      <c r="AD1116" s="572"/>
      <c r="AE1116" s="572"/>
      <c r="AF1116" s="572"/>
      <c r="AG1116" s="572"/>
      <c r="AH1116" s="572"/>
      <c r="AI1116" s="572"/>
      <c r="AJ1116" s="572"/>
      <c r="AK1116" s="572"/>
      <c r="AL1116" s="572"/>
      <c r="AM1116" s="572"/>
      <c r="AN1116" s="572"/>
      <c r="AO1116" s="572"/>
      <c r="AP1116" s="572"/>
      <c r="AQ1116" s="572"/>
      <c r="AR1116" s="572"/>
      <c r="AS1116" s="572"/>
      <c r="AT1116" s="572"/>
      <c r="AU1116" s="572"/>
    </row>
    <row r="1117" spans="1:47" ht="15.75" customHeight="1">
      <c r="A1117" s="573">
        <v>44914</v>
      </c>
      <c r="B1117" s="574">
        <v>6604192</v>
      </c>
      <c r="C1117" s="563" t="s">
        <v>3785</v>
      </c>
      <c r="D1117" s="563" t="s">
        <v>6341</v>
      </c>
      <c r="E1117" s="642">
        <v>3700</v>
      </c>
      <c r="F1117" s="563" t="s">
        <v>4883</v>
      </c>
      <c r="G1117" s="563" t="s">
        <v>19</v>
      </c>
      <c r="H1117" s="563" t="s">
        <v>20</v>
      </c>
      <c r="I1117" s="563" t="s">
        <v>800</v>
      </c>
      <c r="J1117" s="573">
        <v>44460</v>
      </c>
      <c r="K1117" s="563" t="s">
        <v>3802</v>
      </c>
      <c r="L1117" s="572"/>
      <c r="M1117" s="572"/>
      <c r="N1117" s="572"/>
      <c r="O1117" s="572"/>
      <c r="P1117" s="572"/>
      <c r="Q1117" s="572"/>
      <c r="R1117" s="572"/>
      <c r="S1117" s="572"/>
      <c r="T1117" s="572"/>
      <c r="U1117" s="572"/>
      <c r="V1117" s="572"/>
      <c r="W1117" s="572"/>
      <c r="X1117" s="572"/>
      <c r="Y1117" s="572"/>
      <c r="Z1117" s="572"/>
      <c r="AA1117" s="572"/>
      <c r="AB1117" s="572"/>
      <c r="AC1117" s="572"/>
      <c r="AD1117" s="572"/>
      <c r="AE1117" s="572"/>
      <c r="AF1117" s="572"/>
      <c r="AG1117" s="572"/>
      <c r="AH1117" s="572"/>
      <c r="AI1117" s="572"/>
      <c r="AJ1117" s="572"/>
      <c r="AK1117" s="572"/>
      <c r="AL1117" s="572"/>
      <c r="AM1117" s="572"/>
      <c r="AN1117" s="572"/>
      <c r="AO1117" s="572"/>
      <c r="AP1117" s="572"/>
      <c r="AQ1117" s="572"/>
      <c r="AR1117" s="572"/>
      <c r="AS1117" s="572"/>
      <c r="AT1117" s="572"/>
      <c r="AU1117" s="572"/>
    </row>
    <row r="1118" spans="1:47" ht="15.75" customHeight="1">
      <c r="A1118" s="573">
        <v>44917</v>
      </c>
      <c r="B1118" s="574">
        <v>5371919</v>
      </c>
      <c r="C1118" s="563" t="s">
        <v>3785</v>
      </c>
      <c r="D1118" s="563" t="s">
        <v>6341</v>
      </c>
      <c r="E1118" s="642">
        <v>250000</v>
      </c>
      <c r="F1118" s="563" t="s">
        <v>5214</v>
      </c>
      <c r="G1118" s="563" t="s">
        <v>64</v>
      </c>
      <c r="H1118" s="563" t="s">
        <v>20</v>
      </c>
      <c r="I1118" s="563" t="s">
        <v>6329</v>
      </c>
      <c r="J1118" s="573">
        <v>44714</v>
      </c>
      <c r="K1118" s="565" t="s">
        <v>3805</v>
      </c>
      <c r="L1118" s="572"/>
      <c r="M1118" s="572"/>
      <c r="N1118" s="572"/>
      <c r="O1118" s="572"/>
      <c r="P1118" s="572"/>
      <c r="Q1118" s="572"/>
      <c r="R1118" s="572"/>
      <c r="S1118" s="572"/>
      <c r="T1118" s="572"/>
      <c r="U1118" s="572"/>
      <c r="V1118" s="572"/>
      <c r="W1118" s="572"/>
      <c r="X1118" s="572"/>
      <c r="Y1118" s="572"/>
      <c r="Z1118" s="572"/>
      <c r="AA1118" s="572"/>
      <c r="AB1118" s="572"/>
      <c r="AC1118" s="572"/>
      <c r="AD1118" s="572"/>
      <c r="AE1118" s="572"/>
      <c r="AF1118" s="572"/>
      <c r="AG1118" s="572"/>
      <c r="AH1118" s="572"/>
      <c r="AI1118" s="572"/>
      <c r="AJ1118" s="572"/>
      <c r="AK1118" s="572"/>
      <c r="AL1118" s="572"/>
      <c r="AM1118" s="572"/>
      <c r="AN1118" s="572"/>
      <c r="AO1118" s="572"/>
      <c r="AP1118" s="572"/>
      <c r="AQ1118" s="572"/>
      <c r="AR1118" s="572"/>
      <c r="AS1118" s="572"/>
      <c r="AT1118" s="572"/>
      <c r="AU1118" s="572"/>
    </row>
    <row r="1119" spans="1:47" ht="15.75" customHeight="1">
      <c r="A1119" s="573">
        <v>44917</v>
      </c>
      <c r="B1119" s="574">
        <v>3730315</v>
      </c>
      <c r="C1119" s="563" t="s">
        <v>3785</v>
      </c>
      <c r="D1119" s="563" t="s">
        <v>6341</v>
      </c>
      <c r="E1119" s="642">
        <v>150000</v>
      </c>
      <c r="F1119" s="563" t="s">
        <v>5211</v>
      </c>
      <c r="G1119" s="563" t="s">
        <v>64</v>
      </c>
      <c r="H1119" s="563" t="s">
        <v>20</v>
      </c>
      <c r="I1119" s="563" t="s">
        <v>6329</v>
      </c>
      <c r="J1119" s="573">
        <v>44714</v>
      </c>
      <c r="K1119" s="565" t="s">
        <v>3805</v>
      </c>
      <c r="L1119" s="572"/>
      <c r="M1119" s="572"/>
      <c r="N1119" s="572"/>
      <c r="O1119" s="572"/>
      <c r="P1119" s="572"/>
      <c r="Q1119" s="572"/>
      <c r="R1119" s="572"/>
      <c r="S1119" s="572"/>
      <c r="T1119" s="572"/>
      <c r="U1119" s="572"/>
      <c r="V1119" s="572"/>
      <c r="W1119" s="572"/>
      <c r="X1119" s="572"/>
      <c r="Y1119" s="572"/>
      <c r="Z1119" s="572"/>
      <c r="AA1119" s="572"/>
      <c r="AB1119" s="572"/>
      <c r="AC1119" s="572"/>
      <c r="AD1119" s="572"/>
      <c r="AE1119" s="572"/>
      <c r="AF1119" s="572"/>
      <c r="AG1119" s="572"/>
      <c r="AH1119" s="572"/>
      <c r="AI1119" s="572"/>
      <c r="AJ1119" s="572"/>
      <c r="AK1119" s="572"/>
      <c r="AL1119" s="572"/>
      <c r="AM1119" s="572"/>
      <c r="AN1119" s="572"/>
      <c r="AO1119" s="572"/>
      <c r="AP1119" s="572"/>
      <c r="AQ1119" s="572"/>
      <c r="AR1119" s="572"/>
      <c r="AS1119" s="572"/>
      <c r="AT1119" s="572"/>
      <c r="AU1119" s="572"/>
    </row>
    <row r="1120" spans="1:47" ht="15.75" customHeight="1">
      <c r="A1120" s="573">
        <v>44918</v>
      </c>
      <c r="B1120" s="574" t="s">
        <v>6858</v>
      </c>
      <c r="C1120" s="563" t="s">
        <v>3785</v>
      </c>
      <c r="D1120" s="563" t="s">
        <v>6341</v>
      </c>
      <c r="E1120" s="575">
        <v>54000</v>
      </c>
      <c r="F1120" s="563" t="s">
        <v>5390</v>
      </c>
      <c r="G1120" s="563" t="s">
        <v>64</v>
      </c>
      <c r="H1120" s="563" t="s">
        <v>20</v>
      </c>
      <c r="I1120" s="563" t="s">
        <v>73</v>
      </c>
      <c r="J1120" s="573">
        <v>44134</v>
      </c>
      <c r="K1120" s="563" t="s">
        <v>3789</v>
      </c>
      <c r="L1120" s="572"/>
      <c r="M1120" s="572"/>
      <c r="N1120" s="572"/>
      <c r="O1120" s="572"/>
      <c r="P1120" s="572"/>
      <c r="Q1120" s="572"/>
      <c r="R1120" s="572"/>
      <c r="S1120" s="572"/>
      <c r="T1120" s="572"/>
      <c r="U1120" s="572"/>
      <c r="V1120" s="572"/>
      <c r="W1120" s="572"/>
      <c r="X1120" s="572"/>
      <c r="Y1120" s="572"/>
      <c r="Z1120" s="572"/>
      <c r="AA1120" s="572"/>
      <c r="AB1120" s="572"/>
      <c r="AC1120" s="572"/>
      <c r="AD1120" s="572"/>
      <c r="AE1120" s="572"/>
      <c r="AF1120" s="572"/>
      <c r="AG1120" s="572"/>
      <c r="AH1120" s="572"/>
      <c r="AI1120" s="572"/>
      <c r="AJ1120" s="572"/>
      <c r="AK1120" s="572"/>
      <c r="AL1120" s="572"/>
      <c r="AM1120" s="572"/>
      <c r="AN1120" s="572"/>
      <c r="AO1120" s="572"/>
      <c r="AP1120" s="572"/>
      <c r="AQ1120" s="572"/>
      <c r="AR1120" s="572"/>
      <c r="AS1120" s="572"/>
      <c r="AT1120" s="572"/>
      <c r="AU1120" s="572"/>
    </row>
    <row r="1121" spans="1:47" ht="15.75" customHeight="1">
      <c r="A1121" s="573">
        <v>44918</v>
      </c>
      <c r="B1121" s="574" t="s">
        <v>6859</v>
      </c>
      <c r="C1121" s="563" t="s">
        <v>3785</v>
      </c>
      <c r="D1121" s="563" t="s">
        <v>928</v>
      </c>
      <c r="E1121" s="575">
        <v>105535.73</v>
      </c>
      <c r="F1121" s="563" t="s">
        <v>6860</v>
      </c>
      <c r="G1121" s="563" t="s">
        <v>64</v>
      </c>
      <c r="H1121" s="563" t="s">
        <v>20</v>
      </c>
      <c r="I1121" s="563" t="s">
        <v>2803</v>
      </c>
      <c r="J1121" s="596">
        <v>44361</v>
      </c>
      <c r="K1121" s="563" t="s">
        <v>3805</v>
      </c>
      <c r="L1121" s="572"/>
      <c r="M1121" s="572"/>
      <c r="N1121" s="572"/>
      <c r="O1121" s="572"/>
      <c r="P1121" s="572"/>
      <c r="Q1121" s="572"/>
      <c r="R1121" s="572"/>
      <c r="S1121" s="572"/>
      <c r="T1121" s="572"/>
      <c r="U1121" s="572"/>
      <c r="V1121" s="572"/>
      <c r="W1121" s="572"/>
      <c r="X1121" s="572"/>
      <c r="Y1121" s="572"/>
      <c r="Z1121" s="572"/>
      <c r="AA1121" s="572"/>
      <c r="AB1121" s="572"/>
      <c r="AC1121" s="572"/>
      <c r="AD1121" s="572"/>
      <c r="AE1121" s="572"/>
      <c r="AF1121" s="572"/>
      <c r="AG1121" s="572"/>
      <c r="AH1121" s="572"/>
      <c r="AI1121" s="572"/>
      <c r="AJ1121" s="572"/>
      <c r="AK1121" s="572"/>
      <c r="AL1121" s="572"/>
      <c r="AM1121" s="572"/>
      <c r="AN1121" s="572"/>
      <c r="AO1121" s="572"/>
      <c r="AP1121" s="572"/>
      <c r="AQ1121" s="572"/>
      <c r="AR1121" s="572"/>
      <c r="AS1121" s="572"/>
      <c r="AT1121" s="572"/>
      <c r="AU1121" s="572"/>
    </row>
    <row r="1122" spans="1:47" ht="15.75" customHeight="1">
      <c r="A1122" s="573">
        <v>44918</v>
      </c>
      <c r="B1122" s="574" t="s">
        <v>6663</v>
      </c>
      <c r="C1122" s="563" t="s">
        <v>3785</v>
      </c>
      <c r="D1122" s="563" t="s">
        <v>6341</v>
      </c>
      <c r="E1122" s="575">
        <v>30000</v>
      </c>
      <c r="F1122" s="563" t="s">
        <v>1743</v>
      </c>
      <c r="G1122" s="573" t="s">
        <v>19</v>
      </c>
      <c r="H1122" s="573" t="s">
        <v>20</v>
      </c>
      <c r="I1122" s="573" t="s">
        <v>6330</v>
      </c>
      <c r="J1122" s="573">
        <v>44594</v>
      </c>
      <c r="K1122" s="573" t="s">
        <v>3802</v>
      </c>
      <c r="L1122" s="572"/>
      <c r="M1122" s="572"/>
      <c r="N1122" s="572"/>
      <c r="O1122" s="572"/>
      <c r="P1122" s="572"/>
      <c r="Q1122" s="572"/>
      <c r="R1122" s="572"/>
      <c r="S1122" s="572"/>
      <c r="T1122" s="572"/>
      <c r="U1122" s="572"/>
      <c r="V1122" s="572"/>
      <c r="W1122" s="572"/>
      <c r="X1122" s="572"/>
      <c r="Y1122" s="572"/>
      <c r="Z1122" s="572"/>
      <c r="AA1122" s="572"/>
      <c r="AB1122" s="572"/>
      <c r="AC1122" s="572"/>
      <c r="AD1122" s="572"/>
      <c r="AE1122" s="572"/>
      <c r="AF1122" s="572"/>
      <c r="AG1122" s="572"/>
      <c r="AH1122" s="572"/>
      <c r="AI1122" s="572"/>
      <c r="AJ1122" s="572"/>
      <c r="AK1122" s="572"/>
      <c r="AL1122" s="572"/>
      <c r="AM1122" s="572"/>
      <c r="AN1122" s="572"/>
      <c r="AO1122" s="572"/>
      <c r="AP1122" s="572"/>
      <c r="AQ1122" s="572"/>
      <c r="AR1122" s="572"/>
      <c r="AS1122" s="572"/>
      <c r="AT1122" s="572"/>
      <c r="AU1122" s="572"/>
    </row>
    <row r="1123" spans="1:47" ht="15.75" customHeight="1">
      <c r="A1123" s="573">
        <v>44921</v>
      </c>
      <c r="B1123" s="574" t="s">
        <v>6775</v>
      </c>
      <c r="C1123" s="563" t="s">
        <v>3785</v>
      </c>
      <c r="D1123" s="563" t="s">
        <v>6341</v>
      </c>
      <c r="E1123" s="575">
        <v>11000</v>
      </c>
      <c r="F1123" s="563" t="s">
        <v>4723</v>
      </c>
      <c r="G1123" s="563" t="s">
        <v>19</v>
      </c>
      <c r="H1123" s="563" t="s">
        <v>20</v>
      </c>
      <c r="I1123" s="563" t="s">
        <v>3072</v>
      </c>
      <c r="J1123" s="573">
        <v>44393</v>
      </c>
      <c r="K1123" s="563" t="s">
        <v>3789</v>
      </c>
      <c r="L1123" s="572"/>
      <c r="M1123" s="572"/>
      <c r="N1123" s="572"/>
      <c r="O1123" s="572"/>
      <c r="P1123" s="572"/>
      <c r="Q1123" s="572"/>
      <c r="R1123" s="572"/>
      <c r="S1123" s="572"/>
      <c r="T1123" s="572"/>
      <c r="U1123" s="572"/>
      <c r="V1123" s="572"/>
      <c r="W1123" s="572"/>
      <c r="X1123" s="572"/>
      <c r="Y1123" s="572"/>
      <c r="Z1123" s="572"/>
      <c r="AA1123" s="572"/>
      <c r="AB1123" s="572"/>
      <c r="AC1123" s="572"/>
      <c r="AD1123" s="572"/>
      <c r="AE1123" s="572"/>
      <c r="AF1123" s="572"/>
      <c r="AG1123" s="572"/>
      <c r="AH1123" s="572"/>
      <c r="AI1123" s="572"/>
      <c r="AJ1123" s="572"/>
      <c r="AK1123" s="572"/>
      <c r="AL1123" s="572"/>
      <c r="AM1123" s="572"/>
      <c r="AN1123" s="572"/>
      <c r="AO1123" s="572"/>
      <c r="AP1123" s="572"/>
      <c r="AQ1123" s="572"/>
      <c r="AR1123" s="572"/>
      <c r="AS1123" s="572"/>
      <c r="AT1123" s="572"/>
      <c r="AU1123" s="572"/>
    </row>
    <row r="1124" spans="1:47" ht="15.75" customHeight="1">
      <c r="A1124" s="573">
        <v>44921</v>
      </c>
      <c r="B1124" s="574" t="s">
        <v>6861</v>
      </c>
      <c r="C1124" s="563" t="s">
        <v>3785</v>
      </c>
      <c r="D1124" s="563" t="s">
        <v>6341</v>
      </c>
      <c r="E1124" s="575">
        <v>12000</v>
      </c>
      <c r="F1124" s="563" t="s">
        <v>6862</v>
      </c>
      <c r="G1124" s="563" t="s">
        <v>19</v>
      </c>
      <c r="H1124" s="563" t="s">
        <v>20</v>
      </c>
      <c r="I1124" s="563" t="s">
        <v>372</v>
      </c>
      <c r="J1124" s="573">
        <v>44076</v>
      </c>
      <c r="K1124" s="563" t="s">
        <v>3805</v>
      </c>
      <c r="L1124" s="572"/>
      <c r="M1124" s="572"/>
      <c r="N1124" s="572"/>
      <c r="O1124" s="572"/>
      <c r="P1124" s="572"/>
      <c r="Q1124" s="572"/>
      <c r="R1124" s="572"/>
      <c r="S1124" s="572"/>
      <c r="T1124" s="572"/>
      <c r="U1124" s="572"/>
      <c r="V1124" s="572"/>
      <c r="W1124" s="572"/>
      <c r="X1124" s="572"/>
      <c r="Y1124" s="572"/>
      <c r="Z1124" s="572"/>
      <c r="AA1124" s="572"/>
      <c r="AB1124" s="572"/>
      <c r="AC1124" s="572"/>
      <c r="AD1124" s="572"/>
      <c r="AE1124" s="572"/>
      <c r="AF1124" s="572"/>
      <c r="AG1124" s="572"/>
      <c r="AH1124" s="572"/>
      <c r="AI1124" s="572"/>
      <c r="AJ1124" s="572"/>
      <c r="AK1124" s="572"/>
      <c r="AL1124" s="572"/>
      <c r="AM1124" s="572"/>
      <c r="AN1124" s="572"/>
      <c r="AO1124" s="572"/>
      <c r="AP1124" s="572"/>
      <c r="AQ1124" s="572"/>
      <c r="AR1124" s="572"/>
      <c r="AS1124" s="572"/>
      <c r="AT1124" s="572"/>
      <c r="AU1124" s="572"/>
    </row>
    <row r="1125" spans="1:47" ht="15.75" customHeight="1">
      <c r="A1125" s="573">
        <v>44921</v>
      </c>
      <c r="B1125" s="574" t="s">
        <v>6863</v>
      </c>
      <c r="C1125" s="563" t="s">
        <v>3785</v>
      </c>
      <c r="D1125" s="563" t="s">
        <v>6341</v>
      </c>
      <c r="E1125" s="575">
        <v>36019.279999999999</v>
      </c>
      <c r="F1125" s="563" t="s">
        <v>4397</v>
      </c>
      <c r="G1125" s="573" t="s">
        <v>19</v>
      </c>
      <c r="H1125" s="573" t="s">
        <v>49</v>
      </c>
      <c r="I1125" s="573" t="s">
        <v>5018</v>
      </c>
      <c r="J1125" s="573">
        <v>44511</v>
      </c>
      <c r="K1125" s="573" t="s">
        <v>3795</v>
      </c>
      <c r="L1125" s="572"/>
      <c r="M1125" s="572"/>
      <c r="N1125" s="572"/>
      <c r="O1125" s="572"/>
      <c r="P1125" s="572"/>
      <c r="Q1125" s="572"/>
      <c r="R1125" s="572"/>
      <c r="S1125" s="572"/>
      <c r="T1125" s="572"/>
      <c r="U1125" s="572"/>
      <c r="V1125" s="572"/>
      <c r="W1125" s="572"/>
      <c r="X1125" s="572"/>
      <c r="Y1125" s="572"/>
      <c r="Z1125" s="572"/>
      <c r="AA1125" s="572"/>
      <c r="AB1125" s="572"/>
      <c r="AC1125" s="572"/>
      <c r="AD1125" s="572"/>
      <c r="AE1125" s="572"/>
      <c r="AF1125" s="572"/>
      <c r="AG1125" s="572"/>
      <c r="AH1125" s="572"/>
      <c r="AI1125" s="572"/>
      <c r="AJ1125" s="572"/>
      <c r="AK1125" s="572"/>
      <c r="AL1125" s="572"/>
      <c r="AM1125" s="572"/>
      <c r="AN1125" s="572"/>
      <c r="AO1125" s="572"/>
      <c r="AP1125" s="572"/>
      <c r="AQ1125" s="572"/>
      <c r="AR1125" s="572"/>
      <c r="AS1125" s="572"/>
      <c r="AT1125" s="572"/>
      <c r="AU1125" s="572"/>
    </row>
    <row r="1126" spans="1:47" ht="15.75" customHeight="1">
      <c r="A1126" s="573">
        <v>44922</v>
      </c>
      <c r="B1126" s="574" t="s">
        <v>6760</v>
      </c>
      <c r="C1126" s="563" t="s">
        <v>3785</v>
      </c>
      <c r="D1126" s="563" t="s">
        <v>6341</v>
      </c>
      <c r="E1126" s="575">
        <v>10000</v>
      </c>
      <c r="F1126" s="563" t="s">
        <v>1579</v>
      </c>
      <c r="G1126" s="598" t="s">
        <v>19</v>
      </c>
      <c r="H1126" s="598" t="s">
        <v>49</v>
      </c>
      <c r="I1126" s="598" t="s">
        <v>166</v>
      </c>
      <c r="J1126" s="597">
        <v>44568</v>
      </c>
      <c r="K1126" s="532" t="s">
        <v>4465</v>
      </c>
      <c r="L1126" s="572"/>
      <c r="M1126" s="572"/>
      <c r="N1126" s="572"/>
      <c r="O1126" s="572"/>
      <c r="P1126" s="572"/>
      <c r="Q1126" s="572"/>
      <c r="R1126" s="572"/>
      <c r="S1126" s="572"/>
      <c r="T1126" s="572"/>
      <c r="U1126" s="572"/>
      <c r="V1126" s="572"/>
      <c r="W1126" s="572"/>
      <c r="X1126" s="572"/>
      <c r="Y1126" s="572"/>
      <c r="Z1126" s="572"/>
      <c r="AA1126" s="572"/>
      <c r="AB1126" s="572"/>
      <c r="AC1126" s="572"/>
      <c r="AD1126" s="572"/>
      <c r="AE1126" s="572"/>
      <c r="AF1126" s="572"/>
      <c r="AG1126" s="572"/>
      <c r="AH1126" s="572"/>
      <c r="AI1126" s="572"/>
      <c r="AJ1126" s="572"/>
      <c r="AK1126" s="572"/>
      <c r="AL1126" s="572"/>
      <c r="AM1126" s="572"/>
      <c r="AN1126" s="572"/>
      <c r="AO1126" s="572"/>
      <c r="AP1126" s="572"/>
      <c r="AQ1126" s="572"/>
      <c r="AR1126" s="572"/>
      <c r="AS1126" s="572"/>
      <c r="AT1126" s="572"/>
      <c r="AU1126" s="572"/>
    </row>
    <row r="1127" spans="1:47" ht="15.75" customHeight="1">
      <c r="A1127" s="573">
        <v>44922</v>
      </c>
      <c r="B1127" s="574" t="s">
        <v>6820</v>
      </c>
      <c r="C1127" s="563" t="s">
        <v>3785</v>
      </c>
      <c r="D1127" s="563" t="s">
        <v>928</v>
      </c>
      <c r="E1127" s="575">
        <v>44803.44</v>
      </c>
      <c r="F1127" s="563" t="s">
        <v>3837</v>
      </c>
      <c r="G1127" s="563" t="s">
        <v>19</v>
      </c>
      <c r="H1127" s="563" t="s">
        <v>20</v>
      </c>
      <c r="I1127" s="563" t="s">
        <v>21</v>
      </c>
      <c r="J1127" s="644">
        <v>44652</v>
      </c>
      <c r="K1127" s="563" t="s">
        <v>3802</v>
      </c>
      <c r="L1127" s="572"/>
      <c r="M1127" s="572"/>
      <c r="N1127" s="572"/>
      <c r="O1127" s="572"/>
      <c r="P1127" s="572"/>
      <c r="Q1127" s="572"/>
      <c r="R1127" s="572"/>
      <c r="S1127" s="572"/>
      <c r="T1127" s="572"/>
      <c r="U1127" s="572"/>
      <c r="V1127" s="572"/>
      <c r="W1127" s="572"/>
      <c r="X1127" s="572"/>
      <c r="Y1127" s="572"/>
      <c r="Z1127" s="572"/>
      <c r="AA1127" s="572"/>
      <c r="AB1127" s="572"/>
      <c r="AC1127" s="572"/>
      <c r="AD1127" s="572"/>
      <c r="AE1127" s="572"/>
      <c r="AF1127" s="572"/>
      <c r="AG1127" s="572"/>
      <c r="AH1127" s="572"/>
      <c r="AI1127" s="572"/>
      <c r="AJ1127" s="572"/>
      <c r="AK1127" s="572"/>
      <c r="AL1127" s="572"/>
      <c r="AM1127" s="572"/>
      <c r="AN1127" s="572"/>
      <c r="AO1127" s="572"/>
      <c r="AP1127" s="572"/>
      <c r="AQ1127" s="572"/>
      <c r="AR1127" s="572"/>
      <c r="AS1127" s="572"/>
      <c r="AT1127" s="572"/>
      <c r="AU1127" s="572"/>
    </row>
    <row r="1128" spans="1:47" ht="15.75" customHeight="1">
      <c r="A1128" s="573">
        <v>44922</v>
      </c>
      <c r="B1128" s="574" t="s">
        <v>6619</v>
      </c>
      <c r="C1128" s="563" t="s">
        <v>3785</v>
      </c>
      <c r="D1128" s="563" t="s">
        <v>928</v>
      </c>
      <c r="E1128" s="575">
        <v>25323.14</v>
      </c>
      <c r="F1128" s="563" t="s">
        <v>6864</v>
      </c>
      <c r="G1128" s="563" t="s">
        <v>19</v>
      </c>
      <c r="H1128" s="563" t="s">
        <v>20</v>
      </c>
      <c r="I1128" s="563" t="s">
        <v>3072</v>
      </c>
      <c r="J1128" s="573">
        <v>44399</v>
      </c>
      <c r="K1128" s="563" t="s">
        <v>3795</v>
      </c>
      <c r="L1128" s="572"/>
      <c r="M1128" s="572"/>
      <c r="N1128" s="572"/>
      <c r="O1128" s="572"/>
      <c r="P1128" s="572"/>
      <c r="Q1128" s="572"/>
      <c r="R1128" s="572"/>
      <c r="S1128" s="572"/>
      <c r="T1128" s="572"/>
      <c r="U1128" s="572"/>
      <c r="V1128" s="572"/>
      <c r="W1128" s="572"/>
      <c r="X1128" s="572"/>
      <c r="Y1128" s="572"/>
      <c r="Z1128" s="572"/>
      <c r="AA1128" s="572"/>
      <c r="AB1128" s="572"/>
      <c r="AC1128" s="572"/>
      <c r="AD1128" s="572"/>
      <c r="AE1128" s="572"/>
      <c r="AF1128" s="572"/>
      <c r="AG1128" s="572"/>
      <c r="AH1128" s="572"/>
      <c r="AI1128" s="572"/>
      <c r="AJ1128" s="572"/>
      <c r="AK1128" s="572"/>
      <c r="AL1128" s="572"/>
      <c r="AM1128" s="572"/>
      <c r="AN1128" s="572"/>
      <c r="AO1128" s="572"/>
      <c r="AP1128" s="572"/>
      <c r="AQ1128" s="572"/>
      <c r="AR1128" s="572"/>
      <c r="AS1128" s="572"/>
      <c r="AT1128" s="572"/>
      <c r="AU1128" s="572"/>
    </row>
    <row r="1129" spans="1:47" ht="15.75" customHeight="1">
      <c r="A1129" s="573">
        <v>44930</v>
      </c>
      <c r="B1129" s="574" t="s">
        <v>6837</v>
      </c>
      <c r="C1129" s="563" t="s">
        <v>3785</v>
      </c>
      <c r="D1129" s="563" t="s">
        <v>6341</v>
      </c>
      <c r="E1129" s="575">
        <v>5000</v>
      </c>
      <c r="F1129" s="563" t="s">
        <v>412</v>
      </c>
      <c r="G1129" s="563" t="s">
        <v>19</v>
      </c>
      <c r="H1129" s="563" t="s">
        <v>49</v>
      </c>
      <c r="I1129" s="563" t="s">
        <v>166</v>
      </c>
      <c r="J1129" s="597">
        <v>44767</v>
      </c>
      <c r="K1129" s="597" t="s">
        <v>3802</v>
      </c>
      <c r="L1129" s="572"/>
      <c r="M1129" s="572"/>
      <c r="N1129" s="572"/>
      <c r="O1129" s="572"/>
      <c r="P1129" s="572"/>
      <c r="Q1129" s="572"/>
      <c r="R1129" s="572"/>
      <c r="S1129" s="572"/>
      <c r="T1129" s="572"/>
      <c r="U1129" s="572"/>
      <c r="V1129" s="572"/>
      <c r="W1129" s="572"/>
      <c r="X1129" s="572"/>
      <c r="Y1129" s="572"/>
      <c r="Z1129" s="572"/>
      <c r="AA1129" s="572"/>
      <c r="AB1129" s="572"/>
      <c r="AC1129" s="572"/>
      <c r="AD1129" s="572"/>
      <c r="AE1129" s="572"/>
      <c r="AF1129" s="572"/>
      <c r="AG1129" s="572"/>
      <c r="AH1129" s="572"/>
      <c r="AI1129" s="572"/>
      <c r="AJ1129" s="572"/>
      <c r="AK1129" s="572"/>
      <c r="AL1129" s="572"/>
      <c r="AM1129" s="572"/>
      <c r="AN1129" s="572"/>
      <c r="AO1129" s="572"/>
      <c r="AP1129" s="572"/>
      <c r="AQ1129" s="572"/>
      <c r="AR1129" s="572"/>
      <c r="AS1129" s="572"/>
      <c r="AT1129" s="572"/>
      <c r="AU1129" s="572"/>
    </row>
    <row r="1130" spans="1:47" ht="15.75" customHeight="1">
      <c r="A1130" s="573">
        <v>44930</v>
      </c>
      <c r="B1130" s="574" t="s">
        <v>6419</v>
      </c>
      <c r="C1130" s="563" t="s">
        <v>3785</v>
      </c>
      <c r="D1130" s="563" t="s">
        <v>3110</v>
      </c>
      <c r="E1130" s="575">
        <v>47562.04</v>
      </c>
      <c r="F1130" s="563" t="s">
        <v>6865</v>
      </c>
      <c r="G1130" s="563" t="s">
        <v>19</v>
      </c>
      <c r="H1130" s="563" t="s">
        <v>20</v>
      </c>
      <c r="I1130" s="563" t="s">
        <v>21</v>
      </c>
      <c r="J1130" s="573">
        <v>44089</v>
      </c>
      <c r="K1130" s="563" t="s">
        <v>3802</v>
      </c>
      <c r="L1130" s="572"/>
      <c r="M1130" s="572"/>
      <c r="N1130" s="572"/>
      <c r="O1130" s="572"/>
      <c r="P1130" s="572"/>
      <c r="Q1130" s="572"/>
      <c r="R1130" s="572"/>
      <c r="S1130" s="572"/>
      <c r="T1130" s="572"/>
      <c r="U1130" s="572"/>
      <c r="V1130" s="572"/>
      <c r="W1130" s="572"/>
      <c r="X1130" s="572"/>
      <c r="Y1130" s="572"/>
      <c r="Z1130" s="572"/>
      <c r="AA1130" s="572"/>
      <c r="AB1130" s="572"/>
      <c r="AC1130" s="572"/>
      <c r="AD1130" s="572"/>
      <c r="AE1130" s="572"/>
      <c r="AF1130" s="572"/>
      <c r="AG1130" s="572"/>
      <c r="AH1130" s="572"/>
      <c r="AI1130" s="572"/>
      <c r="AJ1130" s="572"/>
      <c r="AK1130" s="572"/>
      <c r="AL1130" s="572"/>
      <c r="AM1130" s="572"/>
      <c r="AN1130" s="572"/>
      <c r="AO1130" s="572"/>
      <c r="AP1130" s="572"/>
      <c r="AQ1130" s="572"/>
      <c r="AR1130" s="572"/>
      <c r="AS1130" s="572"/>
      <c r="AT1130" s="572"/>
      <c r="AU1130" s="572"/>
    </row>
    <row r="1131" spans="1:47" ht="15.75" customHeight="1">
      <c r="A1131" s="573">
        <v>44932</v>
      </c>
      <c r="B1131" s="574" t="s">
        <v>6866</v>
      </c>
      <c r="C1131" s="563" t="s">
        <v>3785</v>
      </c>
      <c r="D1131" s="563" t="s">
        <v>6341</v>
      </c>
      <c r="E1131" s="575">
        <v>39735.11</v>
      </c>
      <c r="F1131" s="598" t="s">
        <v>6690</v>
      </c>
      <c r="G1131" s="598" t="s">
        <v>19</v>
      </c>
      <c r="H1131" s="598" t="s">
        <v>49</v>
      </c>
      <c r="I1131" s="598" t="s">
        <v>50</v>
      </c>
      <c r="J1131" s="597">
        <v>44645</v>
      </c>
      <c r="K1131" s="532" t="s">
        <v>3795</v>
      </c>
      <c r="L1131" s="572"/>
      <c r="M1131" s="572"/>
      <c r="N1131" s="572"/>
      <c r="O1131" s="572"/>
      <c r="P1131" s="572"/>
      <c r="Q1131" s="572"/>
      <c r="R1131" s="572"/>
      <c r="S1131" s="572"/>
      <c r="T1131" s="572"/>
      <c r="U1131" s="572"/>
      <c r="V1131" s="572"/>
      <c r="W1131" s="572"/>
      <c r="X1131" s="572"/>
      <c r="Y1131" s="572"/>
      <c r="Z1131" s="572"/>
      <c r="AA1131" s="572"/>
      <c r="AB1131" s="572"/>
      <c r="AC1131" s="572"/>
      <c r="AD1131" s="572"/>
      <c r="AE1131" s="572"/>
      <c r="AF1131" s="572"/>
      <c r="AG1131" s="572"/>
      <c r="AH1131" s="572"/>
      <c r="AI1131" s="572"/>
      <c r="AJ1131" s="572"/>
      <c r="AK1131" s="572"/>
      <c r="AL1131" s="572"/>
      <c r="AM1131" s="572"/>
      <c r="AN1131" s="572"/>
      <c r="AO1131" s="572"/>
      <c r="AP1131" s="572"/>
      <c r="AQ1131" s="572"/>
      <c r="AR1131" s="572"/>
      <c r="AS1131" s="572"/>
      <c r="AT1131" s="572"/>
      <c r="AU1131" s="572"/>
    </row>
    <row r="1132" spans="1:47" ht="15.75" customHeight="1">
      <c r="A1132" s="573">
        <v>44565</v>
      </c>
      <c r="B1132" s="574" t="s">
        <v>6775</v>
      </c>
      <c r="C1132" s="563" t="s">
        <v>3785</v>
      </c>
      <c r="D1132" s="563" t="s">
        <v>6341</v>
      </c>
      <c r="E1132" s="575">
        <v>18000</v>
      </c>
      <c r="F1132" s="563" t="s">
        <v>4723</v>
      </c>
      <c r="G1132" s="563" t="s">
        <v>19</v>
      </c>
      <c r="H1132" s="563" t="s">
        <v>20</v>
      </c>
      <c r="I1132" s="563" t="s">
        <v>3072</v>
      </c>
      <c r="J1132" s="573">
        <v>44393</v>
      </c>
      <c r="K1132" s="563" t="s">
        <v>3789</v>
      </c>
      <c r="L1132" s="572"/>
      <c r="M1132" s="572"/>
      <c r="N1132" s="572"/>
      <c r="O1132" s="572"/>
      <c r="P1132" s="572"/>
      <c r="Q1132" s="572"/>
      <c r="R1132" s="572"/>
      <c r="S1132" s="572"/>
      <c r="T1132" s="572"/>
      <c r="U1132" s="572"/>
      <c r="V1132" s="572"/>
      <c r="W1132" s="572"/>
      <c r="X1132" s="572"/>
      <c r="Y1132" s="572"/>
      <c r="Z1132" s="572"/>
      <c r="AA1132" s="572"/>
      <c r="AB1132" s="572"/>
      <c r="AC1132" s="572"/>
      <c r="AD1132" s="572"/>
      <c r="AE1132" s="572"/>
      <c r="AF1132" s="572"/>
      <c r="AG1132" s="572"/>
      <c r="AH1132" s="572"/>
      <c r="AI1132" s="572"/>
      <c r="AJ1132" s="572"/>
      <c r="AK1132" s="572"/>
      <c r="AL1132" s="572"/>
      <c r="AM1132" s="572"/>
      <c r="AN1132" s="572"/>
      <c r="AO1132" s="572"/>
      <c r="AP1132" s="572"/>
      <c r="AQ1132" s="572"/>
      <c r="AR1132" s="572"/>
      <c r="AS1132" s="572"/>
      <c r="AT1132" s="572"/>
      <c r="AU1132" s="572"/>
    </row>
    <row r="1133" spans="1:47" ht="15.75" customHeight="1">
      <c r="A1133" s="573">
        <v>44935</v>
      </c>
      <c r="B1133" s="574" t="s">
        <v>2064</v>
      </c>
      <c r="C1133" s="563" t="s">
        <v>29</v>
      </c>
      <c r="D1133" s="563" t="s">
        <v>6341</v>
      </c>
      <c r="E1133" s="575">
        <v>51409.52</v>
      </c>
      <c r="F1133" s="563" t="s">
        <v>2063</v>
      </c>
      <c r="G1133" s="563" t="s">
        <v>19</v>
      </c>
      <c r="H1133" s="563" t="s">
        <v>49</v>
      </c>
      <c r="I1133" s="563" t="s">
        <v>277</v>
      </c>
      <c r="J1133" s="573">
        <v>44951</v>
      </c>
      <c r="K1133" s="563" t="s">
        <v>3802</v>
      </c>
      <c r="L1133" s="572"/>
      <c r="M1133" s="572"/>
      <c r="N1133" s="572"/>
      <c r="O1133" s="572"/>
      <c r="P1133" s="572"/>
      <c r="Q1133" s="572"/>
      <c r="R1133" s="572"/>
      <c r="S1133" s="572"/>
      <c r="T1133" s="572"/>
      <c r="U1133" s="572"/>
      <c r="V1133" s="572"/>
      <c r="W1133" s="572"/>
      <c r="X1133" s="572"/>
      <c r="Y1133" s="572"/>
      <c r="Z1133" s="572"/>
      <c r="AA1133" s="572"/>
      <c r="AB1133" s="572"/>
      <c r="AC1133" s="572"/>
      <c r="AD1133" s="572"/>
      <c r="AE1133" s="572"/>
      <c r="AF1133" s="572"/>
      <c r="AG1133" s="572"/>
      <c r="AH1133" s="572"/>
      <c r="AI1133" s="572"/>
      <c r="AJ1133" s="572"/>
      <c r="AK1133" s="572"/>
      <c r="AL1133" s="572"/>
      <c r="AM1133" s="572"/>
      <c r="AN1133" s="572"/>
      <c r="AO1133" s="572"/>
      <c r="AP1133" s="572"/>
      <c r="AQ1133" s="572"/>
      <c r="AR1133" s="572"/>
      <c r="AS1133" s="572"/>
      <c r="AT1133" s="572"/>
      <c r="AU1133" s="572"/>
    </row>
    <row r="1134" spans="1:47" ht="15.75" customHeight="1">
      <c r="A1134" s="573"/>
      <c r="B1134" s="574" t="s">
        <v>804</v>
      </c>
      <c r="C1134" s="563" t="s">
        <v>29</v>
      </c>
      <c r="D1134" s="563" t="s">
        <v>6341</v>
      </c>
      <c r="E1134" s="575">
        <v>9000</v>
      </c>
      <c r="F1134" s="563" t="s">
        <v>6867</v>
      </c>
      <c r="G1134" s="563" t="s">
        <v>19</v>
      </c>
      <c r="H1134" s="563" t="s">
        <v>20</v>
      </c>
      <c r="I1134" s="563" t="s">
        <v>21</v>
      </c>
      <c r="J1134" s="573">
        <v>44888</v>
      </c>
      <c r="K1134" s="563" t="s">
        <v>3802</v>
      </c>
      <c r="L1134" s="572"/>
      <c r="M1134" s="572"/>
      <c r="N1134" s="572"/>
      <c r="O1134" s="572"/>
      <c r="P1134" s="572"/>
      <c r="Q1134" s="572"/>
      <c r="R1134" s="572"/>
      <c r="S1134" s="572"/>
      <c r="T1134" s="572"/>
      <c r="U1134" s="572"/>
      <c r="V1134" s="572"/>
      <c r="W1134" s="572"/>
      <c r="X1134" s="572"/>
      <c r="Y1134" s="572"/>
      <c r="Z1134" s="572"/>
      <c r="AA1134" s="572"/>
      <c r="AB1134" s="572"/>
      <c r="AC1134" s="572"/>
      <c r="AD1134" s="572"/>
      <c r="AE1134" s="572"/>
      <c r="AF1134" s="572"/>
      <c r="AG1134" s="572"/>
      <c r="AH1134" s="572"/>
      <c r="AI1134" s="572"/>
      <c r="AJ1134" s="572"/>
      <c r="AK1134" s="572"/>
      <c r="AL1134" s="572"/>
      <c r="AM1134" s="572"/>
      <c r="AN1134" s="572"/>
      <c r="AO1134" s="572"/>
      <c r="AP1134" s="572"/>
      <c r="AQ1134" s="572"/>
      <c r="AR1134" s="572"/>
      <c r="AS1134" s="572"/>
      <c r="AT1134" s="572"/>
      <c r="AU1134" s="572"/>
    </row>
    <row r="1135" spans="1:47" ht="15.75" customHeight="1">
      <c r="A1135" s="573">
        <v>44565</v>
      </c>
      <c r="B1135" s="574" t="s">
        <v>6775</v>
      </c>
      <c r="C1135" s="563" t="s">
        <v>3785</v>
      </c>
      <c r="D1135" s="563" t="s">
        <v>6341</v>
      </c>
      <c r="E1135" s="575">
        <v>9500</v>
      </c>
      <c r="F1135" s="563" t="s">
        <v>4723</v>
      </c>
      <c r="G1135" s="563" t="s">
        <v>19</v>
      </c>
      <c r="H1135" s="563" t="s">
        <v>20</v>
      </c>
      <c r="I1135" s="563" t="s">
        <v>3072</v>
      </c>
      <c r="J1135" s="573">
        <v>44393</v>
      </c>
      <c r="K1135" s="563" t="s">
        <v>3789</v>
      </c>
      <c r="L1135" s="572"/>
      <c r="M1135" s="572"/>
      <c r="N1135" s="572"/>
      <c r="O1135" s="572"/>
      <c r="P1135" s="572"/>
      <c r="Q1135" s="572"/>
      <c r="R1135" s="572"/>
      <c r="S1135" s="572"/>
      <c r="T1135" s="572"/>
      <c r="U1135" s="572"/>
      <c r="V1135" s="572"/>
      <c r="W1135" s="572"/>
      <c r="X1135" s="572"/>
      <c r="Y1135" s="572"/>
      <c r="Z1135" s="572"/>
      <c r="AA1135" s="572"/>
      <c r="AB1135" s="572"/>
      <c r="AC1135" s="572"/>
      <c r="AD1135" s="572"/>
      <c r="AE1135" s="572"/>
      <c r="AF1135" s="572"/>
      <c r="AG1135" s="572"/>
      <c r="AH1135" s="572"/>
      <c r="AI1135" s="572"/>
      <c r="AJ1135" s="572"/>
      <c r="AK1135" s="572"/>
      <c r="AL1135" s="572"/>
      <c r="AM1135" s="572"/>
      <c r="AN1135" s="572"/>
      <c r="AO1135" s="572"/>
      <c r="AP1135" s="572"/>
      <c r="AQ1135" s="572"/>
      <c r="AR1135" s="572"/>
      <c r="AS1135" s="572"/>
      <c r="AT1135" s="572"/>
      <c r="AU1135" s="572"/>
    </row>
    <row r="1136" spans="1:47" ht="15.75" customHeight="1">
      <c r="A1136" s="573">
        <v>44937</v>
      </c>
      <c r="B1136" s="574" t="s">
        <v>3623</v>
      </c>
      <c r="C1136" s="563" t="s">
        <v>3607</v>
      </c>
      <c r="D1136" s="563" t="s">
        <v>6341</v>
      </c>
      <c r="E1136" s="575">
        <v>10000</v>
      </c>
      <c r="F1136" s="563" t="s">
        <v>6868</v>
      </c>
      <c r="G1136" s="563" t="s">
        <v>19</v>
      </c>
      <c r="H1136" s="563" t="s">
        <v>20</v>
      </c>
      <c r="I1136" s="563" t="s">
        <v>3072</v>
      </c>
      <c r="J1136" s="573">
        <v>43934</v>
      </c>
      <c r="K1136" s="563" t="s">
        <v>3789</v>
      </c>
      <c r="L1136" s="572"/>
      <c r="M1136" s="572"/>
      <c r="N1136" s="572"/>
      <c r="O1136" s="572"/>
      <c r="P1136" s="572"/>
      <c r="Q1136" s="572"/>
      <c r="R1136" s="572"/>
      <c r="S1136" s="572"/>
      <c r="T1136" s="572"/>
      <c r="U1136" s="572"/>
      <c r="V1136" s="572"/>
      <c r="W1136" s="572"/>
      <c r="X1136" s="572"/>
      <c r="Y1136" s="572"/>
      <c r="Z1136" s="572"/>
      <c r="AA1136" s="572"/>
      <c r="AB1136" s="572"/>
      <c r="AC1136" s="572"/>
      <c r="AD1136" s="572"/>
      <c r="AE1136" s="572"/>
      <c r="AF1136" s="572"/>
      <c r="AG1136" s="572"/>
      <c r="AH1136" s="572"/>
      <c r="AI1136" s="572"/>
      <c r="AJ1136" s="572"/>
      <c r="AK1136" s="572"/>
      <c r="AL1136" s="572"/>
      <c r="AM1136" s="572"/>
      <c r="AN1136" s="572"/>
      <c r="AO1136" s="572"/>
      <c r="AP1136" s="572"/>
      <c r="AQ1136" s="572"/>
      <c r="AR1136" s="572"/>
      <c r="AS1136" s="572"/>
      <c r="AT1136" s="572"/>
      <c r="AU1136" s="572"/>
    </row>
    <row r="1137" spans="1:47" ht="15.75" customHeight="1">
      <c r="A1137" s="573">
        <v>44935</v>
      </c>
      <c r="B1137" s="574" t="s">
        <v>6869</v>
      </c>
      <c r="C1137" s="563" t="s">
        <v>3785</v>
      </c>
      <c r="D1137" s="563" t="s">
        <v>928</v>
      </c>
      <c r="E1137" s="575" t="s">
        <v>6870</v>
      </c>
      <c r="F1137" s="567" t="s">
        <v>5345</v>
      </c>
      <c r="G1137" s="563" t="s">
        <v>19</v>
      </c>
      <c r="H1137" s="563" t="s">
        <v>49</v>
      </c>
      <c r="I1137" s="563" t="s">
        <v>328</v>
      </c>
      <c r="J1137" s="563" t="s">
        <v>2892</v>
      </c>
      <c r="K1137" s="563" t="s">
        <v>3795</v>
      </c>
      <c r="L1137" s="572"/>
      <c r="M1137" s="572"/>
      <c r="N1137" s="572"/>
      <c r="O1137" s="572"/>
      <c r="P1137" s="572"/>
      <c r="Q1137" s="572"/>
      <c r="R1137" s="572"/>
      <c r="S1137" s="572"/>
      <c r="T1137" s="572"/>
      <c r="U1137" s="572"/>
      <c r="V1137" s="572"/>
      <c r="W1137" s="572"/>
      <c r="X1137" s="572"/>
      <c r="Y1137" s="572"/>
      <c r="Z1137" s="572"/>
      <c r="AA1137" s="572"/>
      <c r="AB1137" s="572"/>
      <c r="AC1137" s="572"/>
      <c r="AD1137" s="572"/>
      <c r="AE1137" s="572"/>
      <c r="AF1137" s="572"/>
      <c r="AG1137" s="572"/>
      <c r="AH1137" s="572"/>
      <c r="AI1137" s="572"/>
      <c r="AJ1137" s="572"/>
      <c r="AK1137" s="572"/>
      <c r="AL1137" s="572"/>
      <c r="AM1137" s="572"/>
      <c r="AN1137" s="572"/>
      <c r="AO1137" s="572"/>
      <c r="AP1137" s="572"/>
      <c r="AQ1137" s="572"/>
      <c r="AR1137" s="572"/>
      <c r="AS1137" s="572"/>
      <c r="AT1137" s="572"/>
      <c r="AU1137" s="572"/>
    </row>
    <row r="1138" spans="1:47" ht="15.75" customHeight="1">
      <c r="A1138" s="573">
        <v>44949</v>
      </c>
      <c r="B1138" s="574" t="s">
        <v>6760</v>
      </c>
      <c r="C1138" s="563" t="s">
        <v>3785</v>
      </c>
      <c r="D1138" s="563" t="s">
        <v>928</v>
      </c>
      <c r="E1138" s="575">
        <v>4119326.59</v>
      </c>
      <c r="F1138" s="563" t="s">
        <v>1579</v>
      </c>
      <c r="G1138" s="598" t="s">
        <v>19</v>
      </c>
      <c r="H1138" s="598" t="s">
        <v>49</v>
      </c>
      <c r="I1138" s="598" t="s">
        <v>166</v>
      </c>
      <c r="J1138" s="597">
        <v>44568</v>
      </c>
      <c r="K1138" s="532" t="s">
        <v>4465</v>
      </c>
      <c r="L1138" s="572"/>
      <c r="M1138" s="572"/>
      <c r="N1138" s="572"/>
      <c r="O1138" s="572"/>
      <c r="P1138" s="572"/>
      <c r="Q1138" s="572"/>
      <c r="R1138" s="572"/>
      <c r="S1138" s="572"/>
      <c r="T1138" s="572"/>
      <c r="U1138" s="572"/>
      <c r="V1138" s="572"/>
      <c r="W1138" s="572"/>
      <c r="X1138" s="572"/>
      <c r="Y1138" s="572"/>
      <c r="Z1138" s="572"/>
      <c r="AA1138" s="572"/>
      <c r="AB1138" s="572"/>
      <c r="AC1138" s="572"/>
      <c r="AD1138" s="572"/>
      <c r="AE1138" s="572"/>
      <c r="AF1138" s="572"/>
      <c r="AG1138" s="572"/>
      <c r="AH1138" s="572"/>
      <c r="AI1138" s="572"/>
      <c r="AJ1138" s="572"/>
      <c r="AK1138" s="572"/>
      <c r="AL1138" s="572"/>
      <c r="AM1138" s="572"/>
      <c r="AN1138" s="572"/>
      <c r="AO1138" s="572"/>
      <c r="AP1138" s="572"/>
      <c r="AQ1138" s="572"/>
      <c r="AR1138" s="572"/>
      <c r="AS1138" s="572"/>
      <c r="AT1138" s="572"/>
      <c r="AU1138" s="572"/>
    </row>
    <row r="1139" spans="1:47" ht="15.75" customHeight="1">
      <c r="A1139" s="573">
        <v>44931</v>
      </c>
      <c r="B1139" s="645" t="s">
        <v>6442</v>
      </c>
      <c r="C1139" s="563" t="s">
        <v>3785</v>
      </c>
      <c r="D1139" s="563" t="s">
        <v>928</v>
      </c>
      <c r="E1139" s="575">
        <v>97046.39</v>
      </c>
      <c r="F1139" s="566" t="s">
        <v>5087</v>
      </c>
      <c r="G1139" s="563" t="s">
        <v>64</v>
      </c>
      <c r="H1139" s="563" t="s">
        <v>20</v>
      </c>
      <c r="I1139" s="563" t="s">
        <v>3862</v>
      </c>
      <c r="J1139" s="573">
        <v>44180</v>
      </c>
      <c r="K1139" s="563" t="s">
        <v>3795</v>
      </c>
      <c r="L1139" s="572"/>
      <c r="M1139" s="572"/>
      <c r="N1139" s="572"/>
      <c r="O1139" s="572"/>
      <c r="P1139" s="572"/>
      <c r="Q1139" s="572"/>
      <c r="R1139" s="572"/>
      <c r="S1139" s="572"/>
      <c r="T1139" s="572"/>
      <c r="U1139" s="572"/>
      <c r="V1139" s="572"/>
      <c r="W1139" s="572"/>
      <c r="X1139" s="572"/>
      <c r="Y1139" s="572"/>
      <c r="Z1139" s="572"/>
      <c r="AA1139" s="572"/>
      <c r="AB1139" s="572"/>
      <c r="AC1139" s="572"/>
      <c r="AD1139" s="572"/>
      <c r="AE1139" s="572"/>
      <c r="AF1139" s="572"/>
      <c r="AG1139" s="572"/>
      <c r="AH1139" s="572"/>
      <c r="AI1139" s="572"/>
      <c r="AJ1139" s="572"/>
      <c r="AK1139" s="572"/>
      <c r="AL1139" s="572"/>
      <c r="AM1139" s="572"/>
      <c r="AN1139" s="572"/>
      <c r="AO1139" s="572"/>
      <c r="AP1139" s="572"/>
      <c r="AQ1139" s="572"/>
      <c r="AR1139" s="572"/>
      <c r="AS1139" s="572"/>
      <c r="AT1139" s="572"/>
      <c r="AU1139" s="572"/>
    </row>
    <row r="1140" spans="1:47" ht="15.75" customHeight="1">
      <c r="A1140" s="573">
        <v>44938</v>
      </c>
      <c r="B1140" s="574" t="s">
        <v>1137</v>
      </c>
      <c r="C1140" s="563" t="s">
        <v>29</v>
      </c>
      <c r="D1140" s="563" t="s">
        <v>6341</v>
      </c>
      <c r="E1140" s="575">
        <v>13092.93</v>
      </c>
      <c r="F1140" s="563" t="s">
        <v>6871</v>
      </c>
      <c r="G1140" s="563" t="s">
        <v>19</v>
      </c>
      <c r="H1140" s="563" t="s">
        <v>49</v>
      </c>
      <c r="I1140" s="563" t="s">
        <v>328</v>
      </c>
      <c r="J1140" s="644">
        <v>44951</v>
      </c>
      <c r="K1140" s="563" t="s">
        <v>3802</v>
      </c>
      <c r="L1140" s="572"/>
      <c r="M1140" s="572"/>
      <c r="N1140" s="572"/>
      <c r="O1140" s="572"/>
      <c r="P1140" s="572"/>
      <c r="Q1140" s="572"/>
      <c r="R1140" s="572"/>
      <c r="S1140" s="572"/>
      <c r="T1140" s="572"/>
      <c r="U1140" s="572"/>
      <c r="V1140" s="572"/>
      <c r="W1140" s="572"/>
      <c r="X1140" s="572"/>
      <c r="Y1140" s="572"/>
      <c r="Z1140" s="572"/>
      <c r="AA1140" s="572"/>
      <c r="AB1140" s="572"/>
      <c r="AC1140" s="572"/>
      <c r="AD1140" s="572"/>
      <c r="AE1140" s="572"/>
      <c r="AF1140" s="572"/>
      <c r="AG1140" s="572"/>
      <c r="AH1140" s="572"/>
      <c r="AI1140" s="572"/>
      <c r="AJ1140" s="572"/>
      <c r="AK1140" s="572"/>
      <c r="AL1140" s="572"/>
      <c r="AM1140" s="572"/>
      <c r="AN1140" s="572"/>
      <c r="AO1140" s="572"/>
      <c r="AP1140" s="572"/>
      <c r="AQ1140" s="572"/>
      <c r="AR1140" s="572"/>
      <c r="AS1140" s="572"/>
      <c r="AT1140" s="572"/>
      <c r="AU1140" s="572"/>
    </row>
    <row r="1141" spans="1:47" ht="15.75" customHeight="1">
      <c r="A1141" s="573">
        <v>44939</v>
      </c>
      <c r="B1141" s="574" t="s">
        <v>6837</v>
      </c>
      <c r="C1141" s="563" t="s">
        <v>3785</v>
      </c>
      <c r="D1141" s="563" t="s">
        <v>6341</v>
      </c>
      <c r="E1141" s="575">
        <v>1000</v>
      </c>
      <c r="F1141" s="563" t="s">
        <v>412</v>
      </c>
      <c r="G1141" s="563" t="s">
        <v>19</v>
      </c>
      <c r="H1141" s="563" t="s">
        <v>49</v>
      </c>
      <c r="I1141" s="563" t="s">
        <v>166</v>
      </c>
      <c r="J1141" s="644">
        <v>44767</v>
      </c>
      <c r="K1141" s="563" t="s">
        <v>3802</v>
      </c>
      <c r="L1141" s="572"/>
      <c r="M1141" s="572"/>
      <c r="N1141" s="572"/>
      <c r="O1141" s="572"/>
      <c r="P1141" s="572"/>
      <c r="Q1141" s="572"/>
      <c r="R1141" s="572"/>
      <c r="S1141" s="572"/>
      <c r="T1141" s="572"/>
      <c r="U1141" s="572"/>
      <c r="V1141" s="572"/>
      <c r="W1141" s="572"/>
      <c r="X1141" s="572"/>
      <c r="Y1141" s="572"/>
      <c r="Z1141" s="572"/>
      <c r="AA1141" s="572"/>
      <c r="AB1141" s="572"/>
      <c r="AC1141" s="572"/>
      <c r="AD1141" s="572"/>
      <c r="AE1141" s="572"/>
      <c r="AF1141" s="572"/>
      <c r="AG1141" s="572"/>
      <c r="AH1141" s="572"/>
      <c r="AI1141" s="572"/>
      <c r="AJ1141" s="572"/>
      <c r="AK1141" s="572"/>
      <c r="AL1141" s="572"/>
      <c r="AM1141" s="572"/>
      <c r="AN1141" s="572"/>
      <c r="AO1141" s="572"/>
      <c r="AP1141" s="572"/>
      <c r="AQ1141" s="572"/>
      <c r="AR1141" s="572"/>
      <c r="AS1141" s="572"/>
      <c r="AT1141" s="572"/>
      <c r="AU1141" s="572"/>
    </row>
    <row r="1142" spans="1:47" ht="15.75" customHeight="1">
      <c r="A1142" s="591"/>
      <c r="B1142" s="582"/>
      <c r="C1142" s="589"/>
      <c r="D1142" s="589"/>
      <c r="E1142" s="581"/>
      <c r="F1142" s="591"/>
      <c r="G1142" s="591"/>
      <c r="H1142" s="591"/>
      <c r="I1142" s="591"/>
      <c r="J1142" s="591"/>
      <c r="K1142" s="591"/>
      <c r="L1142" s="572"/>
      <c r="M1142" s="572"/>
      <c r="N1142" s="572"/>
      <c r="O1142" s="572"/>
      <c r="P1142" s="572"/>
      <c r="Q1142" s="572"/>
      <c r="R1142" s="572"/>
      <c r="S1142" s="572"/>
      <c r="T1142" s="572"/>
      <c r="U1142" s="572"/>
      <c r="V1142" s="572"/>
      <c r="W1142" s="572"/>
      <c r="X1142" s="572"/>
      <c r="Y1142" s="572"/>
      <c r="Z1142" s="572"/>
      <c r="AA1142" s="572"/>
      <c r="AB1142" s="572"/>
      <c r="AC1142" s="572"/>
      <c r="AD1142" s="572"/>
      <c r="AE1142" s="572"/>
      <c r="AF1142" s="572"/>
      <c r="AG1142" s="572"/>
      <c r="AH1142" s="572"/>
      <c r="AI1142" s="572"/>
      <c r="AJ1142" s="572"/>
      <c r="AK1142" s="572"/>
      <c r="AL1142" s="572"/>
      <c r="AM1142" s="572"/>
      <c r="AN1142" s="572"/>
      <c r="AO1142" s="572"/>
      <c r="AP1142" s="572"/>
      <c r="AQ1142" s="572"/>
      <c r="AR1142" s="572"/>
      <c r="AS1142" s="572"/>
      <c r="AT1142" s="572"/>
      <c r="AU1142" s="572"/>
    </row>
    <row r="1143" spans="1:47" ht="15.75" customHeight="1">
      <c r="A1143" s="591"/>
      <c r="B1143" s="582"/>
      <c r="C1143" s="589"/>
      <c r="D1143" s="589"/>
      <c r="E1143" s="581"/>
      <c r="F1143" s="591"/>
      <c r="G1143" s="591"/>
      <c r="H1143" s="591"/>
      <c r="I1143" s="591"/>
      <c r="J1143" s="591"/>
      <c r="K1143" s="591"/>
      <c r="L1143" s="572"/>
      <c r="M1143" s="572"/>
      <c r="N1143" s="572"/>
      <c r="O1143" s="572"/>
      <c r="P1143" s="572"/>
      <c r="Q1143" s="572"/>
      <c r="R1143" s="572"/>
      <c r="S1143" s="572"/>
      <c r="T1143" s="572"/>
      <c r="U1143" s="572"/>
      <c r="V1143" s="572"/>
      <c r="W1143" s="572"/>
      <c r="X1143" s="572"/>
      <c r="Y1143" s="572"/>
      <c r="Z1143" s="572"/>
      <c r="AA1143" s="572"/>
      <c r="AB1143" s="572"/>
      <c r="AC1143" s="572"/>
      <c r="AD1143" s="572"/>
      <c r="AE1143" s="572"/>
      <c r="AF1143" s="572"/>
      <c r="AG1143" s="572"/>
      <c r="AH1143" s="572"/>
      <c r="AI1143" s="572"/>
      <c r="AJ1143" s="572"/>
      <c r="AK1143" s="572"/>
      <c r="AL1143" s="572"/>
      <c r="AM1143" s="572"/>
      <c r="AN1143" s="572"/>
      <c r="AO1143" s="572"/>
      <c r="AP1143" s="572"/>
      <c r="AQ1143" s="572"/>
      <c r="AR1143" s="572"/>
      <c r="AS1143" s="572"/>
      <c r="AT1143" s="572"/>
      <c r="AU1143" s="572"/>
    </row>
    <row r="1144" spans="1:47" ht="15.75" customHeight="1">
      <c r="A1144" s="591"/>
      <c r="B1144" s="582"/>
      <c r="C1144" s="589"/>
      <c r="D1144" s="589"/>
      <c r="E1144" s="581"/>
      <c r="F1144" s="591"/>
      <c r="G1144" s="591"/>
      <c r="H1144" s="591"/>
      <c r="I1144" s="591"/>
      <c r="J1144" s="591"/>
      <c r="K1144" s="591"/>
      <c r="L1144" s="572"/>
      <c r="M1144" s="572"/>
      <c r="N1144" s="572"/>
      <c r="O1144" s="572"/>
      <c r="P1144" s="572"/>
      <c r="Q1144" s="572"/>
      <c r="R1144" s="572"/>
      <c r="S1144" s="572"/>
      <c r="T1144" s="572"/>
      <c r="U1144" s="572"/>
      <c r="V1144" s="572"/>
      <c r="W1144" s="572"/>
      <c r="X1144" s="572"/>
      <c r="Y1144" s="572"/>
      <c r="Z1144" s="572"/>
      <c r="AA1144" s="572"/>
      <c r="AB1144" s="572"/>
      <c r="AC1144" s="572"/>
      <c r="AD1144" s="572"/>
      <c r="AE1144" s="572"/>
      <c r="AF1144" s="572"/>
      <c r="AG1144" s="572"/>
      <c r="AH1144" s="572"/>
      <c r="AI1144" s="572"/>
      <c r="AJ1144" s="572"/>
      <c r="AK1144" s="572"/>
      <c r="AL1144" s="572"/>
      <c r="AM1144" s="572"/>
      <c r="AN1144" s="572"/>
      <c r="AO1144" s="572"/>
      <c r="AP1144" s="572"/>
      <c r="AQ1144" s="572"/>
      <c r="AR1144" s="572"/>
      <c r="AS1144" s="572"/>
      <c r="AT1144" s="572"/>
      <c r="AU1144" s="572"/>
    </row>
    <row r="1145" spans="1:47" ht="15.75" customHeight="1">
      <c r="A1145" s="591"/>
      <c r="B1145" s="582"/>
      <c r="C1145" s="589"/>
      <c r="D1145" s="589"/>
      <c r="E1145" s="581"/>
      <c r="F1145" s="591"/>
      <c r="G1145" s="591"/>
      <c r="H1145" s="591"/>
      <c r="I1145" s="591"/>
      <c r="J1145" s="591"/>
      <c r="K1145" s="591"/>
      <c r="L1145" s="572"/>
      <c r="M1145" s="572"/>
      <c r="N1145" s="572"/>
      <c r="O1145" s="572"/>
      <c r="P1145" s="572"/>
      <c r="Q1145" s="572"/>
      <c r="R1145" s="572"/>
      <c r="S1145" s="572"/>
      <c r="T1145" s="572"/>
      <c r="U1145" s="572"/>
      <c r="V1145" s="572"/>
      <c r="W1145" s="572"/>
      <c r="X1145" s="572"/>
      <c r="Y1145" s="572"/>
      <c r="Z1145" s="572"/>
      <c r="AA1145" s="572"/>
      <c r="AB1145" s="572"/>
      <c r="AC1145" s="572"/>
      <c r="AD1145" s="572"/>
      <c r="AE1145" s="572"/>
      <c r="AF1145" s="572"/>
      <c r="AG1145" s="572"/>
      <c r="AH1145" s="572"/>
      <c r="AI1145" s="572"/>
      <c r="AJ1145" s="572"/>
      <c r="AK1145" s="572"/>
      <c r="AL1145" s="572"/>
      <c r="AM1145" s="572"/>
      <c r="AN1145" s="572"/>
      <c r="AO1145" s="572"/>
      <c r="AP1145" s="572"/>
      <c r="AQ1145" s="572"/>
      <c r="AR1145" s="572"/>
      <c r="AS1145" s="572"/>
      <c r="AT1145" s="572"/>
      <c r="AU1145" s="572"/>
    </row>
    <row r="1146" spans="1:47" ht="15.75" customHeight="1">
      <c r="A1146" s="591"/>
      <c r="B1146" s="582"/>
      <c r="C1146" s="589"/>
      <c r="D1146" s="589"/>
      <c r="E1146" s="581"/>
      <c r="F1146" s="591"/>
      <c r="G1146" s="591"/>
      <c r="H1146" s="591"/>
      <c r="I1146" s="591"/>
      <c r="J1146" s="591"/>
      <c r="K1146" s="591"/>
      <c r="L1146" s="572"/>
      <c r="M1146" s="572"/>
      <c r="N1146" s="572"/>
      <c r="O1146" s="572"/>
      <c r="P1146" s="572"/>
      <c r="Q1146" s="572"/>
      <c r="R1146" s="572"/>
      <c r="S1146" s="572"/>
      <c r="T1146" s="572"/>
      <c r="U1146" s="572"/>
      <c r="V1146" s="572"/>
      <c r="W1146" s="572"/>
      <c r="X1146" s="572"/>
      <c r="Y1146" s="572"/>
      <c r="Z1146" s="572"/>
      <c r="AA1146" s="572"/>
      <c r="AB1146" s="572"/>
      <c r="AC1146" s="572"/>
      <c r="AD1146" s="572"/>
      <c r="AE1146" s="572"/>
      <c r="AF1146" s="572"/>
      <c r="AG1146" s="572"/>
      <c r="AH1146" s="572"/>
      <c r="AI1146" s="572"/>
      <c r="AJ1146" s="572"/>
      <c r="AK1146" s="572"/>
      <c r="AL1146" s="572"/>
      <c r="AM1146" s="572"/>
      <c r="AN1146" s="572"/>
      <c r="AO1146" s="572"/>
      <c r="AP1146" s="572"/>
      <c r="AQ1146" s="572"/>
      <c r="AR1146" s="572"/>
      <c r="AS1146" s="572"/>
      <c r="AT1146" s="572"/>
      <c r="AU1146" s="572"/>
    </row>
    <row r="1147" spans="1:47" ht="15.75" customHeight="1">
      <c r="A1147" s="591"/>
      <c r="B1147" s="582"/>
      <c r="C1147" s="589"/>
      <c r="D1147" s="589"/>
      <c r="E1147" s="581"/>
      <c r="F1147" s="591"/>
      <c r="G1147" s="591"/>
      <c r="H1147" s="591"/>
      <c r="I1147" s="591"/>
      <c r="J1147" s="591"/>
      <c r="K1147" s="591"/>
      <c r="L1147" s="572"/>
      <c r="M1147" s="572"/>
      <c r="N1147" s="572"/>
      <c r="O1147" s="572"/>
      <c r="P1147" s="572"/>
      <c r="Q1147" s="572"/>
      <c r="R1147" s="572"/>
      <c r="S1147" s="572"/>
      <c r="T1147" s="572"/>
      <c r="U1147" s="572"/>
      <c r="V1147" s="572"/>
      <c r="W1147" s="572"/>
      <c r="X1147" s="572"/>
      <c r="Y1147" s="572"/>
      <c r="Z1147" s="572"/>
      <c r="AA1147" s="572"/>
      <c r="AB1147" s="572"/>
      <c r="AC1147" s="572"/>
      <c r="AD1147" s="572"/>
      <c r="AE1147" s="572"/>
      <c r="AF1147" s="572"/>
      <c r="AG1147" s="572"/>
      <c r="AH1147" s="572"/>
      <c r="AI1147" s="572"/>
      <c r="AJ1147" s="572"/>
      <c r="AK1147" s="572"/>
      <c r="AL1147" s="572"/>
      <c r="AM1147" s="572"/>
      <c r="AN1147" s="572"/>
      <c r="AO1147" s="572"/>
      <c r="AP1147" s="572"/>
      <c r="AQ1147" s="572"/>
      <c r="AR1147" s="572"/>
      <c r="AS1147" s="572"/>
      <c r="AT1147" s="572"/>
      <c r="AU1147" s="572"/>
    </row>
    <row r="1148" spans="1:47" ht="15.75" customHeight="1">
      <c r="A1148" s="591"/>
      <c r="B1148" s="582"/>
      <c r="C1148" s="589"/>
      <c r="D1148" s="589"/>
      <c r="E1148" s="581"/>
      <c r="F1148" s="591"/>
      <c r="G1148" s="591"/>
      <c r="H1148" s="591"/>
      <c r="I1148" s="591"/>
      <c r="J1148" s="591"/>
      <c r="K1148" s="591"/>
      <c r="L1148" s="572"/>
      <c r="M1148" s="572"/>
      <c r="N1148" s="572"/>
      <c r="O1148" s="572"/>
      <c r="P1148" s="572"/>
      <c r="Q1148" s="572"/>
      <c r="R1148" s="572"/>
      <c r="S1148" s="572"/>
      <c r="T1148" s="572"/>
      <c r="U1148" s="572"/>
      <c r="V1148" s="572"/>
      <c r="W1148" s="572"/>
      <c r="X1148" s="572"/>
      <c r="Y1148" s="572"/>
      <c r="Z1148" s="572"/>
      <c r="AA1148" s="572"/>
      <c r="AB1148" s="572"/>
      <c r="AC1148" s="572"/>
      <c r="AD1148" s="572"/>
      <c r="AE1148" s="572"/>
      <c r="AF1148" s="572"/>
      <c r="AG1148" s="572"/>
      <c r="AH1148" s="572"/>
      <c r="AI1148" s="572"/>
      <c r="AJ1148" s="572"/>
      <c r="AK1148" s="572"/>
      <c r="AL1148" s="572"/>
      <c r="AM1148" s="572"/>
      <c r="AN1148" s="572"/>
      <c r="AO1148" s="572"/>
      <c r="AP1148" s="572"/>
      <c r="AQ1148" s="572"/>
      <c r="AR1148" s="572"/>
      <c r="AS1148" s="572"/>
      <c r="AT1148" s="572"/>
      <c r="AU1148" s="572"/>
    </row>
    <row r="1149" spans="1:47" ht="15.75" customHeight="1">
      <c r="A1149" s="591"/>
      <c r="B1149" s="582"/>
      <c r="C1149" s="589"/>
      <c r="D1149" s="589"/>
      <c r="E1149" s="581"/>
      <c r="F1149" s="591"/>
      <c r="G1149" s="591"/>
      <c r="H1149" s="591"/>
      <c r="I1149" s="591"/>
      <c r="J1149" s="591"/>
      <c r="K1149" s="591"/>
      <c r="L1149" s="572"/>
      <c r="M1149" s="572"/>
      <c r="N1149" s="572"/>
      <c r="O1149" s="572"/>
      <c r="P1149" s="572"/>
      <c r="Q1149" s="572"/>
      <c r="R1149" s="572"/>
      <c r="S1149" s="572"/>
      <c r="T1149" s="572"/>
      <c r="U1149" s="572"/>
      <c r="V1149" s="572"/>
      <c r="W1149" s="572"/>
      <c r="X1149" s="572"/>
      <c r="Y1149" s="572"/>
      <c r="Z1149" s="572"/>
      <c r="AA1149" s="572"/>
      <c r="AB1149" s="572"/>
      <c r="AC1149" s="572"/>
      <c r="AD1149" s="572"/>
      <c r="AE1149" s="572"/>
      <c r="AF1149" s="572"/>
      <c r="AG1149" s="572"/>
      <c r="AH1149" s="572"/>
      <c r="AI1149" s="572"/>
      <c r="AJ1149" s="572"/>
      <c r="AK1149" s="572"/>
      <c r="AL1149" s="572"/>
      <c r="AM1149" s="572"/>
      <c r="AN1149" s="572"/>
      <c r="AO1149" s="572"/>
      <c r="AP1149" s="572"/>
      <c r="AQ1149" s="572"/>
      <c r="AR1149" s="572"/>
      <c r="AS1149" s="572"/>
      <c r="AT1149" s="572"/>
      <c r="AU1149" s="572"/>
    </row>
    <row r="1150" spans="1:47" ht="15.75" customHeight="1">
      <c r="A1150" s="591"/>
      <c r="B1150" s="582"/>
      <c r="C1150" s="589"/>
      <c r="D1150" s="589"/>
      <c r="E1150" s="581"/>
      <c r="F1150" s="591"/>
      <c r="G1150" s="591"/>
      <c r="H1150" s="591"/>
      <c r="I1150" s="591"/>
      <c r="J1150" s="591"/>
      <c r="K1150" s="591"/>
      <c r="L1150" s="572"/>
      <c r="M1150" s="572"/>
      <c r="N1150" s="572"/>
      <c r="O1150" s="572"/>
      <c r="P1150" s="572"/>
      <c r="Q1150" s="572"/>
      <c r="R1150" s="572"/>
      <c r="S1150" s="572"/>
      <c r="T1150" s="572"/>
      <c r="U1150" s="572"/>
      <c r="V1150" s="572"/>
      <c r="W1150" s="572"/>
      <c r="X1150" s="572"/>
      <c r="Y1150" s="572"/>
      <c r="Z1150" s="572"/>
      <c r="AA1150" s="572"/>
      <c r="AB1150" s="572"/>
      <c r="AC1150" s="572"/>
      <c r="AD1150" s="572"/>
      <c r="AE1150" s="572"/>
      <c r="AF1150" s="572"/>
      <c r="AG1150" s="572"/>
      <c r="AH1150" s="572"/>
      <c r="AI1150" s="572"/>
      <c r="AJ1150" s="572"/>
      <c r="AK1150" s="572"/>
      <c r="AL1150" s="572"/>
      <c r="AM1150" s="572"/>
      <c r="AN1150" s="572"/>
      <c r="AO1150" s="572"/>
      <c r="AP1150" s="572"/>
      <c r="AQ1150" s="572"/>
      <c r="AR1150" s="572"/>
      <c r="AS1150" s="572"/>
      <c r="AT1150" s="572"/>
      <c r="AU1150" s="572"/>
    </row>
    <row r="1151" spans="1:47" ht="15.75" customHeight="1">
      <c r="A1151" s="591"/>
      <c r="B1151" s="582"/>
      <c r="C1151" s="589"/>
      <c r="D1151" s="589"/>
      <c r="E1151" s="581"/>
      <c r="F1151" s="591"/>
      <c r="G1151" s="591"/>
      <c r="H1151" s="591"/>
      <c r="I1151" s="591"/>
      <c r="J1151" s="591"/>
      <c r="K1151" s="591"/>
      <c r="L1151" s="572"/>
      <c r="M1151" s="572"/>
      <c r="N1151" s="572"/>
      <c r="O1151" s="572"/>
      <c r="P1151" s="572"/>
      <c r="Q1151" s="572"/>
      <c r="R1151" s="572"/>
      <c r="S1151" s="572"/>
      <c r="T1151" s="572"/>
      <c r="U1151" s="572"/>
      <c r="V1151" s="572"/>
      <c r="W1151" s="572"/>
      <c r="X1151" s="572"/>
      <c r="Y1151" s="572"/>
      <c r="Z1151" s="572"/>
      <c r="AA1151" s="572"/>
      <c r="AB1151" s="572"/>
      <c r="AC1151" s="572"/>
      <c r="AD1151" s="572"/>
      <c r="AE1151" s="572"/>
      <c r="AF1151" s="572"/>
      <c r="AG1151" s="572"/>
      <c r="AH1151" s="572"/>
      <c r="AI1151" s="572"/>
      <c r="AJ1151" s="572"/>
      <c r="AK1151" s="572"/>
      <c r="AL1151" s="572"/>
      <c r="AM1151" s="572"/>
      <c r="AN1151" s="572"/>
      <c r="AO1151" s="572"/>
      <c r="AP1151" s="572"/>
      <c r="AQ1151" s="572"/>
      <c r="AR1151" s="572"/>
      <c r="AS1151" s="572"/>
      <c r="AT1151" s="572"/>
      <c r="AU1151" s="572"/>
    </row>
    <row r="1152" spans="1:47" ht="15.75" customHeight="1">
      <c r="A1152" s="591"/>
      <c r="B1152" s="582"/>
      <c r="C1152" s="589"/>
      <c r="D1152" s="589"/>
      <c r="E1152" s="581"/>
      <c r="F1152" s="591"/>
      <c r="G1152" s="591"/>
      <c r="H1152" s="591"/>
      <c r="I1152" s="591"/>
      <c r="J1152" s="591"/>
      <c r="K1152" s="591"/>
      <c r="L1152" s="572"/>
      <c r="M1152" s="572"/>
      <c r="N1152" s="572"/>
      <c r="O1152" s="572"/>
      <c r="P1152" s="572"/>
      <c r="Q1152" s="572"/>
      <c r="R1152" s="572"/>
      <c r="S1152" s="572"/>
      <c r="T1152" s="572"/>
      <c r="U1152" s="572"/>
      <c r="V1152" s="572"/>
      <c r="W1152" s="572"/>
      <c r="X1152" s="572"/>
      <c r="Y1152" s="572"/>
      <c r="Z1152" s="572"/>
      <c r="AA1152" s="572"/>
      <c r="AB1152" s="572"/>
      <c r="AC1152" s="572"/>
      <c r="AD1152" s="572"/>
      <c r="AE1152" s="572"/>
      <c r="AF1152" s="572"/>
      <c r="AG1152" s="572"/>
      <c r="AH1152" s="572"/>
      <c r="AI1152" s="572"/>
      <c r="AJ1152" s="572"/>
      <c r="AK1152" s="572"/>
      <c r="AL1152" s="572"/>
      <c r="AM1152" s="572"/>
      <c r="AN1152" s="572"/>
      <c r="AO1152" s="572"/>
      <c r="AP1152" s="572"/>
      <c r="AQ1152" s="572"/>
      <c r="AR1152" s="572"/>
      <c r="AS1152" s="572"/>
      <c r="AT1152" s="572"/>
      <c r="AU1152" s="572"/>
    </row>
    <row r="1153" spans="1:47" ht="15.75" customHeight="1">
      <c r="A1153" s="591"/>
      <c r="B1153" s="582"/>
      <c r="C1153" s="589"/>
      <c r="D1153" s="589"/>
      <c r="E1153" s="581"/>
      <c r="F1153" s="591"/>
      <c r="G1153" s="591"/>
      <c r="H1153" s="591"/>
      <c r="I1153" s="591"/>
      <c r="J1153" s="591"/>
      <c r="K1153" s="591"/>
      <c r="L1153" s="572"/>
      <c r="M1153" s="572"/>
      <c r="N1153" s="572"/>
      <c r="O1153" s="572"/>
      <c r="P1153" s="572"/>
      <c r="Q1153" s="572"/>
      <c r="R1153" s="572"/>
      <c r="S1153" s="572"/>
      <c r="T1153" s="572"/>
      <c r="U1153" s="572"/>
      <c r="V1153" s="572"/>
      <c r="W1153" s="572"/>
      <c r="X1153" s="572"/>
      <c r="Y1153" s="572"/>
      <c r="Z1153" s="572"/>
      <c r="AA1153" s="572"/>
      <c r="AB1153" s="572"/>
      <c r="AC1153" s="572"/>
      <c r="AD1153" s="572"/>
      <c r="AE1153" s="572"/>
      <c r="AF1153" s="572"/>
      <c r="AG1153" s="572"/>
      <c r="AH1153" s="572"/>
      <c r="AI1153" s="572"/>
      <c r="AJ1153" s="572"/>
      <c r="AK1153" s="572"/>
      <c r="AL1153" s="572"/>
      <c r="AM1153" s="572"/>
      <c r="AN1153" s="572"/>
      <c r="AO1153" s="572"/>
      <c r="AP1153" s="572"/>
      <c r="AQ1153" s="572"/>
      <c r="AR1153" s="572"/>
      <c r="AS1153" s="572"/>
      <c r="AT1153" s="572"/>
      <c r="AU1153" s="572"/>
    </row>
    <row r="1154" spans="1:47" ht="15.75" customHeight="1">
      <c r="A1154" s="591"/>
      <c r="B1154" s="582"/>
      <c r="C1154" s="589"/>
      <c r="D1154" s="589"/>
      <c r="E1154" s="581"/>
      <c r="F1154" s="591"/>
      <c r="G1154" s="591"/>
      <c r="H1154" s="591"/>
      <c r="I1154" s="591"/>
      <c r="J1154" s="591"/>
      <c r="K1154" s="591"/>
      <c r="L1154" s="572"/>
      <c r="M1154" s="572"/>
      <c r="N1154" s="572"/>
      <c r="O1154" s="572"/>
      <c r="P1154" s="572"/>
      <c r="Q1154" s="572"/>
      <c r="R1154" s="572"/>
      <c r="S1154" s="572"/>
      <c r="T1154" s="572"/>
      <c r="U1154" s="572"/>
      <c r="V1154" s="572"/>
      <c r="W1154" s="572"/>
      <c r="X1154" s="572"/>
      <c r="Y1154" s="572"/>
      <c r="Z1154" s="572"/>
      <c r="AA1154" s="572"/>
      <c r="AB1154" s="572"/>
      <c r="AC1154" s="572"/>
      <c r="AD1154" s="572"/>
      <c r="AE1154" s="572"/>
      <c r="AF1154" s="572"/>
      <c r="AG1154" s="572"/>
      <c r="AH1154" s="572"/>
      <c r="AI1154" s="572"/>
      <c r="AJ1154" s="572"/>
      <c r="AK1154" s="572"/>
      <c r="AL1154" s="572"/>
      <c r="AM1154" s="572"/>
      <c r="AN1154" s="572"/>
      <c r="AO1154" s="572"/>
      <c r="AP1154" s="572"/>
      <c r="AQ1154" s="572"/>
      <c r="AR1154" s="572"/>
      <c r="AS1154" s="572"/>
      <c r="AT1154" s="572"/>
      <c r="AU1154" s="572"/>
    </row>
    <row r="1155" spans="1:47" ht="15.75" customHeight="1">
      <c r="A1155" s="591"/>
      <c r="B1155" s="582"/>
      <c r="C1155" s="589"/>
      <c r="D1155" s="589"/>
      <c r="E1155" s="581"/>
      <c r="F1155" s="591"/>
      <c r="G1155" s="591"/>
      <c r="H1155" s="591"/>
      <c r="I1155" s="591"/>
      <c r="J1155" s="591"/>
      <c r="K1155" s="591"/>
      <c r="L1155" s="572"/>
      <c r="M1155" s="572"/>
      <c r="N1155" s="572"/>
      <c r="O1155" s="572"/>
      <c r="P1155" s="572"/>
      <c r="Q1155" s="572"/>
      <c r="R1155" s="572"/>
      <c r="S1155" s="572"/>
      <c r="T1155" s="572"/>
      <c r="U1155" s="572"/>
      <c r="V1155" s="572"/>
      <c r="W1155" s="572"/>
      <c r="X1155" s="572"/>
      <c r="Y1155" s="572"/>
      <c r="Z1155" s="572"/>
      <c r="AA1155" s="572"/>
      <c r="AB1155" s="572"/>
      <c r="AC1155" s="572"/>
      <c r="AD1155" s="572"/>
      <c r="AE1155" s="572"/>
      <c r="AF1155" s="572"/>
      <c r="AG1155" s="572"/>
      <c r="AH1155" s="572"/>
      <c r="AI1155" s="572"/>
      <c r="AJ1155" s="572"/>
      <c r="AK1155" s="572"/>
      <c r="AL1155" s="572"/>
      <c r="AM1155" s="572"/>
      <c r="AN1155" s="572"/>
      <c r="AO1155" s="572"/>
      <c r="AP1155" s="572"/>
      <c r="AQ1155" s="572"/>
      <c r="AR1155" s="572"/>
      <c r="AS1155" s="572"/>
      <c r="AT1155" s="572"/>
      <c r="AU1155" s="572"/>
    </row>
    <row r="1156" spans="1:47" ht="15.75" customHeight="1">
      <c r="A1156" s="591"/>
      <c r="B1156" s="582"/>
      <c r="C1156" s="589"/>
      <c r="D1156" s="589"/>
      <c r="E1156" s="581"/>
      <c r="F1156" s="591"/>
      <c r="G1156" s="591"/>
      <c r="H1156" s="591"/>
      <c r="I1156" s="591"/>
      <c r="J1156" s="591"/>
      <c r="K1156" s="591"/>
      <c r="L1156" s="572"/>
      <c r="M1156" s="572"/>
      <c r="N1156" s="572"/>
      <c r="O1156" s="572"/>
      <c r="P1156" s="572"/>
      <c r="Q1156" s="572"/>
      <c r="R1156" s="572"/>
      <c r="S1156" s="572"/>
      <c r="T1156" s="572"/>
      <c r="U1156" s="572"/>
      <c r="V1156" s="572"/>
      <c r="W1156" s="572"/>
      <c r="X1156" s="572"/>
      <c r="Y1156" s="572"/>
      <c r="Z1156" s="572"/>
      <c r="AA1156" s="572"/>
      <c r="AB1156" s="572"/>
      <c r="AC1156" s="572"/>
      <c r="AD1156" s="572"/>
      <c r="AE1156" s="572"/>
      <c r="AF1156" s="572"/>
      <c r="AG1156" s="572"/>
      <c r="AH1156" s="572"/>
      <c r="AI1156" s="572"/>
      <c r="AJ1156" s="572"/>
      <c r="AK1156" s="572"/>
      <c r="AL1156" s="572"/>
      <c r="AM1156" s="572"/>
      <c r="AN1156" s="572"/>
      <c r="AO1156" s="572"/>
      <c r="AP1156" s="572"/>
      <c r="AQ1156" s="572"/>
      <c r="AR1156" s="572"/>
      <c r="AS1156" s="572"/>
      <c r="AT1156" s="572"/>
      <c r="AU1156" s="572"/>
    </row>
    <row r="1157" spans="1:47" ht="15.75" customHeight="1">
      <c r="A1157" s="591"/>
      <c r="B1157" s="582"/>
      <c r="C1157" s="589"/>
      <c r="D1157" s="589"/>
      <c r="E1157" s="581"/>
      <c r="F1157" s="591"/>
      <c r="G1157" s="591"/>
      <c r="H1157" s="591"/>
      <c r="I1157" s="591"/>
      <c r="J1157" s="591"/>
      <c r="K1157" s="591"/>
      <c r="L1157" s="572"/>
      <c r="M1157" s="572"/>
      <c r="N1157" s="572"/>
      <c r="O1157" s="572"/>
      <c r="P1157" s="572"/>
      <c r="Q1157" s="572"/>
      <c r="R1157" s="572"/>
      <c r="S1157" s="572"/>
      <c r="T1157" s="572"/>
      <c r="U1157" s="572"/>
      <c r="V1157" s="572"/>
      <c r="W1157" s="572"/>
      <c r="X1157" s="572"/>
      <c r="Y1157" s="572"/>
      <c r="Z1157" s="572"/>
      <c r="AA1157" s="572"/>
      <c r="AB1157" s="572"/>
      <c r="AC1157" s="572"/>
      <c r="AD1157" s="572"/>
      <c r="AE1157" s="572"/>
      <c r="AF1157" s="572"/>
      <c r="AG1157" s="572"/>
      <c r="AH1157" s="572"/>
      <c r="AI1157" s="572"/>
      <c r="AJ1157" s="572"/>
      <c r="AK1157" s="572"/>
      <c r="AL1157" s="572"/>
      <c r="AM1157" s="572"/>
      <c r="AN1157" s="572"/>
      <c r="AO1157" s="572"/>
      <c r="AP1157" s="572"/>
      <c r="AQ1157" s="572"/>
      <c r="AR1157" s="572"/>
      <c r="AS1157" s="572"/>
      <c r="AT1157" s="572"/>
      <c r="AU1157" s="572"/>
    </row>
    <row r="1158" spans="1:47" ht="15.75" customHeight="1">
      <c r="A1158" s="591"/>
      <c r="B1158" s="582"/>
      <c r="C1158" s="589"/>
      <c r="D1158" s="589"/>
      <c r="E1158" s="581"/>
      <c r="F1158" s="591"/>
      <c r="G1158" s="591"/>
      <c r="H1158" s="591"/>
      <c r="I1158" s="591"/>
      <c r="J1158" s="591"/>
      <c r="K1158" s="591"/>
      <c r="L1158" s="572"/>
      <c r="M1158" s="572"/>
      <c r="N1158" s="572"/>
      <c r="O1158" s="572"/>
      <c r="P1158" s="572"/>
      <c r="Q1158" s="572"/>
      <c r="R1158" s="572"/>
      <c r="S1158" s="572"/>
      <c r="T1158" s="572"/>
      <c r="U1158" s="572"/>
      <c r="V1158" s="572"/>
      <c r="W1158" s="572"/>
      <c r="X1158" s="572"/>
      <c r="Y1158" s="572"/>
      <c r="Z1158" s="572"/>
      <c r="AA1158" s="572"/>
      <c r="AB1158" s="572"/>
      <c r="AC1158" s="572"/>
      <c r="AD1158" s="572"/>
      <c r="AE1158" s="572"/>
      <c r="AF1158" s="572"/>
      <c r="AG1158" s="572"/>
      <c r="AH1158" s="572"/>
      <c r="AI1158" s="572"/>
      <c r="AJ1158" s="572"/>
      <c r="AK1158" s="572"/>
      <c r="AL1158" s="572"/>
      <c r="AM1158" s="572"/>
      <c r="AN1158" s="572"/>
      <c r="AO1158" s="572"/>
      <c r="AP1158" s="572"/>
      <c r="AQ1158" s="572"/>
      <c r="AR1158" s="572"/>
      <c r="AS1158" s="572"/>
      <c r="AT1158" s="572"/>
      <c r="AU1158" s="572"/>
    </row>
    <row r="1159" spans="1:47" ht="15.75" customHeight="1">
      <c r="A1159" s="591"/>
      <c r="B1159" s="582"/>
      <c r="C1159" s="589"/>
      <c r="D1159" s="589"/>
      <c r="E1159" s="581"/>
      <c r="F1159" s="591"/>
      <c r="G1159" s="591"/>
      <c r="H1159" s="591"/>
      <c r="I1159" s="591"/>
      <c r="J1159" s="591"/>
      <c r="K1159" s="591"/>
      <c r="L1159" s="572"/>
      <c r="M1159" s="572"/>
      <c r="N1159" s="572"/>
      <c r="O1159" s="572"/>
      <c r="P1159" s="572"/>
      <c r="Q1159" s="572"/>
      <c r="R1159" s="572"/>
      <c r="S1159" s="572"/>
      <c r="T1159" s="572"/>
      <c r="U1159" s="572"/>
      <c r="V1159" s="572"/>
      <c r="W1159" s="572"/>
      <c r="X1159" s="572"/>
      <c r="Y1159" s="572"/>
      <c r="Z1159" s="572"/>
      <c r="AA1159" s="572"/>
      <c r="AB1159" s="572"/>
      <c r="AC1159" s="572"/>
      <c r="AD1159" s="572"/>
      <c r="AE1159" s="572"/>
      <c r="AF1159" s="572"/>
      <c r="AG1159" s="572"/>
      <c r="AH1159" s="572"/>
      <c r="AI1159" s="572"/>
      <c r="AJ1159" s="572"/>
      <c r="AK1159" s="572"/>
      <c r="AL1159" s="572"/>
      <c r="AM1159" s="572"/>
      <c r="AN1159" s="572"/>
      <c r="AO1159" s="572"/>
      <c r="AP1159" s="572"/>
      <c r="AQ1159" s="572"/>
      <c r="AR1159" s="572"/>
      <c r="AS1159" s="572"/>
      <c r="AT1159" s="572"/>
      <c r="AU1159" s="572"/>
    </row>
    <row r="1160" spans="1:47" ht="15.75" customHeight="1">
      <c r="A1160" s="591"/>
      <c r="B1160" s="582"/>
      <c r="C1160" s="589"/>
      <c r="D1160" s="589"/>
      <c r="E1160" s="581"/>
      <c r="F1160" s="591"/>
      <c r="G1160" s="591"/>
      <c r="H1160" s="591"/>
      <c r="I1160" s="591"/>
      <c r="J1160" s="591"/>
      <c r="K1160" s="591"/>
      <c r="L1160" s="572"/>
      <c r="M1160" s="572"/>
      <c r="N1160" s="572"/>
      <c r="O1160" s="572"/>
      <c r="P1160" s="572"/>
      <c r="Q1160" s="572"/>
      <c r="R1160" s="572"/>
      <c r="S1160" s="572"/>
      <c r="T1160" s="572"/>
      <c r="U1160" s="572"/>
      <c r="V1160" s="572"/>
      <c r="W1160" s="572"/>
      <c r="X1160" s="572"/>
      <c r="Y1160" s="572"/>
      <c r="Z1160" s="572"/>
      <c r="AA1160" s="572"/>
      <c r="AB1160" s="572"/>
      <c r="AC1160" s="572"/>
      <c r="AD1160" s="572"/>
      <c r="AE1160" s="572"/>
      <c r="AF1160" s="572"/>
      <c r="AG1160" s="572"/>
      <c r="AH1160" s="572"/>
      <c r="AI1160" s="572"/>
      <c r="AJ1160" s="572"/>
      <c r="AK1160" s="572"/>
      <c r="AL1160" s="572"/>
      <c r="AM1160" s="572"/>
      <c r="AN1160" s="572"/>
      <c r="AO1160" s="572"/>
      <c r="AP1160" s="572"/>
      <c r="AQ1160" s="572"/>
      <c r="AR1160" s="572"/>
      <c r="AS1160" s="572"/>
      <c r="AT1160" s="572"/>
      <c r="AU1160" s="572"/>
    </row>
    <row r="1161" spans="1:47" ht="15.75" customHeight="1">
      <c r="A1161" s="591"/>
      <c r="B1161" s="582"/>
      <c r="C1161" s="589"/>
      <c r="D1161" s="589"/>
      <c r="E1161" s="581"/>
      <c r="F1161" s="591"/>
      <c r="G1161" s="591"/>
      <c r="H1161" s="591"/>
      <c r="I1161" s="591"/>
      <c r="J1161" s="591"/>
      <c r="K1161" s="591"/>
      <c r="L1161" s="572"/>
      <c r="M1161" s="572"/>
      <c r="N1161" s="572"/>
      <c r="O1161" s="572"/>
      <c r="P1161" s="572"/>
      <c r="Q1161" s="572"/>
      <c r="R1161" s="572"/>
      <c r="S1161" s="572"/>
      <c r="T1161" s="572"/>
      <c r="U1161" s="572"/>
      <c r="V1161" s="572"/>
      <c r="W1161" s="572"/>
      <c r="X1161" s="572"/>
      <c r="Y1161" s="572"/>
      <c r="Z1161" s="572"/>
      <c r="AA1161" s="572"/>
      <c r="AB1161" s="572"/>
      <c r="AC1161" s="572"/>
      <c r="AD1161" s="572"/>
      <c r="AE1161" s="572"/>
      <c r="AF1161" s="572"/>
      <c r="AG1161" s="572"/>
      <c r="AH1161" s="572"/>
      <c r="AI1161" s="572"/>
      <c r="AJ1161" s="572"/>
      <c r="AK1161" s="572"/>
      <c r="AL1161" s="572"/>
      <c r="AM1161" s="572"/>
      <c r="AN1161" s="572"/>
      <c r="AO1161" s="572"/>
      <c r="AP1161" s="572"/>
      <c r="AQ1161" s="572"/>
      <c r="AR1161" s="572"/>
      <c r="AS1161" s="572"/>
      <c r="AT1161" s="572"/>
      <c r="AU1161" s="572"/>
    </row>
    <row r="1162" spans="1:47" ht="15.75" customHeight="1">
      <c r="A1162" s="591"/>
      <c r="B1162" s="582"/>
      <c r="C1162" s="589"/>
      <c r="D1162" s="589"/>
      <c r="E1162" s="581"/>
      <c r="F1162" s="591"/>
      <c r="G1162" s="591"/>
      <c r="H1162" s="591"/>
      <c r="I1162" s="591"/>
      <c r="J1162" s="591"/>
      <c r="K1162" s="591"/>
      <c r="L1162" s="572"/>
      <c r="M1162" s="572"/>
      <c r="N1162" s="572"/>
      <c r="O1162" s="572"/>
      <c r="P1162" s="572"/>
      <c r="Q1162" s="572"/>
      <c r="R1162" s="572"/>
      <c r="S1162" s="572"/>
      <c r="T1162" s="572"/>
      <c r="U1162" s="572"/>
      <c r="V1162" s="572"/>
      <c r="W1162" s="572"/>
      <c r="X1162" s="572"/>
      <c r="Y1162" s="572"/>
      <c r="Z1162" s="572"/>
      <c r="AA1162" s="572"/>
      <c r="AB1162" s="572"/>
      <c r="AC1162" s="572"/>
      <c r="AD1162" s="572"/>
      <c r="AE1162" s="572"/>
      <c r="AF1162" s="572"/>
      <c r="AG1162" s="572"/>
      <c r="AH1162" s="572"/>
      <c r="AI1162" s="572"/>
      <c r="AJ1162" s="572"/>
      <c r="AK1162" s="572"/>
      <c r="AL1162" s="572"/>
      <c r="AM1162" s="572"/>
      <c r="AN1162" s="572"/>
      <c r="AO1162" s="572"/>
      <c r="AP1162" s="572"/>
      <c r="AQ1162" s="572"/>
      <c r="AR1162" s="572"/>
      <c r="AS1162" s="572"/>
      <c r="AT1162" s="572"/>
      <c r="AU1162" s="572"/>
    </row>
    <row r="1163" spans="1:47" ht="15.75" customHeight="1">
      <c r="A1163" s="591"/>
      <c r="B1163" s="582"/>
      <c r="C1163" s="589"/>
      <c r="D1163" s="589"/>
      <c r="E1163" s="581"/>
      <c r="F1163" s="591"/>
      <c r="G1163" s="591"/>
      <c r="H1163" s="591"/>
      <c r="I1163" s="591"/>
      <c r="J1163" s="591"/>
      <c r="K1163" s="591"/>
      <c r="L1163" s="572"/>
      <c r="M1163" s="572"/>
      <c r="N1163" s="572"/>
      <c r="O1163" s="572"/>
      <c r="P1163" s="572"/>
      <c r="Q1163" s="572"/>
      <c r="R1163" s="572"/>
      <c r="S1163" s="572"/>
      <c r="T1163" s="572"/>
      <c r="U1163" s="572"/>
      <c r="V1163" s="572"/>
      <c r="W1163" s="572"/>
      <c r="X1163" s="572"/>
      <c r="Y1163" s="572"/>
      <c r="Z1163" s="572"/>
      <c r="AA1163" s="572"/>
      <c r="AB1163" s="572"/>
      <c r="AC1163" s="572"/>
      <c r="AD1163" s="572"/>
      <c r="AE1163" s="572"/>
      <c r="AF1163" s="572"/>
      <c r="AG1163" s="572"/>
      <c r="AH1163" s="572"/>
      <c r="AI1163" s="572"/>
      <c r="AJ1163" s="572"/>
      <c r="AK1163" s="572"/>
      <c r="AL1163" s="572"/>
      <c r="AM1163" s="572"/>
      <c r="AN1163" s="572"/>
      <c r="AO1163" s="572"/>
      <c r="AP1163" s="572"/>
      <c r="AQ1163" s="572"/>
      <c r="AR1163" s="572"/>
      <c r="AS1163" s="572"/>
      <c r="AT1163" s="572"/>
      <c r="AU1163" s="572"/>
    </row>
    <row r="1164" spans="1:47" ht="15.75" customHeight="1">
      <c r="A1164" s="591"/>
      <c r="B1164" s="582"/>
      <c r="C1164" s="589"/>
      <c r="D1164" s="589"/>
      <c r="E1164" s="581"/>
      <c r="F1164" s="591"/>
      <c r="G1164" s="591"/>
      <c r="H1164" s="591"/>
      <c r="I1164" s="591"/>
      <c r="J1164" s="591"/>
      <c r="K1164" s="591"/>
      <c r="L1164" s="572"/>
      <c r="M1164" s="572"/>
      <c r="N1164" s="572"/>
      <c r="O1164" s="572"/>
      <c r="P1164" s="572"/>
      <c r="Q1164" s="572"/>
      <c r="R1164" s="572"/>
      <c r="S1164" s="572"/>
      <c r="T1164" s="572"/>
      <c r="U1164" s="572"/>
      <c r="V1164" s="572"/>
      <c r="W1164" s="572"/>
      <c r="X1164" s="572"/>
      <c r="Y1164" s="572"/>
      <c r="Z1164" s="572"/>
      <c r="AA1164" s="572"/>
      <c r="AB1164" s="572"/>
      <c r="AC1164" s="572"/>
      <c r="AD1164" s="572"/>
      <c r="AE1164" s="572"/>
      <c r="AF1164" s="572"/>
      <c r="AG1164" s="572"/>
      <c r="AH1164" s="572"/>
      <c r="AI1164" s="572"/>
      <c r="AJ1164" s="572"/>
      <c r="AK1164" s="572"/>
      <c r="AL1164" s="572"/>
      <c r="AM1164" s="572"/>
      <c r="AN1164" s="572"/>
      <c r="AO1164" s="572"/>
      <c r="AP1164" s="572"/>
      <c r="AQ1164" s="572"/>
      <c r="AR1164" s="572"/>
      <c r="AS1164" s="572"/>
      <c r="AT1164" s="572"/>
      <c r="AU1164" s="572"/>
    </row>
    <row r="1165" spans="1:47" ht="15.75" customHeight="1">
      <c r="A1165" s="591"/>
      <c r="B1165" s="582"/>
      <c r="C1165" s="589"/>
      <c r="D1165" s="589"/>
      <c r="E1165" s="581"/>
      <c r="F1165" s="591"/>
      <c r="G1165" s="591"/>
      <c r="H1165" s="591"/>
      <c r="I1165" s="591"/>
      <c r="J1165" s="591"/>
      <c r="K1165" s="591"/>
      <c r="L1165" s="572"/>
      <c r="M1165" s="572"/>
      <c r="N1165" s="572"/>
      <c r="O1165" s="572"/>
      <c r="P1165" s="572"/>
      <c r="Q1165" s="572"/>
      <c r="R1165" s="572"/>
      <c r="S1165" s="572"/>
      <c r="T1165" s="572"/>
      <c r="U1165" s="572"/>
      <c r="V1165" s="572"/>
      <c r="W1165" s="572"/>
      <c r="X1165" s="572"/>
      <c r="Y1165" s="572"/>
      <c r="Z1165" s="572"/>
      <c r="AA1165" s="572"/>
      <c r="AB1165" s="572"/>
      <c r="AC1165" s="572"/>
      <c r="AD1165" s="572"/>
      <c r="AE1165" s="572"/>
      <c r="AF1165" s="572"/>
      <c r="AG1165" s="572"/>
      <c r="AH1165" s="572"/>
      <c r="AI1165" s="572"/>
      <c r="AJ1165" s="572"/>
      <c r="AK1165" s="572"/>
      <c r="AL1165" s="572"/>
      <c r="AM1165" s="572"/>
      <c r="AN1165" s="572"/>
      <c r="AO1165" s="572"/>
      <c r="AP1165" s="572"/>
      <c r="AQ1165" s="572"/>
      <c r="AR1165" s="572"/>
      <c r="AS1165" s="572"/>
      <c r="AT1165" s="572"/>
      <c r="AU1165" s="572"/>
    </row>
    <row r="1166" spans="1:47" ht="15.75" customHeight="1">
      <c r="A1166" s="591"/>
      <c r="B1166" s="582"/>
      <c r="C1166" s="589"/>
      <c r="D1166" s="589"/>
      <c r="E1166" s="581"/>
      <c r="F1166" s="591"/>
      <c r="G1166" s="591"/>
      <c r="H1166" s="591"/>
      <c r="I1166" s="591"/>
      <c r="J1166" s="591"/>
      <c r="K1166" s="591"/>
      <c r="L1166" s="572"/>
      <c r="M1166" s="572"/>
      <c r="N1166" s="572"/>
      <c r="O1166" s="572"/>
      <c r="P1166" s="572"/>
      <c r="Q1166" s="572"/>
      <c r="R1166" s="572"/>
      <c r="S1166" s="572"/>
      <c r="T1166" s="572"/>
      <c r="U1166" s="572"/>
      <c r="V1166" s="572"/>
      <c r="W1166" s="572"/>
      <c r="X1166" s="572"/>
      <c r="Y1166" s="572"/>
      <c r="Z1166" s="572"/>
      <c r="AA1166" s="572"/>
      <c r="AB1166" s="572"/>
      <c r="AC1166" s="572"/>
      <c r="AD1166" s="572"/>
      <c r="AE1166" s="572"/>
      <c r="AF1166" s="572"/>
      <c r="AG1166" s="572"/>
      <c r="AH1166" s="572"/>
      <c r="AI1166" s="572"/>
      <c r="AJ1166" s="572"/>
      <c r="AK1166" s="572"/>
      <c r="AL1166" s="572"/>
      <c r="AM1166" s="572"/>
      <c r="AN1166" s="572"/>
      <c r="AO1166" s="572"/>
      <c r="AP1166" s="572"/>
      <c r="AQ1166" s="572"/>
      <c r="AR1166" s="572"/>
      <c r="AS1166" s="572"/>
      <c r="AT1166" s="572"/>
      <c r="AU1166" s="572"/>
    </row>
    <row r="1167" spans="1:47" ht="15.75" customHeight="1">
      <c r="A1167" s="591"/>
      <c r="B1167" s="582"/>
      <c r="C1167" s="589"/>
      <c r="D1167" s="589"/>
      <c r="E1167" s="581"/>
      <c r="F1167" s="591"/>
      <c r="G1167" s="591"/>
      <c r="H1167" s="591"/>
      <c r="I1167" s="591"/>
      <c r="J1167" s="591"/>
      <c r="K1167" s="591"/>
      <c r="L1167" s="572"/>
      <c r="M1167" s="572"/>
      <c r="N1167" s="572"/>
      <c r="O1167" s="572"/>
      <c r="P1167" s="572"/>
      <c r="Q1167" s="572"/>
      <c r="R1167" s="572"/>
      <c r="S1167" s="572"/>
      <c r="T1167" s="572"/>
      <c r="U1167" s="572"/>
      <c r="V1167" s="572"/>
      <c r="W1167" s="572"/>
      <c r="X1167" s="572"/>
      <c r="Y1167" s="572"/>
      <c r="Z1167" s="572"/>
      <c r="AA1167" s="572"/>
      <c r="AB1167" s="572"/>
      <c r="AC1167" s="572"/>
      <c r="AD1167" s="572"/>
      <c r="AE1167" s="572"/>
      <c r="AF1167" s="572"/>
      <c r="AG1167" s="572"/>
      <c r="AH1167" s="572"/>
      <c r="AI1167" s="572"/>
      <c r="AJ1167" s="572"/>
      <c r="AK1167" s="572"/>
      <c r="AL1167" s="572"/>
      <c r="AM1167" s="572"/>
      <c r="AN1167" s="572"/>
      <c r="AO1167" s="572"/>
      <c r="AP1167" s="572"/>
      <c r="AQ1167" s="572"/>
      <c r="AR1167" s="572"/>
      <c r="AS1167" s="572"/>
      <c r="AT1167" s="572"/>
      <c r="AU1167" s="572"/>
    </row>
    <row r="1168" spans="1:47" ht="15.75" customHeight="1">
      <c r="A1168" s="591"/>
      <c r="B1168" s="582"/>
      <c r="C1168" s="589"/>
      <c r="D1168" s="589"/>
      <c r="E1168" s="581"/>
      <c r="F1168" s="591"/>
      <c r="G1168" s="591"/>
      <c r="H1168" s="591"/>
      <c r="I1168" s="591"/>
      <c r="J1168" s="591"/>
      <c r="K1168" s="591"/>
      <c r="L1168" s="572"/>
      <c r="M1168" s="572"/>
      <c r="N1168" s="572"/>
      <c r="O1168" s="572"/>
      <c r="P1168" s="572"/>
      <c r="Q1168" s="572"/>
      <c r="R1168" s="572"/>
      <c r="S1168" s="572"/>
      <c r="T1168" s="572"/>
      <c r="U1168" s="572"/>
      <c r="V1168" s="572"/>
      <c r="W1168" s="572"/>
      <c r="X1168" s="572"/>
      <c r="Y1168" s="572"/>
      <c r="Z1168" s="572"/>
      <c r="AA1168" s="572"/>
      <c r="AB1168" s="572"/>
      <c r="AC1168" s="572"/>
      <c r="AD1168" s="572"/>
      <c r="AE1168" s="572"/>
      <c r="AF1168" s="572"/>
      <c r="AG1168" s="572"/>
      <c r="AH1168" s="572"/>
      <c r="AI1168" s="572"/>
      <c r="AJ1168" s="572"/>
      <c r="AK1168" s="572"/>
      <c r="AL1168" s="572"/>
      <c r="AM1168" s="572"/>
      <c r="AN1168" s="572"/>
      <c r="AO1168" s="572"/>
      <c r="AP1168" s="572"/>
      <c r="AQ1168" s="572"/>
      <c r="AR1168" s="572"/>
      <c r="AS1168" s="572"/>
      <c r="AT1168" s="572"/>
      <c r="AU1168" s="572"/>
    </row>
    <row r="1169" spans="1:47" ht="15.75" customHeight="1">
      <c r="A1169" s="591"/>
      <c r="B1169" s="582"/>
      <c r="C1169" s="589"/>
      <c r="D1169" s="589"/>
      <c r="E1169" s="581"/>
      <c r="F1169" s="591"/>
      <c r="G1169" s="591"/>
      <c r="H1169" s="591"/>
      <c r="I1169" s="591"/>
      <c r="J1169" s="591"/>
      <c r="K1169" s="591"/>
      <c r="L1169" s="572"/>
      <c r="M1169" s="572"/>
      <c r="N1169" s="572"/>
      <c r="O1169" s="572"/>
      <c r="P1169" s="572"/>
      <c r="Q1169" s="572"/>
      <c r="R1169" s="572"/>
      <c r="S1169" s="572"/>
      <c r="T1169" s="572"/>
      <c r="U1169" s="572"/>
      <c r="V1169" s="572"/>
      <c r="W1169" s="572"/>
      <c r="X1169" s="572"/>
      <c r="Y1169" s="572"/>
      <c r="Z1169" s="572"/>
      <c r="AA1169" s="572"/>
      <c r="AB1169" s="572"/>
      <c r="AC1169" s="572"/>
      <c r="AD1169" s="572"/>
      <c r="AE1169" s="572"/>
      <c r="AF1169" s="572"/>
      <c r="AG1169" s="572"/>
      <c r="AH1169" s="572"/>
      <c r="AI1169" s="572"/>
      <c r="AJ1169" s="572"/>
      <c r="AK1169" s="572"/>
      <c r="AL1169" s="572"/>
      <c r="AM1169" s="572"/>
      <c r="AN1169" s="572"/>
      <c r="AO1169" s="572"/>
      <c r="AP1169" s="572"/>
      <c r="AQ1169" s="572"/>
      <c r="AR1169" s="572"/>
      <c r="AS1169" s="572"/>
      <c r="AT1169" s="572"/>
      <c r="AU1169" s="572"/>
    </row>
    <row r="1170" spans="1:47" ht="15.75" customHeight="1">
      <c r="A1170" s="591"/>
      <c r="B1170" s="582"/>
      <c r="C1170" s="589"/>
      <c r="D1170" s="589"/>
      <c r="E1170" s="581"/>
      <c r="F1170" s="591"/>
      <c r="G1170" s="591"/>
      <c r="H1170" s="591"/>
      <c r="I1170" s="591"/>
      <c r="J1170" s="591"/>
      <c r="K1170" s="591"/>
      <c r="L1170" s="572"/>
      <c r="M1170" s="572"/>
      <c r="N1170" s="572"/>
      <c r="O1170" s="572"/>
      <c r="P1170" s="572"/>
      <c r="Q1170" s="572"/>
      <c r="R1170" s="572"/>
      <c r="S1170" s="572"/>
      <c r="T1170" s="572"/>
      <c r="U1170" s="572"/>
      <c r="V1170" s="572"/>
      <c r="W1170" s="572"/>
      <c r="X1170" s="572"/>
      <c r="Y1170" s="572"/>
      <c r="Z1170" s="572"/>
      <c r="AA1170" s="572"/>
      <c r="AB1170" s="572"/>
      <c r="AC1170" s="572"/>
      <c r="AD1170" s="572"/>
      <c r="AE1170" s="572"/>
      <c r="AF1170" s="572"/>
      <c r="AG1170" s="572"/>
      <c r="AH1170" s="572"/>
      <c r="AI1170" s="572"/>
      <c r="AJ1170" s="572"/>
      <c r="AK1170" s="572"/>
      <c r="AL1170" s="572"/>
      <c r="AM1170" s="572"/>
      <c r="AN1170" s="572"/>
      <c r="AO1170" s="572"/>
      <c r="AP1170" s="572"/>
      <c r="AQ1170" s="572"/>
      <c r="AR1170" s="572"/>
      <c r="AS1170" s="572"/>
      <c r="AT1170" s="572"/>
      <c r="AU1170" s="572"/>
    </row>
    <row r="1171" spans="1:47" ht="15.75" customHeight="1">
      <c r="A1171" s="591"/>
      <c r="B1171" s="582"/>
      <c r="C1171" s="589"/>
      <c r="D1171" s="589"/>
      <c r="E1171" s="581"/>
      <c r="F1171" s="591"/>
      <c r="G1171" s="591"/>
      <c r="H1171" s="591"/>
      <c r="I1171" s="591"/>
      <c r="J1171" s="591"/>
      <c r="K1171" s="591"/>
      <c r="L1171" s="572"/>
      <c r="M1171" s="572"/>
      <c r="N1171" s="572"/>
      <c r="O1171" s="572"/>
      <c r="P1171" s="572"/>
      <c r="Q1171" s="572"/>
      <c r="R1171" s="572"/>
      <c r="S1171" s="572"/>
      <c r="T1171" s="572"/>
      <c r="U1171" s="572"/>
      <c r="V1171" s="572"/>
      <c r="W1171" s="572"/>
      <c r="X1171" s="572"/>
      <c r="Y1171" s="572"/>
      <c r="Z1171" s="572"/>
      <c r="AA1171" s="572"/>
      <c r="AB1171" s="572"/>
      <c r="AC1171" s="572"/>
      <c r="AD1171" s="572"/>
      <c r="AE1171" s="572"/>
      <c r="AF1171" s="572"/>
      <c r="AG1171" s="572"/>
      <c r="AH1171" s="572"/>
      <c r="AI1171" s="572"/>
      <c r="AJ1171" s="572"/>
      <c r="AK1171" s="572"/>
      <c r="AL1171" s="572"/>
      <c r="AM1171" s="572"/>
      <c r="AN1171" s="572"/>
      <c r="AO1171" s="572"/>
      <c r="AP1171" s="572"/>
      <c r="AQ1171" s="572"/>
      <c r="AR1171" s="572"/>
      <c r="AS1171" s="572"/>
      <c r="AT1171" s="572"/>
      <c r="AU1171" s="572"/>
    </row>
    <row r="1172" spans="1:47" ht="15.75" customHeight="1">
      <c r="A1172" s="591"/>
      <c r="B1172" s="582"/>
      <c r="C1172" s="589"/>
      <c r="D1172" s="589"/>
      <c r="E1172" s="581"/>
      <c r="F1172" s="591"/>
      <c r="G1172" s="591"/>
      <c r="H1172" s="591"/>
      <c r="I1172" s="591"/>
      <c r="J1172" s="591"/>
      <c r="K1172" s="591"/>
      <c r="L1172" s="572"/>
      <c r="M1172" s="572"/>
      <c r="N1172" s="572"/>
      <c r="O1172" s="572"/>
      <c r="P1172" s="572"/>
      <c r="Q1172" s="572"/>
      <c r="R1172" s="572"/>
      <c r="S1172" s="572"/>
      <c r="T1172" s="572"/>
      <c r="U1172" s="572"/>
      <c r="V1172" s="572"/>
      <c r="W1172" s="572"/>
      <c r="X1172" s="572"/>
      <c r="Y1172" s="572"/>
      <c r="Z1172" s="572"/>
      <c r="AA1172" s="572"/>
      <c r="AB1172" s="572"/>
      <c r="AC1172" s="572"/>
      <c r="AD1172" s="572"/>
      <c r="AE1172" s="572"/>
      <c r="AF1172" s="572"/>
      <c r="AG1172" s="572"/>
      <c r="AH1172" s="572"/>
      <c r="AI1172" s="572"/>
      <c r="AJ1172" s="572"/>
      <c r="AK1172" s="572"/>
      <c r="AL1172" s="572"/>
      <c r="AM1172" s="572"/>
      <c r="AN1172" s="572"/>
      <c r="AO1172" s="572"/>
      <c r="AP1172" s="572"/>
      <c r="AQ1172" s="572"/>
      <c r="AR1172" s="572"/>
      <c r="AS1172" s="572"/>
      <c r="AT1172" s="572"/>
      <c r="AU1172" s="572"/>
    </row>
    <row r="1173" spans="1:47" ht="15.75" customHeight="1">
      <c r="A1173" s="591"/>
      <c r="B1173" s="582"/>
      <c r="C1173" s="589"/>
      <c r="D1173" s="589"/>
      <c r="E1173" s="581"/>
      <c r="F1173" s="591"/>
      <c r="G1173" s="591"/>
      <c r="H1173" s="591"/>
      <c r="I1173" s="591"/>
      <c r="J1173" s="591"/>
      <c r="K1173" s="591"/>
      <c r="L1173" s="572"/>
      <c r="M1173" s="572"/>
      <c r="N1173" s="572"/>
      <c r="O1173" s="572"/>
      <c r="P1173" s="572"/>
      <c r="Q1173" s="572"/>
      <c r="R1173" s="572"/>
      <c r="S1173" s="572"/>
      <c r="T1173" s="572"/>
      <c r="U1173" s="572"/>
      <c r="V1173" s="572"/>
      <c r="W1173" s="572"/>
      <c r="X1173" s="572"/>
      <c r="Y1173" s="572"/>
      <c r="Z1173" s="572"/>
      <c r="AA1173" s="572"/>
      <c r="AB1173" s="572"/>
      <c r="AC1173" s="572"/>
      <c r="AD1173" s="572"/>
      <c r="AE1173" s="572"/>
      <c r="AF1173" s="572"/>
      <c r="AG1173" s="572"/>
      <c r="AH1173" s="572"/>
      <c r="AI1173" s="572"/>
      <c r="AJ1173" s="572"/>
      <c r="AK1173" s="572"/>
      <c r="AL1173" s="572"/>
      <c r="AM1173" s="572"/>
      <c r="AN1173" s="572"/>
      <c r="AO1173" s="572"/>
      <c r="AP1173" s="572"/>
      <c r="AQ1173" s="572"/>
      <c r="AR1173" s="572"/>
      <c r="AS1173" s="572"/>
      <c r="AT1173" s="572"/>
      <c r="AU1173" s="572"/>
    </row>
    <row r="1174" spans="1:47" ht="15.75" customHeight="1">
      <c r="A1174" s="591"/>
      <c r="B1174" s="582"/>
      <c r="C1174" s="589"/>
      <c r="D1174" s="589"/>
      <c r="E1174" s="581"/>
      <c r="F1174" s="591"/>
      <c r="G1174" s="591"/>
      <c r="H1174" s="591"/>
      <c r="I1174" s="591"/>
      <c r="J1174" s="591"/>
      <c r="K1174" s="591"/>
      <c r="L1174" s="572"/>
      <c r="M1174" s="572"/>
      <c r="N1174" s="572"/>
      <c r="O1174" s="572"/>
      <c r="P1174" s="572"/>
      <c r="Q1174" s="572"/>
      <c r="R1174" s="572"/>
      <c r="S1174" s="572"/>
      <c r="T1174" s="572"/>
      <c r="U1174" s="572"/>
      <c r="V1174" s="572"/>
      <c r="W1174" s="572"/>
      <c r="X1174" s="572"/>
      <c r="Y1174" s="572"/>
      <c r="Z1174" s="572"/>
      <c r="AA1174" s="572"/>
      <c r="AB1174" s="572"/>
      <c r="AC1174" s="572"/>
      <c r="AD1174" s="572"/>
      <c r="AE1174" s="572"/>
      <c r="AF1174" s="572"/>
      <c r="AG1174" s="572"/>
      <c r="AH1174" s="572"/>
      <c r="AI1174" s="572"/>
      <c r="AJ1174" s="572"/>
      <c r="AK1174" s="572"/>
      <c r="AL1174" s="572"/>
      <c r="AM1174" s="572"/>
      <c r="AN1174" s="572"/>
      <c r="AO1174" s="572"/>
      <c r="AP1174" s="572"/>
      <c r="AQ1174" s="572"/>
      <c r="AR1174" s="572"/>
      <c r="AS1174" s="572"/>
      <c r="AT1174" s="572"/>
      <c r="AU1174" s="572"/>
    </row>
    <row r="1175" spans="1:47" ht="15.75" customHeight="1">
      <c r="A1175" s="591"/>
      <c r="B1175" s="582"/>
      <c r="C1175" s="589"/>
      <c r="D1175" s="589"/>
      <c r="E1175" s="581"/>
      <c r="F1175" s="591"/>
      <c r="G1175" s="591"/>
      <c r="H1175" s="591"/>
      <c r="I1175" s="591"/>
      <c r="J1175" s="591"/>
      <c r="K1175" s="591"/>
      <c r="L1175" s="572"/>
      <c r="M1175" s="572"/>
      <c r="N1175" s="572"/>
      <c r="O1175" s="572"/>
      <c r="P1175" s="572"/>
      <c r="Q1175" s="572"/>
      <c r="R1175" s="572"/>
      <c r="S1175" s="572"/>
      <c r="T1175" s="572"/>
      <c r="U1175" s="572"/>
      <c r="V1175" s="572"/>
      <c r="W1175" s="572"/>
      <c r="X1175" s="572"/>
      <c r="Y1175" s="572"/>
      <c r="Z1175" s="572"/>
      <c r="AA1175" s="572"/>
      <c r="AB1175" s="572"/>
      <c r="AC1175" s="572"/>
      <c r="AD1175" s="572"/>
      <c r="AE1175" s="572"/>
      <c r="AF1175" s="572"/>
      <c r="AG1175" s="572"/>
      <c r="AH1175" s="572"/>
      <c r="AI1175" s="572"/>
      <c r="AJ1175" s="572"/>
      <c r="AK1175" s="572"/>
      <c r="AL1175" s="572"/>
      <c r="AM1175" s="572"/>
      <c r="AN1175" s="572"/>
      <c r="AO1175" s="572"/>
      <c r="AP1175" s="572"/>
      <c r="AQ1175" s="572"/>
      <c r="AR1175" s="572"/>
      <c r="AS1175" s="572"/>
      <c r="AT1175" s="572"/>
      <c r="AU1175" s="572"/>
    </row>
    <row r="1176" spans="1:47" ht="15.75" customHeight="1">
      <c r="A1176" s="591"/>
      <c r="B1176" s="582"/>
      <c r="C1176" s="589"/>
      <c r="D1176" s="589"/>
      <c r="E1176" s="581"/>
      <c r="F1176" s="591"/>
      <c r="G1176" s="591"/>
      <c r="H1176" s="591"/>
      <c r="I1176" s="591"/>
      <c r="J1176" s="591"/>
      <c r="K1176" s="591"/>
      <c r="L1176" s="572"/>
      <c r="M1176" s="572"/>
      <c r="N1176" s="572"/>
      <c r="O1176" s="572"/>
      <c r="P1176" s="572"/>
      <c r="Q1176" s="572"/>
      <c r="R1176" s="572"/>
      <c r="S1176" s="572"/>
      <c r="T1176" s="572"/>
      <c r="U1176" s="572"/>
      <c r="V1176" s="572"/>
      <c r="W1176" s="572"/>
      <c r="X1176" s="572"/>
      <c r="Y1176" s="572"/>
      <c r="Z1176" s="572"/>
      <c r="AA1176" s="572"/>
      <c r="AB1176" s="572"/>
      <c r="AC1176" s="572"/>
      <c r="AD1176" s="572"/>
      <c r="AE1176" s="572"/>
      <c r="AF1176" s="572"/>
      <c r="AG1176" s="572"/>
      <c r="AH1176" s="572"/>
      <c r="AI1176" s="572"/>
      <c r="AJ1176" s="572"/>
      <c r="AK1176" s="572"/>
      <c r="AL1176" s="572"/>
      <c r="AM1176" s="572"/>
      <c r="AN1176" s="572"/>
      <c r="AO1176" s="572"/>
      <c r="AP1176" s="572"/>
      <c r="AQ1176" s="572"/>
      <c r="AR1176" s="572"/>
      <c r="AS1176" s="572"/>
      <c r="AT1176" s="572"/>
      <c r="AU1176" s="572"/>
    </row>
    <row r="1177" spans="1:47" ht="15.75" customHeight="1">
      <c r="A1177" s="591"/>
      <c r="B1177" s="582"/>
      <c r="C1177" s="589"/>
      <c r="D1177" s="589"/>
      <c r="E1177" s="581"/>
      <c r="F1177" s="591"/>
      <c r="G1177" s="591"/>
      <c r="H1177" s="591"/>
      <c r="I1177" s="591"/>
      <c r="J1177" s="591"/>
      <c r="K1177" s="591"/>
      <c r="L1177" s="572"/>
      <c r="M1177" s="572"/>
      <c r="N1177" s="572"/>
      <c r="O1177" s="572"/>
      <c r="P1177" s="572"/>
      <c r="Q1177" s="572"/>
      <c r="R1177" s="572"/>
      <c r="S1177" s="572"/>
      <c r="T1177" s="572"/>
      <c r="U1177" s="572"/>
      <c r="V1177" s="572"/>
      <c r="W1177" s="572"/>
      <c r="X1177" s="572"/>
      <c r="Y1177" s="572"/>
      <c r="Z1177" s="572"/>
      <c r="AA1177" s="572"/>
      <c r="AB1177" s="572"/>
      <c r="AC1177" s="572"/>
      <c r="AD1177" s="572"/>
      <c r="AE1177" s="572"/>
      <c r="AF1177" s="572"/>
      <c r="AG1177" s="572"/>
      <c r="AH1177" s="572"/>
      <c r="AI1177" s="572"/>
      <c r="AJ1177" s="572"/>
      <c r="AK1177" s="572"/>
      <c r="AL1177" s="572"/>
      <c r="AM1177" s="572"/>
      <c r="AN1177" s="572"/>
      <c r="AO1177" s="572"/>
      <c r="AP1177" s="572"/>
      <c r="AQ1177" s="572"/>
      <c r="AR1177" s="572"/>
      <c r="AS1177" s="572"/>
      <c r="AT1177" s="572"/>
      <c r="AU1177" s="572"/>
    </row>
    <row r="1178" spans="1:47" ht="15.75" customHeight="1">
      <c r="A1178" s="591"/>
      <c r="B1178" s="582"/>
      <c r="C1178" s="589"/>
      <c r="D1178" s="589"/>
      <c r="E1178" s="581"/>
      <c r="F1178" s="591"/>
      <c r="G1178" s="591"/>
      <c r="H1178" s="591"/>
      <c r="I1178" s="591"/>
      <c r="J1178" s="591"/>
      <c r="K1178" s="591"/>
      <c r="L1178" s="572"/>
      <c r="M1178" s="572"/>
      <c r="N1178" s="572"/>
      <c r="O1178" s="572"/>
      <c r="P1178" s="572"/>
      <c r="Q1178" s="572"/>
      <c r="R1178" s="572"/>
      <c r="S1178" s="572"/>
      <c r="T1178" s="572"/>
      <c r="U1178" s="572"/>
      <c r="V1178" s="572"/>
      <c r="W1178" s="572"/>
      <c r="X1178" s="572"/>
      <c r="Y1178" s="572"/>
      <c r="Z1178" s="572"/>
      <c r="AA1178" s="572"/>
      <c r="AB1178" s="572"/>
      <c r="AC1178" s="572"/>
      <c r="AD1178" s="572"/>
      <c r="AE1178" s="572"/>
      <c r="AF1178" s="572"/>
      <c r="AG1178" s="572"/>
      <c r="AH1178" s="572"/>
      <c r="AI1178" s="572"/>
      <c r="AJ1178" s="572"/>
      <c r="AK1178" s="572"/>
      <c r="AL1178" s="572"/>
      <c r="AM1178" s="572"/>
      <c r="AN1178" s="572"/>
      <c r="AO1178" s="572"/>
      <c r="AP1178" s="572"/>
      <c r="AQ1178" s="572"/>
      <c r="AR1178" s="572"/>
      <c r="AS1178" s="572"/>
      <c r="AT1178" s="572"/>
      <c r="AU1178" s="572"/>
    </row>
    <row r="1179" spans="1:47" ht="15.75" customHeight="1">
      <c r="A1179" s="591"/>
      <c r="B1179" s="582"/>
      <c r="C1179" s="589"/>
      <c r="D1179" s="589"/>
      <c r="E1179" s="581"/>
      <c r="F1179" s="591"/>
      <c r="G1179" s="591"/>
      <c r="H1179" s="591"/>
      <c r="I1179" s="591"/>
      <c r="J1179" s="591"/>
      <c r="K1179" s="591"/>
      <c r="L1179" s="572"/>
      <c r="M1179" s="572"/>
      <c r="N1179" s="572"/>
      <c r="O1179" s="572"/>
      <c r="P1179" s="572"/>
      <c r="Q1179" s="572"/>
      <c r="R1179" s="572"/>
      <c r="S1179" s="572"/>
      <c r="T1179" s="572"/>
      <c r="U1179" s="572"/>
      <c r="V1179" s="572"/>
      <c r="W1179" s="572"/>
      <c r="X1179" s="572"/>
      <c r="Y1179" s="572"/>
      <c r="Z1179" s="572"/>
      <c r="AA1179" s="572"/>
      <c r="AB1179" s="572"/>
      <c r="AC1179" s="572"/>
      <c r="AD1179" s="572"/>
      <c r="AE1179" s="572"/>
      <c r="AF1179" s="572"/>
      <c r="AG1179" s="572"/>
      <c r="AH1179" s="572"/>
      <c r="AI1179" s="572"/>
      <c r="AJ1179" s="572"/>
      <c r="AK1179" s="572"/>
      <c r="AL1179" s="572"/>
      <c r="AM1179" s="572"/>
      <c r="AN1179" s="572"/>
      <c r="AO1179" s="572"/>
      <c r="AP1179" s="572"/>
      <c r="AQ1179" s="572"/>
      <c r="AR1179" s="572"/>
      <c r="AS1179" s="572"/>
      <c r="AT1179" s="572"/>
      <c r="AU1179" s="572"/>
    </row>
    <row r="1180" spans="1:47" ht="15.75" customHeight="1">
      <c r="A1180" s="591"/>
      <c r="B1180" s="582"/>
      <c r="C1180" s="589"/>
      <c r="D1180" s="589"/>
      <c r="E1180" s="581"/>
      <c r="F1180" s="591"/>
      <c r="G1180" s="591"/>
      <c r="H1180" s="591"/>
      <c r="I1180" s="591"/>
      <c r="J1180" s="591"/>
      <c r="K1180" s="591"/>
      <c r="L1180" s="572"/>
      <c r="M1180" s="572"/>
      <c r="N1180" s="572"/>
      <c r="O1180" s="572"/>
      <c r="P1180" s="572"/>
      <c r="Q1180" s="572"/>
      <c r="R1180" s="572"/>
      <c r="S1180" s="572"/>
      <c r="T1180" s="572"/>
      <c r="U1180" s="572"/>
      <c r="V1180" s="572"/>
      <c r="W1180" s="572"/>
      <c r="X1180" s="572"/>
      <c r="Y1180" s="572"/>
      <c r="Z1180" s="572"/>
      <c r="AA1180" s="572"/>
      <c r="AB1180" s="572"/>
      <c r="AC1180" s="572"/>
      <c r="AD1180" s="572"/>
      <c r="AE1180" s="572"/>
      <c r="AF1180" s="572"/>
      <c r="AG1180" s="572"/>
      <c r="AH1180" s="572"/>
      <c r="AI1180" s="572"/>
      <c r="AJ1180" s="572"/>
      <c r="AK1180" s="572"/>
      <c r="AL1180" s="572"/>
      <c r="AM1180" s="572"/>
      <c r="AN1180" s="572"/>
      <c r="AO1180" s="572"/>
      <c r="AP1180" s="572"/>
      <c r="AQ1180" s="572"/>
      <c r="AR1180" s="572"/>
      <c r="AS1180" s="572"/>
      <c r="AT1180" s="572"/>
      <c r="AU1180" s="572"/>
    </row>
    <row r="1181" spans="1:47" ht="15.75" customHeight="1">
      <c r="A1181" s="591"/>
      <c r="B1181" s="582"/>
      <c r="C1181" s="589"/>
      <c r="D1181" s="589"/>
      <c r="E1181" s="581"/>
      <c r="F1181" s="591"/>
      <c r="G1181" s="591"/>
      <c r="H1181" s="591"/>
      <c r="I1181" s="591"/>
      <c r="J1181" s="591"/>
      <c r="K1181" s="591"/>
      <c r="L1181" s="572"/>
      <c r="M1181" s="572"/>
      <c r="N1181" s="572"/>
      <c r="O1181" s="572"/>
      <c r="P1181" s="572"/>
      <c r="Q1181" s="572"/>
      <c r="R1181" s="572"/>
      <c r="S1181" s="572"/>
      <c r="T1181" s="572"/>
      <c r="U1181" s="572"/>
      <c r="V1181" s="572"/>
      <c r="W1181" s="572"/>
      <c r="X1181" s="572"/>
      <c r="Y1181" s="572"/>
      <c r="Z1181" s="572"/>
      <c r="AA1181" s="572"/>
      <c r="AB1181" s="572"/>
      <c r="AC1181" s="572"/>
      <c r="AD1181" s="572"/>
      <c r="AE1181" s="572"/>
      <c r="AF1181" s="572"/>
      <c r="AG1181" s="572"/>
      <c r="AH1181" s="572"/>
      <c r="AI1181" s="572"/>
      <c r="AJ1181" s="572"/>
      <c r="AK1181" s="572"/>
      <c r="AL1181" s="572"/>
      <c r="AM1181" s="572"/>
      <c r="AN1181" s="572"/>
      <c r="AO1181" s="572"/>
      <c r="AP1181" s="572"/>
      <c r="AQ1181" s="572"/>
      <c r="AR1181" s="572"/>
      <c r="AS1181" s="572"/>
      <c r="AT1181" s="572"/>
      <c r="AU1181" s="572"/>
    </row>
    <row r="1182" spans="1:47" ht="15.75" customHeight="1">
      <c r="A1182" s="591"/>
      <c r="B1182" s="582"/>
      <c r="C1182" s="589"/>
      <c r="D1182" s="589"/>
      <c r="E1182" s="581"/>
      <c r="F1182" s="591"/>
      <c r="G1182" s="591"/>
      <c r="H1182" s="591"/>
      <c r="I1182" s="591"/>
      <c r="J1182" s="591"/>
      <c r="K1182" s="591"/>
      <c r="L1182" s="572"/>
      <c r="M1182" s="572"/>
      <c r="N1182" s="572"/>
      <c r="O1182" s="572"/>
      <c r="P1182" s="572"/>
      <c r="Q1182" s="572"/>
      <c r="R1182" s="572"/>
      <c r="S1182" s="572"/>
      <c r="T1182" s="572"/>
      <c r="U1182" s="572"/>
      <c r="V1182" s="572"/>
      <c r="W1182" s="572"/>
      <c r="X1182" s="572"/>
      <c r="Y1182" s="572"/>
      <c r="Z1182" s="572"/>
      <c r="AA1182" s="572"/>
      <c r="AB1182" s="572"/>
      <c r="AC1182" s="572"/>
      <c r="AD1182" s="572"/>
      <c r="AE1182" s="572"/>
      <c r="AF1182" s="572"/>
      <c r="AG1182" s="572"/>
      <c r="AH1182" s="572"/>
      <c r="AI1182" s="572"/>
      <c r="AJ1182" s="572"/>
      <c r="AK1182" s="572"/>
      <c r="AL1182" s="572"/>
      <c r="AM1182" s="572"/>
      <c r="AN1182" s="572"/>
      <c r="AO1182" s="572"/>
      <c r="AP1182" s="572"/>
      <c r="AQ1182" s="572"/>
      <c r="AR1182" s="572"/>
      <c r="AS1182" s="572"/>
      <c r="AT1182" s="572"/>
      <c r="AU1182" s="572"/>
    </row>
    <row r="1183" spans="1:47" ht="15.75" customHeight="1">
      <c r="A1183" s="591"/>
      <c r="B1183" s="582"/>
      <c r="C1183" s="589"/>
      <c r="D1183" s="589"/>
      <c r="E1183" s="581"/>
      <c r="F1183" s="591"/>
      <c r="G1183" s="591"/>
      <c r="H1183" s="591"/>
      <c r="I1183" s="591"/>
      <c r="J1183" s="591"/>
      <c r="K1183" s="591"/>
      <c r="L1183" s="572"/>
      <c r="M1183" s="572"/>
      <c r="N1183" s="572"/>
      <c r="O1183" s="572"/>
      <c r="P1183" s="572"/>
      <c r="Q1183" s="572"/>
      <c r="R1183" s="572"/>
      <c r="S1183" s="572"/>
      <c r="T1183" s="572"/>
      <c r="U1183" s="572"/>
      <c r="V1183" s="572"/>
      <c r="W1183" s="572"/>
      <c r="X1183" s="572"/>
      <c r="Y1183" s="572"/>
      <c r="Z1183" s="572"/>
      <c r="AA1183" s="572"/>
      <c r="AB1183" s="572"/>
      <c r="AC1183" s="572"/>
      <c r="AD1183" s="572"/>
      <c r="AE1183" s="572"/>
      <c r="AF1183" s="572"/>
      <c r="AG1183" s="572"/>
      <c r="AH1183" s="572"/>
      <c r="AI1183" s="572"/>
      <c r="AJ1183" s="572"/>
      <c r="AK1183" s="572"/>
      <c r="AL1183" s="572"/>
      <c r="AM1183" s="572"/>
      <c r="AN1183" s="572"/>
      <c r="AO1183" s="572"/>
      <c r="AP1183" s="572"/>
      <c r="AQ1183" s="572"/>
      <c r="AR1183" s="572"/>
      <c r="AS1183" s="572"/>
      <c r="AT1183" s="572"/>
      <c r="AU1183" s="572"/>
    </row>
    <row r="1184" spans="1:47" ht="15.75" customHeight="1">
      <c r="A1184" s="591"/>
      <c r="B1184" s="582"/>
      <c r="C1184" s="589"/>
      <c r="D1184" s="589"/>
      <c r="E1184" s="581"/>
      <c r="F1184" s="591"/>
      <c r="G1184" s="591"/>
      <c r="H1184" s="591"/>
      <c r="I1184" s="591"/>
      <c r="J1184" s="591"/>
      <c r="K1184" s="591"/>
      <c r="L1184" s="572"/>
      <c r="M1184" s="572"/>
      <c r="N1184" s="572"/>
      <c r="O1184" s="572"/>
      <c r="P1184" s="572"/>
      <c r="Q1184" s="572"/>
      <c r="R1184" s="572"/>
      <c r="S1184" s="572"/>
      <c r="T1184" s="572"/>
      <c r="U1184" s="572"/>
      <c r="V1184" s="572"/>
      <c r="W1184" s="572"/>
      <c r="X1184" s="572"/>
      <c r="Y1184" s="572"/>
      <c r="Z1184" s="572"/>
      <c r="AA1184" s="572"/>
      <c r="AB1184" s="572"/>
      <c r="AC1184" s="572"/>
      <c r="AD1184" s="572"/>
      <c r="AE1184" s="572"/>
      <c r="AF1184" s="572"/>
      <c r="AG1184" s="572"/>
      <c r="AH1184" s="572"/>
      <c r="AI1184" s="572"/>
      <c r="AJ1184" s="572"/>
      <c r="AK1184" s="572"/>
      <c r="AL1184" s="572"/>
      <c r="AM1184" s="572"/>
      <c r="AN1184" s="572"/>
      <c r="AO1184" s="572"/>
      <c r="AP1184" s="572"/>
      <c r="AQ1184" s="572"/>
      <c r="AR1184" s="572"/>
      <c r="AS1184" s="572"/>
      <c r="AT1184" s="572"/>
      <c r="AU1184" s="572"/>
    </row>
    <row r="1185" spans="1:47" ht="15.75" customHeight="1">
      <c r="A1185" s="591"/>
      <c r="B1185" s="582"/>
      <c r="C1185" s="589"/>
      <c r="D1185" s="589"/>
      <c r="E1185" s="581"/>
      <c r="F1185" s="591"/>
      <c r="G1185" s="591"/>
      <c r="H1185" s="591"/>
      <c r="I1185" s="591"/>
      <c r="J1185" s="591"/>
      <c r="K1185" s="591"/>
      <c r="L1185" s="572"/>
      <c r="M1185" s="572"/>
      <c r="N1185" s="572"/>
      <c r="O1185" s="572"/>
      <c r="P1185" s="572"/>
      <c r="Q1185" s="572"/>
      <c r="R1185" s="572"/>
      <c r="S1185" s="572"/>
      <c r="T1185" s="572"/>
      <c r="U1185" s="572"/>
      <c r="V1185" s="572"/>
      <c r="W1185" s="572"/>
      <c r="X1185" s="572"/>
      <c r="Y1185" s="572"/>
      <c r="Z1185" s="572"/>
      <c r="AA1185" s="572"/>
      <c r="AB1185" s="572"/>
      <c r="AC1185" s="572"/>
      <c r="AD1185" s="572"/>
      <c r="AE1185" s="572"/>
      <c r="AF1185" s="572"/>
      <c r="AG1185" s="572"/>
      <c r="AH1185" s="572"/>
      <c r="AI1185" s="572"/>
      <c r="AJ1185" s="572"/>
      <c r="AK1185" s="572"/>
      <c r="AL1185" s="572"/>
      <c r="AM1185" s="572"/>
      <c r="AN1185" s="572"/>
      <c r="AO1185" s="572"/>
      <c r="AP1185" s="572"/>
      <c r="AQ1185" s="572"/>
      <c r="AR1185" s="572"/>
      <c r="AS1185" s="572"/>
      <c r="AT1185" s="572"/>
      <c r="AU1185" s="572"/>
    </row>
    <row r="1186" spans="1:47" ht="15.75" customHeight="1">
      <c r="A1186" s="591"/>
      <c r="B1186" s="582"/>
      <c r="C1186" s="589"/>
      <c r="D1186" s="589"/>
      <c r="E1186" s="581"/>
      <c r="F1186" s="591"/>
      <c r="G1186" s="591"/>
      <c r="H1186" s="591"/>
      <c r="I1186" s="591"/>
      <c r="J1186" s="591"/>
      <c r="K1186" s="591"/>
      <c r="L1186" s="572"/>
      <c r="M1186" s="572"/>
      <c r="N1186" s="572"/>
      <c r="O1186" s="572"/>
      <c r="P1186" s="572"/>
      <c r="Q1186" s="572"/>
      <c r="R1186" s="572"/>
      <c r="S1186" s="572"/>
      <c r="T1186" s="572"/>
      <c r="U1186" s="572"/>
      <c r="V1186" s="572"/>
      <c r="W1186" s="572"/>
      <c r="X1186" s="572"/>
      <c r="Y1186" s="572"/>
      <c r="Z1186" s="572"/>
      <c r="AA1186" s="572"/>
      <c r="AB1186" s="572"/>
      <c r="AC1186" s="572"/>
      <c r="AD1186" s="572"/>
      <c r="AE1186" s="572"/>
      <c r="AF1186" s="572"/>
      <c r="AG1186" s="572"/>
      <c r="AH1186" s="572"/>
      <c r="AI1186" s="572"/>
      <c r="AJ1186" s="572"/>
      <c r="AK1186" s="572"/>
      <c r="AL1186" s="572"/>
      <c r="AM1186" s="572"/>
      <c r="AN1186" s="572"/>
      <c r="AO1186" s="572"/>
      <c r="AP1186" s="572"/>
      <c r="AQ1186" s="572"/>
      <c r="AR1186" s="572"/>
      <c r="AS1186" s="572"/>
      <c r="AT1186" s="572"/>
      <c r="AU1186" s="572"/>
    </row>
    <row r="1187" spans="1:47" ht="15.75" customHeight="1">
      <c r="A1187" s="591"/>
      <c r="B1187" s="582"/>
      <c r="C1187" s="589"/>
      <c r="D1187" s="589"/>
      <c r="E1187" s="581"/>
      <c r="F1187" s="591"/>
      <c r="G1187" s="591"/>
      <c r="H1187" s="591"/>
      <c r="I1187" s="591"/>
      <c r="J1187" s="591"/>
      <c r="K1187" s="591"/>
      <c r="L1187" s="572"/>
      <c r="M1187" s="572"/>
      <c r="N1187" s="572"/>
      <c r="O1187" s="572"/>
      <c r="P1187" s="572"/>
      <c r="Q1187" s="572"/>
      <c r="R1187" s="572"/>
      <c r="S1187" s="572"/>
      <c r="T1187" s="572"/>
      <c r="U1187" s="572"/>
      <c r="V1187" s="572"/>
      <c r="W1187" s="572"/>
      <c r="X1187" s="572"/>
      <c r="Y1187" s="572"/>
      <c r="Z1187" s="572"/>
      <c r="AA1187" s="572"/>
      <c r="AB1187" s="572"/>
      <c r="AC1187" s="572"/>
      <c r="AD1187" s="572"/>
      <c r="AE1187" s="572"/>
      <c r="AF1187" s="572"/>
      <c r="AG1187" s="572"/>
      <c r="AH1187" s="572"/>
      <c r="AI1187" s="572"/>
      <c r="AJ1187" s="572"/>
      <c r="AK1187" s="572"/>
      <c r="AL1187" s="572"/>
      <c r="AM1187" s="572"/>
      <c r="AN1187" s="572"/>
      <c r="AO1187" s="572"/>
      <c r="AP1187" s="572"/>
      <c r="AQ1187" s="572"/>
      <c r="AR1187" s="572"/>
      <c r="AS1187" s="572"/>
      <c r="AT1187" s="572"/>
      <c r="AU1187" s="572"/>
    </row>
    <row r="1188" spans="1:47" ht="15.75" customHeight="1">
      <c r="A1188" s="591"/>
      <c r="B1188" s="582"/>
      <c r="C1188" s="589"/>
      <c r="D1188" s="589"/>
      <c r="E1188" s="581"/>
      <c r="F1188" s="591"/>
      <c r="G1188" s="591"/>
      <c r="H1188" s="591"/>
      <c r="I1188" s="591"/>
      <c r="J1188" s="591"/>
      <c r="K1188" s="591"/>
      <c r="L1188" s="572"/>
      <c r="M1188" s="572"/>
      <c r="N1188" s="572"/>
      <c r="O1188" s="572"/>
      <c r="P1188" s="572"/>
      <c r="Q1188" s="572"/>
      <c r="R1188" s="572"/>
      <c r="S1188" s="572"/>
      <c r="T1188" s="572"/>
      <c r="U1188" s="572"/>
      <c r="V1188" s="572"/>
      <c r="W1188" s="572"/>
      <c r="X1188" s="572"/>
      <c r="Y1188" s="572"/>
      <c r="Z1188" s="572"/>
      <c r="AA1188" s="572"/>
      <c r="AB1188" s="572"/>
      <c r="AC1188" s="572"/>
      <c r="AD1188" s="572"/>
      <c r="AE1188" s="572"/>
      <c r="AF1188" s="572"/>
      <c r="AG1188" s="572"/>
      <c r="AH1188" s="572"/>
      <c r="AI1188" s="572"/>
      <c r="AJ1188" s="572"/>
      <c r="AK1188" s="572"/>
      <c r="AL1188" s="572"/>
      <c r="AM1188" s="572"/>
      <c r="AN1188" s="572"/>
      <c r="AO1188" s="572"/>
      <c r="AP1188" s="572"/>
      <c r="AQ1188" s="572"/>
      <c r="AR1188" s="572"/>
      <c r="AS1188" s="572"/>
      <c r="AT1188" s="572"/>
      <c r="AU1188" s="572"/>
    </row>
    <row r="1189" spans="1:47" ht="15.75" customHeight="1">
      <c r="A1189" s="591"/>
      <c r="B1189" s="582"/>
      <c r="C1189" s="589"/>
      <c r="D1189" s="589"/>
      <c r="E1189" s="581"/>
      <c r="F1189" s="591"/>
      <c r="G1189" s="591"/>
      <c r="H1189" s="591"/>
      <c r="I1189" s="591"/>
      <c r="J1189" s="591"/>
      <c r="K1189" s="591"/>
      <c r="L1189" s="572"/>
      <c r="M1189" s="572"/>
      <c r="N1189" s="572"/>
      <c r="O1189" s="572"/>
      <c r="P1189" s="572"/>
      <c r="Q1189" s="572"/>
      <c r="R1189" s="572"/>
      <c r="S1189" s="572"/>
      <c r="T1189" s="572"/>
      <c r="U1189" s="572"/>
      <c r="V1189" s="572"/>
      <c r="W1189" s="572"/>
      <c r="X1189" s="572"/>
      <c r="Y1189" s="572"/>
      <c r="Z1189" s="572"/>
      <c r="AA1189" s="572"/>
      <c r="AB1189" s="572"/>
      <c r="AC1189" s="572"/>
      <c r="AD1189" s="572"/>
      <c r="AE1189" s="572"/>
      <c r="AF1189" s="572"/>
      <c r="AG1189" s="572"/>
      <c r="AH1189" s="572"/>
      <c r="AI1189" s="572"/>
      <c r="AJ1189" s="572"/>
      <c r="AK1189" s="572"/>
      <c r="AL1189" s="572"/>
      <c r="AM1189" s="572"/>
      <c r="AN1189" s="572"/>
      <c r="AO1189" s="572"/>
      <c r="AP1189" s="572"/>
      <c r="AQ1189" s="572"/>
      <c r="AR1189" s="572"/>
      <c r="AS1189" s="572"/>
      <c r="AT1189" s="572"/>
      <c r="AU1189" s="572"/>
    </row>
    <row r="1190" spans="1:47" ht="15.75" customHeight="1">
      <c r="A1190" s="591"/>
      <c r="B1190" s="582"/>
      <c r="C1190" s="589"/>
      <c r="D1190" s="589"/>
      <c r="E1190" s="581"/>
      <c r="F1190" s="591"/>
      <c r="G1190" s="591"/>
      <c r="H1190" s="591"/>
      <c r="I1190" s="591"/>
      <c r="J1190" s="591"/>
      <c r="K1190" s="591"/>
      <c r="L1190" s="572"/>
      <c r="M1190" s="572"/>
      <c r="N1190" s="572"/>
      <c r="O1190" s="572"/>
      <c r="P1190" s="572"/>
      <c r="Q1190" s="572"/>
      <c r="R1190" s="572"/>
      <c r="S1190" s="572"/>
      <c r="T1190" s="572"/>
      <c r="U1190" s="572"/>
      <c r="V1190" s="572"/>
      <c r="W1190" s="572"/>
      <c r="X1190" s="572"/>
      <c r="Y1190" s="572"/>
      <c r="Z1190" s="572"/>
      <c r="AA1190" s="572"/>
      <c r="AB1190" s="572"/>
      <c r="AC1190" s="572"/>
      <c r="AD1190" s="572"/>
      <c r="AE1190" s="572"/>
      <c r="AF1190" s="572"/>
      <c r="AG1190" s="572"/>
      <c r="AH1190" s="572"/>
      <c r="AI1190" s="572"/>
      <c r="AJ1190" s="572"/>
      <c r="AK1190" s="572"/>
      <c r="AL1190" s="572"/>
      <c r="AM1190" s="572"/>
      <c r="AN1190" s="572"/>
      <c r="AO1190" s="572"/>
      <c r="AP1190" s="572"/>
      <c r="AQ1190" s="572"/>
      <c r="AR1190" s="572"/>
      <c r="AS1190" s="572"/>
      <c r="AT1190" s="572"/>
      <c r="AU1190" s="572"/>
    </row>
    <row r="1191" spans="1:47" ht="15.75" customHeight="1">
      <c r="A1191" s="591"/>
      <c r="B1191" s="582"/>
      <c r="C1191" s="589"/>
      <c r="D1191" s="589"/>
      <c r="E1191" s="581"/>
      <c r="F1191" s="591"/>
      <c r="G1191" s="591"/>
      <c r="H1191" s="591"/>
      <c r="I1191" s="591"/>
      <c r="J1191" s="591"/>
      <c r="K1191" s="591"/>
      <c r="L1191" s="572"/>
      <c r="M1191" s="572"/>
      <c r="N1191" s="572"/>
      <c r="O1191" s="572"/>
      <c r="P1191" s="572"/>
      <c r="Q1191" s="572"/>
      <c r="R1191" s="572"/>
      <c r="S1191" s="572"/>
      <c r="T1191" s="572"/>
      <c r="U1191" s="572"/>
      <c r="V1191" s="572"/>
      <c r="W1191" s="572"/>
      <c r="X1191" s="572"/>
      <c r="Y1191" s="572"/>
      <c r="Z1191" s="572"/>
      <c r="AA1191" s="572"/>
      <c r="AB1191" s="572"/>
      <c r="AC1191" s="572"/>
      <c r="AD1191" s="572"/>
      <c r="AE1191" s="572"/>
      <c r="AF1191" s="572"/>
      <c r="AG1191" s="572"/>
      <c r="AH1191" s="572"/>
      <c r="AI1191" s="572"/>
      <c r="AJ1191" s="572"/>
      <c r="AK1191" s="572"/>
      <c r="AL1191" s="572"/>
      <c r="AM1191" s="572"/>
      <c r="AN1191" s="572"/>
      <c r="AO1191" s="572"/>
      <c r="AP1191" s="572"/>
      <c r="AQ1191" s="572"/>
      <c r="AR1191" s="572"/>
      <c r="AS1191" s="572"/>
      <c r="AT1191" s="572"/>
      <c r="AU1191" s="572"/>
    </row>
    <row r="1192" spans="1:47" ht="15.75" customHeight="1">
      <c r="A1192" s="591"/>
      <c r="B1192" s="582"/>
      <c r="C1192" s="589"/>
      <c r="D1192" s="589"/>
      <c r="E1192" s="581"/>
      <c r="F1192" s="591"/>
      <c r="G1192" s="591"/>
      <c r="H1192" s="591"/>
      <c r="I1192" s="591"/>
      <c r="J1192" s="591"/>
      <c r="K1192" s="591"/>
      <c r="L1192" s="572"/>
      <c r="M1192" s="572"/>
      <c r="N1192" s="572"/>
      <c r="O1192" s="572"/>
      <c r="P1192" s="572"/>
      <c r="Q1192" s="572"/>
      <c r="R1192" s="572"/>
      <c r="S1192" s="572"/>
      <c r="T1192" s="572"/>
      <c r="U1192" s="572"/>
      <c r="V1192" s="572"/>
      <c r="W1192" s="572"/>
      <c r="X1192" s="572"/>
      <c r="Y1192" s="572"/>
      <c r="Z1192" s="572"/>
      <c r="AA1192" s="572"/>
      <c r="AB1192" s="572"/>
      <c r="AC1192" s="572"/>
      <c r="AD1192" s="572"/>
      <c r="AE1192" s="572"/>
      <c r="AF1192" s="572"/>
      <c r="AG1192" s="572"/>
      <c r="AH1192" s="572"/>
      <c r="AI1192" s="572"/>
      <c r="AJ1192" s="572"/>
      <c r="AK1192" s="572"/>
      <c r="AL1192" s="572"/>
      <c r="AM1192" s="572"/>
      <c r="AN1192" s="572"/>
      <c r="AO1192" s="572"/>
      <c r="AP1192" s="572"/>
      <c r="AQ1192" s="572"/>
      <c r="AR1192" s="572"/>
      <c r="AS1192" s="572"/>
      <c r="AT1192" s="572"/>
      <c r="AU1192" s="572"/>
    </row>
    <row r="1193" spans="1:47" ht="15.75" customHeight="1">
      <c r="A1193" s="591"/>
      <c r="B1193" s="582"/>
      <c r="C1193" s="589"/>
      <c r="D1193" s="589"/>
      <c r="E1193" s="581"/>
      <c r="F1193" s="591"/>
      <c r="G1193" s="591"/>
      <c r="H1193" s="591"/>
      <c r="I1193" s="591"/>
      <c r="J1193" s="591"/>
      <c r="K1193" s="591"/>
      <c r="L1193" s="572"/>
      <c r="M1193" s="572"/>
      <c r="N1193" s="572"/>
      <c r="O1193" s="572"/>
      <c r="P1193" s="572"/>
      <c r="Q1193" s="572"/>
      <c r="R1193" s="572"/>
      <c r="S1193" s="572"/>
      <c r="T1193" s="572"/>
      <c r="U1193" s="572"/>
      <c r="V1193" s="572"/>
      <c r="W1193" s="572"/>
      <c r="X1193" s="572"/>
      <c r="Y1193" s="572"/>
      <c r="Z1193" s="572"/>
      <c r="AA1193" s="572"/>
      <c r="AB1193" s="572"/>
      <c r="AC1193" s="572"/>
      <c r="AD1193" s="572"/>
      <c r="AE1193" s="572"/>
      <c r="AF1193" s="572"/>
      <c r="AG1193" s="572"/>
      <c r="AH1193" s="572"/>
      <c r="AI1193" s="572"/>
      <c r="AJ1193" s="572"/>
      <c r="AK1193" s="572"/>
      <c r="AL1193" s="572"/>
      <c r="AM1193" s="572"/>
      <c r="AN1193" s="572"/>
      <c r="AO1193" s="572"/>
      <c r="AP1193" s="572"/>
      <c r="AQ1193" s="572"/>
      <c r="AR1193" s="572"/>
      <c r="AS1193" s="572"/>
      <c r="AT1193" s="572"/>
      <c r="AU1193" s="572"/>
    </row>
    <row r="1194" spans="1:47" ht="15.75" customHeight="1">
      <c r="A1194" s="591"/>
      <c r="B1194" s="582"/>
      <c r="C1194" s="589"/>
      <c r="D1194" s="589"/>
      <c r="E1194" s="581"/>
      <c r="F1194" s="591"/>
      <c r="G1194" s="591"/>
      <c r="H1194" s="591"/>
      <c r="I1194" s="591"/>
      <c r="J1194" s="591"/>
      <c r="K1194" s="591"/>
      <c r="L1194" s="572"/>
      <c r="M1194" s="572"/>
      <c r="N1194" s="572"/>
      <c r="O1194" s="572"/>
      <c r="P1194" s="572"/>
      <c r="Q1194" s="572"/>
      <c r="R1194" s="572"/>
      <c r="S1194" s="572"/>
      <c r="T1194" s="572"/>
      <c r="U1194" s="572"/>
      <c r="V1194" s="572"/>
      <c r="W1194" s="572"/>
      <c r="X1194" s="572"/>
      <c r="Y1194" s="572"/>
      <c r="Z1194" s="572"/>
      <c r="AA1194" s="572"/>
      <c r="AB1194" s="572"/>
      <c r="AC1194" s="572"/>
      <c r="AD1194" s="572"/>
      <c r="AE1194" s="572"/>
      <c r="AF1194" s="572"/>
      <c r="AG1194" s="572"/>
      <c r="AH1194" s="572"/>
      <c r="AI1194" s="572"/>
      <c r="AJ1194" s="572"/>
      <c r="AK1194" s="572"/>
      <c r="AL1194" s="572"/>
      <c r="AM1194" s="572"/>
      <c r="AN1194" s="572"/>
      <c r="AO1194" s="572"/>
      <c r="AP1194" s="572"/>
      <c r="AQ1194" s="572"/>
      <c r="AR1194" s="572"/>
      <c r="AS1194" s="572"/>
      <c r="AT1194" s="572"/>
      <c r="AU1194" s="572"/>
    </row>
    <row r="1195" spans="1:47" ht="15.75" customHeight="1">
      <c r="A1195" s="591"/>
      <c r="B1195" s="582"/>
      <c r="C1195" s="589"/>
      <c r="D1195" s="589"/>
      <c r="E1195" s="581"/>
      <c r="F1195" s="591"/>
      <c r="G1195" s="591"/>
      <c r="H1195" s="591"/>
      <c r="I1195" s="591"/>
      <c r="J1195" s="591"/>
      <c r="K1195" s="591"/>
      <c r="L1195" s="572"/>
      <c r="M1195" s="572"/>
      <c r="N1195" s="572"/>
      <c r="O1195" s="572"/>
      <c r="P1195" s="572"/>
      <c r="Q1195" s="572"/>
      <c r="R1195" s="572"/>
      <c r="S1195" s="572"/>
      <c r="T1195" s="572"/>
      <c r="U1195" s="572"/>
      <c r="V1195" s="572"/>
      <c r="W1195" s="572"/>
      <c r="X1195" s="572"/>
      <c r="Y1195" s="572"/>
      <c r="Z1195" s="572"/>
      <c r="AA1195" s="572"/>
      <c r="AB1195" s="572"/>
      <c r="AC1195" s="572"/>
      <c r="AD1195" s="572"/>
      <c r="AE1195" s="572"/>
      <c r="AF1195" s="572"/>
      <c r="AG1195" s="572"/>
      <c r="AH1195" s="572"/>
      <c r="AI1195" s="572"/>
      <c r="AJ1195" s="572"/>
      <c r="AK1195" s="572"/>
      <c r="AL1195" s="572"/>
      <c r="AM1195" s="572"/>
      <c r="AN1195" s="572"/>
      <c r="AO1195" s="572"/>
      <c r="AP1195" s="572"/>
      <c r="AQ1195" s="572"/>
      <c r="AR1195" s="572"/>
      <c r="AS1195" s="572"/>
      <c r="AT1195" s="572"/>
      <c r="AU1195" s="572"/>
    </row>
    <row r="1196" spans="1:47" ht="15.75" customHeight="1">
      <c r="A1196" s="591"/>
      <c r="B1196" s="582"/>
      <c r="C1196" s="589"/>
      <c r="D1196" s="589"/>
      <c r="E1196" s="581"/>
      <c r="F1196" s="591"/>
      <c r="G1196" s="591"/>
      <c r="H1196" s="591"/>
      <c r="I1196" s="591"/>
      <c r="J1196" s="591"/>
      <c r="K1196" s="591"/>
      <c r="L1196" s="572"/>
      <c r="M1196" s="572"/>
      <c r="N1196" s="572"/>
      <c r="O1196" s="572"/>
      <c r="P1196" s="572"/>
      <c r="Q1196" s="572"/>
      <c r="R1196" s="572"/>
      <c r="S1196" s="572"/>
      <c r="T1196" s="572"/>
      <c r="U1196" s="572"/>
      <c r="V1196" s="572"/>
      <c r="W1196" s="572"/>
      <c r="X1196" s="572"/>
      <c r="Y1196" s="572"/>
      <c r="Z1196" s="572"/>
      <c r="AA1196" s="572"/>
      <c r="AB1196" s="572"/>
      <c r="AC1196" s="572"/>
      <c r="AD1196" s="572"/>
      <c r="AE1196" s="572"/>
      <c r="AF1196" s="572"/>
      <c r="AG1196" s="572"/>
      <c r="AH1196" s="572"/>
      <c r="AI1196" s="572"/>
      <c r="AJ1196" s="572"/>
      <c r="AK1196" s="572"/>
      <c r="AL1196" s="572"/>
      <c r="AM1196" s="572"/>
      <c r="AN1196" s="572"/>
      <c r="AO1196" s="572"/>
      <c r="AP1196" s="572"/>
      <c r="AQ1196" s="572"/>
      <c r="AR1196" s="572"/>
      <c r="AS1196" s="572"/>
      <c r="AT1196" s="572"/>
      <c r="AU1196" s="572"/>
    </row>
    <row r="1197" spans="1:47" ht="15.75" customHeight="1">
      <c r="A1197" s="591"/>
      <c r="B1197" s="582"/>
      <c r="C1197" s="589"/>
      <c r="D1197" s="589"/>
      <c r="E1197" s="581"/>
      <c r="F1197" s="591"/>
      <c r="G1197" s="591"/>
      <c r="H1197" s="591"/>
      <c r="I1197" s="591"/>
      <c r="J1197" s="591"/>
      <c r="K1197" s="591"/>
      <c r="L1197" s="572"/>
      <c r="M1197" s="572"/>
      <c r="N1197" s="572"/>
      <c r="O1197" s="572"/>
      <c r="P1197" s="572"/>
      <c r="Q1197" s="572"/>
      <c r="R1197" s="572"/>
      <c r="S1197" s="572"/>
      <c r="T1197" s="572"/>
      <c r="U1197" s="572"/>
      <c r="V1197" s="572"/>
      <c r="W1197" s="572"/>
      <c r="X1197" s="572"/>
      <c r="Y1197" s="572"/>
      <c r="Z1197" s="572"/>
      <c r="AA1197" s="572"/>
      <c r="AB1197" s="572"/>
      <c r="AC1197" s="572"/>
      <c r="AD1197" s="572"/>
      <c r="AE1197" s="572"/>
      <c r="AF1197" s="572"/>
      <c r="AG1197" s="572"/>
      <c r="AH1197" s="572"/>
      <c r="AI1197" s="572"/>
      <c r="AJ1197" s="572"/>
      <c r="AK1197" s="572"/>
      <c r="AL1197" s="572"/>
      <c r="AM1197" s="572"/>
      <c r="AN1197" s="572"/>
      <c r="AO1197" s="572"/>
      <c r="AP1197" s="572"/>
      <c r="AQ1197" s="572"/>
      <c r="AR1197" s="572"/>
      <c r="AS1197" s="572"/>
      <c r="AT1197" s="572"/>
      <c r="AU1197" s="572"/>
    </row>
    <row r="1198" spans="1:47" ht="15.75" customHeight="1">
      <c r="A1198" s="591"/>
      <c r="B1198" s="582"/>
      <c r="C1198" s="589"/>
      <c r="D1198" s="589"/>
      <c r="E1198" s="581"/>
      <c r="F1198" s="591"/>
      <c r="G1198" s="591"/>
      <c r="H1198" s="591"/>
      <c r="I1198" s="591"/>
      <c r="J1198" s="591"/>
      <c r="K1198" s="591"/>
      <c r="L1198" s="572"/>
      <c r="M1198" s="572"/>
      <c r="N1198" s="572"/>
      <c r="O1198" s="572"/>
      <c r="P1198" s="572"/>
      <c r="Q1198" s="572"/>
      <c r="R1198" s="572"/>
      <c r="S1198" s="572"/>
      <c r="T1198" s="572"/>
      <c r="U1198" s="572"/>
      <c r="V1198" s="572"/>
      <c r="W1198" s="572"/>
      <c r="X1198" s="572"/>
      <c r="Y1198" s="572"/>
      <c r="Z1198" s="572"/>
      <c r="AA1198" s="572"/>
      <c r="AB1198" s="572"/>
      <c r="AC1198" s="572"/>
      <c r="AD1198" s="572"/>
      <c r="AE1198" s="572"/>
      <c r="AF1198" s="572"/>
      <c r="AG1198" s="572"/>
      <c r="AH1198" s="572"/>
      <c r="AI1198" s="572"/>
      <c r="AJ1198" s="572"/>
      <c r="AK1198" s="572"/>
      <c r="AL1198" s="572"/>
      <c r="AM1198" s="572"/>
      <c r="AN1198" s="572"/>
      <c r="AO1198" s="572"/>
      <c r="AP1198" s="572"/>
      <c r="AQ1198" s="572"/>
      <c r="AR1198" s="572"/>
      <c r="AS1198" s="572"/>
      <c r="AT1198" s="572"/>
      <c r="AU1198" s="572"/>
    </row>
    <row r="1199" spans="1:47" ht="15.75" customHeight="1">
      <c r="A1199" s="591"/>
      <c r="B1199" s="582"/>
      <c r="C1199" s="589"/>
      <c r="D1199" s="589"/>
      <c r="E1199" s="581"/>
      <c r="F1199" s="591"/>
      <c r="G1199" s="591"/>
      <c r="H1199" s="591"/>
      <c r="I1199" s="591"/>
      <c r="J1199" s="591"/>
      <c r="K1199" s="591"/>
      <c r="L1199" s="572"/>
      <c r="M1199" s="572"/>
      <c r="N1199" s="572"/>
      <c r="O1199" s="572"/>
      <c r="P1199" s="572"/>
      <c r="Q1199" s="572"/>
      <c r="R1199" s="572"/>
      <c r="S1199" s="572"/>
      <c r="T1199" s="572"/>
      <c r="U1199" s="572"/>
      <c r="V1199" s="572"/>
      <c r="W1199" s="572"/>
      <c r="X1199" s="572"/>
      <c r="Y1199" s="572"/>
      <c r="Z1199" s="572"/>
      <c r="AA1199" s="572"/>
      <c r="AB1199" s="572"/>
      <c r="AC1199" s="572"/>
      <c r="AD1199" s="572"/>
      <c r="AE1199" s="572"/>
      <c r="AF1199" s="572"/>
      <c r="AG1199" s="572"/>
      <c r="AH1199" s="572"/>
      <c r="AI1199" s="572"/>
      <c r="AJ1199" s="572"/>
      <c r="AK1199" s="572"/>
      <c r="AL1199" s="572"/>
      <c r="AM1199" s="572"/>
      <c r="AN1199" s="572"/>
      <c r="AO1199" s="572"/>
      <c r="AP1199" s="572"/>
      <c r="AQ1199" s="572"/>
      <c r="AR1199" s="572"/>
      <c r="AS1199" s="572"/>
      <c r="AT1199" s="572"/>
      <c r="AU1199" s="572"/>
    </row>
    <row r="1200" spans="1:47" ht="15.75" customHeight="1">
      <c r="A1200" s="591"/>
      <c r="B1200" s="582"/>
      <c r="C1200" s="589"/>
      <c r="D1200" s="589"/>
      <c r="E1200" s="581"/>
      <c r="F1200" s="591"/>
      <c r="G1200" s="591"/>
      <c r="H1200" s="591"/>
      <c r="I1200" s="591"/>
      <c r="J1200" s="591"/>
      <c r="K1200" s="591"/>
      <c r="L1200" s="572"/>
      <c r="M1200" s="572"/>
      <c r="N1200" s="572"/>
      <c r="O1200" s="572"/>
      <c r="P1200" s="572"/>
      <c r="Q1200" s="572"/>
      <c r="R1200" s="572"/>
      <c r="S1200" s="572"/>
      <c r="T1200" s="572"/>
      <c r="U1200" s="572"/>
      <c r="V1200" s="572"/>
      <c r="W1200" s="572"/>
      <c r="X1200" s="572"/>
      <c r="Y1200" s="572"/>
      <c r="Z1200" s="572"/>
      <c r="AA1200" s="572"/>
      <c r="AB1200" s="572"/>
      <c r="AC1200" s="572"/>
      <c r="AD1200" s="572"/>
      <c r="AE1200" s="572"/>
      <c r="AF1200" s="572"/>
      <c r="AG1200" s="572"/>
      <c r="AH1200" s="572"/>
      <c r="AI1200" s="572"/>
      <c r="AJ1200" s="572"/>
      <c r="AK1200" s="572"/>
      <c r="AL1200" s="572"/>
      <c r="AM1200" s="572"/>
      <c r="AN1200" s="572"/>
      <c r="AO1200" s="572"/>
      <c r="AP1200" s="572"/>
      <c r="AQ1200" s="572"/>
      <c r="AR1200" s="572"/>
      <c r="AS1200" s="572"/>
      <c r="AT1200" s="572"/>
      <c r="AU1200" s="572"/>
    </row>
    <row r="1201" spans="1:47" ht="15.75" customHeight="1">
      <c r="A1201" s="591"/>
      <c r="B1201" s="582"/>
      <c r="C1201" s="589"/>
      <c r="D1201" s="589"/>
      <c r="E1201" s="581"/>
      <c r="F1201" s="591"/>
      <c r="G1201" s="591"/>
      <c r="H1201" s="591"/>
      <c r="I1201" s="591"/>
      <c r="J1201" s="591"/>
      <c r="K1201" s="591"/>
      <c r="L1201" s="572"/>
      <c r="M1201" s="572"/>
      <c r="N1201" s="572"/>
      <c r="O1201" s="572"/>
      <c r="P1201" s="572"/>
      <c r="Q1201" s="572"/>
      <c r="R1201" s="572"/>
      <c r="S1201" s="572"/>
      <c r="T1201" s="572"/>
      <c r="U1201" s="572"/>
      <c r="V1201" s="572"/>
      <c r="W1201" s="572"/>
      <c r="X1201" s="572"/>
      <c r="Y1201" s="572"/>
      <c r="Z1201" s="572"/>
      <c r="AA1201" s="572"/>
      <c r="AB1201" s="572"/>
      <c r="AC1201" s="572"/>
      <c r="AD1201" s="572"/>
      <c r="AE1201" s="572"/>
      <c r="AF1201" s="572"/>
      <c r="AG1201" s="572"/>
      <c r="AH1201" s="572"/>
      <c r="AI1201" s="572"/>
      <c r="AJ1201" s="572"/>
      <c r="AK1201" s="572"/>
      <c r="AL1201" s="572"/>
      <c r="AM1201" s="572"/>
      <c r="AN1201" s="572"/>
      <c r="AO1201" s="572"/>
      <c r="AP1201" s="572"/>
      <c r="AQ1201" s="572"/>
      <c r="AR1201" s="572"/>
      <c r="AS1201" s="572"/>
      <c r="AT1201" s="572"/>
      <c r="AU1201" s="572"/>
    </row>
    <row r="1202" spans="1:47" ht="15.75" customHeight="1">
      <c r="A1202" s="591"/>
      <c r="B1202" s="582"/>
      <c r="C1202" s="589"/>
      <c r="D1202" s="589"/>
      <c r="E1202" s="581"/>
      <c r="F1202" s="591"/>
      <c r="G1202" s="591"/>
      <c r="H1202" s="591"/>
      <c r="I1202" s="591"/>
      <c r="J1202" s="591"/>
      <c r="K1202" s="591"/>
      <c r="L1202" s="572"/>
      <c r="M1202" s="572"/>
      <c r="N1202" s="572"/>
      <c r="O1202" s="572"/>
      <c r="P1202" s="572"/>
      <c r="Q1202" s="572"/>
      <c r="R1202" s="572"/>
      <c r="S1202" s="572"/>
      <c r="T1202" s="572"/>
      <c r="U1202" s="572"/>
      <c r="V1202" s="572"/>
      <c r="W1202" s="572"/>
      <c r="X1202" s="572"/>
      <c r="Y1202" s="572"/>
      <c r="Z1202" s="572"/>
      <c r="AA1202" s="572"/>
      <c r="AB1202" s="572"/>
      <c r="AC1202" s="572"/>
      <c r="AD1202" s="572"/>
      <c r="AE1202" s="572"/>
      <c r="AF1202" s="572"/>
      <c r="AG1202" s="572"/>
      <c r="AH1202" s="572"/>
      <c r="AI1202" s="572"/>
      <c r="AJ1202" s="572"/>
      <c r="AK1202" s="572"/>
      <c r="AL1202" s="572"/>
      <c r="AM1202" s="572"/>
      <c r="AN1202" s="572"/>
      <c r="AO1202" s="572"/>
      <c r="AP1202" s="572"/>
      <c r="AQ1202" s="572"/>
      <c r="AR1202" s="572"/>
      <c r="AS1202" s="572"/>
      <c r="AT1202" s="572"/>
      <c r="AU1202" s="572"/>
    </row>
    <row r="1203" spans="1:47" ht="15.75" customHeight="1">
      <c r="A1203" s="591"/>
      <c r="B1203" s="582"/>
      <c r="C1203" s="589"/>
      <c r="D1203" s="589"/>
      <c r="E1203" s="581"/>
      <c r="F1203" s="591"/>
      <c r="G1203" s="591"/>
      <c r="H1203" s="591"/>
      <c r="I1203" s="591"/>
      <c r="J1203" s="591"/>
      <c r="K1203" s="591"/>
      <c r="L1203" s="572"/>
      <c r="M1203" s="572"/>
      <c r="N1203" s="572"/>
      <c r="O1203" s="572"/>
      <c r="P1203" s="572"/>
      <c r="Q1203" s="572"/>
      <c r="R1203" s="572"/>
      <c r="S1203" s="572"/>
      <c r="T1203" s="572"/>
      <c r="U1203" s="572"/>
      <c r="V1203" s="572"/>
      <c r="W1203" s="572"/>
      <c r="X1203" s="572"/>
      <c r="Y1203" s="572"/>
      <c r="Z1203" s="572"/>
      <c r="AA1203" s="572"/>
      <c r="AB1203" s="572"/>
      <c r="AC1203" s="572"/>
      <c r="AD1203" s="572"/>
      <c r="AE1203" s="572"/>
      <c r="AF1203" s="572"/>
      <c r="AG1203" s="572"/>
      <c r="AH1203" s="572"/>
      <c r="AI1203" s="572"/>
      <c r="AJ1203" s="572"/>
      <c r="AK1203" s="572"/>
      <c r="AL1203" s="572"/>
      <c r="AM1203" s="572"/>
      <c r="AN1203" s="572"/>
      <c r="AO1203" s="572"/>
      <c r="AP1203" s="572"/>
      <c r="AQ1203" s="572"/>
      <c r="AR1203" s="572"/>
      <c r="AS1203" s="572"/>
      <c r="AT1203" s="572"/>
      <c r="AU1203" s="572"/>
    </row>
    <row r="1204" spans="1:47" ht="15.75" customHeight="1">
      <c r="A1204" s="591"/>
      <c r="B1204" s="582"/>
      <c r="C1204" s="589"/>
      <c r="D1204" s="589"/>
      <c r="E1204" s="581"/>
      <c r="F1204" s="591"/>
      <c r="G1204" s="591"/>
      <c r="H1204" s="591"/>
      <c r="I1204" s="591"/>
      <c r="J1204" s="591"/>
      <c r="K1204" s="591"/>
      <c r="L1204" s="572"/>
      <c r="M1204" s="572"/>
      <c r="N1204" s="572"/>
      <c r="O1204" s="572"/>
      <c r="P1204" s="572"/>
      <c r="Q1204" s="572"/>
      <c r="R1204" s="572"/>
      <c r="S1204" s="572"/>
      <c r="T1204" s="572"/>
      <c r="U1204" s="572"/>
      <c r="V1204" s="572"/>
      <c r="W1204" s="572"/>
      <c r="X1204" s="572"/>
      <c r="Y1204" s="572"/>
      <c r="Z1204" s="572"/>
      <c r="AA1204" s="572"/>
      <c r="AB1204" s="572"/>
      <c r="AC1204" s="572"/>
      <c r="AD1204" s="572"/>
      <c r="AE1204" s="572"/>
      <c r="AF1204" s="572"/>
      <c r="AG1204" s="572"/>
      <c r="AH1204" s="572"/>
      <c r="AI1204" s="572"/>
      <c r="AJ1204" s="572"/>
      <c r="AK1204" s="572"/>
      <c r="AL1204" s="572"/>
      <c r="AM1204" s="572"/>
      <c r="AN1204" s="572"/>
      <c r="AO1204" s="572"/>
      <c r="AP1204" s="572"/>
      <c r="AQ1204" s="572"/>
      <c r="AR1204" s="572"/>
      <c r="AS1204" s="572"/>
      <c r="AT1204" s="572"/>
      <c r="AU1204" s="572"/>
    </row>
    <row r="1205" spans="1:47" ht="15.75" customHeight="1">
      <c r="A1205" s="591"/>
      <c r="B1205" s="582"/>
      <c r="C1205" s="589"/>
      <c r="D1205" s="589"/>
      <c r="E1205" s="581"/>
      <c r="F1205" s="591"/>
      <c r="G1205" s="591"/>
      <c r="H1205" s="591"/>
      <c r="I1205" s="591"/>
      <c r="J1205" s="591"/>
      <c r="K1205" s="591"/>
      <c r="L1205" s="572"/>
      <c r="M1205" s="572"/>
      <c r="N1205" s="572"/>
      <c r="O1205" s="572"/>
      <c r="P1205" s="572"/>
      <c r="Q1205" s="572"/>
      <c r="R1205" s="572"/>
      <c r="S1205" s="572"/>
      <c r="T1205" s="572"/>
      <c r="U1205" s="572"/>
      <c r="V1205" s="572"/>
      <c r="W1205" s="572"/>
      <c r="X1205" s="572"/>
      <c r="Y1205" s="572"/>
      <c r="Z1205" s="572"/>
      <c r="AA1205" s="572"/>
      <c r="AB1205" s="572"/>
      <c r="AC1205" s="572"/>
      <c r="AD1205" s="572"/>
      <c r="AE1205" s="572"/>
      <c r="AF1205" s="572"/>
      <c r="AG1205" s="572"/>
      <c r="AH1205" s="572"/>
      <c r="AI1205" s="572"/>
      <c r="AJ1205" s="572"/>
      <c r="AK1205" s="572"/>
      <c r="AL1205" s="572"/>
      <c r="AM1205" s="572"/>
      <c r="AN1205" s="572"/>
      <c r="AO1205" s="572"/>
      <c r="AP1205" s="572"/>
      <c r="AQ1205" s="572"/>
      <c r="AR1205" s="572"/>
      <c r="AS1205" s="572"/>
      <c r="AT1205" s="572"/>
      <c r="AU1205" s="572"/>
    </row>
    <row r="1206" spans="1:47" ht="15.75" customHeight="1">
      <c r="A1206" s="591"/>
      <c r="B1206" s="582"/>
      <c r="C1206" s="589"/>
      <c r="D1206" s="589"/>
      <c r="E1206" s="581"/>
      <c r="F1206" s="591"/>
      <c r="G1206" s="591"/>
      <c r="H1206" s="591"/>
      <c r="I1206" s="591"/>
      <c r="J1206" s="591"/>
      <c r="K1206" s="591"/>
      <c r="L1206" s="572"/>
      <c r="M1206" s="572"/>
      <c r="N1206" s="572"/>
      <c r="O1206" s="572"/>
      <c r="P1206" s="572"/>
      <c r="Q1206" s="572"/>
      <c r="R1206" s="572"/>
      <c r="S1206" s="572"/>
      <c r="T1206" s="572"/>
      <c r="U1206" s="572"/>
      <c r="V1206" s="572"/>
      <c r="W1206" s="572"/>
      <c r="X1206" s="572"/>
      <c r="Y1206" s="572"/>
      <c r="Z1206" s="572"/>
      <c r="AA1206" s="572"/>
      <c r="AB1206" s="572"/>
      <c r="AC1206" s="572"/>
      <c r="AD1206" s="572"/>
      <c r="AE1206" s="572"/>
      <c r="AF1206" s="572"/>
      <c r="AG1206" s="572"/>
      <c r="AH1206" s="572"/>
      <c r="AI1206" s="572"/>
      <c r="AJ1206" s="572"/>
      <c r="AK1206" s="572"/>
      <c r="AL1206" s="572"/>
      <c r="AM1206" s="572"/>
      <c r="AN1206" s="572"/>
      <c r="AO1206" s="572"/>
      <c r="AP1206" s="572"/>
      <c r="AQ1206" s="572"/>
      <c r="AR1206" s="572"/>
      <c r="AS1206" s="572"/>
      <c r="AT1206" s="572"/>
      <c r="AU1206" s="572"/>
    </row>
    <row r="1207" spans="1:47" ht="15.75" customHeight="1">
      <c r="A1207" s="591"/>
      <c r="B1207" s="582"/>
      <c r="C1207" s="589"/>
      <c r="D1207" s="589"/>
      <c r="E1207" s="581"/>
      <c r="F1207" s="591"/>
      <c r="G1207" s="591"/>
      <c r="H1207" s="591"/>
      <c r="I1207" s="591"/>
      <c r="J1207" s="591"/>
      <c r="K1207" s="591"/>
      <c r="L1207" s="572"/>
      <c r="M1207" s="572"/>
      <c r="N1207" s="572"/>
      <c r="O1207" s="572"/>
      <c r="P1207" s="572"/>
      <c r="Q1207" s="572"/>
      <c r="R1207" s="572"/>
      <c r="S1207" s="572"/>
      <c r="T1207" s="572"/>
      <c r="U1207" s="572"/>
      <c r="V1207" s="572"/>
      <c r="W1207" s="572"/>
      <c r="X1207" s="572"/>
      <c r="Y1207" s="572"/>
      <c r="Z1207" s="572"/>
      <c r="AA1207" s="572"/>
      <c r="AB1207" s="572"/>
      <c r="AC1207" s="572"/>
      <c r="AD1207" s="572"/>
      <c r="AE1207" s="572"/>
      <c r="AF1207" s="572"/>
      <c r="AG1207" s="572"/>
      <c r="AH1207" s="572"/>
      <c r="AI1207" s="572"/>
      <c r="AJ1207" s="572"/>
      <c r="AK1207" s="572"/>
      <c r="AL1207" s="572"/>
      <c r="AM1207" s="572"/>
      <c r="AN1207" s="572"/>
      <c r="AO1207" s="572"/>
      <c r="AP1207" s="572"/>
      <c r="AQ1207" s="572"/>
      <c r="AR1207" s="572"/>
      <c r="AS1207" s="572"/>
      <c r="AT1207" s="572"/>
      <c r="AU1207" s="572"/>
    </row>
    <row r="1208" spans="1:47" ht="15.75" customHeight="1">
      <c r="A1208" s="591"/>
      <c r="B1208" s="582"/>
      <c r="C1208" s="589"/>
      <c r="D1208" s="589"/>
      <c r="E1208" s="581"/>
      <c r="F1208" s="591"/>
      <c r="G1208" s="591"/>
      <c r="H1208" s="591"/>
      <c r="I1208" s="591"/>
      <c r="J1208" s="591"/>
      <c r="K1208" s="591"/>
      <c r="L1208" s="572"/>
      <c r="M1208" s="572"/>
      <c r="N1208" s="572"/>
      <c r="O1208" s="572"/>
      <c r="P1208" s="572"/>
      <c r="Q1208" s="572"/>
      <c r="R1208" s="572"/>
      <c r="S1208" s="572"/>
      <c r="T1208" s="572"/>
      <c r="U1208" s="572"/>
      <c r="V1208" s="572"/>
      <c r="W1208" s="572"/>
      <c r="X1208" s="572"/>
      <c r="Y1208" s="572"/>
      <c r="Z1208" s="572"/>
      <c r="AA1208" s="572"/>
      <c r="AB1208" s="572"/>
      <c r="AC1208" s="572"/>
      <c r="AD1208" s="572"/>
      <c r="AE1208" s="572"/>
      <c r="AF1208" s="572"/>
      <c r="AG1208" s="572"/>
      <c r="AH1208" s="572"/>
      <c r="AI1208" s="572"/>
      <c r="AJ1208" s="572"/>
      <c r="AK1208" s="572"/>
      <c r="AL1208" s="572"/>
      <c r="AM1208" s="572"/>
      <c r="AN1208" s="572"/>
      <c r="AO1208" s="572"/>
      <c r="AP1208" s="572"/>
      <c r="AQ1208" s="572"/>
      <c r="AR1208" s="572"/>
      <c r="AS1208" s="572"/>
      <c r="AT1208" s="572"/>
      <c r="AU1208" s="572"/>
    </row>
    <row r="1209" spans="1:47" ht="15.75" customHeight="1">
      <c r="A1209" s="591"/>
      <c r="B1209" s="582"/>
      <c r="C1209" s="589"/>
      <c r="D1209" s="589"/>
      <c r="E1209" s="581"/>
      <c r="F1209" s="591"/>
      <c r="G1209" s="591"/>
      <c r="H1209" s="591"/>
      <c r="I1209" s="591"/>
      <c r="J1209" s="591"/>
      <c r="K1209" s="591"/>
      <c r="L1209" s="572"/>
      <c r="M1209" s="572"/>
      <c r="N1209" s="572"/>
      <c r="O1209" s="572"/>
      <c r="P1209" s="572"/>
      <c r="Q1209" s="572"/>
      <c r="R1209" s="572"/>
      <c r="S1209" s="572"/>
      <c r="T1209" s="572"/>
      <c r="U1209" s="572"/>
      <c r="V1209" s="572"/>
      <c r="W1209" s="572"/>
      <c r="X1209" s="572"/>
      <c r="Y1209" s="572"/>
      <c r="Z1209" s="572"/>
      <c r="AA1209" s="572"/>
      <c r="AB1209" s="572"/>
      <c r="AC1209" s="572"/>
      <c r="AD1209" s="572"/>
      <c r="AE1209" s="572"/>
      <c r="AF1209" s="572"/>
      <c r="AG1209" s="572"/>
      <c r="AH1209" s="572"/>
      <c r="AI1209" s="572"/>
      <c r="AJ1209" s="572"/>
      <c r="AK1209" s="572"/>
      <c r="AL1209" s="572"/>
      <c r="AM1209" s="572"/>
      <c r="AN1209" s="572"/>
      <c r="AO1209" s="572"/>
      <c r="AP1209" s="572"/>
      <c r="AQ1209" s="572"/>
      <c r="AR1209" s="572"/>
      <c r="AS1209" s="572"/>
      <c r="AT1209" s="572"/>
      <c r="AU1209" s="572"/>
    </row>
    <row r="1210" spans="1:47" ht="15.75" customHeight="1">
      <c r="A1210" s="591"/>
      <c r="B1210" s="582"/>
      <c r="C1210" s="589"/>
      <c r="D1210" s="589"/>
      <c r="E1210" s="581"/>
      <c r="F1210" s="591"/>
      <c r="G1210" s="591"/>
      <c r="H1210" s="591"/>
      <c r="I1210" s="591"/>
      <c r="J1210" s="591"/>
      <c r="K1210" s="591"/>
      <c r="L1210" s="572"/>
      <c r="M1210" s="572"/>
      <c r="N1210" s="572"/>
      <c r="O1210" s="572"/>
      <c r="P1210" s="572"/>
      <c r="Q1210" s="572"/>
      <c r="R1210" s="572"/>
      <c r="S1210" s="572"/>
      <c r="T1210" s="572"/>
      <c r="U1210" s="572"/>
      <c r="V1210" s="572"/>
      <c r="W1210" s="572"/>
      <c r="X1210" s="572"/>
      <c r="Y1210" s="572"/>
      <c r="Z1210" s="572"/>
      <c r="AA1210" s="572"/>
      <c r="AB1210" s="572"/>
      <c r="AC1210" s="572"/>
      <c r="AD1210" s="572"/>
      <c r="AE1210" s="572"/>
      <c r="AF1210" s="572"/>
      <c r="AG1210" s="572"/>
      <c r="AH1210" s="572"/>
      <c r="AI1210" s="572"/>
      <c r="AJ1210" s="572"/>
      <c r="AK1210" s="572"/>
      <c r="AL1210" s="572"/>
      <c r="AM1210" s="572"/>
      <c r="AN1210" s="572"/>
      <c r="AO1210" s="572"/>
      <c r="AP1210" s="572"/>
      <c r="AQ1210" s="572"/>
      <c r="AR1210" s="572"/>
      <c r="AS1210" s="572"/>
      <c r="AT1210" s="572"/>
      <c r="AU1210" s="572"/>
    </row>
    <row r="1211" spans="1:47" ht="15.75" customHeight="1">
      <c r="A1211" s="591"/>
      <c r="B1211" s="582"/>
      <c r="C1211" s="589"/>
      <c r="D1211" s="589"/>
      <c r="E1211" s="581"/>
      <c r="F1211" s="591"/>
      <c r="G1211" s="591"/>
      <c r="H1211" s="591"/>
      <c r="I1211" s="591"/>
      <c r="J1211" s="591"/>
      <c r="K1211" s="591"/>
      <c r="L1211" s="572"/>
      <c r="M1211" s="572"/>
      <c r="N1211" s="572"/>
      <c r="O1211" s="572"/>
      <c r="P1211" s="572"/>
      <c r="Q1211" s="572"/>
      <c r="R1211" s="572"/>
      <c r="S1211" s="572"/>
      <c r="T1211" s="572"/>
      <c r="U1211" s="572"/>
      <c r="V1211" s="572"/>
      <c r="W1211" s="572"/>
      <c r="X1211" s="572"/>
      <c r="Y1211" s="572"/>
      <c r="Z1211" s="572"/>
      <c r="AA1211" s="572"/>
      <c r="AB1211" s="572"/>
      <c r="AC1211" s="572"/>
      <c r="AD1211" s="572"/>
      <c r="AE1211" s="572"/>
      <c r="AF1211" s="572"/>
      <c r="AG1211" s="572"/>
      <c r="AH1211" s="572"/>
      <c r="AI1211" s="572"/>
      <c r="AJ1211" s="572"/>
      <c r="AK1211" s="572"/>
      <c r="AL1211" s="572"/>
      <c r="AM1211" s="572"/>
      <c r="AN1211" s="572"/>
      <c r="AO1211" s="572"/>
      <c r="AP1211" s="572"/>
      <c r="AQ1211" s="572"/>
      <c r="AR1211" s="572"/>
      <c r="AS1211" s="572"/>
      <c r="AT1211" s="572"/>
      <c r="AU1211" s="572"/>
    </row>
    <row r="1212" spans="1:47" ht="15.75" customHeight="1">
      <c r="A1212" s="591"/>
      <c r="B1212" s="582"/>
      <c r="C1212" s="589"/>
      <c r="D1212" s="589"/>
      <c r="E1212" s="581"/>
      <c r="F1212" s="591"/>
      <c r="G1212" s="591"/>
      <c r="H1212" s="591"/>
      <c r="I1212" s="591"/>
      <c r="J1212" s="591"/>
      <c r="K1212" s="591"/>
      <c r="L1212" s="572"/>
      <c r="M1212" s="572"/>
      <c r="N1212" s="572"/>
      <c r="O1212" s="572"/>
      <c r="P1212" s="572"/>
      <c r="Q1212" s="572"/>
      <c r="R1212" s="572"/>
      <c r="S1212" s="572"/>
      <c r="T1212" s="572"/>
      <c r="U1212" s="572"/>
      <c r="V1212" s="572"/>
      <c r="W1212" s="572"/>
      <c r="X1212" s="572"/>
      <c r="Y1212" s="572"/>
      <c r="Z1212" s="572"/>
      <c r="AA1212" s="572"/>
      <c r="AB1212" s="572"/>
      <c r="AC1212" s="572"/>
      <c r="AD1212" s="572"/>
      <c r="AE1212" s="572"/>
      <c r="AF1212" s="572"/>
      <c r="AG1212" s="572"/>
      <c r="AH1212" s="572"/>
      <c r="AI1212" s="572"/>
      <c r="AJ1212" s="572"/>
      <c r="AK1212" s="572"/>
      <c r="AL1212" s="572"/>
      <c r="AM1212" s="572"/>
      <c r="AN1212" s="572"/>
      <c r="AO1212" s="572"/>
      <c r="AP1212" s="572"/>
      <c r="AQ1212" s="572"/>
      <c r="AR1212" s="572"/>
      <c r="AS1212" s="572"/>
      <c r="AT1212" s="572"/>
      <c r="AU1212" s="572"/>
    </row>
    <row r="1213" spans="1:47" ht="15.75" customHeight="1">
      <c r="A1213" s="591"/>
      <c r="B1213" s="582"/>
      <c r="C1213" s="589"/>
      <c r="D1213" s="589"/>
      <c r="E1213" s="581"/>
      <c r="F1213" s="591"/>
      <c r="G1213" s="591"/>
      <c r="H1213" s="591"/>
      <c r="I1213" s="591"/>
      <c r="J1213" s="591"/>
      <c r="K1213" s="591"/>
      <c r="L1213" s="572"/>
      <c r="M1213" s="572"/>
      <c r="N1213" s="572"/>
      <c r="O1213" s="572"/>
      <c r="P1213" s="572"/>
      <c r="Q1213" s="572"/>
      <c r="R1213" s="572"/>
      <c r="S1213" s="572"/>
      <c r="T1213" s="572"/>
      <c r="U1213" s="572"/>
      <c r="V1213" s="572"/>
      <c r="W1213" s="572"/>
      <c r="X1213" s="572"/>
      <c r="Y1213" s="572"/>
      <c r="Z1213" s="572"/>
      <c r="AA1213" s="572"/>
      <c r="AB1213" s="572"/>
      <c r="AC1213" s="572"/>
      <c r="AD1213" s="572"/>
      <c r="AE1213" s="572"/>
      <c r="AF1213" s="572"/>
      <c r="AG1213" s="572"/>
      <c r="AH1213" s="572"/>
      <c r="AI1213" s="572"/>
      <c r="AJ1213" s="572"/>
      <c r="AK1213" s="572"/>
      <c r="AL1213" s="572"/>
      <c r="AM1213" s="572"/>
      <c r="AN1213" s="572"/>
      <c r="AO1213" s="572"/>
      <c r="AP1213" s="572"/>
      <c r="AQ1213" s="572"/>
      <c r="AR1213" s="572"/>
      <c r="AS1213" s="572"/>
      <c r="AT1213" s="572"/>
      <c r="AU1213" s="572"/>
    </row>
    <row r="1214" spans="1:47" ht="15.75" customHeight="1">
      <c r="A1214" s="591"/>
      <c r="B1214" s="582"/>
      <c r="C1214" s="589"/>
      <c r="D1214" s="589"/>
      <c r="E1214" s="581"/>
      <c r="F1214" s="591"/>
      <c r="G1214" s="591"/>
      <c r="H1214" s="591"/>
      <c r="I1214" s="591"/>
      <c r="J1214" s="591"/>
      <c r="K1214" s="591"/>
      <c r="L1214" s="572"/>
      <c r="M1214" s="572"/>
      <c r="N1214" s="572"/>
      <c r="O1214" s="572"/>
      <c r="P1214" s="572"/>
      <c r="Q1214" s="572"/>
      <c r="R1214" s="572"/>
      <c r="S1214" s="572"/>
      <c r="T1214" s="572"/>
      <c r="U1214" s="572"/>
      <c r="V1214" s="572"/>
      <c r="W1214" s="572"/>
      <c r="X1214" s="572"/>
      <c r="Y1214" s="572"/>
      <c r="Z1214" s="572"/>
      <c r="AA1214" s="572"/>
      <c r="AB1214" s="572"/>
      <c r="AC1214" s="572"/>
      <c r="AD1214" s="572"/>
      <c r="AE1214" s="572"/>
      <c r="AF1214" s="572"/>
      <c r="AG1214" s="572"/>
      <c r="AH1214" s="572"/>
      <c r="AI1214" s="572"/>
      <c r="AJ1214" s="572"/>
      <c r="AK1214" s="572"/>
      <c r="AL1214" s="572"/>
      <c r="AM1214" s="572"/>
      <c r="AN1214" s="572"/>
      <c r="AO1214" s="572"/>
      <c r="AP1214" s="572"/>
      <c r="AQ1214" s="572"/>
      <c r="AR1214" s="572"/>
      <c r="AS1214" s="572"/>
      <c r="AT1214" s="572"/>
      <c r="AU1214" s="572"/>
    </row>
    <row r="1215" spans="1:47" ht="15.75" customHeight="1">
      <c r="A1215" s="591"/>
      <c r="B1215" s="582"/>
      <c r="C1215" s="589"/>
      <c r="D1215" s="589"/>
      <c r="E1215" s="581"/>
      <c r="F1215" s="591"/>
      <c r="G1215" s="591"/>
      <c r="H1215" s="591"/>
      <c r="I1215" s="591"/>
      <c r="J1215" s="591"/>
      <c r="K1215" s="591"/>
      <c r="L1215" s="572"/>
      <c r="M1215" s="572"/>
      <c r="N1215" s="572"/>
      <c r="O1215" s="572"/>
      <c r="P1215" s="572"/>
      <c r="Q1215" s="572"/>
      <c r="R1215" s="572"/>
      <c r="S1215" s="572"/>
      <c r="T1215" s="572"/>
      <c r="U1215" s="572"/>
      <c r="V1215" s="572"/>
      <c r="W1215" s="572"/>
      <c r="X1215" s="572"/>
      <c r="Y1215" s="572"/>
      <c r="Z1215" s="572"/>
      <c r="AA1215" s="572"/>
      <c r="AB1215" s="572"/>
      <c r="AC1215" s="572"/>
      <c r="AD1215" s="572"/>
      <c r="AE1215" s="572"/>
      <c r="AF1215" s="572"/>
      <c r="AG1215" s="572"/>
      <c r="AH1215" s="572"/>
      <c r="AI1215" s="572"/>
      <c r="AJ1215" s="572"/>
      <c r="AK1215" s="572"/>
      <c r="AL1215" s="572"/>
      <c r="AM1215" s="572"/>
      <c r="AN1215" s="572"/>
      <c r="AO1215" s="572"/>
      <c r="AP1215" s="572"/>
      <c r="AQ1215" s="572"/>
      <c r="AR1215" s="572"/>
      <c r="AS1215" s="572"/>
      <c r="AT1215" s="572"/>
      <c r="AU1215" s="572"/>
    </row>
    <row r="1216" spans="1:47" ht="15.75" customHeight="1">
      <c r="A1216" s="591"/>
      <c r="B1216" s="582"/>
      <c r="C1216" s="589"/>
      <c r="D1216" s="589"/>
      <c r="E1216" s="581"/>
      <c r="F1216" s="591"/>
      <c r="G1216" s="591"/>
      <c r="H1216" s="591"/>
      <c r="I1216" s="591"/>
      <c r="J1216" s="591"/>
      <c r="K1216" s="591"/>
      <c r="L1216" s="572"/>
      <c r="M1216" s="572"/>
      <c r="N1216" s="572"/>
      <c r="O1216" s="572"/>
      <c r="P1216" s="572"/>
      <c r="Q1216" s="572"/>
      <c r="R1216" s="572"/>
      <c r="S1216" s="572"/>
      <c r="T1216" s="572"/>
      <c r="U1216" s="572"/>
      <c r="V1216" s="572"/>
      <c r="W1216" s="572"/>
      <c r="X1216" s="572"/>
      <c r="Y1216" s="572"/>
      <c r="Z1216" s="572"/>
      <c r="AA1216" s="572"/>
      <c r="AB1216" s="572"/>
      <c r="AC1216" s="572"/>
      <c r="AD1216" s="572"/>
      <c r="AE1216" s="572"/>
      <c r="AF1216" s="572"/>
      <c r="AG1216" s="572"/>
      <c r="AH1216" s="572"/>
      <c r="AI1216" s="572"/>
      <c r="AJ1216" s="572"/>
      <c r="AK1216" s="572"/>
      <c r="AL1216" s="572"/>
      <c r="AM1216" s="572"/>
      <c r="AN1216" s="572"/>
      <c r="AO1216" s="572"/>
      <c r="AP1216" s="572"/>
      <c r="AQ1216" s="572"/>
      <c r="AR1216" s="572"/>
      <c r="AS1216" s="572"/>
      <c r="AT1216" s="572"/>
      <c r="AU1216" s="572"/>
    </row>
    <row r="1217" spans="1:47" ht="15.75" customHeight="1">
      <c r="A1217" s="591"/>
      <c r="B1217" s="582"/>
      <c r="C1217" s="589"/>
      <c r="D1217" s="589"/>
      <c r="E1217" s="581"/>
      <c r="F1217" s="591"/>
      <c r="G1217" s="591"/>
      <c r="H1217" s="591"/>
      <c r="I1217" s="591"/>
      <c r="J1217" s="591"/>
      <c r="K1217" s="591"/>
      <c r="L1217" s="572"/>
      <c r="M1217" s="572"/>
      <c r="N1217" s="572"/>
      <c r="O1217" s="572"/>
      <c r="P1217" s="572"/>
      <c r="Q1217" s="572"/>
      <c r="R1217" s="572"/>
      <c r="S1217" s="572"/>
      <c r="T1217" s="572"/>
      <c r="U1217" s="572"/>
      <c r="V1217" s="572"/>
      <c r="W1217" s="572"/>
      <c r="X1217" s="572"/>
      <c r="Y1217" s="572"/>
      <c r="Z1217" s="572"/>
      <c r="AA1217" s="572"/>
      <c r="AB1217" s="572"/>
      <c r="AC1217" s="572"/>
      <c r="AD1217" s="572"/>
      <c r="AE1217" s="572"/>
      <c r="AF1217" s="572"/>
      <c r="AG1217" s="572"/>
      <c r="AH1217" s="572"/>
      <c r="AI1217" s="572"/>
      <c r="AJ1217" s="572"/>
      <c r="AK1217" s="572"/>
      <c r="AL1217" s="572"/>
      <c r="AM1217" s="572"/>
      <c r="AN1217" s="572"/>
      <c r="AO1217" s="572"/>
      <c r="AP1217" s="572"/>
      <c r="AQ1217" s="572"/>
      <c r="AR1217" s="572"/>
      <c r="AS1217" s="572"/>
      <c r="AT1217" s="572"/>
      <c r="AU1217" s="572"/>
    </row>
    <row r="1218" spans="1:47" ht="15.75" customHeight="1">
      <c r="A1218" s="591"/>
      <c r="B1218" s="582"/>
      <c r="C1218" s="589"/>
      <c r="D1218" s="589"/>
      <c r="E1218" s="581"/>
      <c r="F1218" s="591"/>
      <c r="G1218" s="591"/>
      <c r="H1218" s="591"/>
      <c r="I1218" s="591"/>
      <c r="J1218" s="591"/>
      <c r="K1218" s="591"/>
      <c r="L1218" s="572"/>
      <c r="M1218" s="572"/>
      <c r="N1218" s="572"/>
      <c r="O1218" s="572"/>
      <c r="P1218" s="572"/>
      <c r="Q1218" s="572"/>
      <c r="R1218" s="572"/>
      <c r="S1218" s="572"/>
      <c r="T1218" s="572"/>
      <c r="U1218" s="572"/>
      <c r="V1218" s="572"/>
      <c r="W1218" s="572"/>
      <c r="X1218" s="572"/>
      <c r="Y1218" s="572"/>
      <c r="Z1218" s="572"/>
      <c r="AA1218" s="572"/>
      <c r="AB1218" s="572"/>
      <c r="AC1218" s="572"/>
      <c r="AD1218" s="572"/>
      <c r="AE1218" s="572"/>
      <c r="AF1218" s="572"/>
      <c r="AG1218" s="572"/>
      <c r="AH1218" s="572"/>
      <c r="AI1218" s="572"/>
      <c r="AJ1218" s="572"/>
      <c r="AK1218" s="572"/>
      <c r="AL1218" s="572"/>
      <c r="AM1218" s="572"/>
      <c r="AN1218" s="572"/>
      <c r="AO1218" s="572"/>
      <c r="AP1218" s="572"/>
      <c r="AQ1218" s="572"/>
      <c r="AR1218" s="572"/>
      <c r="AS1218" s="572"/>
      <c r="AT1218" s="572"/>
      <c r="AU1218" s="572"/>
    </row>
    <row r="1219" spans="1:47" ht="15.75" customHeight="1">
      <c r="A1219" s="591"/>
      <c r="B1219" s="582"/>
      <c r="C1219" s="589"/>
      <c r="D1219" s="589"/>
      <c r="E1219" s="581"/>
      <c r="F1219" s="591"/>
      <c r="G1219" s="591"/>
      <c r="H1219" s="591"/>
      <c r="I1219" s="591"/>
      <c r="J1219" s="591"/>
      <c r="K1219" s="591"/>
      <c r="L1219" s="572"/>
      <c r="M1219" s="572"/>
      <c r="N1219" s="572"/>
      <c r="O1219" s="572"/>
      <c r="P1219" s="572"/>
      <c r="Q1219" s="572"/>
      <c r="R1219" s="572"/>
      <c r="S1219" s="572"/>
      <c r="T1219" s="572"/>
      <c r="U1219" s="572"/>
      <c r="V1219" s="572"/>
      <c r="W1219" s="572"/>
      <c r="X1219" s="572"/>
      <c r="Y1219" s="572"/>
      <c r="Z1219" s="572"/>
      <c r="AA1219" s="572"/>
      <c r="AB1219" s="572"/>
      <c r="AC1219" s="572"/>
      <c r="AD1219" s="572"/>
      <c r="AE1219" s="572"/>
      <c r="AF1219" s="572"/>
      <c r="AG1219" s="572"/>
      <c r="AH1219" s="572"/>
      <c r="AI1219" s="572"/>
      <c r="AJ1219" s="572"/>
      <c r="AK1219" s="572"/>
      <c r="AL1219" s="572"/>
      <c r="AM1219" s="572"/>
      <c r="AN1219" s="572"/>
      <c r="AO1219" s="572"/>
      <c r="AP1219" s="572"/>
      <c r="AQ1219" s="572"/>
      <c r="AR1219" s="572"/>
      <c r="AS1219" s="572"/>
      <c r="AT1219" s="572"/>
      <c r="AU1219" s="572"/>
    </row>
    <row r="1220" spans="1:47" ht="15.75" customHeight="1">
      <c r="A1220" s="591"/>
      <c r="B1220" s="582"/>
      <c r="C1220" s="589"/>
      <c r="D1220" s="589"/>
      <c r="E1220" s="581"/>
      <c r="F1220" s="591"/>
      <c r="G1220" s="591"/>
      <c r="H1220" s="591"/>
      <c r="I1220" s="591"/>
      <c r="J1220" s="591"/>
      <c r="K1220" s="591"/>
      <c r="L1220" s="572"/>
      <c r="M1220" s="572"/>
      <c r="N1220" s="572"/>
      <c r="O1220" s="572"/>
      <c r="P1220" s="572"/>
      <c r="Q1220" s="572"/>
      <c r="R1220" s="572"/>
      <c r="S1220" s="572"/>
      <c r="T1220" s="572"/>
      <c r="U1220" s="572"/>
      <c r="V1220" s="572"/>
      <c r="W1220" s="572"/>
      <c r="X1220" s="572"/>
      <c r="Y1220" s="572"/>
      <c r="Z1220" s="572"/>
      <c r="AA1220" s="572"/>
      <c r="AB1220" s="572"/>
      <c r="AC1220" s="572"/>
      <c r="AD1220" s="572"/>
      <c r="AE1220" s="572"/>
      <c r="AF1220" s="572"/>
      <c r="AG1220" s="572"/>
      <c r="AH1220" s="572"/>
      <c r="AI1220" s="572"/>
      <c r="AJ1220" s="572"/>
      <c r="AK1220" s="572"/>
      <c r="AL1220" s="572"/>
      <c r="AM1220" s="572"/>
      <c r="AN1220" s="572"/>
      <c r="AO1220" s="572"/>
      <c r="AP1220" s="572"/>
      <c r="AQ1220" s="572"/>
      <c r="AR1220" s="572"/>
      <c r="AS1220" s="572"/>
      <c r="AT1220" s="572"/>
      <c r="AU1220" s="572"/>
    </row>
    <row r="1221" spans="1:47" ht="15.75" customHeight="1">
      <c r="A1221" s="591"/>
      <c r="B1221" s="582"/>
      <c r="C1221" s="589"/>
      <c r="D1221" s="589"/>
      <c r="E1221" s="581"/>
      <c r="F1221" s="591"/>
      <c r="G1221" s="591"/>
      <c r="H1221" s="591"/>
      <c r="I1221" s="591"/>
      <c r="J1221" s="591"/>
      <c r="K1221" s="591"/>
      <c r="L1221" s="572"/>
      <c r="M1221" s="572"/>
      <c r="N1221" s="572"/>
      <c r="O1221" s="572"/>
      <c r="P1221" s="572"/>
      <c r="Q1221" s="572"/>
      <c r="R1221" s="572"/>
      <c r="S1221" s="572"/>
      <c r="T1221" s="572"/>
      <c r="U1221" s="572"/>
      <c r="V1221" s="572"/>
      <c r="W1221" s="572"/>
      <c r="X1221" s="572"/>
      <c r="Y1221" s="572"/>
      <c r="Z1221" s="572"/>
      <c r="AA1221" s="572"/>
      <c r="AB1221" s="572"/>
      <c r="AC1221" s="572"/>
      <c r="AD1221" s="572"/>
      <c r="AE1221" s="572"/>
      <c r="AF1221" s="572"/>
      <c r="AG1221" s="572"/>
      <c r="AH1221" s="572"/>
      <c r="AI1221" s="572"/>
      <c r="AJ1221" s="572"/>
      <c r="AK1221" s="572"/>
      <c r="AL1221" s="572"/>
      <c r="AM1221" s="572"/>
      <c r="AN1221" s="572"/>
      <c r="AO1221" s="572"/>
      <c r="AP1221" s="572"/>
      <c r="AQ1221" s="572"/>
      <c r="AR1221" s="572"/>
      <c r="AS1221" s="572"/>
      <c r="AT1221" s="572"/>
      <c r="AU1221" s="572"/>
    </row>
    <row r="1222" spans="1:47" ht="15.75" customHeight="1">
      <c r="A1222" s="591"/>
      <c r="B1222" s="582"/>
      <c r="C1222" s="589"/>
      <c r="D1222" s="589"/>
      <c r="E1222" s="581"/>
      <c r="F1222" s="591"/>
      <c r="G1222" s="591"/>
      <c r="H1222" s="591"/>
      <c r="I1222" s="591"/>
      <c r="J1222" s="591"/>
      <c r="K1222" s="591"/>
      <c r="L1222" s="572"/>
      <c r="M1222" s="572"/>
      <c r="N1222" s="572"/>
      <c r="O1222" s="572"/>
      <c r="P1222" s="572"/>
      <c r="Q1222" s="572"/>
      <c r="R1222" s="572"/>
      <c r="S1222" s="572"/>
      <c r="T1222" s="572"/>
      <c r="U1222" s="572"/>
      <c r="V1222" s="572"/>
      <c r="W1222" s="572"/>
      <c r="X1222" s="572"/>
      <c r="Y1222" s="572"/>
      <c r="Z1222" s="572"/>
      <c r="AA1222" s="572"/>
      <c r="AB1222" s="572"/>
      <c r="AC1222" s="572"/>
      <c r="AD1222" s="572"/>
      <c r="AE1222" s="572"/>
      <c r="AF1222" s="572"/>
      <c r="AG1222" s="572"/>
      <c r="AH1222" s="572"/>
      <c r="AI1222" s="572"/>
      <c r="AJ1222" s="572"/>
      <c r="AK1222" s="572"/>
      <c r="AL1222" s="572"/>
      <c r="AM1222" s="572"/>
      <c r="AN1222" s="572"/>
      <c r="AO1222" s="572"/>
      <c r="AP1222" s="572"/>
      <c r="AQ1222" s="572"/>
      <c r="AR1222" s="572"/>
      <c r="AS1222" s="572"/>
      <c r="AT1222" s="572"/>
      <c r="AU1222" s="572"/>
    </row>
    <row r="1223" spans="1:47" ht="15.75" customHeight="1">
      <c r="A1223" s="591"/>
      <c r="B1223" s="582"/>
      <c r="C1223" s="589"/>
      <c r="D1223" s="589"/>
      <c r="E1223" s="581"/>
      <c r="F1223" s="591"/>
      <c r="G1223" s="591"/>
      <c r="H1223" s="591"/>
      <c r="I1223" s="591"/>
      <c r="J1223" s="591"/>
      <c r="K1223" s="591"/>
      <c r="L1223" s="572"/>
      <c r="M1223" s="572"/>
      <c r="N1223" s="572"/>
      <c r="O1223" s="572"/>
      <c r="P1223" s="572"/>
      <c r="Q1223" s="572"/>
      <c r="R1223" s="572"/>
      <c r="S1223" s="572"/>
      <c r="T1223" s="572"/>
      <c r="U1223" s="572"/>
      <c r="V1223" s="572"/>
      <c r="W1223" s="572"/>
      <c r="X1223" s="572"/>
      <c r="Y1223" s="572"/>
      <c r="Z1223" s="572"/>
      <c r="AA1223" s="572"/>
      <c r="AB1223" s="572"/>
      <c r="AC1223" s="572"/>
      <c r="AD1223" s="572"/>
      <c r="AE1223" s="572"/>
      <c r="AF1223" s="572"/>
      <c r="AG1223" s="572"/>
      <c r="AH1223" s="572"/>
      <c r="AI1223" s="572"/>
      <c r="AJ1223" s="572"/>
      <c r="AK1223" s="572"/>
      <c r="AL1223" s="572"/>
      <c r="AM1223" s="572"/>
      <c r="AN1223" s="572"/>
      <c r="AO1223" s="572"/>
      <c r="AP1223" s="572"/>
      <c r="AQ1223" s="572"/>
      <c r="AR1223" s="572"/>
      <c r="AS1223" s="572"/>
      <c r="AT1223" s="572"/>
      <c r="AU1223" s="572"/>
    </row>
    <row r="1224" spans="1:47" ht="15.75" customHeight="1">
      <c r="A1224" s="591"/>
      <c r="B1224" s="582"/>
      <c r="C1224" s="589"/>
      <c r="D1224" s="589"/>
      <c r="E1224" s="581"/>
      <c r="F1224" s="591"/>
      <c r="G1224" s="591"/>
      <c r="H1224" s="591"/>
      <c r="I1224" s="591"/>
      <c r="J1224" s="591"/>
      <c r="K1224" s="591"/>
      <c r="L1224" s="572"/>
      <c r="M1224" s="572"/>
      <c r="N1224" s="572"/>
      <c r="O1224" s="572"/>
      <c r="P1224" s="572"/>
      <c r="Q1224" s="572"/>
      <c r="R1224" s="572"/>
      <c r="S1224" s="572"/>
      <c r="T1224" s="572"/>
      <c r="U1224" s="572"/>
      <c r="V1224" s="572"/>
      <c r="W1224" s="572"/>
      <c r="X1224" s="572"/>
      <c r="Y1224" s="572"/>
      <c r="Z1224" s="572"/>
      <c r="AA1224" s="572"/>
      <c r="AB1224" s="572"/>
      <c r="AC1224" s="572"/>
      <c r="AD1224" s="572"/>
      <c r="AE1224" s="572"/>
      <c r="AF1224" s="572"/>
      <c r="AG1224" s="572"/>
      <c r="AH1224" s="572"/>
      <c r="AI1224" s="572"/>
      <c r="AJ1224" s="572"/>
      <c r="AK1224" s="572"/>
      <c r="AL1224" s="572"/>
      <c r="AM1224" s="572"/>
      <c r="AN1224" s="572"/>
      <c r="AO1224" s="572"/>
      <c r="AP1224" s="572"/>
      <c r="AQ1224" s="572"/>
      <c r="AR1224" s="572"/>
      <c r="AS1224" s="572"/>
      <c r="AT1224" s="572"/>
      <c r="AU1224" s="572"/>
    </row>
    <row r="1225" spans="1:47" ht="15.75" customHeight="1">
      <c r="A1225" s="591"/>
      <c r="B1225" s="582"/>
      <c r="C1225" s="589"/>
      <c r="D1225" s="589"/>
      <c r="E1225" s="581"/>
      <c r="F1225" s="591"/>
      <c r="G1225" s="591"/>
      <c r="H1225" s="591"/>
      <c r="I1225" s="591"/>
      <c r="J1225" s="591"/>
      <c r="K1225" s="591"/>
      <c r="L1225" s="572"/>
      <c r="M1225" s="572"/>
      <c r="N1225" s="572"/>
      <c r="O1225" s="572"/>
      <c r="P1225" s="572"/>
      <c r="Q1225" s="572"/>
      <c r="R1225" s="572"/>
      <c r="S1225" s="572"/>
      <c r="T1225" s="572"/>
      <c r="U1225" s="572"/>
      <c r="V1225" s="572"/>
      <c r="W1225" s="572"/>
      <c r="X1225" s="572"/>
      <c r="Y1225" s="572"/>
      <c r="Z1225" s="572"/>
      <c r="AA1225" s="572"/>
      <c r="AB1225" s="572"/>
      <c r="AC1225" s="572"/>
      <c r="AD1225" s="572"/>
      <c r="AE1225" s="572"/>
      <c r="AF1225" s="572"/>
      <c r="AG1225" s="572"/>
      <c r="AH1225" s="572"/>
      <c r="AI1225" s="572"/>
      <c r="AJ1225" s="572"/>
      <c r="AK1225" s="572"/>
      <c r="AL1225" s="572"/>
      <c r="AM1225" s="572"/>
      <c r="AN1225" s="572"/>
      <c r="AO1225" s="572"/>
      <c r="AP1225" s="572"/>
      <c r="AQ1225" s="572"/>
      <c r="AR1225" s="572"/>
      <c r="AS1225" s="572"/>
      <c r="AT1225" s="572"/>
      <c r="AU1225" s="572"/>
    </row>
    <row r="1226" spans="1:47" ht="15.75" customHeight="1">
      <c r="A1226" s="591"/>
      <c r="B1226" s="582"/>
      <c r="C1226" s="589"/>
      <c r="D1226" s="589"/>
      <c r="E1226" s="581"/>
      <c r="F1226" s="591"/>
      <c r="G1226" s="591"/>
      <c r="H1226" s="591"/>
      <c r="I1226" s="591"/>
      <c r="J1226" s="591"/>
      <c r="K1226" s="591"/>
      <c r="L1226" s="572"/>
      <c r="M1226" s="572"/>
      <c r="N1226" s="572"/>
      <c r="O1226" s="572"/>
      <c r="P1226" s="572"/>
      <c r="Q1226" s="572"/>
      <c r="R1226" s="572"/>
      <c r="S1226" s="572"/>
      <c r="T1226" s="572"/>
      <c r="U1226" s="572"/>
      <c r="V1226" s="572"/>
      <c r="W1226" s="572"/>
      <c r="X1226" s="572"/>
      <c r="Y1226" s="572"/>
      <c r="Z1226" s="572"/>
      <c r="AA1226" s="572"/>
      <c r="AB1226" s="572"/>
      <c r="AC1226" s="572"/>
      <c r="AD1226" s="572"/>
      <c r="AE1226" s="572"/>
      <c r="AF1226" s="572"/>
      <c r="AG1226" s="572"/>
      <c r="AH1226" s="572"/>
      <c r="AI1226" s="572"/>
      <c r="AJ1226" s="572"/>
      <c r="AK1226" s="572"/>
      <c r="AL1226" s="572"/>
      <c r="AM1226" s="572"/>
      <c r="AN1226" s="572"/>
      <c r="AO1226" s="572"/>
      <c r="AP1226" s="572"/>
      <c r="AQ1226" s="572"/>
      <c r="AR1226" s="572"/>
      <c r="AS1226" s="572"/>
      <c r="AT1226" s="572"/>
      <c r="AU1226" s="572"/>
    </row>
    <row r="1227" spans="1:47" ht="15.75" customHeight="1">
      <c r="A1227" s="591"/>
      <c r="B1227" s="582"/>
      <c r="C1227" s="589"/>
      <c r="D1227" s="589"/>
      <c r="E1227" s="581"/>
      <c r="F1227" s="591"/>
      <c r="G1227" s="591"/>
      <c r="H1227" s="591"/>
      <c r="I1227" s="591"/>
      <c r="J1227" s="591"/>
      <c r="K1227" s="591"/>
      <c r="L1227" s="572"/>
      <c r="M1227" s="572"/>
      <c r="N1227" s="572"/>
      <c r="O1227" s="572"/>
      <c r="P1227" s="572"/>
      <c r="Q1227" s="572"/>
      <c r="R1227" s="572"/>
      <c r="S1227" s="572"/>
      <c r="T1227" s="572"/>
      <c r="U1227" s="572"/>
      <c r="V1227" s="572"/>
      <c r="W1227" s="572"/>
      <c r="X1227" s="572"/>
      <c r="Y1227" s="572"/>
      <c r="Z1227" s="572"/>
      <c r="AA1227" s="572"/>
      <c r="AB1227" s="572"/>
      <c r="AC1227" s="572"/>
      <c r="AD1227" s="572"/>
      <c r="AE1227" s="572"/>
      <c r="AF1227" s="572"/>
      <c r="AG1227" s="572"/>
      <c r="AH1227" s="572"/>
      <c r="AI1227" s="572"/>
      <c r="AJ1227" s="572"/>
      <c r="AK1227" s="572"/>
      <c r="AL1227" s="572"/>
      <c r="AM1227" s="572"/>
      <c r="AN1227" s="572"/>
      <c r="AO1227" s="572"/>
      <c r="AP1227" s="572"/>
      <c r="AQ1227" s="572"/>
      <c r="AR1227" s="572"/>
      <c r="AS1227" s="572"/>
      <c r="AT1227" s="572"/>
      <c r="AU1227" s="572"/>
    </row>
    <row r="1228" spans="1:47" ht="15.75" customHeight="1">
      <c r="A1228" s="591"/>
      <c r="B1228" s="582"/>
      <c r="C1228" s="589"/>
      <c r="D1228" s="589"/>
      <c r="E1228" s="581"/>
      <c r="F1228" s="591"/>
      <c r="G1228" s="591"/>
      <c r="H1228" s="591"/>
      <c r="I1228" s="591"/>
      <c r="J1228" s="591"/>
      <c r="K1228" s="591"/>
      <c r="L1228" s="572"/>
      <c r="M1228" s="572"/>
      <c r="N1228" s="572"/>
      <c r="O1228" s="572"/>
      <c r="P1228" s="572"/>
      <c r="Q1228" s="572"/>
      <c r="R1228" s="572"/>
      <c r="S1228" s="572"/>
      <c r="T1228" s="572"/>
      <c r="U1228" s="572"/>
      <c r="V1228" s="572"/>
      <c r="W1228" s="572"/>
      <c r="X1228" s="572"/>
      <c r="Y1228" s="572"/>
      <c r="Z1228" s="572"/>
      <c r="AA1228" s="572"/>
      <c r="AB1228" s="572"/>
      <c r="AC1228" s="572"/>
      <c r="AD1228" s="572"/>
      <c r="AE1228" s="572"/>
      <c r="AF1228" s="572"/>
      <c r="AG1228" s="572"/>
      <c r="AH1228" s="572"/>
      <c r="AI1228" s="572"/>
      <c r="AJ1228" s="572"/>
      <c r="AK1228" s="572"/>
      <c r="AL1228" s="572"/>
      <c r="AM1228" s="572"/>
      <c r="AN1228" s="572"/>
      <c r="AO1228" s="572"/>
      <c r="AP1228" s="572"/>
      <c r="AQ1228" s="572"/>
      <c r="AR1228" s="572"/>
      <c r="AS1228" s="572"/>
      <c r="AT1228" s="572"/>
      <c r="AU1228" s="572"/>
    </row>
    <row r="1229" spans="1:47" ht="15.75" customHeight="1">
      <c r="A1229" s="591"/>
      <c r="B1229" s="582"/>
      <c r="C1229" s="589"/>
      <c r="D1229" s="589"/>
      <c r="E1229" s="581"/>
      <c r="F1229" s="591"/>
      <c r="G1229" s="591"/>
      <c r="H1229" s="591"/>
      <c r="I1229" s="591"/>
      <c r="J1229" s="591"/>
      <c r="K1229" s="591"/>
      <c r="L1229" s="572"/>
      <c r="M1229" s="572"/>
      <c r="N1229" s="572"/>
      <c r="O1229" s="572"/>
      <c r="P1229" s="572"/>
      <c r="Q1229" s="572"/>
      <c r="R1229" s="572"/>
      <c r="S1229" s="572"/>
      <c r="T1229" s="572"/>
      <c r="U1229" s="572"/>
      <c r="V1229" s="572"/>
      <c r="W1229" s="572"/>
      <c r="X1229" s="572"/>
      <c r="Y1229" s="572"/>
      <c r="Z1229" s="572"/>
      <c r="AA1229" s="572"/>
      <c r="AB1229" s="572"/>
      <c r="AC1229" s="572"/>
      <c r="AD1229" s="572"/>
      <c r="AE1229" s="572"/>
      <c r="AF1229" s="572"/>
      <c r="AG1229" s="572"/>
      <c r="AH1229" s="572"/>
      <c r="AI1229" s="572"/>
      <c r="AJ1229" s="572"/>
      <c r="AK1229" s="572"/>
      <c r="AL1229" s="572"/>
      <c r="AM1229" s="572"/>
      <c r="AN1229" s="572"/>
      <c r="AO1229" s="572"/>
      <c r="AP1229" s="572"/>
      <c r="AQ1229" s="572"/>
      <c r="AR1229" s="572"/>
      <c r="AS1229" s="572"/>
      <c r="AT1229" s="572"/>
      <c r="AU1229" s="572"/>
    </row>
    <row r="1230" spans="1:47" ht="15.75" customHeight="1">
      <c r="A1230" s="591"/>
      <c r="B1230" s="582"/>
      <c r="C1230" s="589"/>
      <c r="D1230" s="589"/>
      <c r="E1230" s="581"/>
      <c r="F1230" s="591"/>
      <c r="G1230" s="591"/>
      <c r="H1230" s="591"/>
      <c r="I1230" s="591"/>
      <c r="J1230" s="591"/>
      <c r="K1230" s="591"/>
      <c r="L1230" s="572"/>
      <c r="M1230" s="572"/>
      <c r="N1230" s="572"/>
      <c r="O1230" s="572"/>
      <c r="P1230" s="572"/>
      <c r="Q1230" s="572"/>
      <c r="R1230" s="572"/>
      <c r="S1230" s="572"/>
      <c r="T1230" s="572"/>
      <c r="U1230" s="572"/>
      <c r="V1230" s="572"/>
      <c r="W1230" s="572"/>
      <c r="X1230" s="572"/>
      <c r="Y1230" s="572"/>
      <c r="Z1230" s="572"/>
      <c r="AA1230" s="572"/>
      <c r="AB1230" s="572"/>
      <c r="AC1230" s="572"/>
      <c r="AD1230" s="572"/>
      <c r="AE1230" s="572"/>
      <c r="AF1230" s="572"/>
      <c r="AG1230" s="572"/>
      <c r="AH1230" s="572"/>
      <c r="AI1230" s="572"/>
      <c r="AJ1230" s="572"/>
      <c r="AK1230" s="572"/>
      <c r="AL1230" s="572"/>
      <c r="AM1230" s="572"/>
      <c r="AN1230" s="572"/>
      <c r="AO1230" s="572"/>
      <c r="AP1230" s="572"/>
      <c r="AQ1230" s="572"/>
      <c r="AR1230" s="572"/>
      <c r="AS1230" s="572"/>
      <c r="AT1230" s="572"/>
      <c r="AU1230" s="572"/>
    </row>
    <row r="1231" spans="1:47" ht="15.75" customHeight="1">
      <c r="A1231" s="591"/>
      <c r="B1231" s="582"/>
      <c r="C1231" s="589"/>
      <c r="D1231" s="589"/>
      <c r="E1231" s="581"/>
      <c r="F1231" s="591"/>
      <c r="G1231" s="591"/>
      <c r="H1231" s="591"/>
      <c r="I1231" s="591"/>
      <c r="J1231" s="591"/>
      <c r="K1231" s="591"/>
      <c r="L1231" s="572"/>
      <c r="M1231" s="572"/>
      <c r="N1231" s="572"/>
      <c r="O1231" s="572"/>
      <c r="P1231" s="572"/>
      <c r="Q1231" s="572"/>
      <c r="R1231" s="572"/>
      <c r="S1231" s="572"/>
      <c r="T1231" s="572"/>
      <c r="U1231" s="572"/>
      <c r="V1231" s="572"/>
      <c r="W1231" s="572"/>
      <c r="X1231" s="572"/>
      <c r="Y1231" s="572"/>
      <c r="Z1231" s="572"/>
      <c r="AA1231" s="572"/>
      <c r="AB1231" s="572"/>
      <c r="AC1231" s="572"/>
      <c r="AD1231" s="572"/>
      <c r="AE1231" s="572"/>
      <c r="AF1231" s="572"/>
      <c r="AG1231" s="572"/>
      <c r="AH1231" s="572"/>
      <c r="AI1231" s="572"/>
      <c r="AJ1231" s="572"/>
      <c r="AK1231" s="572"/>
      <c r="AL1231" s="572"/>
      <c r="AM1231" s="572"/>
      <c r="AN1231" s="572"/>
      <c r="AO1231" s="572"/>
      <c r="AP1231" s="572"/>
      <c r="AQ1231" s="572"/>
      <c r="AR1231" s="572"/>
      <c r="AS1231" s="572"/>
      <c r="AT1231" s="572"/>
      <c r="AU1231" s="572"/>
    </row>
    <row r="1232" spans="1:47" ht="15.75" customHeight="1">
      <c r="A1232" s="591"/>
      <c r="B1232" s="582"/>
      <c r="C1232" s="589"/>
      <c r="D1232" s="589"/>
      <c r="E1232" s="581"/>
      <c r="F1232" s="591"/>
      <c r="G1232" s="591"/>
      <c r="H1232" s="591"/>
      <c r="I1232" s="591"/>
      <c r="J1232" s="591"/>
      <c r="K1232" s="591"/>
      <c r="L1232" s="572"/>
      <c r="M1232" s="572"/>
      <c r="N1232" s="572"/>
      <c r="O1232" s="572"/>
      <c r="P1232" s="572"/>
      <c r="Q1232" s="572"/>
      <c r="R1232" s="572"/>
      <c r="S1232" s="572"/>
      <c r="T1232" s="572"/>
      <c r="U1232" s="572"/>
      <c r="V1232" s="572"/>
      <c r="W1232" s="572"/>
      <c r="X1232" s="572"/>
      <c r="Y1232" s="572"/>
      <c r="Z1232" s="572"/>
      <c r="AA1232" s="572"/>
      <c r="AB1232" s="572"/>
      <c r="AC1232" s="572"/>
      <c r="AD1232" s="572"/>
      <c r="AE1232" s="572"/>
      <c r="AF1232" s="572"/>
      <c r="AG1232" s="572"/>
      <c r="AH1232" s="572"/>
      <c r="AI1232" s="572"/>
      <c r="AJ1232" s="572"/>
      <c r="AK1232" s="572"/>
      <c r="AL1232" s="572"/>
      <c r="AM1232" s="572"/>
      <c r="AN1232" s="572"/>
      <c r="AO1232" s="572"/>
      <c r="AP1232" s="572"/>
      <c r="AQ1232" s="572"/>
      <c r="AR1232" s="572"/>
      <c r="AS1232" s="572"/>
      <c r="AT1232" s="572"/>
      <c r="AU1232" s="572"/>
    </row>
    <row r="1233" spans="1:47" ht="15.75" customHeight="1">
      <c r="A1233" s="591"/>
      <c r="B1233" s="582"/>
      <c r="C1233" s="589"/>
      <c r="D1233" s="589"/>
      <c r="E1233" s="581"/>
      <c r="F1233" s="591"/>
      <c r="G1233" s="591"/>
      <c r="H1233" s="591"/>
      <c r="I1233" s="591"/>
      <c r="J1233" s="591"/>
      <c r="K1233" s="591"/>
      <c r="L1233" s="572"/>
      <c r="M1233" s="572"/>
      <c r="N1233" s="572"/>
      <c r="O1233" s="572"/>
      <c r="P1233" s="572"/>
      <c r="Q1233" s="572"/>
      <c r="R1233" s="572"/>
      <c r="S1233" s="572"/>
      <c r="T1233" s="572"/>
      <c r="U1233" s="572"/>
      <c r="V1233" s="572"/>
      <c r="W1233" s="572"/>
      <c r="X1233" s="572"/>
      <c r="Y1233" s="572"/>
      <c r="Z1233" s="572"/>
      <c r="AA1233" s="572"/>
      <c r="AB1233" s="572"/>
      <c r="AC1233" s="572"/>
      <c r="AD1233" s="572"/>
      <c r="AE1233" s="572"/>
      <c r="AF1233" s="572"/>
      <c r="AG1233" s="572"/>
      <c r="AH1233" s="572"/>
      <c r="AI1233" s="572"/>
      <c r="AJ1233" s="572"/>
      <c r="AK1233" s="572"/>
      <c r="AL1233" s="572"/>
      <c r="AM1233" s="572"/>
      <c r="AN1233" s="572"/>
      <c r="AO1233" s="572"/>
      <c r="AP1233" s="572"/>
      <c r="AQ1233" s="572"/>
      <c r="AR1233" s="572"/>
      <c r="AS1233" s="572"/>
      <c r="AT1233" s="572"/>
      <c r="AU1233" s="572"/>
    </row>
    <row r="1234" spans="1:47" ht="15.75" customHeight="1">
      <c r="A1234" s="591"/>
      <c r="B1234" s="582"/>
      <c r="C1234" s="589"/>
      <c r="D1234" s="589"/>
      <c r="E1234" s="581"/>
      <c r="F1234" s="591"/>
      <c r="G1234" s="591"/>
      <c r="H1234" s="591"/>
      <c r="I1234" s="591"/>
      <c r="J1234" s="591"/>
      <c r="K1234" s="591"/>
      <c r="L1234" s="572"/>
      <c r="M1234" s="572"/>
      <c r="N1234" s="572"/>
      <c r="O1234" s="572"/>
      <c r="P1234" s="572"/>
      <c r="Q1234" s="572"/>
      <c r="R1234" s="572"/>
      <c r="S1234" s="572"/>
      <c r="T1234" s="572"/>
      <c r="U1234" s="572"/>
      <c r="V1234" s="572"/>
      <c r="W1234" s="572"/>
      <c r="X1234" s="572"/>
      <c r="Y1234" s="572"/>
      <c r="Z1234" s="572"/>
      <c r="AA1234" s="572"/>
      <c r="AB1234" s="572"/>
      <c r="AC1234" s="572"/>
      <c r="AD1234" s="572"/>
      <c r="AE1234" s="572"/>
      <c r="AF1234" s="572"/>
      <c r="AG1234" s="572"/>
      <c r="AH1234" s="572"/>
      <c r="AI1234" s="572"/>
      <c r="AJ1234" s="572"/>
      <c r="AK1234" s="572"/>
      <c r="AL1234" s="572"/>
      <c r="AM1234" s="572"/>
      <c r="AN1234" s="572"/>
      <c r="AO1234" s="572"/>
      <c r="AP1234" s="572"/>
      <c r="AQ1234" s="572"/>
      <c r="AR1234" s="572"/>
      <c r="AS1234" s="572"/>
      <c r="AT1234" s="572"/>
      <c r="AU1234" s="572"/>
    </row>
    <row r="1235" spans="1:47" ht="15.75" customHeight="1">
      <c r="A1235" s="591"/>
      <c r="B1235" s="582"/>
      <c r="C1235" s="589"/>
      <c r="D1235" s="589"/>
      <c r="E1235" s="581"/>
      <c r="F1235" s="591"/>
      <c r="G1235" s="591"/>
      <c r="H1235" s="591"/>
      <c r="I1235" s="591"/>
      <c r="J1235" s="591"/>
      <c r="K1235" s="591"/>
      <c r="L1235" s="572"/>
      <c r="M1235" s="572"/>
      <c r="N1235" s="572"/>
      <c r="O1235" s="572"/>
      <c r="P1235" s="572"/>
      <c r="Q1235" s="572"/>
      <c r="R1235" s="572"/>
      <c r="S1235" s="572"/>
      <c r="T1235" s="572"/>
      <c r="U1235" s="572"/>
      <c r="V1235" s="572"/>
      <c r="W1235" s="572"/>
      <c r="X1235" s="572"/>
      <c r="Y1235" s="572"/>
      <c r="Z1235" s="572"/>
      <c r="AA1235" s="572"/>
      <c r="AB1235" s="572"/>
      <c r="AC1235" s="572"/>
      <c r="AD1235" s="572"/>
      <c r="AE1235" s="572"/>
      <c r="AF1235" s="572"/>
      <c r="AG1235" s="572"/>
      <c r="AH1235" s="572"/>
      <c r="AI1235" s="572"/>
      <c r="AJ1235" s="572"/>
      <c r="AK1235" s="572"/>
      <c r="AL1235" s="572"/>
      <c r="AM1235" s="572"/>
      <c r="AN1235" s="572"/>
      <c r="AO1235" s="572"/>
      <c r="AP1235" s="572"/>
      <c r="AQ1235" s="572"/>
      <c r="AR1235" s="572"/>
      <c r="AS1235" s="572"/>
      <c r="AT1235" s="572"/>
      <c r="AU1235" s="572"/>
    </row>
    <row r="1236" spans="1:47" ht="15.75" customHeight="1">
      <c r="A1236" s="591"/>
      <c r="B1236" s="582"/>
      <c r="C1236" s="589"/>
      <c r="D1236" s="589"/>
      <c r="E1236" s="581"/>
      <c r="F1236" s="591"/>
      <c r="G1236" s="591"/>
      <c r="H1236" s="591"/>
      <c r="I1236" s="591"/>
      <c r="J1236" s="591"/>
      <c r="K1236" s="591"/>
      <c r="L1236" s="572"/>
      <c r="M1236" s="572"/>
      <c r="N1236" s="572"/>
      <c r="O1236" s="572"/>
      <c r="P1236" s="572"/>
      <c r="Q1236" s="572"/>
      <c r="R1236" s="572"/>
      <c r="S1236" s="572"/>
      <c r="T1236" s="572"/>
      <c r="U1236" s="572"/>
      <c r="V1236" s="572"/>
      <c r="W1236" s="572"/>
      <c r="X1236" s="572"/>
      <c r="Y1236" s="572"/>
      <c r="Z1236" s="572"/>
      <c r="AA1236" s="572"/>
      <c r="AB1236" s="572"/>
      <c r="AC1236" s="572"/>
      <c r="AD1236" s="572"/>
      <c r="AE1236" s="572"/>
      <c r="AF1236" s="572"/>
      <c r="AG1236" s="572"/>
      <c r="AH1236" s="572"/>
      <c r="AI1236" s="572"/>
      <c r="AJ1236" s="572"/>
      <c r="AK1236" s="572"/>
      <c r="AL1236" s="572"/>
      <c r="AM1236" s="572"/>
      <c r="AN1236" s="572"/>
      <c r="AO1236" s="572"/>
      <c r="AP1236" s="572"/>
      <c r="AQ1236" s="572"/>
      <c r="AR1236" s="572"/>
      <c r="AS1236" s="572"/>
      <c r="AT1236" s="572"/>
      <c r="AU1236" s="572"/>
    </row>
    <row r="1237" spans="1:47" ht="15.75" customHeight="1">
      <c r="A1237" s="591"/>
      <c r="B1237" s="582"/>
      <c r="C1237" s="589"/>
      <c r="D1237" s="589"/>
      <c r="E1237" s="581"/>
      <c r="F1237" s="591"/>
      <c r="G1237" s="591"/>
      <c r="H1237" s="591"/>
      <c r="I1237" s="591"/>
      <c r="J1237" s="591"/>
      <c r="K1237" s="591"/>
      <c r="L1237" s="572"/>
      <c r="M1237" s="572"/>
      <c r="N1237" s="572"/>
      <c r="O1237" s="572"/>
      <c r="P1237" s="572"/>
      <c r="Q1237" s="572"/>
      <c r="R1237" s="572"/>
      <c r="S1237" s="572"/>
      <c r="T1237" s="572"/>
      <c r="U1237" s="572"/>
      <c r="V1237" s="572"/>
      <c r="W1237" s="572"/>
      <c r="X1237" s="572"/>
      <c r="Y1237" s="572"/>
      <c r="Z1237" s="572"/>
      <c r="AA1237" s="572"/>
      <c r="AB1237" s="572"/>
      <c r="AC1237" s="572"/>
      <c r="AD1237" s="572"/>
      <c r="AE1237" s="572"/>
      <c r="AF1237" s="572"/>
      <c r="AG1237" s="572"/>
      <c r="AH1237" s="572"/>
      <c r="AI1237" s="572"/>
      <c r="AJ1237" s="572"/>
      <c r="AK1237" s="572"/>
      <c r="AL1237" s="572"/>
      <c r="AM1237" s="572"/>
      <c r="AN1237" s="572"/>
      <c r="AO1237" s="572"/>
      <c r="AP1237" s="572"/>
      <c r="AQ1237" s="572"/>
      <c r="AR1237" s="572"/>
      <c r="AS1237" s="572"/>
      <c r="AT1237" s="572"/>
      <c r="AU1237" s="572"/>
    </row>
    <row r="1238" spans="1:47" ht="15.75" customHeight="1">
      <c r="A1238" s="591"/>
      <c r="B1238" s="582"/>
      <c r="C1238" s="589"/>
      <c r="D1238" s="589"/>
      <c r="E1238" s="581"/>
      <c r="F1238" s="591"/>
      <c r="G1238" s="591"/>
      <c r="H1238" s="591"/>
      <c r="I1238" s="591"/>
      <c r="J1238" s="591"/>
      <c r="K1238" s="591"/>
      <c r="L1238" s="572"/>
      <c r="M1238" s="572"/>
      <c r="N1238" s="572"/>
      <c r="O1238" s="572"/>
      <c r="P1238" s="572"/>
      <c r="Q1238" s="572"/>
      <c r="R1238" s="572"/>
      <c r="S1238" s="572"/>
      <c r="T1238" s="572"/>
      <c r="U1238" s="572"/>
      <c r="V1238" s="572"/>
      <c r="W1238" s="572"/>
      <c r="X1238" s="572"/>
      <c r="Y1238" s="572"/>
      <c r="Z1238" s="572"/>
      <c r="AA1238" s="572"/>
      <c r="AB1238" s="572"/>
      <c r="AC1238" s="572"/>
      <c r="AD1238" s="572"/>
      <c r="AE1238" s="572"/>
      <c r="AF1238" s="572"/>
      <c r="AG1238" s="572"/>
      <c r="AH1238" s="572"/>
      <c r="AI1238" s="572"/>
      <c r="AJ1238" s="572"/>
      <c r="AK1238" s="572"/>
      <c r="AL1238" s="572"/>
      <c r="AM1238" s="572"/>
      <c r="AN1238" s="572"/>
      <c r="AO1238" s="572"/>
      <c r="AP1238" s="572"/>
      <c r="AQ1238" s="572"/>
      <c r="AR1238" s="572"/>
      <c r="AS1238" s="572"/>
      <c r="AT1238" s="572"/>
      <c r="AU1238" s="572"/>
    </row>
    <row r="1239" spans="1:47" ht="15.75" customHeight="1">
      <c r="A1239" s="591"/>
      <c r="B1239" s="582"/>
      <c r="C1239" s="589"/>
      <c r="D1239" s="589"/>
      <c r="E1239" s="581"/>
      <c r="F1239" s="591"/>
      <c r="G1239" s="591"/>
      <c r="H1239" s="591"/>
      <c r="I1239" s="591"/>
      <c r="J1239" s="591"/>
      <c r="K1239" s="591"/>
      <c r="L1239" s="572"/>
      <c r="M1239" s="572"/>
      <c r="N1239" s="572"/>
      <c r="O1239" s="572"/>
      <c r="P1239" s="572"/>
      <c r="Q1239" s="572"/>
      <c r="R1239" s="572"/>
      <c r="S1239" s="572"/>
      <c r="T1239" s="572"/>
      <c r="U1239" s="572"/>
      <c r="V1239" s="572"/>
      <c r="W1239" s="572"/>
      <c r="X1239" s="572"/>
      <c r="Y1239" s="572"/>
      <c r="Z1239" s="572"/>
      <c r="AA1239" s="572"/>
      <c r="AB1239" s="572"/>
      <c r="AC1239" s="572"/>
      <c r="AD1239" s="572"/>
      <c r="AE1239" s="572"/>
      <c r="AF1239" s="572"/>
      <c r="AG1239" s="572"/>
      <c r="AH1239" s="572"/>
      <c r="AI1239" s="572"/>
      <c r="AJ1239" s="572"/>
      <c r="AK1239" s="572"/>
      <c r="AL1239" s="572"/>
      <c r="AM1239" s="572"/>
      <c r="AN1239" s="572"/>
      <c r="AO1239" s="572"/>
      <c r="AP1239" s="572"/>
      <c r="AQ1239" s="572"/>
      <c r="AR1239" s="572"/>
      <c r="AS1239" s="572"/>
      <c r="AT1239" s="572"/>
      <c r="AU1239" s="572"/>
    </row>
    <row r="1240" spans="1:47" ht="15.75" customHeight="1">
      <c r="A1240" s="591"/>
      <c r="B1240" s="582"/>
      <c r="C1240" s="589"/>
      <c r="D1240" s="589"/>
      <c r="E1240" s="581"/>
      <c r="F1240" s="591"/>
      <c r="G1240" s="591"/>
      <c r="H1240" s="591"/>
      <c r="I1240" s="591"/>
      <c r="J1240" s="591"/>
      <c r="K1240" s="591"/>
      <c r="L1240" s="572"/>
      <c r="M1240" s="572"/>
      <c r="N1240" s="572"/>
      <c r="O1240" s="572"/>
      <c r="P1240" s="572"/>
      <c r="Q1240" s="572"/>
      <c r="R1240" s="572"/>
      <c r="S1240" s="572"/>
      <c r="T1240" s="572"/>
      <c r="U1240" s="572"/>
      <c r="V1240" s="572"/>
      <c r="W1240" s="572"/>
      <c r="X1240" s="572"/>
      <c r="Y1240" s="572"/>
      <c r="Z1240" s="572"/>
      <c r="AA1240" s="572"/>
      <c r="AB1240" s="572"/>
      <c r="AC1240" s="572"/>
      <c r="AD1240" s="572"/>
      <c r="AE1240" s="572"/>
      <c r="AF1240" s="572"/>
      <c r="AG1240" s="572"/>
      <c r="AH1240" s="572"/>
      <c r="AI1240" s="572"/>
      <c r="AJ1240" s="572"/>
      <c r="AK1240" s="572"/>
      <c r="AL1240" s="572"/>
      <c r="AM1240" s="572"/>
      <c r="AN1240" s="572"/>
      <c r="AO1240" s="572"/>
      <c r="AP1240" s="572"/>
      <c r="AQ1240" s="572"/>
      <c r="AR1240" s="572"/>
      <c r="AS1240" s="572"/>
      <c r="AT1240" s="572"/>
      <c r="AU1240" s="572"/>
    </row>
    <row r="1241" spans="1:47" ht="15.75" customHeight="1">
      <c r="A1241" s="591"/>
      <c r="B1241" s="582"/>
      <c r="C1241" s="589"/>
      <c r="D1241" s="589"/>
      <c r="E1241" s="581"/>
      <c r="F1241" s="591"/>
      <c r="G1241" s="591"/>
      <c r="H1241" s="591"/>
      <c r="I1241" s="591"/>
      <c r="J1241" s="591"/>
      <c r="K1241" s="591"/>
      <c r="L1241" s="572"/>
      <c r="M1241" s="572"/>
      <c r="N1241" s="572"/>
      <c r="O1241" s="572"/>
      <c r="P1241" s="572"/>
      <c r="Q1241" s="572"/>
      <c r="R1241" s="572"/>
      <c r="S1241" s="572"/>
      <c r="T1241" s="572"/>
      <c r="U1241" s="572"/>
      <c r="V1241" s="572"/>
      <c r="W1241" s="572"/>
      <c r="X1241" s="572"/>
      <c r="Y1241" s="572"/>
      <c r="Z1241" s="572"/>
      <c r="AA1241" s="572"/>
      <c r="AB1241" s="572"/>
      <c r="AC1241" s="572"/>
      <c r="AD1241" s="572"/>
      <c r="AE1241" s="572"/>
      <c r="AF1241" s="572"/>
      <c r="AG1241" s="572"/>
      <c r="AH1241" s="572"/>
      <c r="AI1241" s="572"/>
      <c r="AJ1241" s="572"/>
      <c r="AK1241" s="572"/>
      <c r="AL1241" s="572"/>
      <c r="AM1241" s="572"/>
      <c r="AN1241" s="572"/>
      <c r="AO1241" s="572"/>
      <c r="AP1241" s="572"/>
      <c r="AQ1241" s="572"/>
      <c r="AR1241" s="572"/>
      <c r="AS1241" s="572"/>
      <c r="AT1241" s="572"/>
      <c r="AU1241" s="572"/>
    </row>
    <row r="1242" spans="1:47" ht="15.75" customHeight="1">
      <c r="A1242" s="591"/>
      <c r="B1242" s="582"/>
      <c r="C1242" s="589"/>
      <c r="D1242" s="589"/>
      <c r="E1242" s="581"/>
      <c r="F1242" s="591"/>
      <c r="G1242" s="591"/>
      <c r="H1242" s="591"/>
      <c r="I1242" s="591"/>
      <c r="J1242" s="591"/>
      <c r="K1242" s="591"/>
      <c r="L1242" s="572"/>
      <c r="M1242" s="572"/>
      <c r="N1242" s="572"/>
      <c r="O1242" s="572"/>
      <c r="P1242" s="572"/>
      <c r="Q1242" s="572"/>
      <c r="R1242" s="572"/>
      <c r="S1242" s="572"/>
      <c r="T1242" s="572"/>
      <c r="U1242" s="572"/>
      <c r="V1242" s="572"/>
      <c r="W1242" s="572"/>
      <c r="X1242" s="572"/>
      <c r="Y1242" s="572"/>
      <c r="Z1242" s="572"/>
      <c r="AA1242" s="572"/>
      <c r="AB1242" s="572"/>
      <c r="AC1242" s="572"/>
      <c r="AD1242" s="572"/>
      <c r="AE1242" s="572"/>
      <c r="AF1242" s="572"/>
      <c r="AG1242" s="572"/>
      <c r="AH1242" s="572"/>
      <c r="AI1242" s="572"/>
      <c r="AJ1242" s="572"/>
      <c r="AK1242" s="572"/>
      <c r="AL1242" s="572"/>
      <c r="AM1242" s="572"/>
      <c r="AN1242" s="572"/>
      <c r="AO1242" s="572"/>
      <c r="AP1242" s="572"/>
      <c r="AQ1242" s="572"/>
      <c r="AR1242" s="572"/>
      <c r="AS1242" s="572"/>
      <c r="AT1242" s="572"/>
      <c r="AU1242" s="572"/>
    </row>
    <row r="1243" spans="1:47" ht="15.75" customHeight="1">
      <c r="A1243" s="591"/>
      <c r="B1243" s="582"/>
      <c r="C1243" s="589"/>
      <c r="D1243" s="589"/>
      <c r="E1243" s="581"/>
      <c r="F1243" s="591"/>
      <c r="G1243" s="591"/>
      <c r="H1243" s="591"/>
      <c r="I1243" s="591"/>
      <c r="J1243" s="591"/>
      <c r="K1243" s="591"/>
      <c r="L1243" s="572"/>
      <c r="M1243" s="572"/>
      <c r="N1243" s="572"/>
      <c r="O1243" s="572"/>
      <c r="P1243" s="572"/>
      <c r="Q1243" s="572"/>
      <c r="R1243" s="572"/>
      <c r="S1243" s="572"/>
      <c r="T1243" s="572"/>
      <c r="U1243" s="572"/>
      <c r="V1243" s="572"/>
      <c r="W1243" s="572"/>
      <c r="X1243" s="572"/>
      <c r="Y1243" s="572"/>
      <c r="Z1243" s="572"/>
      <c r="AA1243" s="572"/>
      <c r="AB1243" s="572"/>
      <c r="AC1243" s="572"/>
      <c r="AD1243" s="572"/>
      <c r="AE1243" s="572"/>
      <c r="AF1243" s="572"/>
      <c r="AG1243" s="572"/>
      <c r="AH1243" s="572"/>
      <c r="AI1243" s="572"/>
      <c r="AJ1243" s="572"/>
      <c r="AK1243" s="572"/>
      <c r="AL1243" s="572"/>
      <c r="AM1243" s="572"/>
      <c r="AN1243" s="572"/>
      <c r="AO1243" s="572"/>
      <c r="AP1243" s="572"/>
      <c r="AQ1243" s="572"/>
      <c r="AR1243" s="572"/>
      <c r="AS1243" s="572"/>
      <c r="AT1243" s="572"/>
      <c r="AU1243" s="572"/>
    </row>
    <row r="1244" spans="1:47" ht="15.75" customHeight="1">
      <c r="A1244" s="591"/>
      <c r="B1244" s="582"/>
      <c r="C1244" s="589"/>
      <c r="D1244" s="589"/>
      <c r="E1244" s="581"/>
      <c r="F1244" s="591"/>
      <c r="G1244" s="591"/>
      <c r="H1244" s="591"/>
      <c r="I1244" s="591"/>
      <c r="J1244" s="591"/>
      <c r="K1244" s="591"/>
      <c r="L1244" s="572"/>
      <c r="M1244" s="572"/>
      <c r="N1244" s="572"/>
      <c r="O1244" s="572"/>
      <c r="P1244" s="572"/>
      <c r="Q1244" s="572"/>
      <c r="R1244" s="572"/>
      <c r="S1244" s="572"/>
      <c r="T1244" s="572"/>
      <c r="U1244" s="572"/>
      <c r="V1244" s="572"/>
      <c r="W1244" s="572"/>
      <c r="X1244" s="572"/>
      <c r="Y1244" s="572"/>
      <c r="Z1244" s="572"/>
      <c r="AA1244" s="572"/>
      <c r="AB1244" s="572"/>
      <c r="AC1244" s="572"/>
      <c r="AD1244" s="572"/>
      <c r="AE1244" s="572"/>
      <c r="AF1244" s="572"/>
      <c r="AG1244" s="572"/>
      <c r="AH1244" s="572"/>
      <c r="AI1244" s="572"/>
      <c r="AJ1244" s="572"/>
      <c r="AK1244" s="572"/>
      <c r="AL1244" s="572"/>
      <c r="AM1244" s="572"/>
      <c r="AN1244" s="572"/>
      <c r="AO1244" s="572"/>
      <c r="AP1244" s="572"/>
      <c r="AQ1244" s="572"/>
      <c r="AR1244" s="572"/>
      <c r="AS1244" s="572"/>
      <c r="AT1244" s="572"/>
      <c r="AU1244" s="572"/>
    </row>
    <row r="1245" spans="1:47" ht="15.75" customHeight="1">
      <c r="A1245" s="591"/>
      <c r="B1245" s="582"/>
      <c r="C1245" s="589"/>
      <c r="D1245" s="589"/>
      <c r="E1245" s="581"/>
      <c r="F1245" s="591"/>
      <c r="G1245" s="591"/>
      <c r="H1245" s="591"/>
      <c r="I1245" s="591"/>
      <c r="J1245" s="591"/>
      <c r="K1245" s="591"/>
      <c r="L1245" s="572"/>
      <c r="M1245" s="572"/>
      <c r="N1245" s="572"/>
      <c r="O1245" s="572"/>
      <c r="P1245" s="572"/>
      <c r="Q1245" s="572"/>
      <c r="R1245" s="572"/>
      <c r="S1245" s="572"/>
      <c r="T1245" s="572"/>
      <c r="U1245" s="572"/>
      <c r="V1245" s="572"/>
      <c r="W1245" s="572"/>
      <c r="X1245" s="572"/>
      <c r="Y1245" s="572"/>
      <c r="Z1245" s="572"/>
      <c r="AA1245" s="572"/>
      <c r="AB1245" s="572"/>
      <c r="AC1245" s="572"/>
      <c r="AD1245" s="572"/>
      <c r="AE1245" s="572"/>
      <c r="AF1245" s="572"/>
      <c r="AG1245" s="572"/>
      <c r="AH1245" s="572"/>
      <c r="AI1245" s="572"/>
      <c r="AJ1245" s="572"/>
      <c r="AK1245" s="572"/>
      <c r="AL1245" s="572"/>
      <c r="AM1245" s="572"/>
      <c r="AN1245" s="572"/>
      <c r="AO1245" s="572"/>
      <c r="AP1245" s="572"/>
      <c r="AQ1245" s="572"/>
      <c r="AR1245" s="572"/>
      <c r="AS1245" s="572"/>
      <c r="AT1245" s="572"/>
      <c r="AU1245" s="572"/>
    </row>
    <row r="1246" spans="1:47" ht="15.75" customHeight="1">
      <c r="A1246" s="591"/>
      <c r="B1246" s="582"/>
      <c r="C1246" s="589"/>
      <c r="D1246" s="589"/>
      <c r="E1246" s="581"/>
      <c r="F1246" s="591"/>
      <c r="G1246" s="591"/>
      <c r="H1246" s="591"/>
      <c r="I1246" s="591"/>
      <c r="J1246" s="591"/>
      <c r="K1246" s="591"/>
      <c r="L1246" s="572"/>
      <c r="M1246" s="572"/>
      <c r="N1246" s="572"/>
      <c r="O1246" s="572"/>
      <c r="P1246" s="572"/>
      <c r="Q1246" s="572"/>
      <c r="R1246" s="572"/>
      <c r="S1246" s="572"/>
      <c r="T1246" s="572"/>
      <c r="U1246" s="572"/>
      <c r="V1246" s="572"/>
      <c r="W1246" s="572"/>
      <c r="X1246" s="572"/>
      <c r="Y1246" s="572"/>
      <c r="Z1246" s="572"/>
      <c r="AA1246" s="572"/>
      <c r="AB1246" s="572"/>
      <c r="AC1246" s="572"/>
      <c r="AD1246" s="572"/>
      <c r="AE1246" s="572"/>
      <c r="AF1246" s="572"/>
      <c r="AG1246" s="572"/>
      <c r="AH1246" s="572"/>
      <c r="AI1246" s="572"/>
      <c r="AJ1246" s="572"/>
      <c r="AK1246" s="572"/>
      <c r="AL1246" s="572"/>
      <c r="AM1246" s="572"/>
      <c r="AN1246" s="572"/>
      <c r="AO1246" s="572"/>
      <c r="AP1246" s="572"/>
      <c r="AQ1246" s="572"/>
      <c r="AR1246" s="572"/>
      <c r="AS1246" s="572"/>
      <c r="AT1246" s="572"/>
      <c r="AU1246" s="572"/>
    </row>
    <row r="1247" spans="1:47" ht="15.75" customHeight="1">
      <c r="A1247" s="591"/>
      <c r="B1247" s="582"/>
      <c r="C1247" s="589"/>
      <c r="D1247" s="589"/>
      <c r="E1247" s="581"/>
      <c r="F1247" s="591"/>
      <c r="G1247" s="591"/>
      <c r="H1247" s="591"/>
      <c r="I1247" s="591"/>
      <c r="J1247" s="591"/>
      <c r="K1247" s="591"/>
      <c r="L1247" s="572"/>
      <c r="M1247" s="572"/>
      <c r="N1247" s="572"/>
      <c r="O1247" s="572"/>
      <c r="P1247" s="572"/>
      <c r="Q1247" s="572"/>
      <c r="R1247" s="572"/>
      <c r="S1247" s="572"/>
      <c r="T1247" s="572"/>
      <c r="U1247" s="572"/>
      <c r="V1247" s="572"/>
      <c r="W1247" s="572"/>
      <c r="X1247" s="572"/>
      <c r="Y1247" s="572"/>
      <c r="Z1247" s="572"/>
      <c r="AA1247" s="572"/>
      <c r="AB1247" s="572"/>
      <c r="AC1247" s="572"/>
      <c r="AD1247" s="572"/>
      <c r="AE1247" s="572"/>
      <c r="AF1247" s="572"/>
      <c r="AG1247" s="572"/>
      <c r="AH1247" s="572"/>
      <c r="AI1247" s="572"/>
      <c r="AJ1247" s="572"/>
      <c r="AK1247" s="572"/>
      <c r="AL1247" s="572"/>
      <c r="AM1247" s="572"/>
      <c r="AN1247" s="572"/>
      <c r="AO1247" s="572"/>
      <c r="AP1247" s="572"/>
      <c r="AQ1247" s="572"/>
      <c r="AR1247" s="572"/>
      <c r="AS1247" s="572"/>
      <c r="AT1247" s="572"/>
      <c r="AU1247" s="572"/>
    </row>
    <row r="1248" spans="1:47" ht="15.75" customHeight="1">
      <c r="A1248" s="591"/>
      <c r="B1248" s="582"/>
      <c r="C1248" s="589"/>
      <c r="D1248" s="589"/>
      <c r="E1248" s="581"/>
      <c r="F1248" s="591"/>
      <c r="G1248" s="591"/>
      <c r="H1248" s="591"/>
      <c r="I1248" s="591"/>
      <c r="J1248" s="591"/>
      <c r="K1248" s="591"/>
      <c r="L1248" s="572"/>
      <c r="M1248" s="572"/>
      <c r="N1248" s="572"/>
      <c r="O1248" s="572"/>
      <c r="P1248" s="572"/>
      <c r="Q1248" s="572"/>
      <c r="R1248" s="572"/>
      <c r="S1248" s="572"/>
      <c r="T1248" s="572"/>
      <c r="U1248" s="572"/>
      <c r="V1248" s="572"/>
      <c r="W1248" s="572"/>
      <c r="X1248" s="572"/>
      <c r="Y1248" s="572"/>
      <c r="Z1248" s="572"/>
      <c r="AA1248" s="572"/>
      <c r="AB1248" s="572"/>
      <c r="AC1248" s="572"/>
      <c r="AD1248" s="572"/>
      <c r="AE1248" s="572"/>
      <c r="AF1248" s="572"/>
      <c r="AG1248" s="572"/>
      <c r="AH1248" s="572"/>
      <c r="AI1248" s="572"/>
      <c r="AJ1248" s="572"/>
      <c r="AK1248" s="572"/>
      <c r="AL1248" s="572"/>
      <c r="AM1248" s="572"/>
      <c r="AN1248" s="572"/>
      <c r="AO1248" s="572"/>
      <c r="AP1248" s="572"/>
      <c r="AQ1248" s="572"/>
      <c r="AR1248" s="572"/>
      <c r="AS1248" s="572"/>
      <c r="AT1248" s="572"/>
      <c r="AU1248" s="572"/>
    </row>
    <row r="1249" spans="1:47" ht="15.75" customHeight="1">
      <c r="A1249" s="591"/>
      <c r="B1249" s="582"/>
      <c r="C1249" s="589"/>
      <c r="D1249" s="589"/>
      <c r="E1249" s="581"/>
      <c r="F1249" s="591"/>
      <c r="G1249" s="591"/>
      <c r="H1249" s="591"/>
      <c r="I1249" s="591"/>
      <c r="J1249" s="591"/>
      <c r="K1249" s="591"/>
      <c r="L1249" s="572"/>
      <c r="M1249" s="572"/>
      <c r="N1249" s="572"/>
      <c r="O1249" s="572"/>
      <c r="P1249" s="572"/>
      <c r="Q1249" s="572"/>
      <c r="R1249" s="572"/>
      <c r="S1249" s="572"/>
      <c r="T1249" s="572"/>
      <c r="U1249" s="572"/>
      <c r="V1249" s="572"/>
      <c r="W1249" s="572"/>
      <c r="X1249" s="572"/>
      <c r="Y1249" s="572"/>
      <c r="Z1249" s="572"/>
      <c r="AA1249" s="572"/>
      <c r="AB1249" s="572"/>
      <c r="AC1249" s="572"/>
      <c r="AD1249" s="572"/>
      <c r="AE1249" s="572"/>
      <c r="AF1249" s="572"/>
      <c r="AG1249" s="572"/>
      <c r="AH1249" s="572"/>
      <c r="AI1249" s="572"/>
      <c r="AJ1249" s="572"/>
      <c r="AK1249" s="572"/>
      <c r="AL1249" s="572"/>
      <c r="AM1249" s="572"/>
      <c r="AN1249" s="572"/>
      <c r="AO1249" s="572"/>
      <c r="AP1249" s="572"/>
      <c r="AQ1249" s="572"/>
      <c r="AR1249" s="572"/>
      <c r="AS1249" s="572"/>
      <c r="AT1249" s="572"/>
      <c r="AU1249" s="572"/>
    </row>
    <row r="1250" spans="1:47" ht="15.75" customHeight="1">
      <c r="A1250" s="591"/>
      <c r="B1250" s="582"/>
      <c r="C1250" s="589"/>
      <c r="D1250" s="589"/>
      <c r="E1250" s="581"/>
      <c r="F1250" s="591"/>
      <c r="G1250" s="591"/>
      <c r="H1250" s="591"/>
      <c r="I1250" s="591"/>
      <c r="J1250" s="591"/>
      <c r="K1250" s="591"/>
      <c r="L1250" s="572"/>
      <c r="M1250" s="572"/>
      <c r="N1250" s="572"/>
      <c r="O1250" s="572"/>
      <c r="P1250" s="572"/>
      <c r="Q1250" s="572"/>
      <c r="R1250" s="572"/>
      <c r="S1250" s="572"/>
      <c r="T1250" s="572"/>
      <c r="U1250" s="572"/>
      <c r="V1250" s="572"/>
      <c r="W1250" s="572"/>
      <c r="X1250" s="572"/>
      <c r="Y1250" s="572"/>
      <c r="Z1250" s="572"/>
      <c r="AA1250" s="572"/>
      <c r="AB1250" s="572"/>
      <c r="AC1250" s="572"/>
      <c r="AD1250" s="572"/>
      <c r="AE1250" s="572"/>
      <c r="AF1250" s="572"/>
      <c r="AG1250" s="572"/>
      <c r="AH1250" s="572"/>
      <c r="AI1250" s="572"/>
      <c r="AJ1250" s="572"/>
      <c r="AK1250" s="572"/>
      <c r="AL1250" s="572"/>
      <c r="AM1250" s="572"/>
      <c r="AN1250" s="572"/>
      <c r="AO1250" s="572"/>
      <c r="AP1250" s="572"/>
      <c r="AQ1250" s="572"/>
      <c r="AR1250" s="572"/>
      <c r="AS1250" s="572"/>
      <c r="AT1250" s="572"/>
      <c r="AU1250" s="572"/>
    </row>
    <row r="1251" spans="1:47" ht="15.75" customHeight="1">
      <c r="A1251" s="591"/>
      <c r="B1251" s="582"/>
      <c r="C1251" s="589"/>
      <c r="D1251" s="589"/>
      <c r="E1251" s="581"/>
      <c r="F1251" s="591"/>
      <c r="G1251" s="591"/>
      <c r="H1251" s="591"/>
      <c r="I1251" s="591"/>
      <c r="J1251" s="591"/>
      <c r="K1251" s="591"/>
      <c r="L1251" s="572"/>
      <c r="M1251" s="572"/>
      <c r="N1251" s="572"/>
      <c r="O1251" s="572"/>
      <c r="P1251" s="572"/>
      <c r="Q1251" s="572"/>
      <c r="R1251" s="572"/>
      <c r="S1251" s="572"/>
      <c r="T1251" s="572"/>
      <c r="U1251" s="572"/>
      <c r="V1251" s="572"/>
      <c r="W1251" s="572"/>
      <c r="X1251" s="572"/>
      <c r="Y1251" s="572"/>
      <c r="Z1251" s="572"/>
      <c r="AA1251" s="572"/>
      <c r="AB1251" s="572"/>
      <c r="AC1251" s="572"/>
      <c r="AD1251" s="572"/>
      <c r="AE1251" s="572"/>
      <c r="AF1251" s="572"/>
      <c r="AG1251" s="572"/>
      <c r="AH1251" s="572"/>
      <c r="AI1251" s="572"/>
      <c r="AJ1251" s="572"/>
      <c r="AK1251" s="572"/>
      <c r="AL1251" s="572"/>
      <c r="AM1251" s="572"/>
      <c r="AN1251" s="572"/>
      <c r="AO1251" s="572"/>
      <c r="AP1251" s="572"/>
      <c r="AQ1251" s="572"/>
      <c r="AR1251" s="572"/>
      <c r="AS1251" s="572"/>
      <c r="AT1251" s="572"/>
      <c r="AU1251" s="572"/>
    </row>
    <row r="1252" spans="1:47" ht="15.75" customHeight="1">
      <c r="A1252" s="591"/>
      <c r="B1252" s="582"/>
      <c r="C1252" s="589"/>
      <c r="D1252" s="589"/>
      <c r="E1252" s="581"/>
      <c r="F1252" s="591"/>
      <c r="G1252" s="591"/>
      <c r="H1252" s="591"/>
      <c r="I1252" s="591"/>
      <c r="J1252" s="591"/>
      <c r="K1252" s="591"/>
      <c r="L1252" s="572"/>
      <c r="M1252" s="572"/>
      <c r="N1252" s="572"/>
      <c r="O1252" s="572"/>
      <c r="P1252" s="572"/>
      <c r="Q1252" s="572"/>
      <c r="R1252" s="572"/>
      <c r="S1252" s="572"/>
      <c r="T1252" s="572"/>
      <c r="U1252" s="572"/>
      <c r="V1252" s="572"/>
      <c r="W1252" s="572"/>
      <c r="X1252" s="572"/>
      <c r="Y1252" s="572"/>
      <c r="Z1252" s="572"/>
      <c r="AA1252" s="572"/>
      <c r="AB1252" s="572"/>
      <c r="AC1252" s="572"/>
      <c r="AD1252" s="572"/>
      <c r="AE1252" s="572"/>
      <c r="AF1252" s="572"/>
      <c r="AG1252" s="572"/>
      <c r="AH1252" s="572"/>
      <c r="AI1252" s="572"/>
      <c r="AJ1252" s="572"/>
      <c r="AK1252" s="572"/>
      <c r="AL1252" s="572"/>
      <c r="AM1252" s="572"/>
      <c r="AN1252" s="572"/>
      <c r="AO1252" s="572"/>
      <c r="AP1252" s="572"/>
      <c r="AQ1252" s="572"/>
      <c r="AR1252" s="572"/>
      <c r="AS1252" s="572"/>
      <c r="AT1252" s="572"/>
      <c r="AU1252" s="572"/>
    </row>
    <row r="1253" spans="1:47" ht="15.75" customHeight="1">
      <c r="A1253" s="591"/>
      <c r="B1253" s="582"/>
      <c r="C1253" s="589"/>
      <c r="D1253" s="589"/>
      <c r="E1253" s="581"/>
      <c r="F1253" s="591"/>
      <c r="G1253" s="591"/>
      <c r="H1253" s="591"/>
      <c r="I1253" s="591"/>
      <c r="J1253" s="591"/>
      <c r="K1253" s="591"/>
      <c r="L1253" s="572"/>
      <c r="M1253" s="572"/>
      <c r="N1253" s="572"/>
      <c r="O1253" s="572"/>
      <c r="P1253" s="572"/>
      <c r="Q1253" s="572"/>
      <c r="R1253" s="572"/>
      <c r="S1253" s="572"/>
      <c r="T1253" s="572"/>
      <c r="U1253" s="572"/>
      <c r="V1253" s="572"/>
      <c r="W1253" s="572"/>
      <c r="X1253" s="572"/>
      <c r="Y1253" s="572"/>
      <c r="Z1253" s="572"/>
      <c r="AA1253" s="572"/>
      <c r="AB1253" s="572"/>
      <c r="AC1253" s="572"/>
      <c r="AD1253" s="572"/>
      <c r="AE1253" s="572"/>
      <c r="AF1253" s="572"/>
      <c r="AG1253" s="572"/>
      <c r="AH1253" s="572"/>
      <c r="AI1253" s="572"/>
      <c r="AJ1253" s="572"/>
      <c r="AK1253" s="572"/>
      <c r="AL1253" s="572"/>
      <c r="AM1253" s="572"/>
      <c r="AN1253" s="572"/>
      <c r="AO1253" s="572"/>
      <c r="AP1253" s="572"/>
      <c r="AQ1253" s="572"/>
      <c r="AR1253" s="572"/>
      <c r="AS1253" s="572"/>
      <c r="AT1253" s="572"/>
      <c r="AU1253" s="572"/>
    </row>
    <row r="1254" spans="1:47" ht="15.75" customHeight="1">
      <c r="A1254" s="591"/>
      <c r="B1254" s="582"/>
      <c r="C1254" s="589"/>
      <c r="D1254" s="589"/>
      <c r="E1254" s="581"/>
      <c r="F1254" s="591"/>
      <c r="G1254" s="591"/>
      <c r="H1254" s="591"/>
      <c r="I1254" s="591"/>
      <c r="J1254" s="591"/>
      <c r="K1254" s="591"/>
      <c r="L1254" s="572"/>
      <c r="M1254" s="572"/>
      <c r="N1254" s="572"/>
      <c r="O1254" s="572"/>
      <c r="P1254" s="572"/>
      <c r="Q1254" s="572"/>
      <c r="R1254" s="572"/>
      <c r="S1254" s="572"/>
      <c r="T1254" s="572"/>
      <c r="U1254" s="572"/>
      <c r="V1254" s="572"/>
      <c r="W1254" s="572"/>
      <c r="X1254" s="572"/>
      <c r="Y1254" s="572"/>
      <c r="Z1254" s="572"/>
      <c r="AA1254" s="572"/>
      <c r="AB1254" s="572"/>
      <c r="AC1254" s="572"/>
      <c r="AD1254" s="572"/>
      <c r="AE1254" s="572"/>
      <c r="AF1254" s="572"/>
      <c r="AG1254" s="572"/>
      <c r="AH1254" s="572"/>
      <c r="AI1254" s="572"/>
      <c r="AJ1254" s="572"/>
      <c r="AK1254" s="572"/>
      <c r="AL1254" s="572"/>
      <c r="AM1254" s="572"/>
      <c r="AN1254" s="572"/>
      <c r="AO1254" s="572"/>
      <c r="AP1254" s="572"/>
      <c r="AQ1254" s="572"/>
      <c r="AR1254" s="572"/>
      <c r="AS1254" s="572"/>
      <c r="AT1254" s="572"/>
      <c r="AU1254" s="572"/>
    </row>
    <row r="1255" spans="1:47" ht="15.75" customHeight="1">
      <c r="A1255" s="591"/>
      <c r="B1255" s="582"/>
      <c r="C1255" s="589"/>
      <c r="D1255" s="589"/>
      <c r="E1255" s="581"/>
      <c r="F1255" s="591"/>
      <c r="G1255" s="591"/>
      <c r="H1255" s="591"/>
      <c r="I1255" s="591"/>
      <c r="J1255" s="591"/>
      <c r="K1255" s="591"/>
      <c r="L1255" s="572"/>
      <c r="M1255" s="572"/>
      <c r="N1255" s="572"/>
      <c r="O1255" s="572"/>
      <c r="P1255" s="572"/>
      <c r="Q1255" s="572"/>
      <c r="R1255" s="572"/>
      <c r="S1255" s="572"/>
      <c r="T1255" s="572"/>
      <c r="U1255" s="572"/>
      <c r="V1255" s="572"/>
      <c r="W1255" s="572"/>
      <c r="X1255" s="572"/>
      <c r="Y1255" s="572"/>
      <c r="Z1255" s="572"/>
      <c r="AA1255" s="572"/>
      <c r="AB1255" s="572"/>
      <c r="AC1255" s="572"/>
      <c r="AD1255" s="572"/>
      <c r="AE1255" s="572"/>
      <c r="AF1255" s="572"/>
      <c r="AG1255" s="572"/>
      <c r="AH1255" s="572"/>
      <c r="AI1255" s="572"/>
      <c r="AJ1255" s="572"/>
      <c r="AK1255" s="572"/>
      <c r="AL1255" s="572"/>
      <c r="AM1255" s="572"/>
      <c r="AN1255" s="572"/>
      <c r="AO1255" s="572"/>
      <c r="AP1255" s="572"/>
      <c r="AQ1255" s="572"/>
      <c r="AR1255" s="572"/>
      <c r="AS1255" s="572"/>
      <c r="AT1255" s="572"/>
      <c r="AU1255" s="572"/>
    </row>
    <row r="1256" spans="1:47" ht="15.75" customHeight="1">
      <c r="A1256" s="591"/>
      <c r="B1256" s="582"/>
      <c r="C1256" s="589"/>
      <c r="D1256" s="589"/>
      <c r="E1256" s="581"/>
      <c r="F1256" s="591"/>
      <c r="G1256" s="591"/>
      <c r="H1256" s="591"/>
      <c r="I1256" s="591"/>
      <c r="J1256" s="591"/>
      <c r="K1256" s="591"/>
      <c r="L1256" s="572"/>
      <c r="M1256" s="572"/>
      <c r="N1256" s="572"/>
      <c r="O1256" s="572"/>
      <c r="P1256" s="572"/>
      <c r="Q1256" s="572"/>
      <c r="R1256" s="572"/>
      <c r="S1256" s="572"/>
      <c r="T1256" s="572"/>
      <c r="U1256" s="572"/>
      <c r="V1256" s="572"/>
      <c r="W1256" s="572"/>
      <c r="X1256" s="572"/>
      <c r="Y1256" s="572"/>
      <c r="Z1256" s="572"/>
      <c r="AA1256" s="572"/>
      <c r="AB1256" s="572"/>
      <c r="AC1256" s="572"/>
      <c r="AD1256" s="572"/>
      <c r="AE1256" s="572"/>
      <c r="AF1256" s="572"/>
      <c r="AG1256" s="572"/>
      <c r="AH1256" s="572"/>
      <c r="AI1256" s="572"/>
      <c r="AJ1256" s="572"/>
      <c r="AK1256" s="572"/>
      <c r="AL1256" s="572"/>
      <c r="AM1256" s="572"/>
      <c r="AN1256" s="572"/>
      <c r="AO1256" s="572"/>
      <c r="AP1256" s="572"/>
      <c r="AQ1256" s="572"/>
      <c r="AR1256" s="572"/>
      <c r="AS1256" s="572"/>
      <c r="AT1256" s="572"/>
      <c r="AU1256" s="572"/>
    </row>
    <row r="1257" spans="1:47" ht="15.75" customHeight="1">
      <c r="A1257" s="591"/>
      <c r="B1257" s="582"/>
      <c r="C1257" s="589"/>
      <c r="D1257" s="589"/>
      <c r="E1257" s="581"/>
      <c r="F1257" s="591"/>
      <c r="G1257" s="591"/>
      <c r="H1257" s="591"/>
      <c r="I1257" s="591"/>
      <c r="J1257" s="591"/>
      <c r="K1257" s="591"/>
      <c r="L1257" s="572"/>
      <c r="M1257" s="572"/>
      <c r="N1257" s="572"/>
      <c r="O1257" s="572"/>
      <c r="P1257" s="572"/>
      <c r="Q1257" s="572"/>
      <c r="R1257" s="572"/>
      <c r="S1257" s="572"/>
      <c r="T1257" s="572"/>
      <c r="U1257" s="572"/>
      <c r="V1257" s="572"/>
      <c r="W1257" s="572"/>
      <c r="X1257" s="572"/>
      <c r="Y1257" s="572"/>
      <c r="Z1257" s="572"/>
      <c r="AA1257" s="572"/>
      <c r="AB1257" s="572"/>
      <c r="AC1257" s="572"/>
      <c r="AD1257" s="572"/>
      <c r="AE1257" s="572"/>
      <c r="AF1257" s="572"/>
      <c r="AG1257" s="572"/>
      <c r="AH1257" s="572"/>
      <c r="AI1257" s="572"/>
      <c r="AJ1257" s="572"/>
      <c r="AK1257" s="572"/>
      <c r="AL1257" s="572"/>
      <c r="AM1257" s="572"/>
      <c r="AN1257" s="572"/>
      <c r="AO1257" s="572"/>
      <c r="AP1257" s="572"/>
      <c r="AQ1257" s="572"/>
      <c r="AR1257" s="572"/>
      <c r="AS1257" s="572"/>
      <c r="AT1257" s="572"/>
      <c r="AU1257" s="572"/>
    </row>
    <row r="1258" spans="1:47" ht="15.75" customHeight="1">
      <c r="A1258" s="591"/>
      <c r="B1258" s="582"/>
      <c r="C1258" s="589"/>
      <c r="D1258" s="589"/>
      <c r="E1258" s="581"/>
      <c r="F1258" s="591"/>
      <c r="G1258" s="591"/>
      <c r="H1258" s="591"/>
      <c r="I1258" s="591"/>
      <c r="J1258" s="591"/>
      <c r="K1258" s="591"/>
      <c r="L1258" s="572"/>
      <c r="M1258" s="572"/>
      <c r="N1258" s="572"/>
      <c r="O1258" s="572"/>
      <c r="P1258" s="572"/>
      <c r="Q1258" s="572"/>
      <c r="R1258" s="572"/>
      <c r="S1258" s="572"/>
      <c r="T1258" s="572"/>
      <c r="U1258" s="572"/>
      <c r="V1258" s="572"/>
      <c r="W1258" s="572"/>
      <c r="X1258" s="572"/>
      <c r="Y1258" s="572"/>
      <c r="Z1258" s="572"/>
      <c r="AA1258" s="572"/>
      <c r="AB1258" s="572"/>
      <c r="AC1258" s="572"/>
      <c r="AD1258" s="572"/>
      <c r="AE1258" s="572"/>
      <c r="AF1258" s="572"/>
      <c r="AG1258" s="572"/>
      <c r="AH1258" s="572"/>
      <c r="AI1258" s="572"/>
      <c r="AJ1258" s="572"/>
      <c r="AK1258" s="572"/>
      <c r="AL1258" s="572"/>
      <c r="AM1258" s="572"/>
      <c r="AN1258" s="572"/>
      <c r="AO1258" s="572"/>
      <c r="AP1258" s="572"/>
      <c r="AQ1258" s="572"/>
      <c r="AR1258" s="572"/>
      <c r="AS1258" s="572"/>
      <c r="AT1258" s="572"/>
      <c r="AU1258" s="572"/>
    </row>
    <row r="1259" spans="1:47" ht="15.75" customHeight="1">
      <c r="A1259" s="591"/>
      <c r="B1259" s="582"/>
      <c r="C1259" s="589"/>
      <c r="D1259" s="589"/>
      <c r="E1259" s="581"/>
      <c r="F1259" s="591"/>
      <c r="G1259" s="591"/>
      <c r="H1259" s="591"/>
      <c r="I1259" s="591"/>
      <c r="J1259" s="591"/>
      <c r="K1259" s="591"/>
      <c r="L1259" s="572"/>
      <c r="M1259" s="572"/>
      <c r="N1259" s="572"/>
      <c r="O1259" s="572"/>
      <c r="P1259" s="572"/>
      <c r="Q1259" s="572"/>
      <c r="R1259" s="572"/>
      <c r="S1259" s="572"/>
      <c r="T1259" s="572"/>
      <c r="U1259" s="572"/>
      <c r="V1259" s="572"/>
      <c r="W1259" s="572"/>
      <c r="X1259" s="572"/>
      <c r="Y1259" s="572"/>
      <c r="Z1259" s="572"/>
      <c r="AA1259" s="572"/>
      <c r="AB1259" s="572"/>
      <c r="AC1259" s="572"/>
      <c r="AD1259" s="572"/>
      <c r="AE1259" s="572"/>
      <c r="AF1259" s="572"/>
      <c r="AG1259" s="572"/>
      <c r="AH1259" s="572"/>
      <c r="AI1259" s="572"/>
      <c r="AJ1259" s="572"/>
      <c r="AK1259" s="572"/>
      <c r="AL1259" s="572"/>
      <c r="AM1259" s="572"/>
      <c r="AN1259" s="572"/>
      <c r="AO1259" s="572"/>
      <c r="AP1259" s="572"/>
      <c r="AQ1259" s="572"/>
      <c r="AR1259" s="572"/>
      <c r="AS1259" s="572"/>
      <c r="AT1259" s="572"/>
      <c r="AU1259" s="572"/>
    </row>
    <row r="1260" spans="1:47" ht="15.75" customHeight="1">
      <c r="A1260" s="591"/>
      <c r="B1260" s="582"/>
      <c r="C1260" s="589"/>
      <c r="D1260" s="589"/>
      <c r="E1260" s="581"/>
      <c r="F1260" s="591"/>
      <c r="G1260" s="591"/>
      <c r="H1260" s="591"/>
      <c r="I1260" s="591"/>
      <c r="J1260" s="591"/>
      <c r="K1260" s="591"/>
      <c r="L1260" s="572"/>
      <c r="M1260" s="572"/>
      <c r="N1260" s="572"/>
      <c r="O1260" s="572"/>
      <c r="P1260" s="572"/>
      <c r="Q1260" s="572"/>
      <c r="R1260" s="572"/>
      <c r="S1260" s="572"/>
      <c r="T1260" s="572"/>
      <c r="U1260" s="572"/>
      <c r="V1260" s="572"/>
      <c r="W1260" s="572"/>
      <c r="X1260" s="572"/>
      <c r="Y1260" s="572"/>
      <c r="Z1260" s="572"/>
      <c r="AA1260" s="572"/>
      <c r="AB1260" s="572"/>
      <c r="AC1260" s="572"/>
      <c r="AD1260" s="572"/>
      <c r="AE1260" s="572"/>
      <c r="AF1260" s="572"/>
      <c r="AG1260" s="572"/>
      <c r="AH1260" s="572"/>
      <c r="AI1260" s="572"/>
      <c r="AJ1260" s="572"/>
      <c r="AK1260" s="572"/>
      <c r="AL1260" s="572"/>
      <c r="AM1260" s="572"/>
      <c r="AN1260" s="572"/>
      <c r="AO1260" s="572"/>
      <c r="AP1260" s="572"/>
      <c r="AQ1260" s="572"/>
      <c r="AR1260" s="572"/>
      <c r="AS1260" s="572"/>
      <c r="AT1260" s="572"/>
      <c r="AU1260" s="572"/>
    </row>
    <row r="1261" spans="1:47" ht="15.75" customHeight="1">
      <c r="A1261" s="591"/>
      <c r="B1261" s="582"/>
      <c r="C1261" s="589"/>
      <c r="D1261" s="589"/>
      <c r="E1261" s="581"/>
      <c r="F1261" s="591"/>
      <c r="G1261" s="591"/>
      <c r="H1261" s="591"/>
      <c r="I1261" s="591"/>
      <c r="J1261" s="591"/>
      <c r="K1261" s="591"/>
      <c r="L1261" s="572"/>
      <c r="M1261" s="572"/>
      <c r="N1261" s="572"/>
      <c r="O1261" s="572"/>
      <c r="P1261" s="572"/>
      <c r="Q1261" s="572"/>
      <c r="R1261" s="572"/>
      <c r="S1261" s="572"/>
      <c r="T1261" s="572"/>
      <c r="U1261" s="572"/>
      <c r="V1261" s="572"/>
      <c r="W1261" s="572"/>
      <c r="X1261" s="572"/>
      <c r="Y1261" s="572"/>
      <c r="Z1261" s="572"/>
      <c r="AA1261" s="572"/>
      <c r="AB1261" s="572"/>
      <c r="AC1261" s="572"/>
      <c r="AD1261" s="572"/>
      <c r="AE1261" s="572"/>
      <c r="AF1261" s="572"/>
      <c r="AG1261" s="572"/>
      <c r="AH1261" s="572"/>
      <c r="AI1261" s="572"/>
      <c r="AJ1261" s="572"/>
      <c r="AK1261" s="572"/>
      <c r="AL1261" s="572"/>
      <c r="AM1261" s="572"/>
      <c r="AN1261" s="572"/>
      <c r="AO1261" s="572"/>
      <c r="AP1261" s="572"/>
      <c r="AQ1261" s="572"/>
      <c r="AR1261" s="572"/>
      <c r="AS1261" s="572"/>
      <c r="AT1261" s="572"/>
      <c r="AU1261" s="572"/>
    </row>
    <row r="1262" spans="1:47" ht="15.75" customHeight="1">
      <c r="A1262" s="591"/>
      <c r="B1262" s="582"/>
      <c r="C1262" s="589"/>
      <c r="D1262" s="589"/>
      <c r="E1262" s="581"/>
      <c r="F1262" s="591"/>
      <c r="G1262" s="591"/>
      <c r="H1262" s="591"/>
      <c r="I1262" s="591"/>
      <c r="J1262" s="591"/>
      <c r="K1262" s="591"/>
      <c r="L1262" s="572"/>
      <c r="M1262" s="572"/>
      <c r="N1262" s="572"/>
      <c r="O1262" s="572"/>
      <c r="P1262" s="572"/>
      <c r="Q1262" s="572"/>
      <c r="R1262" s="572"/>
      <c r="S1262" s="572"/>
      <c r="T1262" s="572"/>
      <c r="U1262" s="572"/>
      <c r="V1262" s="572"/>
      <c r="W1262" s="572"/>
      <c r="X1262" s="572"/>
      <c r="Y1262" s="572"/>
      <c r="Z1262" s="572"/>
      <c r="AA1262" s="572"/>
      <c r="AB1262" s="572"/>
      <c r="AC1262" s="572"/>
      <c r="AD1262" s="572"/>
      <c r="AE1262" s="572"/>
      <c r="AF1262" s="572"/>
      <c r="AG1262" s="572"/>
      <c r="AH1262" s="572"/>
      <c r="AI1262" s="572"/>
      <c r="AJ1262" s="572"/>
      <c r="AK1262" s="572"/>
      <c r="AL1262" s="572"/>
      <c r="AM1262" s="572"/>
      <c r="AN1262" s="572"/>
      <c r="AO1262" s="572"/>
      <c r="AP1262" s="572"/>
      <c r="AQ1262" s="572"/>
      <c r="AR1262" s="572"/>
      <c r="AS1262" s="572"/>
      <c r="AT1262" s="572"/>
      <c r="AU1262" s="572"/>
    </row>
    <row r="1263" spans="1:47" ht="15.75" customHeight="1">
      <c r="A1263" s="591"/>
      <c r="B1263" s="582"/>
      <c r="C1263" s="589"/>
      <c r="D1263" s="589"/>
      <c r="E1263" s="581"/>
      <c r="F1263" s="591"/>
      <c r="G1263" s="591"/>
      <c r="H1263" s="591"/>
      <c r="I1263" s="591"/>
      <c r="J1263" s="591"/>
      <c r="K1263" s="591"/>
      <c r="L1263" s="572"/>
      <c r="M1263" s="572"/>
      <c r="N1263" s="572"/>
      <c r="O1263" s="572"/>
      <c r="P1263" s="572"/>
      <c r="Q1263" s="572"/>
      <c r="R1263" s="572"/>
      <c r="S1263" s="572"/>
      <c r="T1263" s="572"/>
      <c r="U1263" s="572"/>
      <c r="V1263" s="572"/>
      <c r="W1263" s="572"/>
      <c r="X1263" s="572"/>
      <c r="Y1263" s="572"/>
      <c r="Z1263" s="572"/>
      <c r="AA1263" s="572"/>
      <c r="AB1263" s="572"/>
      <c r="AC1263" s="572"/>
      <c r="AD1263" s="572"/>
      <c r="AE1263" s="572"/>
      <c r="AF1263" s="572"/>
      <c r="AG1263" s="572"/>
      <c r="AH1263" s="572"/>
      <c r="AI1263" s="572"/>
      <c r="AJ1263" s="572"/>
      <c r="AK1263" s="572"/>
      <c r="AL1263" s="572"/>
      <c r="AM1263" s="572"/>
      <c r="AN1263" s="572"/>
      <c r="AO1263" s="572"/>
      <c r="AP1263" s="572"/>
      <c r="AQ1263" s="572"/>
      <c r="AR1263" s="572"/>
      <c r="AS1263" s="572"/>
      <c r="AT1263" s="572"/>
      <c r="AU1263" s="572"/>
    </row>
    <row r="1264" spans="1:47" ht="15.75" customHeight="1">
      <c r="A1264" s="591"/>
      <c r="B1264" s="582"/>
      <c r="C1264" s="589"/>
      <c r="D1264" s="589"/>
      <c r="E1264" s="581"/>
      <c r="F1264" s="591"/>
      <c r="G1264" s="591"/>
      <c r="H1264" s="591"/>
      <c r="I1264" s="591"/>
      <c r="J1264" s="591"/>
      <c r="K1264" s="591"/>
      <c r="L1264" s="572"/>
      <c r="M1264" s="572"/>
      <c r="N1264" s="572"/>
      <c r="O1264" s="572"/>
      <c r="P1264" s="572"/>
      <c r="Q1264" s="572"/>
      <c r="R1264" s="572"/>
      <c r="S1264" s="572"/>
      <c r="T1264" s="572"/>
      <c r="U1264" s="572"/>
      <c r="V1264" s="572"/>
      <c r="W1264" s="572"/>
      <c r="X1264" s="572"/>
      <c r="Y1264" s="572"/>
      <c r="Z1264" s="572"/>
      <c r="AA1264" s="572"/>
      <c r="AB1264" s="572"/>
      <c r="AC1264" s="572"/>
      <c r="AD1264" s="572"/>
      <c r="AE1264" s="572"/>
      <c r="AF1264" s="572"/>
      <c r="AG1264" s="572"/>
      <c r="AH1264" s="572"/>
      <c r="AI1264" s="572"/>
      <c r="AJ1264" s="572"/>
      <c r="AK1264" s="572"/>
      <c r="AL1264" s="572"/>
      <c r="AM1264" s="572"/>
      <c r="AN1264" s="572"/>
      <c r="AO1264" s="572"/>
      <c r="AP1264" s="572"/>
      <c r="AQ1264" s="572"/>
      <c r="AR1264" s="572"/>
      <c r="AS1264" s="572"/>
      <c r="AT1264" s="572"/>
      <c r="AU1264" s="572"/>
    </row>
    <row r="1265" spans="1:47" ht="15.75" customHeight="1">
      <c r="A1265" s="591"/>
      <c r="B1265" s="582"/>
      <c r="C1265" s="589"/>
      <c r="D1265" s="589"/>
      <c r="E1265" s="581"/>
      <c r="F1265" s="591"/>
      <c r="G1265" s="591"/>
      <c r="H1265" s="591"/>
      <c r="I1265" s="591"/>
      <c r="J1265" s="591"/>
      <c r="K1265" s="591"/>
      <c r="L1265" s="572"/>
      <c r="M1265" s="572"/>
      <c r="N1265" s="572"/>
      <c r="O1265" s="572"/>
      <c r="P1265" s="572"/>
      <c r="Q1265" s="572"/>
      <c r="R1265" s="572"/>
      <c r="S1265" s="572"/>
      <c r="T1265" s="572"/>
      <c r="U1265" s="572"/>
      <c r="V1265" s="572"/>
      <c r="W1265" s="572"/>
      <c r="X1265" s="572"/>
      <c r="Y1265" s="572"/>
      <c r="Z1265" s="572"/>
      <c r="AA1265" s="572"/>
      <c r="AB1265" s="572"/>
      <c r="AC1265" s="572"/>
      <c r="AD1265" s="572"/>
      <c r="AE1265" s="572"/>
      <c r="AF1265" s="572"/>
      <c r="AG1265" s="572"/>
      <c r="AH1265" s="572"/>
      <c r="AI1265" s="572"/>
      <c r="AJ1265" s="572"/>
      <c r="AK1265" s="572"/>
      <c r="AL1265" s="572"/>
      <c r="AM1265" s="572"/>
      <c r="AN1265" s="572"/>
      <c r="AO1265" s="572"/>
      <c r="AP1265" s="572"/>
      <c r="AQ1265" s="572"/>
      <c r="AR1265" s="572"/>
      <c r="AS1265" s="572"/>
      <c r="AT1265" s="572"/>
      <c r="AU1265" s="572"/>
    </row>
    <row r="1266" spans="1:47" ht="15.75" customHeight="1">
      <c r="A1266" s="591"/>
      <c r="B1266" s="582"/>
      <c r="C1266" s="589"/>
      <c r="D1266" s="589"/>
      <c r="E1266" s="581"/>
      <c r="F1266" s="591"/>
      <c r="G1266" s="591"/>
      <c r="H1266" s="591"/>
      <c r="I1266" s="591"/>
      <c r="J1266" s="591"/>
      <c r="K1266" s="591"/>
      <c r="L1266" s="572"/>
      <c r="M1266" s="572"/>
      <c r="N1266" s="572"/>
      <c r="O1266" s="572"/>
      <c r="P1266" s="572"/>
      <c r="Q1266" s="572"/>
      <c r="R1266" s="572"/>
      <c r="S1266" s="572"/>
      <c r="T1266" s="572"/>
      <c r="U1266" s="572"/>
      <c r="V1266" s="572"/>
      <c r="W1266" s="572"/>
      <c r="X1266" s="572"/>
      <c r="Y1266" s="572"/>
      <c r="Z1266" s="572"/>
      <c r="AA1266" s="572"/>
      <c r="AB1266" s="572"/>
      <c r="AC1266" s="572"/>
      <c r="AD1266" s="572"/>
      <c r="AE1266" s="572"/>
      <c r="AF1266" s="572"/>
      <c r="AG1266" s="572"/>
      <c r="AH1266" s="572"/>
      <c r="AI1266" s="572"/>
      <c r="AJ1266" s="572"/>
      <c r="AK1266" s="572"/>
      <c r="AL1266" s="572"/>
      <c r="AM1266" s="572"/>
      <c r="AN1266" s="572"/>
      <c r="AO1266" s="572"/>
      <c r="AP1266" s="572"/>
      <c r="AQ1266" s="572"/>
      <c r="AR1266" s="572"/>
      <c r="AS1266" s="572"/>
      <c r="AT1266" s="572"/>
      <c r="AU1266" s="572"/>
    </row>
    <row r="1267" spans="1:47" ht="15.75" customHeight="1">
      <c r="A1267" s="591"/>
      <c r="B1267" s="582"/>
      <c r="C1267" s="589"/>
      <c r="D1267" s="589"/>
      <c r="E1267" s="581"/>
      <c r="F1267" s="591"/>
      <c r="G1267" s="591"/>
      <c r="H1267" s="591"/>
      <c r="I1267" s="591"/>
      <c r="J1267" s="591"/>
      <c r="K1267" s="591"/>
      <c r="L1267" s="572"/>
      <c r="M1267" s="572"/>
      <c r="N1267" s="572"/>
      <c r="O1267" s="572"/>
      <c r="P1267" s="572"/>
      <c r="Q1267" s="572"/>
      <c r="R1267" s="572"/>
      <c r="S1267" s="572"/>
      <c r="T1267" s="572"/>
      <c r="U1267" s="572"/>
      <c r="V1267" s="572"/>
      <c r="W1267" s="572"/>
      <c r="X1267" s="572"/>
      <c r="Y1267" s="572"/>
      <c r="Z1267" s="572"/>
      <c r="AA1267" s="572"/>
      <c r="AB1267" s="572"/>
      <c r="AC1267" s="572"/>
      <c r="AD1267" s="572"/>
      <c r="AE1267" s="572"/>
      <c r="AF1267" s="572"/>
      <c r="AG1267" s="572"/>
      <c r="AH1267" s="572"/>
      <c r="AI1267" s="572"/>
      <c r="AJ1267" s="572"/>
      <c r="AK1267" s="572"/>
      <c r="AL1267" s="572"/>
      <c r="AM1267" s="572"/>
      <c r="AN1267" s="572"/>
      <c r="AO1267" s="572"/>
      <c r="AP1267" s="572"/>
      <c r="AQ1267" s="572"/>
      <c r="AR1267" s="572"/>
      <c r="AS1267" s="572"/>
      <c r="AT1267" s="572"/>
      <c r="AU1267" s="572"/>
    </row>
    <row r="1268" spans="1:47" ht="15.75" customHeight="1">
      <c r="A1268" s="591"/>
      <c r="B1268" s="582"/>
      <c r="C1268" s="589"/>
      <c r="D1268" s="589"/>
      <c r="E1268" s="581"/>
      <c r="F1268" s="591"/>
      <c r="G1268" s="591"/>
      <c r="H1268" s="591"/>
      <c r="I1268" s="591"/>
      <c r="J1268" s="591"/>
      <c r="K1268" s="591"/>
      <c r="L1268" s="572"/>
      <c r="M1268" s="572"/>
      <c r="N1268" s="572"/>
      <c r="O1268" s="572"/>
      <c r="P1268" s="572"/>
      <c r="Q1268" s="572"/>
      <c r="R1268" s="572"/>
      <c r="S1268" s="572"/>
      <c r="T1268" s="572"/>
      <c r="U1268" s="572"/>
      <c r="V1268" s="572"/>
      <c r="W1268" s="572"/>
      <c r="X1268" s="572"/>
      <c r="Y1268" s="572"/>
      <c r="Z1268" s="572"/>
      <c r="AA1268" s="572"/>
      <c r="AB1268" s="572"/>
      <c r="AC1268" s="572"/>
      <c r="AD1268" s="572"/>
      <c r="AE1268" s="572"/>
      <c r="AF1268" s="572"/>
      <c r="AG1268" s="572"/>
      <c r="AH1268" s="572"/>
      <c r="AI1268" s="572"/>
      <c r="AJ1268" s="572"/>
      <c r="AK1268" s="572"/>
      <c r="AL1268" s="572"/>
      <c r="AM1268" s="572"/>
      <c r="AN1268" s="572"/>
      <c r="AO1268" s="572"/>
      <c r="AP1268" s="572"/>
      <c r="AQ1268" s="572"/>
      <c r="AR1268" s="572"/>
      <c r="AS1268" s="572"/>
      <c r="AT1268" s="572"/>
      <c r="AU1268" s="572"/>
    </row>
    <row r="1269" spans="1:47" ht="15.75" customHeight="1">
      <c r="A1269" s="591"/>
      <c r="B1269" s="582"/>
      <c r="C1269" s="589"/>
      <c r="D1269" s="589"/>
      <c r="E1269" s="581"/>
      <c r="F1269" s="591"/>
      <c r="G1269" s="591"/>
      <c r="H1269" s="591"/>
      <c r="I1269" s="591"/>
      <c r="J1269" s="591"/>
      <c r="K1269" s="591"/>
      <c r="L1269" s="572"/>
      <c r="M1269" s="572"/>
      <c r="N1269" s="572"/>
      <c r="O1269" s="572"/>
      <c r="P1269" s="572"/>
      <c r="Q1269" s="572"/>
      <c r="R1269" s="572"/>
      <c r="S1269" s="572"/>
      <c r="T1269" s="572"/>
      <c r="U1269" s="572"/>
      <c r="V1269" s="572"/>
      <c r="W1269" s="572"/>
      <c r="X1269" s="572"/>
      <c r="Y1269" s="572"/>
      <c r="Z1269" s="572"/>
      <c r="AA1269" s="572"/>
      <c r="AB1269" s="572"/>
      <c r="AC1269" s="572"/>
      <c r="AD1269" s="572"/>
      <c r="AE1269" s="572"/>
      <c r="AF1269" s="572"/>
      <c r="AG1269" s="572"/>
      <c r="AH1269" s="572"/>
      <c r="AI1269" s="572"/>
      <c r="AJ1269" s="572"/>
      <c r="AK1269" s="572"/>
      <c r="AL1269" s="572"/>
      <c r="AM1269" s="572"/>
      <c r="AN1269" s="572"/>
      <c r="AO1269" s="572"/>
      <c r="AP1269" s="572"/>
      <c r="AQ1269" s="572"/>
      <c r="AR1269" s="572"/>
      <c r="AS1269" s="572"/>
      <c r="AT1269" s="572"/>
      <c r="AU1269" s="572"/>
    </row>
    <row r="1270" spans="1:47" ht="15.75" customHeight="1">
      <c r="A1270" s="591"/>
      <c r="B1270" s="582"/>
      <c r="C1270" s="589"/>
      <c r="D1270" s="589"/>
      <c r="E1270" s="581"/>
      <c r="F1270" s="591"/>
      <c r="G1270" s="591"/>
      <c r="H1270" s="591"/>
      <c r="I1270" s="591"/>
      <c r="J1270" s="591"/>
      <c r="K1270" s="591"/>
      <c r="L1270" s="572"/>
      <c r="M1270" s="572"/>
      <c r="N1270" s="572"/>
      <c r="O1270" s="572"/>
      <c r="P1270" s="572"/>
      <c r="Q1270" s="572"/>
      <c r="R1270" s="572"/>
      <c r="S1270" s="572"/>
      <c r="T1270" s="572"/>
      <c r="U1270" s="572"/>
      <c r="V1270" s="572"/>
      <c r="W1270" s="572"/>
      <c r="X1270" s="572"/>
      <c r="Y1270" s="572"/>
      <c r="Z1270" s="572"/>
      <c r="AA1270" s="572"/>
      <c r="AB1270" s="572"/>
      <c r="AC1270" s="572"/>
      <c r="AD1270" s="572"/>
      <c r="AE1270" s="572"/>
      <c r="AF1270" s="572"/>
      <c r="AG1270" s="572"/>
      <c r="AH1270" s="572"/>
      <c r="AI1270" s="572"/>
      <c r="AJ1270" s="572"/>
      <c r="AK1270" s="572"/>
      <c r="AL1270" s="572"/>
      <c r="AM1270" s="572"/>
      <c r="AN1270" s="572"/>
      <c r="AO1270" s="572"/>
      <c r="AP1270" s="572"/>
      <c r="AQ1270" s="572"/>
      <c r="AR1270" s="572"/>
      <c r="AS1270" s="572"/>
      <c r="AT1270" s="572"/>
      <c r="AU1270" s="572"/>
    </row>
    <row r="1271" spans="1:47" ht="15.75" customHeight="1">
      <c r="A1271" s="591"/>
      <c r="B1271" s="582"/>
      <c r="C1271" s="589"/>
      <c r="D1271" s="589"/>
      <c r="E1271" s="581"/>
      <c r="F1271" s="591"/>
      <c r="G1271" s="591"/>
      <c r="H1271" s="591"/>
      <c r="I1271" s="591"/>
      <c r="J1271" s="591"/>
      <c r="K1271" s="591"/>
      <c r="L1271" s="572"/>
      <c r="M1271" s="572"/>
      <c r="N1271" s="572"/>
      <c r="O1271" s="572"/>
      <c r="P1271" s="572"/>
      <c r="Q1271" s="572"/>
      <c r="R1271" s="572"/>
      <c r="S1271" s="572"/>
      <c r="T1271" s="572"/>
      <c r="U1271" s="572"/>
      <c r="V1271" s="572"/>
      <c r="W1271" s="572"/>
      <c r="X1271" s="572"/>
      <c r="Y1271" s="572"/>
      <c r="Z1271" s="572"/>
      <c r="AA1271" s="572"/>
      <c r="AB1271" s="572"/>
      <c r="AC1271" s="572"/>
      <c r="AD1271" s="572"/>
      <c r="AE1271" s="572"/>
      <c r="AF1271" s="572"/>
      <c r="AG1271" s="572"/>
      <c r="AH1271" s="572"/>
      <c r="AI1271" s="572"/>
      <c r="AJ1271" s="572"/>
      <c r="AK1271" s="572"/>
      <c r="AL1271" s="572"/>
      <c r="AM1271" s="572"/>
      <c r="AN1271" s="572"/>
      <c r="AO1271" s="572"/>
      <c r="AP1271" s="572"/>
      <c r="AQ1271" s="572"/>
      <c r="AR1271" s="572"/>
      <c r="AS1271" s="572"/>
      <c r="AT1271" s="572"/>
      <c r="AU1271" s="572"/>
    </row>
    <row r="1272" spans="1:47" ht="15.75" customHeight="1">
      <c r="A1272" s="591"/>
      <c r="B1272" s="582"/>
      <c r="C1272" s="589"/>
      <c r="D1272" s="589"/>
      <c r="E1272" s="581"/>
      <c r="F1272" s="591"/>
      <c r="G1272" s="591"/>
      <c r="H1272" s="591"/>
      <c r="I1272" s="591"/>
      <c r="J1272" s="591"/>
      <c r="K1272" s="591"/>
      <c r="L1272" s="572"/>
      <c r="M1272" s="572"/>
      <c r="N1272" s="572"/>
      <c r="O1272" s="572"/>
      <c r="P1272" s="572"/>
      <c r="Q1272" s="572"/>
      <c r="R1272" s="572"/>
      <c r="S1272" s="572"/>
      <c r="T1272" s="572"/>
      <c r="U1272" s="572"/>
      <c r="V1272" s="572"/>
      <c r="W1272" s="572"/>
      <c r="X1272" s="572"/>
      <c r="Y1272" s="572"/>
      <c r="Z1272" s="572"/>
      <c r="AA1272" s="572"/>
      <c r="AB1272" s="572"/>
      <c r="AC1272" s="572"/>
      <c r="AD1272" s="572"/>
      <c r="AE1272" s="572"/>
      <c r="AF1272" s="572"/>
      <c r="AG1272" s="572"/>
      <c r="AH1272" s="572"/>
      <c r="AI1272" s="572"/>
      <c r="AJ1272" s="572"/>
      <c r="AK1272" s="572"/>
      <c r="AL1272" s="572"/>
      <c r="AM1272" s="572"/>
      <c r="AN1272" s="572"/>
      <c r="AO1272" s="572"/>
      <c r="AP1272" s="572"/>
      <c r="AQ1272" s="572"/>
      <c r="AR1272" s="572"/>
      <c r="AS1272" s="572"/>
      <c r="AT1272" s="572"/>
      <c r="AU1272" s="572"/>
    </row>
    <row r="1273" spans="1:47" ht="15.75" customHeight="1">
      <c r="A1273" s="591"/>
      <c r="B1273" s="582"/>
      <c r="C1273" s="589"/>
      <c r="D1273" s="589"/>
      <c r="E1273" s="581"/>
      <c r="F1273" s="591"/>
      <c r="G1273" s="591"/>
      <c r="H1273" s="591"/>
      <c r="I1273" s="591"/>
      <c r="J1273" s="591"/>
      <c r="K1273" s="591"/>
      <c r="L1273" s="572"/>
      <c r="M1273" s="572"/>
      <c r="N1273" s="572"/>
      <c r="O1273" s="572"/>
      <c r="P1273" s="572"/>
      <c r="Q1273" s="572"/>
      <c r="R1273" s="572"/>
      <c r="S1273" s="572"/>
      <c r="T1273" s="572"/>
      <c r="U1273" s="572"/>
      <c r="V1273" s="572"/>
      <c r="W1273" s="572"/>
      <c r="X1273" s="572"/>
      <c r="Y1273" s="572"/>
      <c r="Z1273" s="572"/>
      <c r="AA1273" s="572"/>
      <c r="AB1273" s="572"/>
      <c r="AC1273" s="572"/>
      <c r="AD1273" s="572"/>
      <c r="AE1273" s="572"/>
      <c r="AF1273" s="572"/>
      <c r="AG1273" s="572"/>
      <c r="AH1273" s="572"/>
      <c r="AI1273" s="572"/>
      <c r="AJ1273" s="572"/>
      <c r="AK1273" s="572"/>
      <c r="AL1273" s="572"/>
      <c r="AM1273" s="572"/>
      <c r="AN1273" s="572"/>
      <c r="AO1273" s="572"/>
      <c r="AP1273" s="572"/>
      <c r="AQ1273" s="572"/>
      <c r="AR1273" s="572"/>
      <c r="AS1273" s="572"/>
      <c r="AT1273" s="572"/>
      <c r="AU1273" s="572"/>
    </row>
    <row r="1274" spans="1:47" ht="15.75" customHeight="1">
      <c r="A1274" s="591"/>
      <c r="B1274" s="582"/>
      <c r="C1274" s="589"/>
      <c r="D1274" s="589"/>
      <c r="E1274" s="581"/>
      <c r="F1274" s="591"/>
      <c r="G1274" s="591"/>
      <c r="H1274" s="591"/>
      <c r="I1274" s="591"/>
      <c r="J1274" s="591"/>
      <c r="K1274" s="591"/>
      <c r="L1274" s="572"/>
      <c r="M1274" s="572"/>
      <c r="N1274" s="572"/>
      <c r="O1274" s="572"/>
      <c r="P1274" s="572"/>
      <c r="Q1274" s="572"/>
      <c r="R1274" s="572"/>
      <c r="S1274" s="572"/>
      <c r="T1274" s="572"/>
      <c r="U1274" s="572"/>
      <c r="V1274" s="572"/>
      <c r="W1274" s="572"/>
      <c r="X1274" s="572"/>
      <c r="Y1274" s="572"/>
      <c r="Z1274" s="572"/>
      <c r="AA1274" s="572"/>
      <c r="AB1274" s="572"/>
      <c r="AC1274" s="572"/>
      <c r="AD1274" s="572"/>
      <c r="AE1274" s="572"/>
      <c r="AF1274" s="572"/>
      <c r="AG1274" s="572"/>
      <c r="AH1274" s="572"/>
      <c r="AI1274" s="572"/>
      <c r="AJ1274" s="572"/>
      <c r="AK1274" s="572"/>
      <c r="AL1274" s="572"/>
      <c r="AM1274" s="572"/>
      <c r="AN1274" s="572"/>
      <c r="AO1274" s="572"/>
      <c r="AP1274" s="572"/>
      <c r="AQ1274" s="572"/>
      <c r="AR1274" s="572"/>
      <c r="AS1274" s="572"/>
      <c r="AT1274" s="572"/>
      <c r="AU1274" s="572"/>
    </row>
    <row r="1275" spans="1:47" ht="15.75" customHeight="1">
      <c r="A1275" s="591"/>
      <c r="B1275" s="582"/>
      <c r="C1275" s="589"/>
      <c r="D1275" s="589"/>
      <c r="E1275" s="581"/>
      <c r="F1275" s="591"/>
      <c r="G1275" s="591"/>
      <c r="H1275" s="591"/>
      <c r="I1275" s="591"/>
      <c r="J1275" s="591"/>
      <c r="K1275" s="591"/>
      <c r="L1275" s="572"/>
      <c r="M1275" s="572"/>
      <c r="N1275" s="572"/>
      <c r="O1275" s="572"/>
      <c r="P1275" s="572"/>
      <c r="Q1275" s="572"/>
      <c r="R1275" s="572"/>
      <c r="S1275" s="572"/>
      <c r="T1275" s="572"/>
      <c r="U1275" s="572"/>
      <c r="V1275" s="572"/>
      <c r="W1275" s="572"/>
      <c r="X1275" s="572"/>
      <c r="Y1275" s="572"/>
      <c r="Z1275" s="572"/>
      <c r="AA1275" s="572"/>
      <c r="AB1275" s="572"/>
      <c r="AC1275" s="572"/>
      <c r="AD1275" s="572"/>
      <c r="AE1275" s="572"/>
      <c r="AF1275" s="572"/>
      <c r="AG1275" s="572"/>
      <c r="AH1275" s="572"/>
      <c r="AI1275" s="572"/>
      <c r="AJ1275" s="572"/>
      <c r="AK1275" s="572"/>
      <c r="AL1275" s="572"/>
      <c r="AM1275" s="572"/>
      <c r="AN1275" s="572"/>
      <c r="AO1275" s="572"/>
      <c r="AP1275" s="572"/>
      <c r="AQ1275" s="572"/>
      <c r="AR1275" s="572"/>
      <c r="AS1275" s="572"/>
      <c r="AT1275" s="572"/>
      <c r="AU1275" s="572"/>
    </row>
    <row r="1276" spans="1:47" ht="15.75" customHeight="1">
      <c r="A1276" s="591"/>
      <c r="B1276" s="582"/>
      <c r="C1276" s="589"/>
      <c r="D1276" s="589"/>
      <c r="E1276" s="581"/>
      <c r="F1276" s="591"/>
      <c r="G1276" s="591"/>
      <c r="H1276" s="591"/>
      <c r="I1276" s="591"/>
      <c r="J1276" s="591"/>
      <c r="K1276" s="591"/>
      <c r="L1276" s="572"/>
      <c r="M1276" s="572"/>
      <c r="N1276" s="572"/>
      <c r="O1276" s="572"/>
      <c r="P1276" s="572"/>
      <c r="Q1276" s="572"/>
      <c r="R1276" s="572"/>
      <c r="S1276" s="572"/>
      <c r="T1276" s="572"/>
      <c r="U1276" s="572"/>
      <c r="V1276" s="572"/>
      <c r="W1276" s="572"/>
      <c r="X1276" s="572"/>
      <c r="Y1276" s="572"/>
      <c r="Z1276" s="572"/>
      <c r="AA1276" s="572"/>
      <c r="AB1276" s="572"/>
      <c r="AC1276" s="572"/>
      <c r="AD1276" s="572"/>
      <c r="AE1276" s="572"/>
      <c r="AF1276" s="572"/>
      <c r="AG1276" s="572"/>
      <c r="AH1276" s="572"/>
      <c r="AI1276" s="572"/>
      <c r="AJ1276" s="572"/>
      <c r="AK1276" s="572"/>
      <c r="AL1276" s="572"/>
      <c r="AM1276" s="572"/>
      <c r="AN1276" s="572"/>
      <c r="AO1276" s="572"/>
      <c r="AP1276" s="572"/>
      <c r="AQ1276" s="572"/>
      <c r="AR1276" s="572"/>
      <c r="AS1276" s="572"/>
      <c r="AT1276" s="572"/>
      <c r="AU1276" s="572"/>
    </row>
    <row r="1277" spans="1:47" ht="15.75" customHeight="1">
      <c r="A1277" s="591"/>
      <c r="B1277" s="582"/>
      <c r="C1277" s="589"/>
      <c r="D1277" s="589"/>
      <c r="E1277" s="581"/>
      <c r="F1277" s="591"/>
      <c r="G1277" s="591"/>
      <c r="H1277" s="591"/>
      <c r="I1277" s="591"/>
      <c r="J1277" s="591"/>
      <c r="K1277" s="591"/>
      <c r="L1277" s="572"/>
      <c r="M1277" s="572"/>
      <c r="N1277" s="572"/>
      <c r="O1277" s="572"/>
      <c r="P1277" s="572"/>
      <c r="Q1277" s="572"/>
      <c r="R1277" s="572"/>
      <c r="S1277" s="572"/>
      <c r="T1277" s="572"/>
      <c r="U1277" s="572"/>
      <c r="V1277" s="572"/>
      <c r="W1277" s="572"/>
      <c r="X1277" s="572"/>
      <c r="Y1277" s="572"/>
      <c r="Z1277" s="572"/>
      <c r="AA1277" s="572"/>
      <c r="AB1277" s="572"/>
      <c r="AC1277" s="572"/>
      <c r="AD1277" s="572"/>
      <c r="AE1277" s="572"/>
      <c r="AF1277" s="572"/>
      <c r="AG1277" s="572"/>
      <c r="AH1277" s="572"/>
      <c r="AI1277" s="572"/>
      <c r="AJ1277" s="572"/>
      <c r="AK1277" s="572"/>
      <c r="AL1277" s="572"/>
      <c r="AM1277" s="572"/>
      <c r="AN1277" s="572"/>
      <c r="AO1277" s="572"/>
      <c r="AP1277" s="572"/>
      <c r="AQ1277" s="572"/>
      <c r="AR1277" s="572"/>
      <c r="AS1277" s="572"/>
      <c r="AT1277" s="572"/>
      <c r="AU1277" s="572"/>
    </row>
    <row r="1278" spans="1:47" ht="15.75" customHeight="1">
      <c r="A1278" s="591"/>
      <c r="B1278" s="582"/>
      <c r="C1278" s="589"/>
      <c r="D1278" s="589"/>
      <c r="E1278" s="581"/>
      <c r="F1278" s="591"/>
      <c r="G1278" s="591"/>
      <c r="H1278" s="591"/>
      <c r="I1278" s="591"/>
      <c r="J1278" s="591"/>
      <c r="K1278" s="591"/>
      <c r="L1278" s="572"/>
      <c r="M1278" s="572"/>
      <c r="N1278" s="572"/>
      <c r="O1278" s="572"/>
      <c r="P1278" s="572"/>
      <c r="Q1278" s="572"/>
      <c r="R1278" s="572"/>
      <c r="S1278" s="572"/>
      <c r="T1278" s="572"/>
      <c r="U1278" s="572"/>
      <c r="V1278" s="572"/>
      <c r="W1278" s="572"/>
      <c r="X1278" s="572"/>
      <c r="Y1278" s="572"/>
      <c r="Z1278" s="572"/>
      <c r="AA1278" s="572"/>
      <c r="AB1278" s="572"/>
      <c r="AC1278" s="572"/>
      <c r="AD1278" s="572"/>
      <c r="AE1278" s="572"/>
      <c r="AF1278" s="572"/>
      <c r="AG1278" s="572"/>
      <c r="AH1278" s="572"/>
      <c r="AI1278" s="572"/>
      <c r="AJ1278" s="572"/>
      <c r="AK1278" s="572"/>
      <c r="AL1278" s="572"/>
      <c r="AM1278" s="572"/>
      <c r="AN1278" s="572"/>
      <c r="AO1278" s="572"/>
      <c r="AP1278" s="572"/>
      <c r="AQ1278" s="572"/>
      <c r="AR1278" s="572"/>
      <c r="AS1278" s="572"/>
      <c r="AT1278" s="572"/>
      <c r="AU1278" s="572"/>
    </row>
    <row r="1279" spans="1:47" ht="15.75" customHeight="1">
      <c r="A1279" s="591"/>
      <c r="B1279" s="582"/>
      <c r="C1279" s="589"/>
      <c r="D1279" s="589"/>
      <c r="E1279" s="581"/>
      <c r="F1279" s="591"/>
      <c r="G1279" s="591"/>
      <c r="H1279" s="591"/>
      <c r="I1279" s="591"/>
      <c r="J1279" s="591"/>
      <c r="K1279" s="591"/>
      <c r="L1279" s="572"/>
      <c r="M1279" s="572"/>
      <c r="N1279" s="572"/>
      <c r="O1279" s="572"/>
      <c r="P1279" s="572"/>
      <c r="Q1279" s="572"/>
      <c r="R1279" s="572"/>
      <c r="S1279" s="572"/>
      <c r="T1279" s="572"/>
      <c r="U1279" s="572"/>
      <c r="V1279" s="572"/>
      <c r="W1279" s="572"/>
      <c r="X1279" s="572"/>
      <c r="Y1279" s="572"/>
      <c r="Z1279" s="572"/>
      <c r="AA1279" s="572"/>
      <c r="AB1279" s="572"/>
      <c r="AC1279" s="572"/>
      <c r="AD1279" s="572"/>
      <c r="AE1279" s="572"/>
      <c r="AF1279" s="572"/>
      <c r="AG1279" s="572"/>
      <c r="AH1279" s="572"/>
      <c r="AI1279" s="572"/>
      <c r="AJ1279" s="572"/>
      <c r="AK1279" s="572"/>
      <c r="AL1279" s="572"/>
      <c r="AM1279" s="572"/>
      <c r="AN1279" s="572"/>
      <c r="AO1279" s="572"/>
      <c r="AP1279" s="572"/>
      <c r="AQ1279" s="572"/>
      <c r="AR1279" s="572"/>
      <c r="AS1279" s="572"/>
      <c r="AT1279" s="572"/>
      <c r="AU1279" s="572"/>
    </row>
    <row r="1280" spans="1:47" ht="15.75" customHeight="1">
      <c r="A1280" s="591"/>
      <c r="B1280" s="582"/>
      <c r="C1280" s="589"/>
      <c r="D1280" s="589"/>
      <c r="E1280" s="581"/>
      <c r="F1280" s="591"/>
      <c r="G1280" s="591"/>
      <c r="H1280" s="591"/>
      <c r="I1280" s="591"/>
      <c r="J1280" s="591"/>
      <c r="K1280" s="591"/>
      <c r="L1280" s="572"/>
      <c r="M1280" s="572"/>
      <c r="N1280" s="572"/>
      <c r="O1280" s="572"/>
      <c r="P1280" s="572"/>
      <c r="Q1280" s="572"/>
      <c r="R1280" s="572"/>
      <c r="S1280" s="572"/>
      <c r="T1280" s="572"/>
      <c r="U1280" s="572"/>
      <c r="V1280" s="572"/>
      <c r="W1280" s="572"/>
      <c r="X1280" s="572"/>
      <c r="Y1280" s="572"/>
      <c r="Z1280" s="572"/>
      <c r="AA1280" s="572"/>
      <c r="AB1280" s="572"/>
      <c r="AC1280" s="572"/>
      <c r="AD1280" s="572"/>
      <c r="AE1280" s="572"/>
      <c r="AF1280" s="572"/>
      <c r="AG1280" s="572"/>
      <c r="AH1280" s="572"/>
      <c r="AI1280" s="572"/>
      <c r="AJ1280" s="572"/>
      <c r="AK1280" s="572"/>
      <c r="AL1280" s="572"/>
      <c r="AM1280" s="572"/>
      <c r="AN1280" s="572"/>
      <c r="AO1280" s="572"/>
      <c r="AP1280" s="572"/>
      <c r="AQ1280" s="572"/>
      <c r="AR1280" s="572"/>
      <c r="AS1280" s="572"/>
      <c r="AT1280" s="572"/>
      <c r="AU1280" s="572"/>
    </row>
    <row r="1281" spans="1:47" ht="15.75" customHeight="1">
      <c r="A1281" s="591"/>
      <c r="B1281" s="582"/>
      <c r="C1281" s="589"/>
      <c r="D1281" s="589"/>
      <c r="E1281" s="581"/>
      <c r="F1281" s="591"/>
      <c r="G1281" s="591"/>
      <c r="H1281" s="591"/>
      <c r="I1281" s="591"/>
      <c r="J1281" s="591"/>
      <c r="K1281" s="591"/>
      <c r="L1281" s="572"/>
      <c r="M1281" s="572"/>
      <c r="N1281" s="572"/>
      <c r="O1281" s="572"/>
      <c r="P1281" s="572"/>
      <c r="Q1281" s="572"/>
      <c r="R1281" s="572"/>
      <c r="S1281" s="572"/>
      <c r="T1281" s="572"/>
      <c r="U1281" s="572"/>
      <c r="V1281" s="572"/>
      <c r="W1281" s="572"/>
      <c r="X1281" s="572"/>
      <c r="Y1281" s="572"/>
      <c r="Z1281" s="572"/>
      <c r="AA1281" s="572"/>
      <c r="AB1281" s="572"/>
      <c r="AC1281" s="572"/>
      <c r="AD1281" s="572"/>
      <c r="AE1281" s="572"/>
      <c r="AF1281" s="572"/>
      <c r="AG1281" s="572"/>
      <c r="AH1281" s="572"/>
      <c r="AI1281" s="572"/>
      <c r="AJ1281" s="572"/>
      <c r="AK1281" s="572"/>
      <c r="AL1281" s="572"/>
      <c r="AM1281" s="572"/>
      <c r="AN1281" s="572"/>
      <c r="AO1281" s="572"/>
      <c r="AP1281" s="572"/>
      <c r="AQ1281" s="572"/>
      <c r="AR1281" s="572"/>
      <c r="AS1281" s="572"/>
      <c r="AT1281" s="572"/>
      <c r="AU1281" s="572"/>
    </row>
    <row r="1282" spans="1:47" ht="15.75" customHeight="1">
      <c r="A1282" s="591"/>
      <c r="B1282" s="582"/>
      <c r="C1282" s="589"/>
      <c r="D1282" s="589"/>
      <c r="E1282" s="581"/>
      <c r="F1282" s="591"/>
      <c r="G1282" s="591"/>
      <c r="H1282" s="591"/>
      <c r="I1282" s="591"/>
      <c r="J1282" s="591"/>
      <c r="K1282" s="591"/>
      <c r="L1282" s="572"/>
      <c r="M1282" s="572"/>
      <c r="N1282" s="572"/>
      <c r="O1282" s="572"/>
      <c r="P1282" s="572"/>
      <c r="Q1282" s="572"/>
      <c r="R1282" s="572"/>
      <c r="S1282" s="572"/>
      <c r="T1282" s="572"/>
      <c r="U1282" s="572"/>
      <c r="V1282" s="572"/>
      <c r="W1282" s="572"/>
      <c r="X1282" s="572"/>
      <c r="Y1282" s="572"/>
      <c r="Z1282" s="572"/>
      <c r="AA1282" s="572"/>
      <c r="AB1282" s="572"/>
      <c r="AC1282" s="572"/>
      <c r="AD1282" s="572"/>
      <c r="AE1282" s="572"/>
      <c r="AF1282" s="572"/>
      <c r="AG1282" s="572"/>
      <c r="AH1282" s="572"/>
      <c r="AI1282" s="572"/>
      <c r="AJ1282" s="572"/>
      <c r="AK1282" s="572"/>
      <c r="AL1282" s="572"/>
      <c r="AM1282" s="572"/>
      <c r="AN1282" s="572"/>
      <c r="AO1282" s="572"/>
      <c r="AP1282" s="572"/>
      <c r="AQ1282" s="572"/>
      <c r="AR1282" s="572"/>
      <c r="AS1282" s="572"/>
      <c r="AT1282" s="572"/>
      <c r="AU1282" s="572"/>
    </row>
    <row r="1283" spans="1:47" ht="15.75" customHeight="1">
      <c r="A1283" s="591"/>
      <c r="B1283" s="582"/>
      <c r="C1283" s="589"/>
      <c r="D1283" s="589"/>
      <c r="E1283" s="581"/>
      <c r="F1283" s="591"/>
      <c r="G1283" s="591"/>
      <c r="H1283" s="591"/>
      <c r="I1283" s="591"/>
      <c r="J1283" s="591"/>
      <c r="K1283" s="591"/>
      <c r="L1283" s="572"/>
      <c r="M1283" s="572"/>
      <c r="N1283" s="572"/>
      <c r="O1283" s="572"/>
      <c r="P1283" s="572"/>
      <c r="Q1283" s="572"/>
      <c r="R1283" s="572"/>
      <c r="S1283" s="572"/>
      <c r="T1283" s="572"/>
      <c r="U1283" s="572"/>
      <c r="V1283" s="572"/>
      <c r="W1283" s="572"/>
      <c r="X1283" s="572"/>
      <c r="Y1283" s="572"/>
      <c r="Z1283" s="572"/>
      <c r="AA1283" s="572"/>
      <c r="AB1283" s="572"/>
      <c r="AC1283" s="572"/>
      <c r="AD1283" s="572"/>
      <c r="AE1283" s="572"/>
      <c r="AF1283" s="572"/>
      <c r="AG1283" s="572"/>
      <c r="AH1283" s="572"/>
      <c r="AI1283" s="572"/>
      <c r="AJ1283" s="572"/>
      <c r="AK1283" s="572"/>
      <c r="AL1283" s="572"/>
      <c r="AM1283" s="572"/>
      <c r="AN1283" s="572"/>
      <c r="AO1283" s="572"/>
      <c r="AP1283" s="572"/>
      <c r="AQ1283" s="572"/>
      <c r="AR1283" s="572"/>
      <c r="AS1283" s="572"/>
      <c r="AT1283" s="572"/>
      <c r="AU1283" s="572"/>
    </row>
    <row r="1284" spans="1:47" ht="15.75" customHeight="1">
      <c r="A1284" s="591"/>
      <c r="B1284" s="582"/>
      <c r="C1284" s="589"/>
      <c r="D1284" s="589"/>
      <c r="E1284" s="581"/>
      <c r="F1284" s="591"/>
      <c r="G1284" s="591"/>
      <c r="H1284" s="591"/>
      <c r="I1284" s="591"/>
      <c r="J1284" s="591"/>
      <c r="K1284" s="591"/>
      <c r="L1284" s="572"/>
      <c r="M1284" s="572"/>
      <c r="N1284" s="572"/>
      <c r="O1284" s="572"/>
      <c r="P1284" s="572"/>
      <c r="Q1284" s="572"/>
      <c r="R1284" s="572"/>
      <c r="S1284" s="572"/>
      <c r="T1284" s="572"/>
      <c r="U1284" s="572"/>
      <c r="V1284" s="572"/>
      <c r="W1284" s="572"/>
      <c r="X1284" s="572"/>
      <c r="Y1284" s="572"/>
      <c r="Z1284" s="572"/>
      <c r="AA1284" s="572"/>
      <c r="AB1284" s="572"/>
      <c r="AC1284" s="572"/>
      <c r="AD1284" s="572"/>
      <c r="AE1284" s="572"/>
      <c r="AF1284" s="572"/>
      <c r="AG1284" s="572"/>
      <c r="AH1284" s="572"/>
      <c r="AI1284" s="572"/>
      <c r="AJ1284" s="572"/>
      <c r="AK1284" s="572"/>
      <c r="AL1284" s="572"/>
      <c r="AM1284" s="572"/>
      <c r="AN1284" s="572"/>
      <c r="AO1284" s="572"/>
      <c r="AP1284" s="572"/>
      <c r="AQ1284" s="572"/>
      <c r="AR1284" s="572"/>
      <c r="AS1284" s="572"/>
      <c r="AT1284" s="572"/>
      <c r="AU1284" s="572"/>
    </row>
    <row r="1285" spans="1:47" ht="15.75" customHeight="1">
      <c r="A1285" s="591"/>
      <c r="B1285" s="582"/>
      <c r="C1285" s="589"/>
      <c r="D1285" s="589"/>
      <c r="E1285" s="581"/>
      <c r="F1285" s="591"/>
      <c r="G1285" s="591"/>
      <c r="H1285" s="591"/>
      <c r="I1285" s="591"/>
      <c r="J1285" s="591"/>
      <c r="K1285" s="591"/>
      <c r="L1285" s="572"/>
      <c r="M1285" s="572"/>
      <c r="N1285" s="572"/>
      <c r="O1285" s="572"/>
      <c r="P1285" s="572"/>
      <c r="Q1285" s="572"/>
      <c r="R1285" s="572"/>
      <c r="S1285" s="572"/>
      <c r="T1285" s="572"/>
      <c r="U1285" s="572"/>
      <c r="V1285" s="572"/>
      <c r="W1285" s="572"/>
      <c r="X1285" s="572"/>
      <c r="Y1285" s="572"/>
      <c r="Z1285" s="572"/>
      <c r="AA1285" s="572"/>
      <c r="AB1285" s="572"/>
      <c r="AC1285" s="572"/>
      <c r="AD1285" s="572"/>
      <c r="AE1285" s="572"/>
      <c r="AF1285" s="572"/>
      <c r="AG1285" s="572"/>
      <c r="AH1285" s="572"/>
      <c r="AI1285" s="572"/>
      <c r="AJ1285" s="572"/>
      <c r="AK1285" s="572"/>
      <c r="AL1285" s="572"/>
      <c r="AM1285" s="572"/>
      <c r="AN1285" s="572"/>
      <c r="AO1285" s="572"/>
      <c r="AP1285" s="572"/>
      <c r="AQ1285" s="572"/>
      <c r="AR1285" s="572"/>
      <c r="AS1285" s="572"/>
      <c r="AT1285" s="572"/>
      <c r="AU1285" s="572"/>
    </row>
    <row r="1286" spans="1:47" ht="15.75" customHeight="1">
      <c r="A1286" s="591"/>
      <c r="B1286" s="582"/>
      <c r="C1286" s="589"/>
      <c r="D1286" s="589"/>
      <c r="E1286" s="581"/>
      <c r="F1286" s="591"/>
      <c r="G1286" s="591"/>
      <c r="H1286" s="591"/>
      <c r="I1286" s="591"/>
      <c r="J1286" s="591"/>
      <c r="K1286" s="591"/>
      <c r="L1286" s="572"/>
      <c r="M1286" s="572"/>
      <c r="N1286" s="572"/>
      <c r="O1286" s="572"/>
      <c r="P1286" s="572"/>
      <c r="Q1286" s="572"/>
      <c r="R1286" s="572"/>
      <c r="S1286" s="572"/>
      <c r="T1286" s="572"/>
      <c r="U1286" s="572"/>
      <c r="V1286" s="572"/>
      <c r="W1286" s="572"/>
      <c r="X1286" s="572"/>
      <c r="Y1286" s="572"/>
      <c r="Z1286" s="572"/>
      <c r="AA1286" s="572"/>
      <c r="AB1286" s="572"/>
      <c r="AC1286" s="572"/>
      <c r="AD1286" s="572"/>
      <c r="AE1286" s="572"/>
      <c r="AF1286" s="572"/>
      <c r="AG1286" s="572"/>
      <c r="AH1286" s="572"/>
      <c r="AI1286" s="572"/>
      <c r="AJ1286" s="572"/>
      <c r="AK1286" s="572"/>
      <c r="AL1286" s="572"/>
      <c r="AM1286" s="572"/>
      <c r="AN1286" s="572"/>
      <c r="AO1286" s="572"/>
      <c r="AP1286" s="572"/>
      <c r="AQ1286" s="572"/>
      <c r="AR1286" s="572"/>
      <c r="AS1286" s="572"/>
      <c r="AT1286" s="572"/>
      <c r="AU1286" s="572"/>
    </row>
    <row r="1287" spans="1:47" ht="15.75" customHeight="1">
      <c r="A1287" s="591"/>
      <c r="B1287" s="582"/>
      <c r="C1287" s="589"/>
      <c r="D1287" s="589"/>
      <c r="E1287" s="581"/>
      <c r="F1287" s="591"/>
      <c r="G1287" s="591"/>
      <c r="H1287" s="591"/>
      <c r="I1287" s="591"/>
      <c r="J1287" s="591"/>
      <c r="K1287" s="591"/>
      <c r="L1287" s="572"/>
      <c r="M1287" s="572"/>
      <c r="N1287" s="572"/>
      <c r="O1287" s="572"/>
      <c r="P1287" s="572"/>
      <c r="Q1287" s="572"/>
      <c r="R1287" s="572"/>
      <c r="S1287" s="572"/>
      <c r="T1287" s="572"/>
      <c r="U1287" s="572"/>
      <c r="V1287" s="572"/>
      <c r="W1287" s="572"/>
      <c r="X1287" s="572"/>
      <c r="Y1287" s="572"/>
      <c r="Z1287" s="572"/>
      <c r="AA1287" s="572"/>
      <c r="AB1287" s="572"/>
      <c r="AC1287" s="572"/>
      <c r="AD1287" s="572"/>
      <c r="AE1287" s="572"/>
      <c r="AF1287" s="572"/>
      <c r="AG1287" s="572"/>
      <c r="AH1287" s="572"/>
      <c r="AI1287" s="572"/>
      <c r="AJ1287" s="572"/>
      <c r="AK1287" s="572"/>
      <c r="AL1287" s="572"/>
      <c r="AM1287" s="572"/>
      <c r="AN1287" s="572"/>
      <c r="AO1287" s="572"/>
      <c r="AP1287" s="572"/>
      <c r="AQ1287" s="572"/>
      <c r="AR1287" s="572"/>
      <c r="AS1287" s="572"/>
      <c r="AT1287" s="572"/>
      <c r="AU1287" s="572"/>
    </row>
    <row r="1288" spans="1:47" ht="15.75" customHeight="1">
      <c r="A1288" s="591"/>
      <c r="B1288" s="582"/>
      <c r="C1288" s="589"/>
      <c r="D1288" s="589"/>
      <c r="E1288" s="581"/>
      <c r="F1288" s="591"/>
      <c r="G1288" s="591"/>
      <c r="H1288" s="591"/>
      <c r="I1288" s="591"/>
      <c r="J1288" s="591"/>
      <c r="K1288" s="591"/>
      <c r="L1288" s="572"/>
      <c r="M1288" s="572"/>
      <c r="N1288" s="572"/>
      <c r="O1288" s="572"/>
      <c r="P1288" s="572"/>
      <c r="Q1288" s="572"/>
      <c r="R1288" s="572"/>
      <c r="S1288" s="572"/>
      <c r="T1288" s="572"/>
      <c r="U1288" s="572"/>
      <c r="V1288" s="572"/>
      <c r="W1288" s="572"/>
      <c r="X1288" s="572"/>
      <c r="Y1288" s="572"/>
      <c r="Z1288" s="572"/>
      <c r="AA1288" s="572"/>
      <c r="AB1288" s="572"/>
      <c r="AC1288" s="572"/>
      <c r="AD1288" s="572"/>
      <c r="AE1288" s="572"/>
      <c r="AF1288" s="572"/>
      <c r="AG1288" s="572"/>
      <c r="AH1288" s="572"/>
      <c r="AI1288" s="572"/>
      <c r="AJ1288" s="572"/>
      <c r="AK1288" s="572"/>
      <c r="AL1288" s="572"/>
      <c r="AM1288" s="572"/>
      <c r="AN1288" s="572"/>
      <c r="AO1288" s="572"/>
      <c r="AP1288" s="572"/>
      <c r="AQ1288" s="572"/>
      <c r="AR1288" s="572"/>
      <c r="AS1288" s="572"/>
      <c r="AT1288" s="572"/>
      <c r="AU1288" s="572"/>
    </row>
    <row r="1289" spans="1:47" ht="15.75" customHeight="1">
      <c r="A1289" s="591"/>
      <c r="B1289" s="582"/>
      <c r="C1289" s="589"/>
      <c r="D1289" s="589"/>
      <c r="E1289" s="581"/>
      <c r="F1289" s="591"/>
      <c r="G1289" s="591"/>
      <c r="H1289" s="591"/>
      <c r="I1289" s="591"/>
      <c r="J1289" s="591"/>
      <c r="K1289" s="591"/>
      <c r="L1289" s="572"/>
      <c r="M1289" s="572"/>
      <c r="N1289" s="572"/>
      <c r="O1289" s="572"/>
      <c r="P1289" s="572"/>
      <c r="Q1289" s="572"/>
      <c r="R1289" s="572"/>
      <c r="S1289" s="572"/>
      <c r="T1289" s="572"/>
      <c r="U1289" s="572"/>
      <c r="V1289" s="572"/>
      <c r="W1289" s="572"/>
      <c r="X1289" s="572"/>
      <c r="Y1289" s="572"/>
      <c r="Z1289" s="572"/>
      <c r="AA1289" s="572"/>
      <c r="AB1289" s="572"/>
      <c r="AC1289" s="572"/>
      <c r="AD1289" s="572"/>
      <c r="AE1289" s="572"/>
      <c r="AF1289" s="572"/>
      <c r="AG1289" s="572"/>
      <c r="AH1289" s="572"/>
      <c r="AI1289" s="572"/>
      <c r="AJ1289" s="572"/>
      <c r="AK1289" s="572"/>
      <c r="AL1289" s="572"/>
      <c r="AM1289" s="572"/>
      <c r="AN1289" s="572"/>
      <c r="AO1289" s="572"/>
      <c r="AP1289" s="572"/>
      <c r="AQ1289" s="572"/>
      <c r="AR1289" s="572"/>
      <c r="AS1289" s="572"/>
      <c r="AT1289" s="572"/>
      <c r="AU1289" s="572"/>
    </row>
    <row r="1290" spans="1:47" ht="15.75" customHeight="1">
      <c r="A1290" s="591"/>
      <c r="B1290" s="582"/>
      <c r="C1290" s="589"/>
      <c r="D1290" s="589"/>
      <c r="E1290" s="581"/>
      <c r="F1290" s="591"/>
      <c r="G1290" s="591"/>
      <c r="H1290" s="591"/>
      <c r="I1290" s="591"/>
      <c r="J1290" s="591"/>
      <c r="K1290" s="591"/>
      <c r="L1290" s="572"/>
      <c r="M1290" s="572"/>
      <c r="N1290" s="572"/>
      <c r="O1290" s="572"/>
      <c r="P1290" s="572"/>
      <c r="Q1290" s="572"/>
      <c r="R1290" s="572"/>
      <c r="S1290" s="572"/>
      <c r="T1290" s="572"/>
      <c r="U1290" s="572"/>
      <c r="V1290" s="572"/>
      <c r="W1290" s="572"/>
      <c r="X1290" s="572"/>
      <c r="Y1290" s="572"/>
      <c r="Z1290" s="572"/>
      <c r="AA1290" s="572"/>
      <c r="AB1290" s="572"/>
      <c r="AC1290" s="572"/>
      <c r="AD1290" s="572"/>
      <c r="AE1290" s="572"/>
      <c r="AF1290" s="572"/>
      <c r="AG1290" s="572"/>
      <c r="AH1290" s="572"/>
      <c r="AI1290" s="572"/>
      <c r="AJ1290" s="572"/>
      <c r="AK1290" s="572"/>
      <c r="AL1290" s="572"/>
      <c r="AM1290" s="572"/>
      <c r="AN1290" s="572"/>
      <c r="AO1290" s="572"/>
      <c r="AP1290" s="572"/>
      <c r="AQ1290" s="572"/>
      <c r="AR1290" s="572"/>
      <c r="AS1290" s="572"/>
      <c r="AT1290" s="572"/>
      <c r="AU1290" s="572"/>
    </row>
    <row r="1291" spans="1:47" ht="15.75" customHeight="1">
      <c r="A1291" s="591"/>
      <c r="B1291" s="582"/>
      <c r="C1291" s="589"/>
      <c r="D1291" s="589"/>
      <c r="E1291" s="581"/>
      <c r="F1291" s="591"/>
      <c r="G1291" s="591"/>
      <c r="H1291" s="591"/>
      <c r="I1291" s="591"/>
      <c r="J1291" s="591"/>
      <c r="K1291" s="591"/>
      <c r="L1291" s="572"/>
      <c r="M1291" s="572"/>
      <c r="N1291" s="572"/>
      <c r="O1291" s="572"/>
      <c r="P1291" s="572"/>
      <c r="Q1291" s="572"/>
      <c r="R1291" s="572"/>
      <c r="S1291" s="572"/>
      <c r="T1291" s="572"/>
      <c r="U1291" s="572"/>
      <c r="V1291" s="572"/>
      <c r="W1291" s="572"/>
      <c r="X1291" s="572"/>
      <c r="Y1291" s="572"/>
      <c r="Z1291" s="572"/>
      <c r="AA1291" s="572"/>
      <c r="AB1291" s="572"/>
      <c r="AC1291" s="572"/>
      <c r="AD1291" s="572"/>
      <c r="AE1291" s="572"/>
      <c r="AF1291" s="572"/>
      <c r="AG1291" s="572"/>
      <c r="AH1291" s="572"/>
      <c r="AI1291" s="572"/>
      <c r="AJ1291" s="572"/>
      <c r="AK1291" s="572"/>
      <c r="AL1291" s="572"/>
      <c r="AM1291" s="572"/>
      <c r="AN1291" s="572"/>
      <c r="AO1291" s="572"/>
      <c r="AP1291" s="572"/>
      <c r="AQ1291" s="572"/>
      <c r="AR1291" s="572"/>
      <c r="AS1291" s="572"/>
      <c r="AT1291" s="572"/>
      <c r="AU1291" s="572"/>
    </row>
    <row r="1292" spans="1:47" ht="15.75" customHeight="1">
      <c r="A1292" s="591"/>
      <c r="B1292" s="582"/>
      <c r="C1292" s="589"/>
      <c r="D1292" s="589"/>
      <c r="E1292" s="581"/>
      <c r="F1292" s="591"/>
      <c r="G1292" s="591"/>
      <c r="H1292" s="591"/>
      <c r="I1292" s="591"/>
      <c r="J1292" s="591"/>
      <c r="K1292" s="591"/>
      <c r="L1292" s="572"/>
      <c r="M1292" s="572"/>
      <c r="N1292" s="572"/>
      <c r="O1292" s="572"/>
      <c r="P1292" s="572"/>
      <c r="Q1292" s="572"/>
      <c r="R1292" s="572"/>
      <c r="S1292" s="572"/>
      <c r="T1292" s="572"/>
      <c r="U1292" s="572"/>
      <c r="V1292" s="572"/>
      <c r="W1292" s="572"/>
      <c r="X1292" s="572"/>
      <c r="Y1292" s="572"/>
      <c r="Z1292" s="572"/>
      <c r="AA1292" s="572"/>
      <c r="AB1292" s="572"/>
      <c r="AC1292" s="572"/>
      <c r="AD1292" s="572"/>
      <c r="AE1292" s="572"/>
      <c r="AF1292" s="572"/>
      <c r="AG1292" s="572"/>
      <c r="AH1292" s="572"/>
      <c r="AI1292" s="572"/>
      <c r="AJ1292" s="572"/>
      <c r="AK1292" s="572"/>
      <c r="AL1292" s="572"/>
      <c r="AM1292" s="572"/>
      <c r="AN1292" s="572"/>
      <c r="AO1292" s="572"/>
      <c r="AP1292" s="572"/>
      <c r="AQ1292" s="572"/>
      <c r="AR1292" s="572"/>
      <c r="AS1292" s="572"/>
      <c r="AT1292" s="572"/>
      <c r="AU1292" s="572"/>
    </row>
    <row r="1293" spans="1:47" ht="15.75" customHeight="1">
      <c r="A1293" s="591"/>
      <c r="B1293" s="582"/>
      <c r="C1293" s="589"/>
      <c r="D1293" s="589"/>
      <c r="E1293" s="581"/>
      <c r="F1293" s="591"/>
      <c r="G1293" s="591"/>
      <c r="H1293" s="591"/>
      <c r="I1293" s="591"/>
      <c r="J1293" s="591"/>
      <c r="K1293" s="591"/>
      <c r="L1293" s="572"/>
      <c r="M1293" s="572"/>
      <c r="N1293" s="572"/>
      <c r="O1293" s="572"/>
      <c r="P1293" s="572"/>
      <c r="Q1293" s="572"/>
      <c r="R1293" s="572"/>
      <c r="S1293" s="572"/>
      <c r="T1293" s="572"/>
      <c r="U1293" s="572"/>
      <c r="V1293" s="572"/>
      <c r="W1293" s="572"/>
      <c r="X1293" s="572"/>
      <c r="Y1293" s="572"/>
      <c r="Z1293" s="572"/>
      <c r="AA1293" s="572"/>
      <c r="AB1293" s="572"/>
      <c r="AC1293" s="572"/>
      <c r="AD1293" s="572"/>
      <c r="AE1293" s="572"/>
      <c r="AF1293" s="572"/>
      <c r="AG1293" s="572"/>
      <c r="AH1293" s="572"/>
      <c r="AI1293" s="572"/>
      <c r="AJ1293" s="572"/>
      <c r="AK1293" s="572"/>
      <c r="AL1293" s="572"/>
      <c r="AM1293" s="572"/>
      <c r="AN1293" s="572"/>
      <c r="AO1293" s="572"/>
      <c r="AP1293" s="572"/>
      <c r="AQ1293" s="572"/>
      <c r="AR1293" s="572"/>
      <c r="AS1293" s="572"/>
      <c r="AT1293" s="572"/>
      <c r="AU1293" s="572"/>
    </row>
    <row r="1294" spans="1:47" ht="15.75" customHeight="1">
      <c r="A1294" s="591"/>
      <c r="B1294" s="582"/>
      <c r="C1294" s="589"/>
      <c r="D1294" s="589"/>
      <c r="E1294" s="581"/>
      <c r="F1294" s="591"/>
      <c r="G1294" s="591"/>
      <c r="H1294" s="591"/>
      <c r="I1294" s="591"/>
      <c r="J1294" s="591"/>
      <c r="K1294" s="591"/>
      <c r="L1294" s="572"/>
      <c r="M1294" s="572"/>
      <c r="N1294" s="572"/>
      <c r="O1294" s="572"/>
      <c r="P1294" s="572"/>
      <c r="Q1294" s="572"/>
      <c r="R1294" s="572"/>
      <c r="S1294" s="572"/>
      <c r="T1294" s="572"/>
      <c r="U1294" s="572"/>
      <c r="V1294" s="572"/>
      <c r="W1294" s="572"/>
      <c r="X1294" s="572"/>
      <c r="Y1294" s="572"/>
      <c r="Z1294" s="572"/>
      <c r="AA1294" s="572"/>
      <c r="AB1294" s="572"/>
      <c r="AC1294" s="572"/>
      <c r="AD1294" s="572"/>
      <c r="AE1294" s="572"/>
      <c r="AF1294" s="572"/>
      <c r="AG1294" s="572"/>
      <c r="AH1294" s="572"/>
      <c r="AI1294" s="572"/>
      <c r="AJ1294" s="572"/>
      <c r="AK1294" s="572"/>
      <c r="AL1294" s="572"/>
      <c r="AM1294" s="572"/>
      <c r="AN1294" s="572"/>
      <c r="AO1294" s="572"/>
      <c r="AP1294" s="572"/>
      <c r="AQ1294" s="572"/>
      <c r="AR1294" s="572"/>
      <c r="AS1294" s="572"/>
      <c r="AT1294" s="572"/>
      <c r="AU1294" s="572"/>
    </row>
    <row r="1295" spans="1:47" ht="15.75" customHeight="1">
      <c r="A1295" s="591"/>
      <c r="B1295" s="582"/>
      <c r="C1295" s="589"/>
      <c r="D1295" s="589"/>
      <c r="E1295" s="581"/>
      <c r="F1295" s="591"/>
      <c r="G1295" s="591"/>
      <c r="H1295" s="591"/>
      <c r="I1295" s="591"/>
      <c r="J1295" s="591"/>
      <c r="K1295" s="591"/>
      <c r="L1295" s="572"/>
      <c r="M1295" s="572"/>
      <c r="N1295" s="572"/>
      <c r="O1295" s="572"/>
      <c r="P1295" s="572"/>
      <c r="Q1295" s="572"/>
      <c r="R1295" s="572"/>
      <c r="S1295" s="572"/>
      <c r="T1295" s="572"/>
      <c r="U1295" s="572"/>
      <c r="V1295" s="572"/>
      <c r="W1295" s="572"/>
      <c r="X1295" s="572"/>
      <c r="Y1295" s="572"/>
      <c r="Z1295" s="572"/>
      <c r="AA1295" s="572"/>
      <c r="AB1295" s="572"/>
      <c r="AC1295" s="572"/>
      <c r="AD1295" s="572"/>
      <c r="AE1295" s="572"/>
      <c r="AF1295" s="572"/>
      <c r="AG1295" s="572"/>
      <c r="AH1295" s="572"/>
      <c r="AI1295" s="572"/>
      <c r="AJ1295" s="572"/>
      <c r="AK1295" s="572"/>
      <c r="AL1295" s="572"/>
      <c r="AM1295" s="572"/>
      <c r="AN1295" s="572"/>
      <c r="AO1295" s="572"/>
      <c r="AP1295" s="572"/>
      <c r="AQ1295" s="572"/>
      <c r="AR1295" s="572"/>
      <c r="AS1295" s="572"/>
      <c r="AT1295" s="572"/>
      <c r="AU1295" s="572"/>
    </row>
    <row r="1296" spans="1:47" ht="15.75" customHeight="1">
      <c r="A1296" s="591"/>
      <c r="B1296" s="582"/>
      <c r="C1296" s="589"/>
      <c r="D1296" s="589"/>
      <c r="E1296" s="581"/>
      <c r="F1296" s="591"/>
      <c r="G1296" s="591"/>
      <c r="H1296" s="591"/>
      <c r="I1296" s="591"/>
      <c r="J1296" s="591"/>
      <c r="K1296" s="591"/>
      <c r="L1296" s="572"/>
      <c r="M1296" s="572"/>
      <c r="N1296" s="572"/>
      <c r="O1296" s="572"/>
      <c r="P1296" s="572"/>
      <c r="Q1296" s="572"/>
      <c r="R1296" s="572"/>
      <c r="S1296" s="572"/>
      <c r="T1296" s="572"/>
      <c r="U1296" s="572"/>
      <c r="V1296" s="572"/>
      <c r="W1296" s="572"/>
      <c r="X1296" s="572"/>
      <c r="Y1296" s="572"/>
      <c r="Z1296" s="572"/>
      <c r="AA1296" s="572"/>
      <c r="AB1296" s="572"/>
      <c r="AC1296" s="572"/>
      <c r="AD1296" s="572"/>
      <c r="AE1296" s="572"/>
      <c r="AF1296" s="572"/>
      <c r="AG1296" s="572"/>
      <c r="AH1296" s="572"/>
      <c r="AI1296" s="572"/>
      <c r="AJ1296" s="572"/>
      <c r="AK1296" s="572"/>
      <c r="AL1296" s="572"/>
      <c r="AM1296" s="572"/>
      <c r="AN1296" s="572"/>
      <c r="AO1296" s="572"/>
      <c r="AP1296" s="572"/>
      <c r="AQ1296" s="572"/>
      <c r="AR1296" s="572"/>
      <c r="AS1296" s="572"/>
      <c r="AT1296" s="572"/>
      <c r="AU1296" s="572"/>
    </row>
    <row r="1297" spans="1:47" ht="15.75" customHeight="1">
      <c r="A1297" s="591"/>
      <c r="B1297" s="582"/>
      <c r="C1297" s="589"/>
      <c r="D1297" s="589"/>
      <c r="E1297" s="581"/>
      <c r="F1297" s="591"/>
      <c r="G1297" s="591"/>
      <c r="H1297" s="591"/>
      <c r="I1297" s="591"/>
      <c r="J1297" s="591"/>
      <c r="K1297" s="591"/>
      <c r="L1297" s="572"/>
      <c r="M1297" s="572"/>
      <c r="N1297" s="572"/>
      <c r="O1297" s="572"/>
      <c r="P1297" s="572"/>
      <c r="Q1297" s="572"/>
      <c r="R1297" s="572"/>
      <c r="S1297" s="572"/>
      <c r="T1297" s="572"/>
      <c r="U1297" s="572"/>
      <c r="V1297" s="572"/>
      <c r="W1297" s="572"/>
      <c r="X1297" s="572"/>
      <c r="Y1297" s="572"/>
      <c r="Z1297" s="572"/>
      <c r="AA1297" s="572"/>
      <c r="AB1297" s="572"/>
      <c r="AC1297" s="572"/>
      <c r="AD1297" s="572"/>
      <c r="AE1297" s="572"/>
      <c r="AF1297" s="572"/>
      <c r="AG1297" s="572"/>
      <c r="AH1297" s="572"/>
      <c r="AI1297" s="572"/>
      <c r="AJ1297" s="572"/>
      <c r="AK1297" s="572"/>
      <c r="AL1297" s="572"/>
      <c r="AM1297" s="572"/>
      <c r="AN1297" s="572"/>
      <c r="AO1297" s="572"/>
      <c r="AP1297" s="572"/>
      <c r="AQ1297" s="572"/>
      <c r="AR1297" s="572"/>
      <c r="AS1297" s="572"/>
      <c r="AT1297" s="572"/>
      <c r="AU1297" s="572"/>
    </row>
    <row r="1298" spans="1:47" ht="15.75" customHeight="1">
      <c r="A1298" s="591"/>
      <c r="B1298" s="582"/>
      <c r="C1298" s="589"/>
      <c r="D1298" s="589"/>
      <c r="E1298" s="581"/>
      <c r="F1298" s="591"/>
      <c r="G1298" s="591"/>
      <c r="H1298" s="591"/>
      <c r="I1298" s="591"/>
      <c r="J1298" s="591"/>
      <c r="K1298" s="591"/>
      <c r="L1298" s="572"/>
      <c r="M1298" s="572"/>
      <c r="N1298" s="572"/>
      <c r="O1298" s="572"/>
      <c r="P1298" s="572"/>
      <c r="Q1298" s="572"/>
      <c r="R1298" s="572"/>
      <c r="S1298" s="572"/>
      <c r="T1298" s="572"/>
      <c r="U1298" s="572"/>
      <c r="V1298" s="572"/>
      <c r="W1298" s="572"/>
      <c r="X1298" s="572"/>
      <c r="Y1298" s="572"/>
      <c r="Z1298" s="572"/>
      <c r="AA1298" s="572"/>
      <c r="AB1298" s="572"/>
      <c r="AC1298" s="572"/>
      <c r="AD1298" s="572"/>
      <c r="AE1298" s="572"/>
      <c r="AF1298" s="572"/>
      <c r="AG1298" s="572"/>
      <c r="AH1298" s="572"/>
      <c r="AI1298" s="572"/>
      <c r="AJ1298" s="572"/>
      <c r="AK1298" s="572"/>
      <c r="AL1298" s="572"/>
      <c r="AM1298" s="572"/>
      <c r="AN1298" s="572"/>
      <c r="AO1298" s="572"/>
      <c r="AP1298" s="572"/>
      <c r="AQ1298" s="572"/>
      <c r="AR1298" s="572"/>
      <c r="AS1298" s="572"/>
      <c r="AT1298" s="572"/>
      <c r="AU1298" s="572"/>
    </row>
    <row r="1299" spans="1:47" ht="15.75" customHeight="1">
      <c r="A1299" s="591"/>
      <c r="B1299" s="582"/>
      <c r="C1299" s="589"/>
      <c r="D1299" s="589"/>
      <c r="E1299" s="581"/>
      <c r="F1299" s="591"/>
      <c r="G1299" s="591"/>
      <c r="H1299" s="591"/>
      <c r="I1299" s="591"/>
      <c r="J1299" s="591"/>
      <c r="K1299" s="591"/>
      <c r="L1299" s="572"/>
      <c r="M1299" s="572"/>
      <c r="N1299" s="572"/>
      <c r="O1299" s="572"/>
      <c r="P1299" s="572"/>
      <c r="Q1299" s="572"/>
      <c r="R1299" s="572"/>
      <c r="S1299" s="572"/>
      <c r="T1299" s="572"/>
      <c r="U1299" s="572"/>
      <c r="V1299" s="572"/>
      <c r="W1299" s="572"/>
      <c r="X1299" s="572"/>
      <c r="Y1299" s="572"/>
      <c r="Z1299" s="572"/>
      <c r="AA1299" s="572"/>
      <c r="AB1299" s="572"/>
      <c r="AC1299" s="572"/>
      <c r="AD1299" s="572"/>
      <c r="AE1299" s="572"/>
      <c r="AF1299" s="572"/>
      <c r="AG1299" s="572"/>
      <c r="AH1299" s="572"/>
      <c r="AI1299" s="572"/>
      <c r="AJ1299" s="572"/>
      <c r="AK1299" s="572"/>
      <c r="AL1299" s="572"/>
      <c r="AM1299" s="572"/>
      <c r="AN1299" s="572"/>
      <c r="AO1299" s="572"/>
      <c r="AP1299" s="572"/>
      <c r="AQ1299" s="572"/>
      <c r="AR1299" s="572"/>
      <c r="AS1299" s="572"/>
      <c r="AT1299" s="572"/>
      <c r="AU1299" s="572"/>
    </row>
    <row r="1300" spans="1:47" ht="15.75" customHeight="1">
      <c r="A1300" s="591"/>
      <c r="B1300" s="582"/>
      <c r="C1300" s="589"/>
      <c r="D1300" s="589"/>
      <c r="E1300" s="581"/>
      <c r="F1300" s="591"/>
      <c r="G1300" s="591"/>
      <c r="H1300" s="591"/>
      <c r="I1300" s="591"/>
      <c r="J1300" s="591"/>
      <c r="K1300" s="591"/>
      <c r="L1300" s="572"/>
      <c r="M1300" s="572"/>
      <c r="N1300" s="572"/>
      <c r="O1300" s="572"/>
      <c r="P1300" s="572"/>
      <c r="Q1300" s="572"/>
      <c r="R1300" s="572"/>
      <c r="S1300" s="572"/>
      <c r="T1300" s="572"/>
      <c r="U1300" s="572"/>
      <c r="V1300" s="572"/>
      <c r="W1300" s="572"/>
      <c r="X1300" s="572"/>
      <c r="Y1300" s="572"/>
      <c r="Z1300" s="572"/>
      <c r="AA1300" s="572"/>
      <c r="AB1300" s="572"/>
      <c r="AC1300" s="572"/>
      <c r="AD1300" s="572"/>
      <c r="AE1300" s="572"/>
      <c r="AF1300" s="572"/>
      <c r="AG1300" s="572"/>
      <c r="AH1300" s="572"/>
      <c r="AI1300" s="572"/>
      <c r="AJ1300" s="572"/>
      <c r="AK1300" s="572"/>
      <c r="AL1300" s="572"/>
      <c r="AM1300" s="572"/>
      <c r="AN1300" s="572"/>
      <c r="AO1300" s="572"/>
      <c r="AP1300" s="572"/>
      <c r="AQ1300" s="572"/>
      <c r="AR1300" s="572"/>
      <c r="AS1300" s="572"/>
      <c r="AT1300" s="572"/>
      <c r="AU1300" s="572"/>
    </row>
  </sheetData>
  <customSheetViews>
    <customSheetView guid="{31BAD605-5612-4733-8F02-7FA30239EFFB}" filter="1" showAutoFilter="1">
      <pageMargins left="0.511811024" right="0.511811024" top="0.78740157499999996" bottom="0.78740157499999996" header="0.31496062000000002" footer="0.31496062000000002"/>
      <autoFilter ref="A2:K798" xr:uid="{84F8DA31-ABC3-420C-A3D3-FA7173CBEF47}">
        <filterColumn colId="1">
          <filters>
            <filter val="1586968"/>
            <filter val="1822017"/>
            <filter val="1832250"/>
            <filter val="1884055"/>
            <filter val="1922798"/>
            <filter val="2066065"/>
            <filter val="2218849"/>
            <filter val="2218857"/>
            <filter val="2245369"/>
            <filter val="2310651"/>
            <filter val="2352697"/>
            <filter val="2405046"/>
            <filter val="2445589"/>
            <filter val="2466854"/>
            <filter val="250289"/>
            <filter val="2534866"/>
            <filter val="2591134"/>
            <filter val="2591878"/>
            <filter val="2612786"/>
            <filter val="2645505"/>
            <filter val="2658077"/>
            <filter val="2661302"/>
            <filter val="2672622"/>
            <filter val="2694253"/>
            <filter val="2698656"/>
            <filter val="2699490"/>
            <filter val="2701746"/>
            <filter val="2702114"/>
            <filter val="2721127"/>
            <filter val="2730754"/>
            <filter val="2738224"/>
            <filter val="2847489"/>
            <filter val="2850040"/>
            <filter val="2864258"/>
            <filter val="2865175"/>
            <filter val="2894145"/>
            <filter val="2902059"/>
            <filter val="2956150"/>
            <filter val="2961934"/>
            <filter val="2965891"/>
            <filter val="317927"/>
            <filter val="319563"/>
            <filter val="3203106"/>
            <filter val="320731"/>
            <filter val="320910"/>
            <filter val="321150"/>
            <filter val="321312"/>
            <filter val="322505"/>
            <filter val="322548"/>
            <filter val="323625"/>
            <filter val="323684"/>
            <filter val="3257117"/>
            <filter val="3263443"/>
            <filter val="3274844"/>
            <filter val="328970"/>
            <filter val="330028"/>
            <filter val="331865"/>
            <filter val="332802"/>
            <filter val="334813"/>
            <filter val="3383740"/>
            <filter val="3384259"/>
            <filter val="3384291"/>
            <filter val="3384356"/>
            <filter val="340481"/>
            <filter val="3412436"/>
            <filter val="341356"/>
            <filter val="343227"/>
            <filter val="343685"/>
            <filter val="343804"/>
            <filter val="3445098"/>
            <filter val="347451"/>
            <filter val="348997"/>
            <filter val="349853"/>
            <filter val="3518710"/>
            <filter val="3520517"/>
            <filter val="356272"/>
            <filter val="359301"/>
            <filter val="3615656"/>
            <filter val="362841"/>
            <filter val="363716"/>
            <filter val="367916"/>
            <filter val="369455"/>
            <filter val="3712007"/>
            <filter val="3713246"/>
            <filter val="3774100"/>
            <filter val="378853"/>
            <filter val="383873"/>
            <filter val="384071"/>
            <filter val="385035"/>
            <filter val="395136"/>
            <filter val="4017894"/>
            <filter val="4215372"/>
            <filter val="4217316"/>
            <filter val="4218282"/>
            <filter val="4241586"/>
            <filter val="4242922"/>
            <filter val="4243120"/>
            <filter val="4247347"/>
            <filter val="4248009"/>
            <filter val="4280220"/>
            <filter val="431690"/>
            <filter val="431754"/>
            <filter val="4327504"/>
            <filter val="4330899"/>
            <filter val="433129"/>
            <filter val="4332042"/>
            <filter val="4343397"/>
            <filter val="4345500"/>
            <filter val="4349786"/>
            <filter val="4351136"/>
            <filter val="4355972"/>
            <filter val="4375396"/>
            <filter val="4384867"/>
            <filter val="4386181"/>
            <filter val="4387335"/>
            <filter val="4397276"/>
            <filter val="4398585"/>
            <filter val="4399473"/>
            <filter val="4400781"/>
            <filter val="4402972"/>
            <filter val="4404701"/>
            <filter val="4412801"/>
            <filter val="4422652"/>
            <filter val="4438673"/>
            <filter val="4442638"/>
            <filter val="4447856"/>
            <filter val="4455683"/>
            <filter val="4460288"/>
            <filter val="4461414"/>
            <filter val="4461608"/>
            <filter val="4465816"/>
            <filter val="4466421"/>
            <filter val="4468963"/>
            <filter val="4474939"/>
            <filter val="4478934"/>
            <filter val="4481625"/>
            <filter val="4487607"/>
            <filter val="4488255"/>
            <filter val="4495588"/>
            <filter val="4502541"/>
            <filter val="4510498"/>
            <filter val="4522420"/>
            <filter val="4528354"/>
            <filter val="4534168"/>
            <filter val="4550654"/>
            <filter val="4568576"/>
            <filter val="4569204"/>
            <filter val="4572882"/>
            <filter val="4577878"/>
            <filter val="458601"/>
            <filter val="4611223"/>
            <filter val="4617147"/>
            <filter val="4618682"/>
            <filter val="4627802"/>
            <filter val="4639067"/>
            <filter val="4645750"/>
            <filter val="464776"/>
            <filter val="4651873"/>
            <filter val="4662174"/>
            <filter val="4663677"/>
            <filter val="4672277"/>
            <filter val="4674830"/>
            <filter val="4674881"/>
            <filter val="4675489"/>
            <filter val="4680045"/>
            <filter val="4696470"/>
            <filter val="4696943"/>
            <filter val="4722266"/>
            <filter val="4729728"/>
            <filter val="4732393"/>
            <filter val="4756217"/>
            <filter val="475794"/>
            <filter val="4761482"/>
            <filter val="4783402"/>
            <filter val="4784067"/>
            <filter val="479226"/>
            <filter val="480281"/>
            <filter val="480283"/>
            <filter val="4836917"/>
            <filter val="4859807"/>
            <filter val="486192"/>
            <filter val="492516"/>
            <filter val="515215"/>
            <filter val="528568"/>
            <filter val="5709377"/>
            <filter val="5745998"/>
            <filter val="5752960"/>
            <filter val="5757724"/>
            <filter val="5759182"/>
            <filter val="5759476"/>
            <filter val="5762906"/>
            <filter val="5763015"/>
            <filter val="5772979"/>
            <filter val="5773304"/>
            <filter val="5773924"/>
            <filter val="5774998"/>
            <filter val="5776702"/>
            <filter val="5789898"/>
            <filter val="5792082"/>
            <filter val="5799044"/>
            <filter val="5808809"/>
            <filter val="5809120"/>
            <filter val="5828311"/>
            <filter val="5842390"/>
            <filter val="5842438"/>
            <filter val="5842853"/>
            <filter val="6245088"/>
            <filter val="6549214"/>
            <filter val="749509"/>
            <filter val="772942"/>
            <filter val="789373"/>
            <filter val="798500"/>
            <filter val="804151"/>
            <filter val="804771"/>
            <filter val="807649"/>
            <filter val="826678"/>
            <filter val="846385"/>
            <filter val="846458"/>
            <filter val="860566"/>
            <filter val="865134"/>
            <filter val="882640"/>
            <filter val="891801"/>
          </filters>
        </filterColumn>
        <filterColumn colId="5">
          <filters blank="1">
            <filter val="Adriana Ferrari Pimentel"/>
            <filter val="Adriana Laus de Aquino"/>
            <filter val="Aldo Aguirre Aristimunho"/>
            <filter val="Andre Luis Fernandes Gouveia"/>
            <filter val="Andre Luiz Souza da Silveira"/>
            <filter val="Ariosvaldo Ferreira Nunes"/>
            <filter val="Atilio Rulli"/>
            <filter val="Barbara Mitchele Martins Leão"/>
            <filter val="Bertha Lins Pellegrino"/>
            <filter val="Bruno Silva de Medeiros"/>
            <filter val="Caio Cesar Boschi"/>
            <filter val="Carlos Alberto Cardozo"/>
            <filter val="Ciria Coelho Ribeiro"/>
            <filter val="Clisia Mara Carreira"/>
            <filter val="Daniel Esteves Fonseca Franco"/>
            <filter val="Daniela de Martins Souza"/>
            <filter val="Débora Inhaquite Bolfoni da Cunha"/>
            <filter val="Débora Maçaneiro Vieira"/>
            <filter val="Denise Maria Ventura de Alcântara"/>
            <filter val="Eduardo Amorim de Lemos"/>
            <filter val="Eduardo Maia Magalhães"/>
            <filter val="Eduardo Soares do Couto Filho"/>
            <filter val="Gabriel de Oliveira"/>
            <filter val="GHD Empreendimentos Imobiliarios LTDA"/>
            <filter val="Glauber Oliveira Silva"/>
            <filter val="Graziela Monaco Biavati"/>
            <filter val="Guilherme Nogueira Bassi"/>
            <filter val="Gustavo Branco"/>
            <filter val="Gustavo Dauster Vivacqua e Silva"/>
            <filter val="Hernane da Silva Ribeiro"/>
            <filter val="João Beze Sobrinho"/>
            <filter val="Jorge Augusto Laburu"/>
            <filter val="Jorge Gomes de Araujo"/>
            <filter val="José Guilherme Maia"/>
            <filter val="Laurindo Aelsom Teixeira Costa"/>
            <filter val="Leonardo Leal Leite"/>
            <filter val="Leonardo Peleja Vizeu Lima"/>
            <filter val="Luciana Navarro de Oliveira Santos"/>
            <filter val="Luis José Maranhão Neto"/>
            <filter val="Marcelle Passarinho Maia"/>
            <filter val="Marcelo Botton Piccin"/>
            <filter val="Marcelo Franco Paes Leme"/>
            <filter val="Márcia Coelho"/>
            <filter val="Marcio Lopes Siqueira"/>
            <filter val="Matheus Herthel Souza Belo"/>
            <filter val="Matthew Paz Carvalho"/>
            <filter val="Moderada"/>
            <filter val="Nathalia Alcantara de Albuquerque"/>
            <filter val="Odil Garrido Campos de Andrade"/>
            <filter val="Patricia da Conceicao Alves Mendes"/>
            <filter val="Raphael Pereira Hablitzel"/>
            <filter val="Raphael Steckelberg"/>
            <filter val="Raquel Valadares Von Glehn Ribeiro"/>
            <filter val="Rejane Maria Dantas Maia"/>
            <filter val="Renata Freitas Chamarelli"/>
            <filter val="Renato Sendin"/>
            <filter val="Ricardo Gomes de Queiroz"/>
            <filter val="Ricardo Marinho dos Santos"/>
            <filter val="Roberto Alexandre Neves Fernandes Filho"/>
            <filter val="Rodrigo Barros Mendonça"/>
            <filter val="Rossana de Miranda Almeida"/>
            <filter val="Sandra Maria de Albuquerque Costa"/>
            <filter val="Sergio Luz de Souza"/>
            <filter val="Silvia Carla Galli Leyser"/>
            <filter val="Silvia Ruth Penaloza Diez"/>
            <filter val="Vera Regina Mazzini Braga Coimbra"/>
            <filter val="Vertice Design Eireli"/>
            <filter val="Vértice Design Eireli"/>
            <filter val="Washington José Lima Candido"/>
            <filter val="Zenilda Clea de Paula"/>
          </filters>
        </filterColumn>
      </autoFilter>
    </customSheetView>
  </customSheetViews>
  <conditionalFormatting sqref="I799:I803 I809:I818 I828 I898:I899 I902:I923 I925:I927 I929:I935 I937:I939 I1076:I1077 I1089 I1095 I1102:I1103">
    <cfRule type="cellIs" dxfId="2" priority="3" operator="equal">
      <formula>"Bluemetrix"</formula>
    </cfRule>
  </conditionalFormatting>
  <conditionalFormatting sqref="I802 I827 H898:H899 H915:H917 H919:H923 H925:H927 H929:H935 H937:H939 H1089 I1095 H1102:H1103">
    <cfRule type="cellIs" dxfId="1" priority="1" operator="equal">
      <formula>"Conquest"</formula>
    </cfRule>
    <cfRule type="cellIs" dxfId="0" priority="2" operator="equal">
      <formula>"Voga"</formula>
    </cfRule>
  </conditionalFormatting>
  <dataValidations count="1">
    <dataValidation type="list" allowBlank="1" showErrorMessage="1" sqref="D2:D1300" xr:uid="{00000000-0002-0000-1000-000000000000}">
      <formula1>$AA:$AA</formula1>
    </dataValidation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18</vt:i4>
      </vt:variant>
    </vt:vector>
  </HeadingPairs>
  <TitlesOfParts>
    <vt:vector size="18" baseType="lpstr">
      <vt:lpstr>Planilha1</vt:lpstr>
      <vt:lpstr>Clientes Novos</vt:lpstr>
      <vt:lpstr>BTG</vt:lpstr>
      <vt:lpstr>Guide</vt:lpstr>
      <vt:lpstr>Ágora</vt:lpstr>
      <vt:lpstr>Genial</vt:lpstr>
      <vt:lpstr>Órama</vt:lpstr>
      <vt:lpstr>Pershing</vt:lpstr>
      <vt:lpstr>Interactive Brokers</vt:lpstr>
      <vt:lpstr>Avenue</vt:lpstr>
      <vt:lpstr>XP Arquivo</vt:lpstr>
      <vt:lpstr>PL TOTAL D0</vt:lpstr>
      <vt:lpstr>Termo de distrato</vt:lpstr>
      <vt:lpstr>Análise PL</vt:lpstr>
      <vt:lpstr>Dados</vt:lpstr>
      <vt:lpstr>BTG2</vt:lpstr>
      <vt:lpstr>Cadastro de assessores</vt:lpstr>
      <vt:lpstr>Saídas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Bruno Henrique Borges Silva</cp:lastModifiedBy>
  <dcterms:modified xsi:type="dcterms:W3CDTF">2024-11-01T12:04:21Z</dcterms:modified>
</cp:coreProperties>
</file>